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cquirog\Downloads\"/>
    </mc:Choice>
  </mc:AlternateContent>
  <xr:revisionPtr revIDLastSave="0" documentId="8_{EEB62E99-EBBA-422A-A02A-C76B391AC0AC}" xr6:coauthVersionLast="47" xr6:coauthVersionMax="47" xr10:uidLastSave="{00000000-0000-0000-0000-000000000000}"/>
  <bookViews>
    <workbookView xWindow="-110" yWindow="-110" windowWidth="19420" windowHeight="10420" tabRatio="957" firstSheet="12" activeTab="12" xr2:uid="{4665386A-C32F-45F7-886D-86F7C58C15FB}"/>
  </bookViews>
  <sheets>
    <sheet name="Hoja2" sheetId="24" state="hidden" r:id="rId1"/>
    <sheet name="Datos" sheetId="15" r:id="rId2"/>
    <sheet name="Inversion" sheetId="2" r:id="rId3"/>
    <sheet name="Inf Base" sheetId="1" r:id="rId4"/>
    <sheet name="Costo productos" sheetId="5" r:id="rId5"/>
    <sheet name="Mp" sheetId="29" r:id="rId6"/>
    <sheet name="Nomina" sheetId="14" r:id="rId7"/>
    <sheet name="Ventas-Mp Ins-Invent" sheetId="21" r:id="rId8"/>
    <sheet name="Escenarios" sheetId="23" r:id="rId9"/>
    <sheet name="EF Proyecto" sheetId="11" r:id="rId10"/>
    <sheet name="Hoja1" sheetId="31" state="hidden" r:id="rId11"/>
    <sheet name="Flujo de Caja" sheetId="20" r:id="rId12"/>
    <sheet name="Valoración Proyecto" sheetId="12" r:id="rId13"/>
    <sheet name="Activos Fijos" sheetId="28" r:id="rId14"/>
    <sheet name="Financiacion" sheetId="3" r:id="rId15"/>
    <sheet name="TA Banco 1" sheetId="17" r:id="rId16"/>
    <sheet name="TA Banco 2" sheetId="19" r:id="rId17"/>
    <sheet name="TA Banco 3" sheetId="30" r:id="rId18"/>
    <sheet name="Costo deuda KD" sheetId="13" r:id="rId19"/>
    <sheet name="Proveedores" sheetId="22" r:id="rId20"/>
    <sheet name="Predictor de Quiebra Altman" sheetId="25" r:id="rId21"/>
  </sheets>
  <externalReferences>
    <externalReference r:id="rId22"/>
    <externalReference r:id="rId23"/>
  </externalReferences>
  <definedNames>
    <definedName name="_xlnm._FilterDatabase" localSheetId="3" hidden="1">'Inf Base'!$A$8:$K$52</definedName>
    <definedName name="_xlnm._FilterDatabase" localSheetId="6" hidden="1">Nomina!$A$1:$Y$289</definedName>
    <definedName name="_xlnm._FilterDatabase" localSheetId="7" hidden="1">'Ventas-Mp Ins-Invent'!$A$2:$N$2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31" l="1"/>
  <c r="I17" i="31"/>
  <c r="H17" i="31"/>
  <c r="G17" i="31"/>
  <c r="F17" i="31"/>
  <c r="E17" i="31"/>
  <c r="D17" i="31"/>
  <c r="J16" i="31"/>
  <c r="I16" i="31"/>
  <c r="H16" i="31"/>
  <c r="G16" i="31"/>
  <c r="F16" i="31"/>
  <c r="E16" i="31"/>
  <c r="D16" i="31"/>
  <c r="C17" i="31"/>
  <c r="K17" i="31" s="1"/>
  <c r="C16" i="31"/>
  <c r="K16" i="31" s="1"/>
  <c r="J11" i="31"/>
  <c r="I11" i="31"/>
  <c r="H11" i="31"/>
  <c r="G11" i="31"/>
  <c r="F11" i="31"/>
  <c r="E11" i="31"/>
  <c r="D11" i="31"/>
  <c r="C11" i="31"/>
  <c r="K11" i="31" s="1"/>
  <c r="J10" i="31"/>
  <c r="I10" i="31"/>
  <c r="H10" i="31"/>
  <c r="G10" i="31"/>
  <c r="F10" i="31"/>
  <c r="E10" i="31"/>
  <c r="D10" i="31"/>
  <c r="C10" i="31"/>
  <c r="K10" i="31" s="1"/>
  <c r="J6" i="31"/>
  <c r="I6" i="31"/>
  <c r="H6" i="31"/>
  <c r="G6" i="31"/>
  <c r="F6" i="31"/>
  <c r="E6" i="31"/>
  <c r="D6" i="31"/>
  <c r="C6" i="31"/>
  <c r="J5" i="31"/>
  <c r="I5" i="31"/>
  <c r="H5" i="31"/>
  <c r="G5" i="31"/>
  <c r="F5" i="31"/>
  <c r="E5" i="31"/>
  <c r="D5" i="31"/>
  <c r="C5" i="31"/>
  <c r="K5" i="31" l="1"/>
  <c r="K6" i="31"/>
  <c r="D20" i="3"/>
  <c r="I167" i="12"/>
  <c r="U25" i="28" l="1"/>
  <c r="U10" i="28"/>
  <c r="U9" i="28"/>
  <c r="U4" i="28"/>
  <c r="U3" i="28"/>
  <c r="T25" i="28"/>
  <c r="T21" i="28"/>
  <c r="T10" i="28"/>
  <c r="T9" i="28"/>
  <c r="T8" i="28"/>
  <c r="T4" i="28"/>
  <c r="T3" i="28"/>
  <c r="S25" i="28"/>
  <c r="S21" i="28"/>
  <c r="U21" i="28" s="1"/>
  <c r="S10" i="28"/>
  <c r="S9" i="28"/>
  <c r="S8" i="28"/>
  <c r="U8" i="28" s="1"/>
  <c r="S4" i="28"/>
  <c r="S3" i="28"/>
  <c r="B1" i="30"/>
  <c r="B30" i="3"/>
  <c r="B31" i="3" s="1"/>
  <c r="B32" i="3" s="1"/>
  <c r="C4" i="30"/>
  <c r="C5" i="30" s="1"/>
  <c r="B3" i="30"/>
  <c r="B2" i="30"/>
  <c r="C6" i="30" l="1"/>
  <c r="C7" i="30" s="1"/>
  <c r="C8" i="30" s="1"/>
  <c r="C9" i="30" s="1"/>
  <c r="C10" i="30" s="1"/>
  <c r="C11" i="30" s="1"/>
  <c r="C12" i="30" s="1"/>
  <c r="C13" i="30" s="1"/>
  <c r="C14" i="30" s="1"/>
  <c r="C15" i="30"/>
  <c r="C16" i="30" s="1"/>
  <c r="C17" i="30" s="1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C28" i="30" s="1"/>
  <c r="C29" i="30" s="1"/>
  <c r="C30" i="30" s="1"/>
  <c r="C31" i="30" s="1"/>
  <c r="C32" i="30" s="1"/>
  <c r="C33" i="30" s="1"/>
  <c r="C34" i="30" s="1"/>
  <c r="C35" i="30" s="1"/>
  <c r="C36" i="30" s="1"/>
  <c r="C37" i="30" s="1"/>
  <c r="C38" i="30" s="1"/>
  <c r="C39" i="30" s="1"/>
  <c r="C40" i="30" s="1"/>
  <c r="C41" i="30" s="1"/>
  <c r="C42" i="30" s="1"/>
  <c r="C43" i="30" s="1"/>
  <c r="C44" i="30" s="1"/>
  <c r="C45" i="30" s="1"/>
  <c r="C46" i="30" s="1"/>
  <c r="C47" i="30" s="1"/>
  <c r="C48" i="30" s="1"/>
  <c r="C49" i="30" s="1"/>
  <c r="C50" i="30" s="1"/>
  <c r="C51" i="30" s="1"/>
  <c r="C52" i="30" s="1"/>
  <c r="C53" i="30" s="1"/>
  <c r="C54" i="30" s="1"/>
  <c r="C55" i="30" s="1"/>
  <c r="C56" i="30" s="1"/>
  <c r="C57" i="30" s="1"/>
  <c r="C58" i="30" s="1"/>
  <c r="C59" i="30" s="1"/>
  <c r="C60" i="30" s="1"/>
  <c r="C61" i="30" s="1"/>
  <c r="C62" i="30" s="1"/>
  <c r="C63" i="30" s="1"/>
  <c r="C64" i="30" s="1"/>
  <c r="C65" i="30" s="1"/>
  <c r="C66" i="30" s="1"/>
  <c r="C67" i="30" s="1"/>
  <c r="C68" i="30" s="1"/>
  <c r="C69" i="30" s="1"/>
  <c r="C70" i="30" s="1"/>
  <c r="C71" i="30" s="1"/>
  <c r="C72" i="30" s="1"/>
  <c r="C73" i="30" s="1"/>
  <c r="C74" i="30" s="1"/>
  <c r="C75" i="30" s="1"/>
  <c r="C76" i="30" s="1"/>
  <c r="C77" i="30" s="1"/>
  <c r="C78" i="30" s="1"/>
  <c r="C79" i="30" s="1"/>
  <c r="C80" i="30" s="1"/>
  <c r="C81" i="30" s="1"/>
  <c r="C82" i="30" s="1"/>
  <c r="C83" i="30" s="1"/>
  <c r="C84" i="30" s="1"/>
  <c r="C85" i="30" s="1"/>
  <c r="C86" i="30" s="1"/>
  <c r="C87" i="30" s="1"/>
  <c r="C88" i="30" s="1"/>
  <c r="C89" i="30" s="1"/>
  <c r="C90" i="30" s="1"/>
  <c r="C91" i="30" s="1"/>
  <c r="C92" i="30" s="1"/>
  <c r="C93" i="30" s="1"/>
  <c r="C94" i="30" s="1"/>
  <c r="C95" i="30" s="1"/>
  <c r="C96" i="30" s="1"/>
  <c r="C97" i="30" s="1"/>
  <c r="C98" i="30" s="1"/>
  <c r="E104" i="30"/>
  <c r="K25" i="3" l="1"/>
  <c r="J25" i="3"/>
  <c r="E9" i="30"/>
  <c r="E11" i="30"/>
  <c r="E7" i="30"/>
  <c r="E13" i="30"/>
  <c r="E105" i="30"/>
  <c r="F105" i="30" s="1"/>
  <c r="E120" i="30"/>
  <c r="E100" i="30"/>
  <c r="F100" i="30" s="1"/>
  <c r="E102" i="30"/>
  <c r="E4" i="30"/>
  <c r="E108" i="30"/>
  <c r="F108" i="30" s="1"/>
  <c r="E6" i="30"/>
  <c r="E112" i="30"/>
  <c r="F112" i="30" s="1"/>
  <c r="E116" i="30"/>
  <c r="F116" i="30" s="1"/>
  <c r="H116" i="30" s="1"/>
  <c r="F104" i="30"/>
  <c r="E107" i="30"/>
  <c r="E111" i="30"/>
  <c r="E115" i="30"/>
  <c r="E119" i="30"/>
  <c r="E14" i="30"/>
  <c r="E16" i="30"/>
  <c r="E18" i="30"/>
  <c r="E20" i="30"/>
  <c r="E22" i="30"/>
  <c r="E24" i="30"/>
  <c r="E26" i="30"/>
  <c r="E28" i="30"/>
  <c r="E30" i="30"/>
  <c r="E32" i="30"/>
  <c r="E34" i="30"/>
  <c r="E36" i="30"/>
  <c r="E38" i="30"/>
  <c r="E40" i="30"/>
  <c r="E42" i="30"/>
  <c r="E44" i="30"/>
  <c r="E46" i="30"/>
  <c r="E48" i="30"/>
  <c r="E50" i="30"/>
  <c r="E52" i="30"/>
  <c r="E54" i="30"/>
  <c r="E56" i="30"/>
  <c r="E58" i="30"/>
  <c r="E60" i="30"/>
  <c r="E62" i="30"/>
  <c r="E64" i="30"/>
  <c r="E66" i="30"/>
  <c r="E68" i="30"/>
  <c r="E70" i="30"/>
  <c r="E72" i="30"/>
  <c r="E74" i="30"/>
  <c r="E76" i="30"/>
  <c r="E78" i="30"/>
  <c r="E80" i="30"/>
  <c r="E82" i="30"/>
  <c r="E84" i="30"/>
  <c r="E86" i="30"/>
  <c r="E88" i="30"/>
  <c r="E90" i="30"/>
  <c r="E92" i="30"/>
  <c r="E94" i="30"/>
  <c r="E96" i="30"/>
  <c r="E98" i="30"/>
  <c r="E103" i="30"/>
  <c r="E109" i="30"/>
  <c r="E113" i="30"/>
  <c r="E117" i="30"/>
  <c r="E121" i="30"/>
  <c r="E12" i="30"/>
  <c r="E5" i="30"/>
  <c r="E101" i="30"/>
  <c r="E10" i="30"/>
  <c r="E106" i="30"/>
  <c r="E110" i="30"/>
  <c r="E114" i="30"/>
  <c r="E118" i="30"/>
  <c r="E122" i="30"/>
  <c r="E3" i="30"/>
  <c r="E99" i="30"/>
  <c r="E8" i="30"/>
  <c r="E15" i="30"/>
  <c r="E17" i="30"/>
  <c r="E19" i="30"/>
  <c r="E21" i="30"/>
  <c r="E23" i="30"/>
  <c r="E25" i="30"/>
  <c r="E27" i="30"/>
  <c r="E29" i="30"/>
  <c r="E31" i="30"/>
  <c r="E33" i="30"/>
  <c r="E35" i="30"/>
  <c r="E37" i="30"/>
  <c r="E39" i="30"/>
  <c r="E41" i="30"/>
  <c r="E43" i="30"/>
  <c r="E45" i="30"/>
  <c r="E47" i="30"/>
  <c r="E49" i="30"/>
  <c r="E51" i="30"/>
  <c r="E53" i="30"/>
  <c r="E55" i="30"/>
  <c r="E57" i="30"/>
  <c r="E59" i="30"/>
  <c r="E61" i="30"/>
  <c r="E63" i="30"/>
  <c r="E65" i="30"/>
  <c r="E67" i="30"/>
  <c r="E69" i="30"/>
  <c r="E71" i="30"/>
  <c r="E73" i="30"/>
  <c r="E75" i="30"/>
  <c r="E77" i="30"/>
  <c r="E79" i="30"/>
  <c r="E81" i="30"/>
  <c r="E83" i="30"/>
  <c r="E85" i="30"/>
  <c r="E87" i="30"/>
  <c r="E89" i="30"/>
  <c r="E91" i="30"/>
  <c r="E93" i="30"/>
  <c r="E95" i="30"/>
  <c r="E97" i="30"/>
  <c r="F120" i="30" l="1"/>
  <c r="H120" i="30" s="1"/>
  <c r="H112" i="30"/>
  <c r="L27" i="3"/>
  <c r="L26" i="3"/>
  <c r="L25" i="3"/>
  <c r="F102" i="30"/>
  <c r="H108" i="30"/>
  <c r="F71" i="30"/>
  <c r="F30" i="30"/>
  <c r="F91" i="30"/>
  <c r="F67" i="30"/>
  <c r="F43" i="30"/>
  <c r="F117" i="30"/>
  <c r="H117" i="30" s="1"/>
  <c r="F98" i="30"/>
  <c r="F74" i="30"/>
  <c r="F50" i="30"/>
  <c r="F111" i="30"/>
  <c r="H111" i="30" s="1"/>
  <c r="F106" i="30"/>
  <c r="H106" i="30" s="1"/>
  <c r="F28" i="30"/>
  <c r="F89" i="30"/>
  <c r="F65" i="30"/>
  <c r="F41" i="30"/>
  <c r="F101" i="30"/>
  <c r="H113" i="30"/>
  <c r="F113" i="30"/>
  <c r="F96" i="30"/>
  <c r="F72" i="30"/>
  <c r="F48" i="30"/>
  <c r="F107" i="30"/>
  <c r="H107" i="30" s="1"/>
  <c r="F97" i="30"/>
  <c r="H115" i="30"/>
  <c r="F115" i="30"/>
  <c r="F87" i="30"/>
  <c r="F63" i="30"/>
  <c r="F39" i="30"/>
  <c r="H109" i="30"/>
  <c r="F109" i="30"/>
  <c r="F94" i="30"/>
  <c r="F70" i="30"/>
  <c r="F46" i="30"/>
  <c r="F47" i="30"/>
  <c r="F78" i="30"/>
  <c r="F76" i="30"/>
  <c r="F85" i="30"/>
  <c r="F61" i="30"/>
  <c r="F37" i="30"/>
  <c r="F92" i="30"/>
  <c r="F68" i="30"/>
  <c r="F44" i="30"/>
  <c r="F49" i="30"/>
  <c r="F52" i="30"/>
  <c r="F83" i="30"/>
  <c r="F59" i="30"/>
  <c r="F35" i="30"/>
  <c r="F99" i="30"/>
  <c r="F103" i="30"/>
  <c r="F90" i="30"/>
  <c r="F66" i="30"/>
  <c r="F42" i="30"/>
  <c r="F32" i="30"/>
  <c r="F95" i="30"/>
  <c r="F93" i="30"/>
  <c r="F81" i="30"/>
  <c r="F57" i="30"/>
  <c r="F33" i="30"/>
  <c r="F88" i="30"/>
  <c r="F64" i="30"/>
  <c r="F40" i="30"/>
  <c r="F56" i="30"/>
  <c r="F54" i="30"/>
  <c r="F69" i="30"/>
  <c r="F79" i="30"/>
  <c r="F55" i="30"/>
  <c r="F31" i="30"/>
  <c r="F122" i="30"/>
  <c r="H122" i="30" s="1"/>
  <c r="F86" i="30"/>
  <c r="F62" i="30"/>
  <c r="F38" i="30"/>
  <c r="F73" i="30"/>
  <c r="F80" i="30"/>
  <c r="H119" i="30"/>
  <c r="F119" i="30"/>
  <c r="H121" i="30"/>
  <c r="F121" i="30"/>
  <c r="F77" i="30"/>
  <c r="F53" i="30"/>
  <c r="F29" i="30"/>
  <c r="F118" i="30"/>
  <c r="H118" i="30" s="1"/>
  <c r="F84" i="30"/>
  <c r="F60" i="30"/>
  <c r="F36" i="30"/>
  <c r="F110" i="30"/>
  <c r="H110" i="30" s="1"/>
  <c r="F45" i="30"/>
  <c r="F75" i="30"/>
  <c r="F51" i="30"/>
  <c r="F27" i="30"/>
  <c r="H114" i="30"/>
  <c r="F114" i="30"/>
  <c r="F82" i="30"/>
  <c r="F58" i="30"/>
  <c r="F34" i="30"/>
  <c r="B1" i="21" l="1"/>
  <c r="A1" i="21"/>
  <c r="C1" i="21"/>
  <c r="D1" i="21"/>
  <c r="E1" i="21"/>
  <c r="A3" i="21"/>
  <c r="A4" i="21"/>
  <c r="A11" i="21" s="1"/>
  <c r="A19" i="21" s="1"/>
  <c r="A24" i="21" s="1"/>
  <c r="A5" i="21"/>
  <c r="A12" i="21" s="1"/>
  <c r="A20" i="21" s="1"/>
  <c r="A25" i="21" s="1"/>
  <c r="A6" i="21"/>
  <c r="A13" i="21" s="1"/>
  <c r="A7" i="21"/>
  <c r="A14" i="21" s="1"/>
  <c r="A8" i="21"/>
  <c r="A15" i="21" s="1"/>
  <c r="A10" i="21"/>
  <c r="A18" i="21" s="1"/>
  <c r="A23" i="21" s="1"/>
  <c r="C29" i="21"/>
  <c r="D29" i="21" s="1"/>
  <c r="E29" i="21" s="1"/>
  <c r="F29" i="21" s="1"/>
  <c r="G29" i="21" s="1"/>
  <c r="H29" i="21" s="1"/>
  <c r="I29" i="21" s="1"/>
  <c r="J29" i="21" s="1"/>
  <c r="A30" i="21"/>
  <c r="F93" i="1" l="1"/>
  <c r="F92" i="1"/>
  <c r="J93" i="1"/>
  <c r="J92" i="1" s="1"/>
  <c r="I93" i="1"/>
  <c r="I92" i="1" s="1"/>
  <c r="H93" i="1"/>
  <c r="H92" i="1" s="1"/>
  <c r="A78" i="15"/>
  <c r="E93" i="15" s="1"/>
  <c r="F93" i="15" s="1"/>
  <c r="G93" i="15" s="1"/>
  <c r="H93" i="15" s="1"/>
  <c r="I93" i="15" s="1"/>
  <c r="J93" i="15" s="1"/>
  <c r="K93" i="15" s="1"/>
  <c r="A93" i="1"/>
  <c r="A1" i="29"/>
  <c r="G7" i="14"/>
  <c r="G10" i="14" s="1"/>
  <c r="G13" i="14" s="1"/>
  <c r="G16" i="14" s="1"/>
  <c r="G19" i="14" s="1"/>
  <c r="G22" i="14" s="1"/>
  <c r="G25" i="14" s="1"/>
  <c r="G28" i="14" s="1"/>
  <c r="G31" i="14" s="1"/>
  <c r="G34" i="14" s="1"/>
  <c r="G37" i="14" s="1"/>
  <c r="G40" i="14" s="1"/>
  <c r="G43" i="14" s="1"/>
  <c r="G46" i="14" s="1"/>
  <c r="G49" i="14" s="1"/>
  <c r="G52" i="14" s="1"/>
  <c r="G55" i="14" s="1"/>
  <c r="G58" i="14" s="1"/>
  <c r="G61" i="14" s="1"/>
  <c r="G64" i="14" s="1"/>
  <c r="G67" i="14" s="1"/>
  <c r="G70" i="14" s="1"/>
  <c r="G73" i="14" s="1"/>
  <c r="G76" i="14" s="1"/>
  <c r="G79" i="14" s="1"/>
  <c r="G82" i="14" s="1"/>
  <c r="G85" i="14" s="1"/>
  <c r="G88" i="14" s="1"/>
  <c r="G91" i="14" s="1"/>
  <c r="G94" i="14" s="1"/>
  <c r="G97" i="14" s="1"/>
  <c r="G100" i="14" s="1"/>
  <c r="G103" i="14" s="1"/>
  <c r="G106" i="14" s="1"/>
  <c r="G109" i="14" s="1"/>
  <c r="F7" i="14"/>
  <c r="F10" i="14" s="1"/>
  <c r="F13" i="14" s="1"/>
  <c r="F16" i="14" s="1"/>
  <c r="F19" i="14" s="1"/>
  <c r="F22" i="14" s="1"/>
  <c r="F25" i="14" s="1"/>
  <c r="F28" i="14" s="1"/>
  <c r="F31" i="14" s="1"/>
  <c r="F34" i="14" s="1"/>
  <c r="F37" i="14" s="1"/>
  <c r="F40" i="14" s="1"/>
  <c r="F43" i="14" s="1"/>
  <c r="F46" i="14" s="1"/>
  <c r="F49" i="14" s="1"/>
  <c r="F52" i="14" s="1"/>
  <c r="F55" i="14" s="1"/>
  <c r="F58" i="14" s="1"/>
  <c r="F61" i="14" s="1"/>
  <c r="F64" i="14" s="1"/>
  <c r="F67" i="14" s="1"/>
  <c r="F70" i="14" s="1"/>
  <c r="F73" i="14" s="1"/>
  <c r="F76" i="14" s="1"/>
  <c r="F79" i="14" s="1"/>
  <c r="F82" i="14" s="1"/>
  <c r="F85" i="14" s="1"/>
  <c r="F88" i="14" s="1"/>
  <c r="F91" i="14" s="1"/>
  <c r="F94" i="14" s="1"/>
  <c r="F97" i="14" s="1"/>
  <c r="F100" i="14" s="1"/>
  <c r="F103" i="14" s="1"/>
  <c r="F106" i="14" s="1"/>
  <c r="F109" i="14" s="1"/>
  <c r="I67" i="15"/>
  <c r="H67" i="15"/>
  <c r="G67" i="15"/>
  <c r="F67" i="15"/>
  <c r="E67" i="15"/>
  <c r="D67" i="15"/>
  <c r="C67" i="15"/>
  <c r="I65" i="15"/>
  <c r="H65" i="15"/>
  <c r="G65" i="15"/>
  <c r="F65" i="15"/>
  <c r="E65" i="15"/>
  <c r="D65" i="15"/>
  <c r="C65" i="15"/>
  <c r="I64" i="15"/>
  <c r="H64" i="15"/>
  <c r="G64" i="15"/>
  <c r="F64" i="15"/>
  <c r="E64" i="15"/>
  <c r="D64" i="15"/>
  <c r="C64" i="15"/>
  <c r="B67" i="15"/>
  <c r="B65" i="15"/>
  <c r="B64" i="15"/>
  <c r="I61" i="15"/>
  <c r="H61" i="15"/>
  <c r="G61" i="15"/>
  <c r="F61" i="15"/>
  <c r="E61" i="15"/>
  <c r="D61" i="15"/>
  <c r="C61" i="15"/>
  <c r="I59" i="15"/>
  <c r="H59" i="15"/>
  <c r="G59" i="15"/>
  <c r="F59" i="15"/>
  <c r="E59" i="15"/>
  <c r="D59" i="15"/>
  <c r="C59" i="15"/>
  <c r="I58" i="15"/>
  <c r="H58" i="15"/>
  <c r="G58" i="15"/>
  <c r="F58" i="15"/>
  <c r="E58" i="15"/>
  <c r="D58" i="15"/>
  <c r="C58" i="15"/>
  <c r="C60" i="15" s="1"/>
  <c r="B61" i="15"/>
  <c r="B59" i="15"/>
  <c r="B58" i="15"/>
  <c r="B60" i="15" s="1"/>
  <c r="D63" i="15"/>
  <c r="E63" i="15" s="1"/>
  <c r="F63" i="15" s="1"/>
  <c r="G63" i="15" s="1"/>
  <c r="H63" i="15" s="1"/>
  <c r="I63" i="15" s="1"/>
  <c r="D57" i="15"/>
  <c r="E57" i="15" s="1"/>
  <c r="F57" i="15" s="1"/>
  <c r="G57" i="15" s="1"/>
  <c r="H57" i="15" s="1"/>
  <c r="I57" i="15" s="1"/>
  <c r="DI5" i="5"/>
  <c r="DJ5" i="5" s="1"/>
  <c r="DK5" i="5" s="1"/>
  <c r="DL5" i="5" s="1"/>
  <c r="DM5" i="5" s="1"/>
  <c r="DN5" i="5" s="1"/>
  <c r="DO5" i="5" s="1"/>
  <c r="DA5" i="5"/>
  <c r="DB5" i="5" s="1"/>
  <c r="DC5" i="5" s="1"/>
  <c r="DD5" i="5" s="1"/>
  <c r="DE5" i="5" s="1"/>
  <c r="DF5" i="5" s="1"/>
  <c r="DG5" i="5" s="1"/>
  <c r="CP5" i="5"/>
  <c r="CQ5" i="5" s="1"/>
  <c r="CR5" i="5" s="1"/>
  <c r="CS5" i="5" s="1"/>
  <c r="CT5" i="5" s="1"/>
  <c r="CU5" i="5" s="1"/>
  <c r="CO5" i="5"/>
  <c r="CG5" i="5"/>
  <c r="CH5" i="5" s="1"/>
  <c r="CI5" i="5" s="1"/>
  <c r="CJ5" i="5" s="1"/>
  <c r="CK5" i="5" s="1"/>
  <c r="CL5" i="5" s="1"/>
  <c r="CM5" i="5" s="1"/>
  <c r="BU5" i="5"/>
  <c r="BV5" i="5" s="1"/>
  <c r="BW5" i="5" s="1"/>
  <c r="BX5" i="5" s="1"/>
  <c r="BY5" i="5" s="1"/>
  <c r="BZ5" i="5" s="1"/>
  <c r="CA5" i="5" s="1"/>
  <c r="BM5" i="5"/>
  <c r="BN5" i="5" s="1"/>
  <c r="BO5" i="5" s="1"/>
  <c r="BP5" i="5" s="1"/>
  <c r="BQ5" i="5" s="1"/>
  <c r="BR5" i="5" s="1"/>
  <c r="BS5" i="5" s="1"/>
  <c r="BA5" i="5"/>
  <c r="BB5" i="5" s="1"/>
  <c r="BC5" i="5" s="1"/>
  <c r="BD5" i="5" s="1"/>
  <c r="BE5" i="5" s="1"/>
  <c r="BF5" i="5" s="1"/>
  <c r="BG5" i="5" s="1"/>
  <c r="AS5" i="5"/>
  <c r="AT5" i="5" s="1"/>
  <c r="AU5" i="5" s="1"/>
  <c r="AV5" i="5" s="1"/>
  <c r="AW5" i="5" s="1"/>
  <c r="AX5" i="5" s="1"/>
  <c r="AY5" i="5" s="1"/>
  <c r="F53" i="29"/>
  <c r="G53" i="29" s="1"/>
  <c r="H53" i="29" s="1"/>
  <c r="F52" i="29"/>
  <c r="F51" i="29"/>
  <c r="F50" i="29"/>
  <c r="O50" i="29" s="1"/>
  <c r="F49" i="29"/>
  <c r="O49" i="29" s="1"/>
  <c r="F48" i="29"/>
  <c r="F47" i="29"/>
  <c r="F46" i="29"/>
  <c r="O46" i="29" s="1"/>
  <c r="F45" i="29"/>
  <c r="G45" i="29" s="1"/>
  <c r="P45" i="29" s="1"/>
  <c r="F44" i="29"/>
  <c r="O44" i="29" s="1"/>
  <c r="F43" i="29"/>
  <c r="O43" i="29" s="1"/>
  <c r="F42" i="29"/>
  <c r="G42" i="29" s="1"/>
  <c r="H42" i="29" s="1"/>
  <c r="Q42" i="29" s="1"/>
  <c r="F41" i="29"/>
  <c r="O41" i="29" s="1"/>
  <c r="O52" i="29"/>
  <c r="O51" i="29"/>
  <c r="G52" i="29"/>
  <c r="H52" i="29" s="1"/>
  <c r="G51" i="29"/>
  <c r="H51" i="29" s="1"/>
  <c r="AG5" i="5"/>
  <c r="AH5" i="5" s="1"/>
  <c r="AI5" i="5" s="1"/>
  <c r="AJ5" i="5" s="1"/>
  <c r="AK5" i="5" s="1"/>
  <c r="AL5" i="5" s="1"/>
  <c r="AM5" i="5" s="1"/>
  <c r="Y5" i="5"/>
  <c r="Z5" i="5" s="1"/>
  <c r="AA5" i="5" s="1"/>
  <c r="AB5" i="5" s="1"/>
  <c r="AC5" i="5" s="1"/>
  <c r="AD5" i="5" s="1"/>
  <c r="AE5" i="5" s="1"/>
  <c r="M5" i="5"/>
  <c r="N5" i="5" s="1"/>
  <c r="O5" i="5" s="1"/>
  <c r="P5" i="5" s="1"/>
  <c r="Q5" i="5" s="1"/>
  <c r="R5" i="5" s="1"/>
  <c r="S5" i="5" s="1"/>
  <c r="E5" i="5"/>
  <c r="F5" i="5" s="1"/>
  <c r="G5" i="5" s="1"/>
  <c r="H5" i="5" s="1"/>
  <c r="I5" i="5" s="1"/>
  <c r="J5" i="5" s="1"/>
  <c r="K5" i="5" s="1"/>
  <c r="V34" i="5"/>
  <c r="AP34" i="5" s="1"/>
  <c r="BJ34" i="5" s="1"/>
  <c r="CD34" i="5" s="1"/>
  <c r="CX34" i="5" s="1"/>
  <c r="V28" i="5"/>
  <c r="AP28" i="5" s="1"/>
  <c r="BJ28" i="5" s="1"/>
  <c r="CD28" i="5" s="1"/>
  <c r="CX28" i="5" s="1"/>
  <c r="O17" i="23"/>
  <c r="B1" i="23"/>
  <c r="C1" i="23" s="1"/>
  <c r="D1" i="23" s="1"/>
  <c r="E1" i="23" s="1"/>
  <c r="F1" i="23" s="1"/>
  <c r="G1" i="23" s="1"/>
  <c r="H1" i="23" s="1"/>
  <c r="I1" i="23" s="1"/>
  <c r="J1" i="23" s="1"/>
  <c r="K1" i="23" s="1"/>
  <c r="L1" i="23" s="1"/>
  <c r="M1" i="23" s="1"/>
  <c r="N1" i="23" s="1"/>
  <c r="O1" i="23" s="1"/>
  <c r="P1" i="23" s="1"/>
  <c r="Q1" i="23" s="1"/>
  <c r="R1" i="23" s="1"/>
  <c r="S1" i="23" s="1"/>
  <c r="T1" i="23" s="1"/>
  <c r="U1" i="23" s="1"/>
  <c r="V1" i="23" s="1"/>
  <c r="W1" i="23" s="1"/>
  <c r="X1" i="23" s="1"/>
  <c r="Y1" i="23" s="1"/>
  <c r="Z1" i="23" s="1"/>
  <c r="AA1" i="23" s="1"/>
  <c r="AB1" i="23" s="1"/>
  <c r="AC1" i="23" s="1"/>
  <c r="AD1" i="23" s="1"/>
  <c r="CX1" i="5"/>
  <c r="CX44" i="5" s="1"/>
  <c r="CD1" i="5"/>
  <c r="CD44" i="5" s="1"/>
  <c r="BJ1" i="5"/>
  <c r="BJ44" i="5" s="1"/>
  <c r="F40" i="29"/>
  <c r="O40" i="29" s="1"/>
  <c r="F39" i="29"/>
  <c r="O39" i="29" s="1"/>
  <c r="F38" i="29"/>
  <c r="O38" i="29" s="1"/>
  <c r="F37" i="29"/>
  <c r="O37" i="29" s="1"/>
  <c r="F36" i="29"/>
  <c r="O36" i="29" s="1"/>
  <c r="F35" i="29"/>
  <c r="O35" i="29" s="1"/>
  <c r="F34" i="29"/>
  <c r="O34" i="29" s="1"/>
  <c r="F33" i="29"/>
  <c r="O33" i="29" s="1"/>
  <c r="F32" i="29"/>
  <c r="F31" i="29"/>
  <c r="F30" i="29"/>
  <c r="G30" i="29" s="1"/>
  <c r="H30" i="29" s="1"/>
  <c r="Q30" i="29" s="1"/>
  <c r="F29" i="29"/>
  <c r="G29" i="29" s="1"/>
  <c r="H29" i="29" s="1"/>
  <c r="Q29" i="29" s="1"/>
  <c r="F28" i="29"/>
  <c r="G28" i="29" s="1"/>
  <c r="H28" i="29" s="1"/>
  <c r="F27" i="29"/>
  <c r="O27" i="29" s="1"/>
  <c r="F26" i="29"/>
  <c r="O26" i="29" s="1"/>
  <c r="F25" i="29"/>
  <c r="O25" i="29" s="1"/>
  <c r="F24" i="29"/>
  <c r="G24" i="29" s="1"/>
  <c r="P24" i="29" s="1"/>
  <c r="F23" i="29"/>
  <c r="G23" i="29" s="1"/>
  <c r="H23" i="29" s="1"/>
  <c r="Q23" i="29" s="1"/>
  <c r="F22" i="29"/>
  <c r="G22" i="29" s="1"/>
  <c r="P22" i="29" s="1"/>
  <c r="F21" i="29"/>
  <c r="G21" i="29" s="1"/>
  <c r="P21" i="29" s="1"/>
  <c r="F20" i="29"/>
  <c r="O20" i="29" s="1"/>
  <c r="F19" i="29"/>
  <c r="O19" i="29" s="1"/>
  <c r="F18" i="29"/>
  <c r="G18" i="29" s="1"/>
  <c r="P18" i="29" s="1"/>
  <c r="F17" i="29"/>
  <c r="G17" i="29" s="1"/>
  <c r="H17" i="29" s="1"/>
  <c r="Q17" i="29" s="1"/>
  <c r="F16" i="29"/>
  <c r="O16" i="29" s="1"/>
  <c r="F15" i="29"/>
  <c r="O15" i="29" s="1"/>
  <c r="F14" i="29"/>
  <c r="O14" i="29" s="1"/>
  <c r="F13" i="29"/>
  <c r="O13" i="29" s="1"/>
  <c r="F12" i="29"/>
  <c r="F11" i="29"/>
  <c r="O11" i="29" s="1"/>
  <c r="F10" i="29"/>
  <c r="O10" i="29" s="1"/>
  <c r="F9" i="29"/>
  <c r="O9" i="29" s="1"/>
  <c r="F8" i="29"/>
  <c r="O8" i="29" s="1"/>
  <c r="F7" i="29"/>
  <c r="O7" i="29" s="1"/>
  <c r="F6" i="29"/>
  <c r="G6" i="29" s="1"/>
  <c r="P6" i="29" s="1"/>
  <c r="F5" i="29"/>
  <c r="G5" i="29" s="1"/>
  <c r="A26" i="29"/>
  <c r="A25" i="29"/>
  <c r="A24" i="29"/>
  <c r="A23" i="29"/>
  <c r="A22" i="29"/>
  <c r="A18" i="29"/>
  <c r="A13" i="29"/>
  <c r="A12" i="29"/>
  <c r="A9" i="29"/>
  <c r="A8" i="29"/>
  <c r="N33" i="28"/>
  <c r="W48" i="28"/>
  <c r="W49" i="28" s="1"/>
  <c r="G10" i="11" s="1"/>
  <c r="AC37" i="28"/>
  <c r="O32" i="28"/>
  <c r="O31" i="28"/>
  <c r="O30" i="28"/>
  <c r="O29" i="28"/>
  <c r="O28" i="28"/>
  <c r="O27" i="28"/>
  <c r="T27" i="28" s="1"/>
  <c r="O26" i="28"/>
  <c r="T26" i="28" s="1"/>
  <c r="O24" i="28"/>
  <c r="O23" i="28"/>
  <c r="T23" i="28" s="1"/>
  <c r="O22" i="28"/>
  <c r="O20" i="28"/>
  <c r="O19" i="28"/>
  <c r="O18" i="28"/>
  <c r="T18" i="28" s="1"/>
  <c r="O17" i="28"/>
  <c r="T17" i="28" s="1"/>
  <c r="O16" i="28"/>
  <c r="T16" i="28" s="1"/>
  <c r="O15" i="28"/>
  <c r="T15" i="28" s="1"/>
  <c r="O14" i="28"/>
  <c r="O13" i="28"/>
  <c r="T13" i="28" s="1"/>
  <c r="O12" i="28"/>
  <c r="O11" i="28"/>
  <c r="O7" i="28"/>
  <c r="O6" i="28"/>
  <c r="T6" i="28" s="1"/>
  <c r="Y1" i="28"/>
  <c r="Y37" i="28" s="1"/>
  <c r="U1" i="28"/>
  <c r="AE1" i="28" s="1"/>
  <c r="AE37" i="28" s="1"/>
  <c r="T1" i="28"/>
  <c r="AD1" i="28" s="1"/>
  <c r="AD37" i="28" s="1"/>
  <c r="S1" i="28"/>
  <c r="AC1" i="28" s="1"/>
  <c r="R1" i="28"/>
  <c r="AB1" i="28" s="1"/>
  <c r="AB37" i="28" s="1"/>
  <c r="Q1" i="28"/>
  <c r="AA1" i="28" s="1"/>
  <c r="AA37" i="28" s="1"/>
  <c r="P1" i="28"/>
  <c r="Z1" i="28" s="1"/>
  <c r="Z37" i="28" s="1"/>
  <c r="O1" i="28"/>
  <c r="N1" i="28"/>
  <c r="X1" i="28" s="1"/>
  <c r="X37" i="28" s="1"/>
  <c r="M1" i="28"/>
  <c r="W1" i="28" s="1"/>
  <c r="W37" i="28" s="1"/>
  <c r="D26" i="2"/>
  <c r="D37" i="2"/>
  <c r="D46" i="2"/>
  <c r="D54" i="2"/>
  <c r="E66" i="15" l="1"/>
  <c r="P28" i="28"/>
  <c r="T28" i="28"/>
  <c r="F66" i="15"/>
  <c r="P7" i="28"/>
  <c r="T7" i="28"/>
  <c r="P11" i="28"/>
  <c r="T11" i="28"/>
  <c r="P19" i="28"/>
  <c r="T19" i="28"/>
  <c r="P29" i="28"/>
  <c r="T29" i="28"/>
  <c r="P30" i="28"/>
  <c r="T30" i="28"/>
  <c r="P20" i="28"/>
  <c r="T20" i="28"/>
  <c r="P12" i="28"/>
  <c r="T12" i="28"/>
  <c r="P31" i="28"/>
  <c r="T31" i="28"/>
  <c r="C34" i="28"/>
  <c r="P14" i="28"/>
  <c r="T14" i="28"/>
  <c r="P32" i="28"/>
  <c r="S32" i="28" s="1"/>
  <c r="U32" i="28" s="1"/>
  <c r="T32" i="28"/>
  <c r="E94" i="15"/>
  <c r="F94" i="15" s="1"/>
  <c r="G94" i="15" s="1"/>
  <c r="H94" i="15" s="1"/>
  <c r="I94" i="15" s="1"/>
  <c r="J94" i="15" s="1"/>
  <c r="K94" i="15" s="1"/>
  <c r="P22" i="28"/>
  <c r="T22" i="28"/>
  <c r="P24" i="28"/>
  <c r="T24" i="28"/>
  <c r="G49" i="29"/>
  <c r="H49" i="29" s="1"/>
  <c r="G3" i="29"/>
  <c r="H3" i="29"/>
  <c r="I3" i="29"/>
  <c r="J3" i="29"/>
  <c r="G112" i="14"/>
  <c r="G115" i="14" s="1"/>
  <c r="G118" i="14" s="1"/>
  <c r="G121" i="14" s="1"/>
  <c r="G124" i="14" s="1"/>
  <c r="G127" i="14" s="1"/>
  <c r="G130" i="14" s="1"/>
  <c r="G133" i="14" s="1"/>
  <c r="G136" i="14" s="1"/>
  <c r="G139" i="14" s="1"/>
  <c r="G142" i="14" s="1"/>
  <c r="G145" i="14" s="1"/>
  <c r="G151" i="14" s="1"/>
  <c r="G154" i="14" s="1"/>
  <c r="G157" i="14" s="1"/>
  <c r="G160" i="14" s="1"/>
  <c r="G163" i="14" s="1"/>
  <c r="G166" i="14" s="1"/>
  <c r="G169" i="14" s="1"/>
  <c r="G172" i="14" s="1"/>
  <c r="G175" i="14" s="1"/>
  <c r="G178" i="14" s="1"/>
  <c r="G181" i="14" s="1"/>
  <c r="G184" i="14" s="1"/>
  <c r="G187" i="14" s="1"/>
  <c r="G190" i="14" s="1"/>
  <c r="G193" i="14" s="1"/>
  <c r="G196" i="14" s="1"/>
  <c r="G199" i="14" s="1"/>
  <c r="G202" i="14" s="1"/>
  <c r="G205" i="14" s="1"/>
  <c r="G208" i="14" s="1"/>
  <c r="G211" i="14" s="1"/>
  <c r="G214" i="14" s="1"/>
  <c r="G217" i="14" s="1"/>
  <c r="G220" i="14" s="1"/>
  <c r="G223" i="14" s="1"/>
  <c r="G226" i="14" s="1"/>
  <c r="G229" i="14" s="1"/>
  <c r="G232" i="14" s="1"/>
  <c r="G235" i="14" s="1"/>
  <c r="G238" i="14" s="1"/>
  <c r="G241" i="14" s="1"/>
  <c r="G244" i="14" s="1"/>
  <c r="G247" i="14" s="1"/>
  <c r="G250" i="14" s="1"/>
  <c r="G253" i="14" s="1"/>
  <c r="G256" i="14" s="1"/>
  <c r="G259" i="14" s="1"/>
  <c r="G262" i="14" s="1"/>
  <c r="G265" i="14" s="1"/>
  <c r="G268" i="14" s="1"/>
  <c r="G271" i="14" s="1"/>
  <c r="G274" i="14" s="1"/>
  <c r="G277" i="14" s="1"/>
  <c r="G280" i="14" s="1"/>
  <c r="G283" i="14" s="1"/>
  <c r="G286" i="14" s="1"/>
  <c r="G289" i="14" s="1"/>
  <c r="F112" i="14"/>
  <c r="F115" i="14" s="1"/>
  <c r="F118" i="14" s="1"/>
  <c r="F121" i="14" s="1"/>
  <c r="F124" i="14" s="1"/>
  <c r="F127" i="14" s="1"/>
  <c r="F130" i="14" s="1"/>
  <c r="F133" i="14" s="1"/>
  <c r="F136" i="14" s="1"/>
  <c r="F139" i="14" s="1"/>
  <c r="F142" i="14" s="1"/>
  <c r="F145" i="14" s="1"/>
  <c r="F151" i="14" s="1"/>
  <c r="F154" i="14" s="1"/>
  <c r="F157" i="14" s="1"/>
  <c r="F160" i="14" s="1"/>
  <c r="F163" i="14" s="1"/>
  <c r="F166" i="14" s="1"/>
  <c r="F169" i="14" s="1"/>
  <c r="F172" i="14" s="1"/>
  <c r="F175" i="14" s="1"/>
  <c r="F178" i="14" s="1"/>
  <c r="F181" i="14" s="1"/>
  <c r="F184" i="14" s="1"/>
  <c r="F187" i="14" s="1"/>
  <c r="F190" i="14" s="1"/>
  <c r="F193" i="14" s="1"/>
  <c r="F196" i="14" s="1"/>
  <c r="F199" i="14" s="1"/>
  <c r="F202" i="14" s="1"/>
  <c r="F205" i="14" s="1"/>
  <c r="F208" i="14" s="1"/>
  <c r="F211" i="14" s="1"/>
  <c r="F214" i="14" s="1"/>
  <c r="F217" i="14" s="1"/>
  <c r="F220" i="14" s="1"/>
  <c r="F223" i="14" s="1"/>
  <c r="F226" i="14" s="1"/>
  <c r="F229" i="14" s="1"/>
  <c r="F232" i="14" s="1"/>
  <c r="F235" i="14" s="1"/>
  <c r="F238" i="14" s="1"/>
  <c r="F241" i="14" s="1"/>
  <c r="F244" i="14" s="1"/>
  <c r="F247" i="14" s="1"/>
  <c r="F250" i="14" s="1"/>
  <c r="F253" i="14" s="1"/>
  <c r="F256" i="14" s="1"/>
  <c r="F259" i="14" s="1"/>
  <c r="F262" i="14" s="1"/>
  <c r="F265" i="14" s="1"/>
  <c r="F268" i="14" s="1"/>
  <c r="F271" i="14" s="1"/>
  <c r="F274" i="14" s="1"/>
  <c r="F277" i="14" s="1"/>
  <c r="F280" i="14" s="1"/>
  <c r="F283" i="14" s="1"/>
  <c r="F286" i="14" s="1"/>
  <c r="F289" i="14" s="1"/>
  <c r="D88" i="1"/>
  <c r="D86" i="1"/>
  <c r="E86" i="1" s="1"/>
  <c r="F86" i="1" s="1"/>
  <c r="G86" i="1" s="1"/>
  <c r="D85" i="1"/>
  <c r="E88" i="1"/>
  <c r="F88" i="1" s="1"/>
  <c r="G88" i="1" s="1"/>
  <c r="H88" i="1" s="1"/>
  <c r="I88" i="1" s="1"/>
  <c r="J88" i="1" s="1"/>
  <c r="D89" i="1"/>
  <c r="E89" i="1" s="1"/>
  <c r="E85" i="1"/>
  <c r="O23" i="29"/>
  <c r="B66" i="15"/>
  <c r="E60" i="15"/>
  <c r="F60" i="15"/>
  <c r="G60" i="15"/>
  <c r="H60" i="15"/>
  <c r="D96" i="1"/>
  <c r="E96" i="1" s="1"/>
  <c r="F96" i="1" s="1"/>
  <c r="I66" i="15"/>
  <c r="D98" i="1"/>
  <c r="E98" i="1" s="1"/>
  <c r="F98" i="1" s="1"/>
  <c r="G93" i="1"/>
  <c r="G92" i="1" s="1"/>
  <c r="H97" i="1" s="1"/>
  <c r="I97" i="1" s="1"/>
  <c r="J97" i="1" s="1"/>
  <c r="E102" i="15"/>
  <c r="F102" i="15" s="1"/>
  <c r="G102" i="15" s="1"/>
  <c r="H102" i="15" s="1"/>
  <c r="I102" i="15" s="1"/>
  <c r="J102" i="15" s="1"/>
  <c r="K102" i="15" s="1"/>
  <c r="E104" i="15"/>
  <c r="F104" i="15" s="1"/>
  <c r="G104" i="15" s="1"/>
  <c r="H104" i="15" s="1"/>
  <c r="I104" i="15" s="1"/>
  <c r="J104" i="15" s="1"/>
  <c r="K104" i="15" s="1"/>
  <c r="E85" i="15"/>
  <c r="F85" i="15" s="1"/>
  <c r="G85" i="15" s="1"/>
  <c r="H85" i="15" s="1"/>
  <c r="I85" i="15" s="1"/>
  <c r="J85" i="15" s="1"/>
  <c r="K85" i="15" s="1"/>
  <c r="E103" i="15"/>
  <c r="F103" i="15" s="1"/>
  <c r="G103" i="15" s="1"/>
  <c r="H103" i="15" s="1"/>
  <c r="I103" i="15" s="1"/>
  <c r="J103" i="15" s="1"/>
  <c r="K103" i="15" s="1"/>
  <c r="E84" i="15"/>
  <c r="F84" i="15" s="1"/>
  <c r="G84" i="15" s="1"/>
  <c r="H84" i="15" s="1"/>
  <c r="I84" i="15" s="1"/>
  <c r="J84" i="15" s="1"/>
  <c r="K84" i="15" s="1"/>
  <c r="E86" i="15"/>
  <c r="F86" i="15" s="1"/>
  <c r="G86" i="15" s="1"/>
  <c r="H86" i="15" s="1"/>
  <c r="I86" i="15" s="1"/>
  <c r="J86" i="15" s="1"/>
  <c r="K86" i="15" s="1"/>
  <c r="E95" i="15"/>
  <c r="F95" i="15" s="1"/>
  <c r="G95" i="15" s="1"/>
  <c r="H95" i="15" s="1"/>
  <c r="I95" i="15" s="1"/>
  <c r="J95" i="15" s="1"/>
  <c r="K95" i="15" s="1"/>
  <c r="CZ16" i="5"/>
  <c r="DH16" i="5" s="1"/>
  <c r="K3" i="29"/>
  <c r="BO13" i="5"/>
  <c r="BW13" i="5" s="1"/>
  <c r="M3" i="29"/>
  <c r="L3" i="29"/>
  <c r="I11" i="5"/>
  <c r="Q11" i="5" s="1"/>
  <c r="BM15" i="5"/>
  <c r="BU15" i="5" s="1"/>
  <c r="DC16" i="5"/>
  <c r="DK16" i="5" s="1"/>
  <c r="BQ11" i="5"/>
  <c r="BY11" i="5" s="1"/>
  <c r="BR16" i="5"/>
  <c r="BZ16" i="5" s="1"/>
  <c r="CK12" i="5"/>
  <c r="CS12" i="5" s="1"/>
  <c r="C66" i="15"/>
  <c r="D66" i="15"/>
  <c r="D60" i="15"/>
  <c r="I60" i="15"/>
  <c r="G66" i="15"/>
  <c r="H66" i="15"/>
  <c r="I28" i="29"/>
  <c r="I53" i="29"/>
  <c r="J53" i="29" s="1"/>
  <c r="K53" i="29" s="1"/>
  <c r="L53" i="29" s="1"/>
  <c r="M53" i="29" s="1"/>
  <c r="V53" i="29" s="1"/>
  <c r="DG11" i="5" s="1"/>
  <c r="DO11" i="5" s="1"/>
  <c r="I49" i="29"/>
  <c r="J49" i="29" s="1"/>
  <c r="K49" i="29" s="1"/>
  <c r="L49" i="29" s="1"/>
  <c r="M49" i="29" s="1"/>
  <c r="V49" i="29" s="1"/>
  <c r="BS7" i="5" s="1"/>
  <c r="CA7" i="5" s="1"/>
  <c r="CI14" i="5"/>
  <c r="CQ14" i="5" s="1"/>
  <c r="I13" i="5"/>
  <c r="Q13" i="5" s="1"/>
  <c r="BR11" i="5"/>
  <c r="BZ11" i="5" s="1"/>
  <c r="BP13" i="5"/>
  <c r="BX13" i="5" s="1"/>
  <c r="BN15" i="5"/>
  <c r="BV15" i="5" s="1"/>
  <c r="BS16" i="5"/>
  <c r="CA16" i="5" s="1"/>
  <c r="BL7" i="5"/>
  <c r="BT7" i="5" s="1"/>
  <c r="CF9" i="5"/>
  <c r="CN9" i="5" s="1"/>
  <c r="CG11" i="5"/>
  <c r="CO11" i="5" s="1"/>
  <c r="CL12" i="5"/>
  <c r="CT12" i="5" s="1"/>
  <c r="CJ14" i="5"/>
  <c r="CR14" i="5" s="1"/>
  <c r="CH16" i="5"/>
  <c r="CP16" i="5" s="1"/>
  <c r="DA7" i="5"/>
  <c r="DI7" i="5" s="1"/>
  <c r="DG13" i="5"/>
  <c r="DO13" i="5" s="1"/>
  <c r="DE15" i="5"/>
  <c r="DM15" i="5" s="1"/>
  <c r="DF13" i="5"/>
  <c r="DN13" i="5" s="1"/>
  <c r="O53" i="29"/>
  <c r="CZ11" i="5" s="1"/>
  <c r="DH11" i="5" s="1"/>
  <c r="BS11" i="5"/>
  <c r="CA11" i="5" s="1"/>
  <c r="BQ13" i="5"/>
  <c r="BY13" i="5" s="1"/>
  <c r="BO15" i="5"/>
  <c r="BW15" i="5" s="1"/>
  <c r="BL8" i="5"/>
  <c r="BT8" i="5" s="1"/>
  <c r="CF10" i="5"/>
  <c r="CN10" i="5" s="1"/>
  <c r="CH11" i="5"/>
  <c r="CP11" i="5" s="1"/>
  <c r="CM12" i="5"/>
  <c r="CU12" i="5" s="1"/>
  <c r="CK14" i="5"/>
  <c r="CS14" i="5" s="1"/>
  <c r="CI16" i="5"/>
  <c r="CQ16" i="5" s="1"/>
  <c r="DA14" i="5"/>
  <c r="DI14" i="5" s="1"/>
  <c r="DF15" i="5"/>
  <c r="DN15" i="5" s="1"/>
  <c r="BM12" i="5"/>
  <c r="BU12" i="5" s="1"/>
  <c r="BR13" i="5"/>
  <c r="BZ13" i="5" s="1"/>
  <c r="BP15" i="5"/>
  <c r="BX15" i="5" s="1"/>
  <c r="BL9" i="5"/>
  <c r="BT9" i="5" s="1"/>
  <c r="CF11" i="5"/>
  <c r="CN11" i="5" s="1"/>
  <c r="CI11" i="5"/>
  <c r="CQ11" i="5" s="1"/>
  <c r="CG13" i="5"/>
  <c r="CO13" i="5" s="1"/>
  <c r="CL14" i="5"/>
  <c r="CT14" i="5" s="1"/>
  <c r="CJ16" i="5"/>
  <c r="CR16" i="5" s="1"/>
  <c r="DB14" i="5"/>
  <c r="DJ14" i="5" s="1"/>
  <c r="DG15" i="5"/>
  <c r="DO15" i="5" s="1"/>
  <c r="DD15" i="5"/>
  <c r="DL15" i="5" s="1"/>
  <c r="BN12" i="5"/>
  <c r="BV12" i="5" s="1"/>
  <c r="BS13" i="5"/>
  <c r="CA13" i="5" s="1"/>
  <c r="BQ15" i="5"/>
  <c r="BY15" i="5" s="1"/>
  <c r="BL10" i="5"/>
  <c r="BT10" i="5" s="1"/>
  <c r="CF12" i="5"/>
  <c r="CN12" i="5" s="1"/>
  <c r="CJ11" i="5"/>
  <c r="CR11" i="5" s="1"/>
  <c r="CH13" i="5"/>
  <c r="CP13" i="5" s="1"/>
  <c r="CM14" i="5"/>
  <c r="CU14" i="5" s="1"/>
  <c r="CK16" i="5"/>
  <c r="CS16" i="5" s="1"/>
  <c r="CZ8" i="5"/>
  <c r="DH8" i="5" s="1"/>
  <c r="DC14" i="5"/>
  <c r="DK14" i="5" s="1"/>
  <c r="DA16" i="5"/>
  <c r="DI16" i="5" s="1"/>
  <c r="BO12" i="5"/>
  <c r="BW12" i="5" s="1"/>
  <c r="BM14" i="5"/>
  <c r="BU14" i="5" s="1"/>
  <c r="BR15" i="5"/>
  <c r="BZ15" i="5" s="1"/>
  <c r="BL11" i="5"/>
  <c r="BT11" i="5" s="1"/>
  <c r="CF13" i="5"/>
  <c r="CN13" i="5" s="1"/>
  <c r="CK11" i="5"/>
  <c r="CS11" i="5" s="1"/>
  <c r="CI13" i="5"/>
  <c r="CQ13" i="5" s="1"/>
  <c r="CG15" i="5"/>
  <c r="CO15" i="5" s="1"/>
  <c r="CL16" i="5"/>
  <c r="CT16" i="5" s="1"/>
  <c r="CZ9" i="5"/>
  <c r="DH9" i="5" s="1"/>
  <c r="DD14" i="5"/>
  <c r="DL14" i="5" s="1"/>
  <c r="DB16" i="5"/>
  <c r="DJ16" i="5" s="1"/>
  <c r="CF8" i="5"/>
  <c r="CN8" i="5" s="1"/>
  <c r="BP12" i="5"/>
  <c r="BX12" i="5" s="1"/>
  <c r="BN14" i="5"/>
  <c r="BV14" i="5" s="1"/>
  <c r="BS15" i="5"/>
  <c r="CA15" i="5" s="1"/>
  <c r="BL12" i="5"/>
  <c r="BT12" i="5" s="1"/>
  <c r="CF14" i="5"/>
  <c r="CN14" i="5" s="1"/>
  <c r="CL11" i="5"/>
  <c r="CT11" i="5" s="1"/>
  <c r="CJ13" i="5"/>
  <c r="CR13" i="5" s="1"/>
  <c r="CH15" i="5"/>
  <c r="CP15" i="5" s="1"/>
  <c r="CM16" i="5"/>
  <c r="CU16" i="5" s="1"/>
  <c r="CZ10" i="5"/>
  <c r="DH10" i="5" s="1"/>
  <c r="DE14" i="5"/>
  <c r="DM14" i="5" s="1"/>
  <c r="CG16" i="5"/>
  <c r="CO16" i="5" s="1"/>
  <c r="AR14" i="5"/>
  <c r="AZ14" i="5" s="1"/>
  <c r="I51" i="29"/>
  <c r="J51" i="29" s="1"/>
  <c r="K51" i="29" s="1"/>
  <c r="L51" i="29" s="1"/>
  <c r="M51" i="29" s="1"/>
  <c r="V51" i="29" s="1"/>
  <c r="DG8" i="5" s="1"/>
  <c r="DO8" i="5" s="1"/>
  <c r="BQ12" i="5"/>
  <c r="BY12" i="5" s="1"/>
  <c r="BO14" i="5"/>
  <c r="BW14" i="5" s="1"/>
  <c r="BM16" i="5"/>
  <c r="BU16" i="5" s="1"/>
  <c r="BL13" i="5"/>
  <c r="BT13" i="5" s="1"/>
  <c r="CF15" i="5"/>
  <c r="CN15" i="5" s="1"/>
  <c r="CM11" i="5"/>
  <c r="CU11" i="5" s="1"/>
  <c r="CK13" i="5"/>
  <c r="CS13" i="5" s="1"/>
  <c r="CI15" i="5"/>
  <c r="CQ15" i="5" s="1"/>
  <c r="DA13" i="5"/>
  <c r="DI13" i="5" s="1"/>
  <c r="DF14" i="5"/>
  <c r="DN14" i="5" s="1"/>
  <c r="DD16" i="5"/>
  <c r="DL16" i="5" s="1"/>
  <c r="I52" i="29"/>
  <c r="J52" i="29" s="1"/>
  <c r="K52" i="29" s="1"/>
  <c r="L52" i="29" s="1"/>
  <c r="M52" i="29" s="1"/>
  <c r="V52" i="29" s="1"/>
  <c r="DG9" i="5" s="1"/>
  <c r="DO9" i="5" s="1"/>
  <c r="BM11" i="5"/>
  <c r="BU11" i="5" s="1"/>
  <c r="BR12" i="5"/>
  <c r="BZ12" i="5" s="1"/>
  <c r="BP14" i="5"/>
  <c r="BX14" i="5" s="1"/>
  <c r="BN16" i="5"/>
  <c r="BV16" i="5" s="1"/>
  <c r="BL14" i="5"/>
  <c r="BT14" i="5" s="1"/>
  <c r="CF16" i="5"/>
  <c r="CN16" i="5" s="1"/>
  <c r="CG12" i="5"/>
  <c r="CO12" i="5" s="1"/>
  <c r="CL13" i="5"/>
  <c r="CT13" i="5" s="1"/>
  <c r="CJ15" i="5"/>
  <c r="CR15" i="5" s="1"/>
  <c r="CZ12" i="5"/>
  <c r="DH12" i="5" s="1"/>
  <c r="DB13" i="5"/>
  <c r="DJ13" i="5" s="1"/>
  <c r="DG14" i="5"/>
  <c r="DO14" i="5" s="1"/>
  <c r="DE16" i="5"/>
  <c r="DM16" i="5" s="1"/>
  <c r="G50" i="29"/>
  <c r="H50" i="29" s="1"/>
  <c r="I50" i="29" s="1"/>
  <c r="J50" i="29" s="1"/>
  <c r="K50" i="29" s="1"/>
  <c r="L50" i="29" s="1"/>
  <c r="M50" i="29" s="1"/>
  <c r="V50" i="29" s="1"/>
  <c r="CM7" i="5" s="1"/>
  <c r="CU7" i="5" s="1"/>
  <c r="BN11" i="5"/>
  <c r="BV11" i="5" s="1"/>
  <c r="BS12" i="5"/>
  <c r="CA12" i="5" s="1"/>
  <c r="BQ14" i="5"/>
  <c r="BY14" i="5" s="1"/>
  <c r="BO16" i="5"/>
  <c r="BW16" i="5" s="1"/>
  <c r="BL15" i="5"/>
  <c r="BT15" i="5" s="1"/>
  <c r="CH12" i="5"/>
  <c r="CP12" i="5" s="1"/>
  <c r="CM13" i="5"/>
  <c r="CU13" i="5" s="1"/>
  <c r="CK15" i="5"/>
  <c r="CS15" i="5" s="1"/>
  <c r="CZ13" i="5"/>
  <c r="DH13" i="5" s="1"/>
  <c r="DC13" i="5"/>
  <c r="DK13" i="5" s="1"/>
  <c r="DA15" i="5"/>
  <c r="DI15" i="5" s="1"/>
  <c r="DF16" i="5"/>
  <c r="DN16" i="5" s="1"/>
  <c r="BO11" i="5"/>
  <c r="BW11" i="5" s="1"/>
  <c r="BM13" i="5"/>
  <c r="BU13" i="5" s="1"/>
  <c r="BR14" i="5"/>
  <c r="BZ14" i="5" s="1"/>
  <c r="BP16" i="5"/>
  <c r="BX16" i="5" s="1"/>
  <c r="BL16" i="5"/>
  <c r="BT16" i="5" s="1"/>
  <c r="CI12" i="5"/>
  <c r="CQ12" i="5" s="1"/>
  <c r="CG14" i="5"/>
  <c r="CO14" i="5" s="1"/>
  <c r="CL15" i="5"/>
  <c r="CT15" i="5" s="1"/>
  <c r="CZ14" i="5"/>
  <c r="DH14" i="5" s="1"/>
  <c r="DD13" i="5"/>
  <c r="DL13" i="5" s="1"/>
  <c r="DB15" i="5"/>
  <c r="DJ15" i="5" s="1"/>
  <c r="DG16" i="5"/>
  <c r="DO16" i="5" s="1"/>
  <c r="BP11" i="5"/>
  <c r="BX11" i="5" s="1"/>
  <c r="BN13" i="5"/>
  <c r="BV13" i="5" s="1"/>
  <c r="BS14" i="5"/>
  <c r="CA14" i="5" s="1"/>
  <c r="BQ16" i="5"/>
  <c r="BY16" i="5" s="1"/>
  <c r="CF7" i="5"/>
  <c r="CN7" i="5" s="1"/>
  <c r="CJ12" i="5"/>
  <c r="CR12" i="5" s="1"/>
  <c r="CH14" i="5"/>
  <c r="CP14" i="5" s="1"/>
  <c r="CM15" i="5"/>
  <c r="CU15" i="5" s="1"/>
  <c r="CZ15" i="5"/>
  <c r="DH15" i="5" s="1"/>
  <c r="DE13" i="5"/>
  <c r="DM13" i="5" s="1"/>
  <c r="DC15" i="5"/>
  <c r="DK15" i="5" s="1"/>
  <c r="R49" i="29"/>
  <c r="BO7" i="5" s="1"/>
  <c r="BW7" i="5" s="1"/>
  <c r="P51" i="29"/>
  <c r="DA8" i="5" s="1"/>
  <c r="DI8" i="5" s="1"/>
  <c r="Q51" i="29"/>
  <c r="CH8" i="5" s="1"/>
  <c r="CP8" i="5" s="1"/>
  <c r="P49" i="29"/>
  <c r="BM7" i="5" s="1"/>
  <c r="BU7" i="5" s="1"/>
  <c r="P52" i="29"/>
  <c r="BM9" i="5" s="1"/>
  <c r="BU9" i="5" s="1"/>
  <c r="Q49" i="29"/>
  <c r="BN7" i="5" s="1"/>
  <c r="BV7" i="5" s="1"/>
  <c r="Q52" i="29"/>
  <c r="DB9" i="5" s="1"/>
  <c r="DJ9" i="5" s="1"/>
  <c r="P53" i="29"/>
  <c r="DA11" i="5" s="1"/>
  <c r="DI11" i="5" s="1"/>
  <c r="Q53" i="29"/>
  <c r="DB11" i="5" s="1"/>
  <c r="DJ11" i="5" s="1"/>
  <c r="I15" i="5"/>
  <c r="Q15" i="5" s="1"/>
  <c r="AB14" i="5"/>
  <c r="AJ14" i="5" s="1"/>
  <c r="X16" i="5"/>
  <c r="AF16" i="5" s="1"/>
  <c r="AS15" i="5"/>
  <c r="BA15" i="5" s="1"/>
  <c r="Y16" i="5"/>
  <c r="AG16" i="5" s="1"/>
  <c r="O21" i="29"/>
  <c r="D8" i="5" s="1"/>
  <c r="L8" i="5" s="1"/>
  <c r="E7" i="5"/>
  <c r="M7" i="5" s="1"/>
  <c r="H11" i="5"/>
  <c r="P11" i="5" s="1"/>
  <c r="H13" i="5"/>
  <c r="P13" i="5" s="1"/>
  <c r="H15" i="5"/>
  <c r="P15" i="5" s="1"/>
  <c r="AA14" i="5"/>
  <c r="AI14" i="5" s="1"/>
  <c r="AE15" i="5"/>
  <c r="AM15" i="5" s="1"/>
  <c r="AR15" i="5"/>
  <c r="AZ15" i="5" s="1"/>
  <c r="AV16" i="5"/>
  <c r="BD16" i="5" s="1"/>
  <c r="AX16" i="5"/>
  <c r="BF16" i="5" s="1"/>
  <c r="X10" i="5"/>
  <c r="AF10" i="5" s="1"/>
  <c r="AR9" i="5"/>
  <c r="AZ9" i="5" s="1"/>
  <c r="AT15" i="5"/>
  <c r="BB15" i="5" s="1"/>
  <c r="K11" i="5"/>
  <c r="S11" i="5" s="1"/>
  <c r="K13" i="5"/>
  <c r="S13" i="5" s="1"/>
  <c r="K15" i="5"/>
  <c r="S15" i="5" s="1"/>
  <c r="AD14" i="5"/>
  <c r="AL14" i="5" s="1"/>
  <c r="Z16" i="5"/>
  <c r="AH16" i="5" s="1"/>
  <c r="AU15" i="5"/>
  <c r="BC15" i="5" s="1"/>
  <c r="AY16" i="5"/>
  <c r="BG16" i="5" s="1"/>
  <c r="AW16" i="5"/>
  <c r="BE16" i="5" s="1"/>
  <c r="AS12" i="5"/>
  <c r="BA12" i="5" s="1"/>
  <c r="D9" i="5"/>
  <c r="L9" i="5" s="1"/>
  <c r="E11" i="5"/>
  <c r="M11" i="5" s="1"/>
  <c r="F12" i="5"/>
  <c r="N12" i="5" s="1"/>
  <c r="F14" i="5"/>
  <c r="N14" i="5" s="1"/>
  <c r="F16" i="5"/>
  <c r="N16" i="5" s="1"/>
  <c r="AE14" i="5"/>
  <c r="AM14" i="5" s="1"/>
  <c r="AA16" i="5"/>
  <c r="AI16" i="5" s="1"/>
  <c r="AV15" i="5"/>
  <c r="BD15" i="5" s="1"/>
  <c r="D10" i="5"/>
  <c r="L10" i="5" s="1"/>
  <c r="E12" i="5"/>
  <c r="M12" i="5" s="1"/>
  <c r="G12" i="5"/>
  <c r="O12" i="5" s="1"/>
  <c r="G14" i="5"/>
  <c r="O14" i="5" s="1"/>
  <c r="G16" i="5"/>
  <c r="O16" i="5" s="1"/>
  <c r="X9" i="5"/>
  <c r="AF9" i="5" s="1"/>
  <c r="X12" i="5"/>
  <c r="AF12" i="5" s="1"/>
  <c r="X15" i="5"/>
  <c r="AF15" i="5" s="1"/>
  <c r="AB16" i="5"/>
  <c r="AJ16" i="5" s="1"/>
  <c r="AR11" i="5"/>
  <c r="AZ11" i="5" s="1"/>
  <c r="AW15" i="5"/>
  <c r="BE15" i="5" s="1"/>
  <c r="J15" i="5"/>
  <c r="R15" i="5" s="1"/>
  <c r="D11" i="5"/>
  <c r="L11" i="5" s="1"/>
  <c r="E13" i="5"/>
  <c r="M13" i="5" s="1"/>
  <c r="H12" i="5"/>
  <c r="P12" i="5" s="1"/>
  <c r="H14" i="5"/>
  <c r="P14" i="5" s="1"/>
  <c r="H16" i="5"/>
  <c r="P16" i="5" s="1"/>
  <c r="Y15" i="5"/>
  <c r="AG15" i="5" s="1"/>
  <c r="AC16" i="5"/>
  <c r="AK16" i="5" s="1"/>
  <c r="AX15" i="5"/>
  <c r="BF15" i="5" s="1"/>
  <c r="J11" i="5"/>
  <c r="R11" i="5" s="1"/>
  <c r="D12" i="5"/>
  <c r="L12" i="5" s="1"/>
  <c r="E14" i="5"/>
  <c r="M14" i="5" s="1"/>
  <c r="I12" i="5"/>
  <c r="Q12" i="5" s="1"/>
  <c r="I14" i="5"/>
  <c r="Q14" i="5" s="1"/>
  <c r="I16" i="5"/>
  <c r="Q16" i="5" s="1"/>
  <c r="Z15" i="5"/>
  <c r="AH15" i="5" s="1"/>
  <c r="AD16" i="5"/>
  <c r="AL16" i="5" s="1"/>
  <c r="AT11" i="5"/>
  <c r="BB11" i="5" s="1"/>
  <c r="AY15" i="5"/>
  <c r="BG15" i="5" s="1"/>
  <c r="J13" i="5"/>
  <c r="R13" i="5" s="1"/>
  <c r="O45" i="29"/>
  <c r="D13" i="5"/>
  <c r="L13" i="5" s="1"/>
  <c r="E15" i="5"/>
  <c r="M15" i="5" s="1"/>
  <c r="J12" i="5"/>
  <c r="R12" i="5" s="1"/>
  <c r="J14" i="5"/>
  <c r="R14" i="5" s="1"/>
  <c r="J16" i="5"/>
  <c r="R16" i="5" s="1"/>
  <c r="AA15" i="5"/>
  <c r="AI15" i="5" s="1"/>
  <c r="AE16" i="5"/>
  <c r="AM16" i="5" s="1"/>
  <c r="AR16" i="5"/>
  <c r="AZ16" i="5" s="1"/>
  <c r="J28" i="29"/>
  <c r="K28" i="29" s="1"/>
  <c r="L28" i="29" s="1"/>
  <c r="M28" i="29" s="1"/>
  <c r="V28" i="29" s="1"/>
  <c r="D14" i="5"/>
  <c r="L14" i="5" s="1"/>
  <c r="E16" i="5"/>
  <c r="M16" i="5" s="1"/>
  <c r="K12" i="5"/>
  <c r="S12" i="5" s="1"/>
  <c r="K14" i="5"/>
  <c r="S14" i="5" s="1"/>
  <c r="K16" i="5"/>
  <c r="S16" i="5" s="1"/>
  <c r="X8" i="5"/>
  <c r="AF8" i="5" s="1"/>
  <c r="X14" i="5"/>
  <c r="AF14" i="5" s="1"/>
  <c r="AB15" i="5"/>
  <c r="AJ15" i="5" s="1"/>
  <c r="AR13" i="5"/>
  <c r="AZ13" i="5" s="1"/>
  <c r="AS16" i="5"/>
  <c r="BA16" i="5" s="1"/>
  <c r="AC14" i="5"/>
  <c r="AK14" i="5" s="1"/>
  <c r="D15" i="5"/>
  <c r="L15" i="5" s="1"/>
  <c r="F11" i="5"/>
  <c r="N11" i="5" s="1"/>
  <c r="F13" i="5"/>
  <c r="N13" i="5" s="1"/>
  <c r="F15" i="5"/>
  <c r="N15" i="5" s="1"/>
  <c r="Y14" i="5"/>
  <c r="AG14" i="5" s="1"/>
  <c r="AC15" i="5"/>
  <c r="AK15" i="5" s="1"/>
  <c r="AS7" i="5"/>
  <c r="BA7" i="5" s="1"/>
  <c r="AS10" i="5"/>
  <c r="BA10" i="5" s="1"/>
  <c r="AT16" i="5"/>
  <c r="BB16" i="5" s="1"/>
  <c r="D16" i="5"/>
  <c r="L16" i="5" s="1"/>
  <c r="G11" i="5"/>
  <c r="O11" i="5" s="1"/>
  <c r="G13" i="5"/>
  <c r="O13" i="5" s="1"/>
  <c r="G15" i="5"/>
  <c r="O15" i="5" s="1"/>
  <c r="Z14" i="5"/>
  <c r="AH14" i="5" s="1"/>
  <c r="AD15" i="5"/>
  <c r="AL15" i="5" s="1"/>
  <c r="AU16" i="5"/>
  <c r="BC16" i="5" s="1"/>
  <c r="P28" i="29"/>
  <c r="P17" i="29"/>
  <c r="P29" i="29"/>
  <c r="P30" i="29"/>
  <c r="P42" i="29"/>
  <c r="P23" i="29"/>
  <c r="AS11" i="5" s="1"/>
  <c r="BA11" i="5" s="1"/>
  <c r="Q28" i="29"/>
  <c r="R28" i="29"/>
  <c r="O22" i="29"/>
  <c r="AR10" i="5" s="1"/>
  <c r="AZ10" i="5" s="1"/>
  <c r="O28" i="29"/>
  <c r="H45" i="29"/>
  <c r="G20" i="29"/>
  <c r="P20" i="29" s="1"/>
  <c r="G31" i="29"/>
  <c r="G32" i="29"/>
  <c r="O29" i="29"/>
  <c r="G33" i="29"/>
  <c r="P33" i="29" s="1"/>
  <c r="O30" i="29"/>
  <c r="G43" i="29"/>
  <c r="O17" i="29"/>
  <c r="X13" i="5" s="1"/>
  <c r="AF13" i="5" s="1"/>
  <c r="O5" i="29"/>
  <c r="O31" i="29"/>
  <c r="G44" i="29"/>
  <c r="O18" i="29"/>
  <c r="D7" i="5" s="1"/>
  <c r="L7" i="5" s="1"/>
  <c r="O6" i="29"/>
  <c r="O32" i="29"/>
  <c r="O42" i="29"/>
  <c r="G7" i="29"/>
  <c r="G8" i="29"/>
  <c r="H21" i="29"/>
  <c r="Q21" i="29" s="1"/>
  <c r="G9" i="29"/>
  <c r="P9" i="29" s="1"/>
  <c r="Y9" i="5" s="1"/>
  <c r="AG9" i="5" s="1"/>
  <c r="G19" i="29"/>
  <c r="H5" i="29"/>
  <c r="P5" i="29"/>
  <c r="H18" i="29"/>
  <c r="H22" i="29"/>
  <c r="H6" i="29"/>
  <c r="H24" i="29"/>
  <c r="O12" i="29"/>
  <c r="X11" i="5" s="1"/>
  <c r="AF11" i="5" s="1"/>
  <c r="O24" i="29"/>
  <c r="AR12" i="5" s="1"/>
  <c r="AZ12" i="5" s="1"/>
  <c r="G10" i="29"/>
  <c r="G34" i="29"/>
  <c r="G46" i="29"/>
  <c r="O47" i="29"/>
  <c r="G11" i="29"/>
  <c r="G35" i="29"/>
  <c r="G47" i="29"/>
  <c r="O48" i="29"/>
  <c r="G12" i="29"/>
  <c r="G36" i="29"/>
  <c r="G48" i="29"/>
  <c r="G13" i="29"/>
  <c r="G25" i="29"/>
  <c r="G37" i="29"/>
  <c r="G14" i="29"/>
  <c r="P14" i="29" s="1"/>
  <c r="G26" i="29"/>
  <c r="P26" i="29" s="1"/>
  <c r="E10" i="5" s="1"/>
  <c r="M10" i="5" s="1"/>
  <c r="G38" i="29"/>
  <c r="P38" i="29" s="1"/>
  <c r="G15" i="29"/>
  <c r="P15" i="29" s="1"/>
  <c r="G27" i="29"/>
  <c r="P27" i="29" s="1"/>
  <c r="G39" i="29"/>
  <c r="P39" i="29" s="1"/>
  <c r="G16" i="29"/>
  <c r="G40" i="29"/>
  <c r="P40" i="29" s="1"/>
  <c r="G41" i="29"/>
  <c r="I17" i="29"/>
  <c r="I23" i="29"/>
  <c r="I29" i="29"/>
  <c r="I30" i="29"/>
  <c r="I42" i="29"/>
  <c r="P26" i="28"/>
  <c r="O5" i="28"/>
  <c r="T5" i="28" s="1"/>
  <c r="P18" i="28"/>
  <c r="P6" i="28"/>
  <c r="P23" i="28"/>
  <c r="P13" i="28"/>
  <c r="P16" i="28"/>
  <c r="P27" i="28"/>
  <c r="P17" i="28"/>
  <c r="P15" i="28"/>
  <c r="G6" i="14"/>
  <c r="G9" i="14" s="1"/>
  <c r="G12" i="14" s="1"/>
  <c r="G15" i="14" s="1"/>
  <c r="G18" i="14" s="1"/>
  <c r="G21" i="14" s="1"/>
  <c r="G24" i="14" s="1"/>
  <c r="G27" i="14" s="1"/>
  <c r="G30" i="14" s="1"/>
  <c r="G33" i="14" s="1"/>
  <c r="G36" i="14" s="1"/>
  <c r="G39" i="14" s="1"/>
  <c r="G42" i="14" s="1"/>
  <c r="G45" i="14" s="1"/>
  <c r="G48" i="14" s="1"/>
  <c r="G51" i="14" s="1"/>
  <c r="G54" i="14" s="1"/>
  <c r="G57" i="14" s="1"/>
  <c r="G60" i="14" s="1"/>
  <c r="G63" i="14" s="1"/>
  <c r="G66" i="14" s="1"/>
  <c r="G69" i="14" s="1"/>
  <c r="G72" i="14" s="1"/>
  <c r="G75" i="14" s="1"/>
  <c r="G78" i="14" s="1"/>
  <c r="G81" i="14" s="1"/>
  <c r="G84" i="14" s="1"/>
  <c r="G87" i="14" s="1"/>
  <c r="G90" i="14" s="1"/>
  <c r="G93" i="14" s="1"/>
  <c r="G96" i="14" s="1"/>
  <c r="G99" i="14" s="1"/>
  <c r="G102" i="14" s="1"/>
  <c r="G105" i="14" s="1"/>
  <c r="G108" i="14" s="1"/>
  <c r="F6" i="14"/>
  <c r="F9" i="14" s="1"/>
  <c r="F12" i="14" s="1"/>
  <c r="F15" i="14" s="1"/>
  <c r="F18" i="14" s="1"/>
  <c r="F21" i="14" s="1"/>
  <c r="F24" i="14" s="1"/>
  <c r="F27" i="14" s="1"/>
  <c r="F30" i="14" s="1"/>
  <c r="F33" i="14" s="1"/>
  <c r="F36" i="14" s="1"/>
  <c r="F39" i="14" s="1"/>
  <c r="F42" i="14" s="1"/>
  <c r="F45" i="14" s="1"/>
  <c r="F48" i="14" s="1"/>
  <c r="F51" i="14" s="1"/>
  <c r="F54" i="14" s="1"/>
  <c r="F57" i="14" s="1"/>
  <c r="F60" i="14" s="1"/>
  <c r="F63" i="14" s="1"/>
  <c r="F66" i="14" s="1"/>
  <c r="F69" i="14" s="1"/>
  <c r="F72" i="14" s="1"/>
  <c r="F75" i="14" s="1"/>
  <c r="F78" i="14" s="1"/>
  <c r="F81" i="14" s="1"/>
  <c r="F84" i="14" s="1"/>
  <c r="F87" i="14" s="1"/>
  <c r="F90" i="14" s="1"/>
  <c r="F93" i="14" s="1"/>
  <c r="F96" i="14" s="1"/>
  <c r="F99" i="14" s="1"/>
  <c r="F102" i="14" s="1"/>
  <c r="F105" i="14" s="1"/>
  <c r="F108" i="14" s="1"/>
  <c r="A26" i="3"/>
  <c r="A27" i="3" s="1"/>
  <c r="A28" i="3" s="1"/>
  <c r="A29" i="3" s="1"/>
  <c r="A30" i="3" s="1"/>
  <c r="A31" i="3" s="1"/>
  <c r="A32" i="3" s="1"/>
  <c r="A1" i="12"/>
  <c r="G149" i="14"/>
  <c r="G152" i="14" s="1"/>
  <c r="G155" i="14" s="1"/>
  <c r="G158" i="14" s="1"/>
  <c r="G161" i="14" s="1"/>
  <c r="G164" i="14" s="1"/>
  <c r="G167" i="14" s="1"/>
  <c r="G170" i="14" s="1"/>
  <c r="G173" i="14" s="1"/>
  <c r="G176" i="14" s="1"/>
  <c r="G179" i="14" s="1"/>
  <c r="G182" i="14" s="1"/>
  <c r="G185" i="14" s="1"/>
  <c r="G188" i="14" s="1"/>
  <c r="G191" i="14" s="1"/>
  <c r="G194" i="14" s="1"/>
  <c r="G197" i="14" s="1"/>
  <c r="G200" i="14" s="1"/>
  <c r="G203" i="14" s="1"/>
  <c r="G206" i="14" s="1"/>
  <c r="G209" i="14" s="1"/>
  <c r="G212" i="14" s="1"/>
  <c r="G215" i="14" s="1"/>
  <c r="F149" i="14"/>
  <c r="F152" i="14" s="1"/>
  <c r="F155" i="14" s="1"/>
  <c r="F158" i="14" s="1"/>
  <c r="F161" i="14" s="1"/>
  <c r="F164" i="14" s="1"/>
  <c r="F167" i="14" s="1"/>
  <c r="F170" i="14" s="1"/>
  <c r="F173" i="14" s="1"/>
  <c r="F176" i="14" s="1"/>
  <c r="F179" i="14" s="1"/>
  <c r="F182" i="14" s="1"/>
  <c r="F185" i="14" s="1"/>
  <c r="F188" i="14" s="1"/>
  <c r="F191" i="14" s="1"/>
  <c r="F194" i="14" s="1"/>
  <c r="F197" i="14" s="1"/>
  <c r="F200" i="14" s="1"/>
  <c r="F203" i="14" s="1"/>
  <c r="F206" i="14" s="1"/>
  <c r="F209" i="14" s="1"/>
  <c r="F212" i="14" s="1"/>
  <c r="F215" i="14" s="1"/>
  <c r="G221" i="14"/>
  <c r="G224" i="14" s="1"/>
  <c r="G227" i="14" s="1"/>
  <c r="G230" i="14" s="1"/>
  <c r="G233" i="14" s="1"/>
  <c r="G236" i="14" s="1"/>
  <c r="G239" i="14" s="1"/>
  <c r="G242" i="14" s="1"/>
  <c r="G245" i="14" s="1"/>
  <c r="G248" i="14" s="1"/>
  <c r="G251" i="14" s="1"/>
  <c r="G254" i="14" s="1"/>
  <c r="G257" i="14" s="1"/>
  <c r="G260" i="14" s="1"/>
  <c r="G263" i="14" s="1"/>
  <c r="G266" i="14" s="1"/>
  <c r="G269" i="14" s="1"/>
  <c r="G272" i="14" s="1"/>
  <c r="G275" i="14" s="1"/>
  <c r="G278" i="14" s="1"/>
  <c r="G281" i="14" s="1"/>
  <c r="G284" i="14" s="1"/>
  <c r="G287" i="14" s="1"/>
  <c r="F221" i="14"/>
  <c r="F224" i="14" s="1"/>
  <c r="F227" i="14" s="1"/>
  <c r="F230" i="14" s="1"/>
  <c r="F233" i="14" s="1"/>
  <c r="F236" i="14" s="1"/>
  <c r="F239" i="14" s="1"/>
  <c r="F242" i="14" s="1"/>
  <c r="F245" i="14" s="1"/>
  <c r="F248" i="14" s="1"/>
  <c r="F251" i="14" s="1"/>
  <c r="F254" i="14" s="1"/>
  <c r="F257" i="14" s="1"/>
  <c r="F260" i="14" s="1"/>
  <c r="F263" i="14" s="1"/>
  <c r="F266" i="14" s="1"/>
  <c r="F269" i="14" s="1"/>
  <c r="F272" i="14" s="1"/>
  <c r="F275" i="14" s="1"/>
  <c r="F278" i="14" s="1"/>
  <c r="F281" i="14" s="1"/>
  <c r="F284" i="14" s="1"/>
  <c r="F287" i="14" s="1"/>
  <c r="G77" i="14"/>
  <c r="G80" i="14" s="1"/>
  <c r="G83" i="14" s="1"/>
  <c r="G86" i="14" s="1"/>
  <c r="G89" i="14" s="1"/>
  <c r="G92" i="14" s="1"/>
  <c r="G95" i="14" s="1"/>
  <c r="G98" i="14" s="1"/>
  <c r="G101" i="14" s="1"/>
  <c r="G104" i="14" s="1"/>
  <c r="G107" i="14" s="1"/>
  <c r="F77" i="14"/>
  <c r="F80" i="14" s="1"/>
  <c r="F83" i="14" s="1"/>
  <c r="F86" i="14" s="1"/>
  <c r="F89" i="14" s="1"/>
  <c r="F92" i="14" s="1"/>
  <c r="F95" i="14" s="1"/>
  <c r="F98" i="14" s="1"/>
  <c r="F101" i="14" s="1"/>
  <c r="F104" i="14" s="1"/>
  <c r="F107" i="14" s="1"/>
  <c r="F5" i="14"/>
  <c r="F8" i="14" s="1"/>
  <c r="F11" i="14" s="1"/>
  <c r="F14" i="14" s="1"/>
  <c r="F17" i="14" s="1"/>
  <c r="F20" i="14" s="1"/>
  <c r="F23" i="14" s="1"/>
  <c r="F26" i="14" s="1"/>
  <c r="F29" i="14" s="1"/>
  <c r="F32" i="14" s="1"/>
  <c r="F35" i="14" s="1"/>
  <c r="F38" i="14" s="1"/>
  <c r="F41" i="14" s="1"/>
  <c r="F44" i="14" s="1"/>
  <c r="F47" i="14" s="1"/>
  <c r="F50" i="14" s="1"/>
  <c r="F53" i="14" s="1"/>
  <c r="F56" i="14" s="1"/>
  <c r="F59" i="14" s="1"/>
  <c r="F62" i="14" s="1"/>
  <c r="F65" i="14" s="1"/>
  <c r="F68" i="14" s="1"/>
  <c r="F71" i="14" s="1"/>
  <c r="F12" i="2"/>
  <c r="C99" i="1"/>
  <c r="C100" i="1" s="1"/>
  <c r="H44" i="11" s="1"/>
  <c r="I77" i="12"/>
  <c r="H77" i="12"/>
  <c r="S22" i="28" l="1"/>
  <c r="U22" i="28" s="1"/>
  <c r="Q22" i="28"/>
  <c r="Q31" i="28"/>
  <c r="S31" i="28"/>
  <c r="U31" i="28" s="1"/>
  <c r="Q29" i="28"/>
  <c r="S29" i="28"/>
  <c r="U29" i="28" s="1"/>
  <c r="F85" i="1"/>
  <c r="G85" i="1" s="1"/>
  <c r="H85" i="1" s="1"/>
  <c r="I85" i="1" s="1"/>
  <c r="J85" i="1" s="1"/>
  <c r="S28" i="28"/>
  <c r="U28" i="28" s="1"/>
  <c r="Q28" i="28"/>
  <c r="Q15" i="28"/>
  <c r="S15" i="28"/>
  <c r="U15" i="28" s="1"/>
  <c r="S12" i="28"/>
  <c r="U12" i="28" s="1"/>
  <c r="Q12" i="28"/>
  <c r="S19" i="28"/>
  <c r="U19" i="28" s="1"/>
  <c r="Q19" i="28"/>
  <c r="Q18" i="28"/>
  <c r="S18" i="28"/>
  <c r="U18" i="28" s="1"/>
  <c r="Q17" i="28"/>
  <c r="S17" i="28"/>
  <c r="U17" i="28" s="1"/>
  <c r="S26" i="28"/>
  <c r="U26" i="28" s="1"/>
  <c r="Q26" i="28"/>
  <c r="Q6" i="28"/>
  <c r="S6" i="28"/>
  <c r="U6" i="28" s="1"/>
  <c r="S27" i="28"/>
  <c r="U27" i="28" s="1"/>
  <c r="Q27" i="28"/>
  <c r="H86" i="1"/>
  <c r="I86" i="1" s="1"/>
  <c r="J86" i="1" s="1"/>
  <c r="S20" i="28"/>
  <c r="U20" i="28" s="1"/>
  <c r="Q20" i="28"/>
  <c r="S11" i="28"/>
  <c r="U11" i="28" s="1"/>
  <c r="Q11" i="28"/>
  <c r="F89" i="1"/>
  <c r="G89" i="1" s="1"/>
  <c r="H89" i="1" s="1"/>
  <c r="I89" i="1" s="1"/>
  <c r="J89" i="1" s="1"/>
  <c r="Q23" i="28"/>
  <c r="S23" i="28"/>
  <c r="U23" i="28" s="1"/>
  <c r="Q16" i="28"/>
  <c r="S16" i="28"/>
  <c r="U16" i="28" s="1"/>
  <c r="Q14" i="28"/>
  <c r="S14" i="28"/>
  <c r="U14" i="28" s="1"/>
  <c r="Q13" i="28"/>
  <c r="S13" i="28"/>
  <c r="U13" i="28" s="1"/>
  <c r="Q24" i="28"/>
  <c r="S24" i="28"/>
  <c r="U24" i="28" s="1"/>
  <c r="Q30" i="28"/>
  <c r="S30" i="28"/>
  <c r="U30" i="28" s="1"/>
  <c r="Q7" i="28"/>
  <c r="S7" i="28"/>
  <c r="U7" i="28" s="1"/>
  <c r="S49" i="29"/>
  <c r="BP7" i="5" s="1"/>
  <c r="BX7" i="5" s="1"/>
  <c r="F110" i="14"/>
  <c r="F113" i="14" s="1"/>
  <c r="F116" i="14" s="1"/>
  <c r="F119" i="14" s="1"/>
  <c r="F122" i="14" s="1"/>
  <c r="F125" i="14" s="1"/>
  <c r="F128" i="14" s="1"/>
  <c r="F131" i="14" s="1"/>
  <c r="F134" i="14" s="1"/>
  <c r="F137" i="14" s="1"/>
  <c r="F140" i="14" s="1"/>
  <c r="F143" i="14" s="1"/>
  <c r="G110" i="14"/>
  <c r="G113" i="14" s="1"/>
  <c r="G116" i="14" s="1"/>
  <c r="G119" i="14" s="1"/>
  <c r="G122" i="14" s="1"/>
  <c r="G125" i="14" s="1"/>
  <c r="G128" i="14" s="1"/>
  <c r="G131" i="14" s="1"/>
  <c r="G134" i="14" s="1"/>
  <c r="G137" i="14" s="1"/>
  <c r="G140" i="14" s="1"/>
  <c r="G143" i="14" s="1"/>
  <c r="G111" i="14"/>
  <c r="G114" i="14" s="1"/>
  <c r="G117" i="14" s="1"/>
  <c r="G120" i="14" s="1"/>
  <c r="G123" i="14" s="1"/>
  <c r="G126" i="14" s="1"/>
  <c r="G129" i="14" s="1"/>
  <c r="G132" i="14" s="1"/>
  <c r="G135" i="14" s="1"/>
  <c r="G138" i="14" s="1"/>
  <c r="G141" i="14" s="1"/>
  <c r="G144" i="14" s="1"/>
  <c r="G150" i="14" s="1"/>
  <c r="G153" i="14" s="1"/>
  <c r="G156" i="14" s="1"/>
  <c r="G159" i="14" s="1"/>
  <c r="G162" i="14" s="1"/>
  <c r="G165" i="14" s="1"/>
  <c r="G168" i="14" s="1"/>
  <c r="G171" i="14" s="1"/>
  <c r="G174" i="14" s="1"/>
  <c r="G177" i="14" s="1"/>
  <c r="G180" i="14" s="1"/>
  <c r="G183" i="14" s="1"/>
  <c r="G186" i="14" s="1"/>
  <c r="G189" i="14" s="1"/>
  <c r="G192" i="14" s="1"/>
  <c r="G195" i="14" s="1"/>
  <c r="G198" i="14" s="1"/>
  <c r="G201" i="14" s="1"/>
  <c r="G204" i="14" s="1"/>
  <c r="G207" i="14" s="1"/>
  <c r="G210" i="14" s="1"/>
  <c r="G213" i="14" s="1"/>
  <c r="G216" i="14" s="1"/>
  <c r="G219" i="14" s="1"/>
  <c r="G222" i="14" s="1"/>
  <c r="G225" i="14" s="1"/>
  <c r="G228" i="14" s="1"/>
  <c r="G231" i="14" s="1"/>
  <c r="G234" i="14" s="1"/>
  <c r="G237" i="14" s="1"/>
  <c r="G240" i="14" s="1"/>
  <c r="G243" i="14" s="1"/>
  <c r="G246" i="14" s="1"/>
  <c r="G249" i="14" s="1"/>
  <c r="G252" i="14" s="1"/>
  <c r="G255" i="14" s="1"/>
  <c r="G258" i="14" s="1"/>
  <c r="G261" i="14" s="1"/>
  <c r="G264" i="14" s="1"/>
  <c r="G267" i="14" s="1"/>
  <c r="G270" i="14" s="1"/>
  <c r="G273" i="14" s="1"/>
  <c r="G276" i="14" s="1"/>
  <c r="G279" i="14" s="1"/>
  <c r="G282" i="14" s="1"/>
  <c r="G285" i="14" s="1"/>
  <c r="G288" i="14" s="1"/>
  <c r="F111" i="14"/>
  <c r="F114" i="14" s="1"/>
  <c r="F117" i="14" s="1"/>
  <c r="F120" i="14" s="1"/>
  <c r="F123" i="14" s="1"/>
  <c r="F126" i="14" s="1"/>
  <c r="F129" i="14" s="1"/>
  <c r="F132" i="14" s="1"/>
  <c r="F135" i="14" s="1"/>
  <c r="F138" i="14" s="1"/>
  <c r="F141" i="14" s="1"/>
  <c r="F144" i="14" s="1"/>
  <c r="F150" i="14" s="1"/>
  <c r="F153" i="14" s="1"/>
  <c r="F156" i="14" s="1"/>
  <c r="F159" i="14" s="1"/>
  <c r="F162" i="14" s="1"/>
  <c r="F165" i="14" s="1"/>
  <c r="F168" i="14" s="1"/>
  <c r="F171" i="14" s="1"/>
  <c r="F174" i="14" s="1"/>
  <c r="F177" i="14" s="1"/>
  <c r="F180" i="14" s="1"/>
  <c r="F183" i="14" s="1"/>
  <c r="F186" i="14" s="1"/>
  <c r="F189" i="14" s="1"/>
  <c r="F192" i="14" s="1"/>
  <c r="F195" i="14" s="1"/>
  <c r="F198" i="14" s="1"/>
  <c r="F201" i="14" s="1"/>
  <c r="F204" i="14" s="1"/>
  <c r="F207" i="14" s="1"/>
  <c r="F210" i="14" s="1"/>
  <c r="F213" i="14" s="1"/>
  <c r="F216" i="14" s="1"/>
  <c r="F219" i="14" s="1"/>
  <c r="F222" i="14" s="1"/>
  <c r="F225" i="14" s="1"/>
  <c r="F228" i="14" s="1"/>
  <c r="F231" i="14" s="1"/>
  <c r="F234" i="14" s="1"/>
  <c r="F237" i="14" s="1"/>
  <c r="F240" i="14" s="1"/>
  <c r="F243" i="14" s="1"/>
  <c r="F246" i="14" s="1"/>
  <c r="F249" i="14" s="1"/>
  <c r="F252" i="14" s="1"/>
  <c r="F255" i="14" s="1"/>
  <c r="F258" i="14" s="1"/>
  <c r="F261" i="14" s="1"/>
  <c r="F264" i="14" s="1"/>
  <c r="F267" i="14" s="1"/>
  <c r="F270" i="14" s="1"/>
  <c r="F273" i="14" s="1"/>
  <c r="F276" i="14" s="1"/>
  <c r="F279" i="14" s="1"/>
  <c r="F282" i="14" s="1"/>
  <c r="F285" i="14" s="1"/>
  <c r="F288" i="14" s="1"/>
  <c r="CZ7" i="5"/>
  <c r="DH7" i="5" s="1"/>
  <c r="DH17" i="5" s="1"/>
  <c r="CY45" i="5" s="1"/>
  <c r="G98" i="1"/>
  <c r="H98" i="1" s="1"/>
  <c r="I98" i="1" s="1"/>
  <c r="J98" i="1" s="1"/>
  <c r="P5" i="28"/>
  <c r="O33" i="28"/>
  <c r="G96" i="1"/>
  <c r="H96" i="1" s="1"/>
  <c r="I96" i="1" s="1"/>
  <c r="J96" i="1" s="1"/>
  <c r="U49" i="29"/>
  <c r="BR7" i="5" s="1"/>
  <c r="BZ7" i="5" s="1"/>
  <c r="T49" i="29"/>
  <c r="BQ7" i="5" s="1"/>
  <c r="BY7" i="5" s="1"/>
  <c r="R53" i="29"/>
  <c r="DC11" i="5" s="1"/>
  <c r="DK11" i="5" s="1"/>
  <c r="S53" i="29"/>
  <c r="DD11" i="5" s="1"/>
  <c r="DL11" i="5" s="1"/>
  <c r="T53" i="29"/>
  <c r="DE11" i="5" s="1"/>
  <c r="DM11" i="5" s="1"/>
  <c r="U53" i="29"/>
  <c r="DF11" i="5" s="1"/>
  <c r="DN11" i="5" s="1"/>
  <c r="S52" i="29"/>
  <c r="DD9" i="5" s="1"/>
  <c r="DL9" i="5" s="1"/>
  <c r="CN17" i="5"/>
  <c r="CE45" i="5" s="1"/>
  <c r="BT17" i="5"/>
  <c r="BK45" i="5" s="1"/>
  <c r="I34" i="23"/>
  <c r="P50" i="29"/>
  <c r="DA12" i="5" s="1"/>
  <c r="DI12" i="5" s="1"/>
  <c r="U50" i="29"/>
  <c r="CL7" i="5" s="1"/>
  <c r="CT7" i="5" s="1"/>
  <c r="R50" i="29"/>
  <c r="DC12" i="5" s="1"/>
  <c r="DK12" i="5" s="1"/>
  <c r="Q50" i="29"/>
  <c r="CH7" i="5" s="1"/>
  <c r="CP7" i="5" s="1"/>
  <c r="CG9" i="5"/>
  <c r="CO9" i="5" s="1"/>
  <c r="CM8" i="5"/>
  <c r="CU8" i="5" s="1"/>
  <c r="U51" i="29"/>
  <c r="DF8" i="5" s="1"/>
  <c r="DN8" i="5" s="1"/>
  <c r="T51" i="29"/>
  <c r="CK8" i="5" s="1"/>
  <c r="CS8" i="5" s="1"/>
  <c r="S51" i="29"/>
  <c r="BP8" i="5" s="1"/>
  <c r="BX8" i="5" s="1"/>
  <c r="R51" i="29"/>
  <c r="BO8" i="5" s="1"/>
  <c r="BW8" i="5" s="1"/>
  <c r="C42" i="23"/>
  <c r="B42" i="23"/>
  <c r="J42" i="23"/>
  <c r="M42" i="23"/>
  <c r="L42" i="23"/>
  <c r="K42" i="23"/>
  <c r="G42" i="23"/>
  <c r="F42" i="23"/>
  <c r="I42" i="23"/>
  <c r="H42" i="23"/>
  <c r="E42" i="23"/>
  <c r="D42" i="23"/>
  <c r="J41" i="23"/>
  <c r="I41" i="23"/>
  <c r="M41" i="23"/>
  <c r="L41" i="23"/>
  <c r="B41" i="23"/>
  <c r="G41" i="23"/>
  <c r="K41" i="23"/>
  <c r="F41" i="23"/>
  <c r="E41" i="23"/>
  <c r="D41" i="23"/>
  <c r="C41" i="23"/>
  <c r="H41" i="23"/>
  <c r="D43" i="23"/>
  <c r="B43" i="23"/>
  <c r="K43" i="23"/>
  <c r="C43" i="23"/>
  <c r="L43" i="23"/>
  <c r="J43" i="23"/>
  <c r="M43" i="23"/>
  <c r="H43" i="23"/>
  <c r="G43" i="23"/>
  <c r="E43" i="23"/>
  <c r="I43" i="23"/>
  <c r="F43" i="23"/>
  <c r="I32" i="23"/>
  <c r="S50" i="29"/>
  <c r="CJ7" i="5" s="1"/>
  <c r="CR7" i="5" s="1"/>
  <c r="T50" i="29"/>
  <c r="CK7" i="5" s="1"/>
  <c r="CS7" i="5" s="1"/>
  <c r="U28" i="29"/>
  <c r="DB8" i="5"/>
  <c r="DJ8" i="5" s="1"/>
  <c r="DG12" i="5"/>
  <c r="DO12" i="5" s="1"/>
  <c r="R52" i="29"/>
  <c r="DB12" i="5"/>
  <c r="DJ12" i="5" s="1"/>
  <c r="CH9" i="5"/>
  <c r="CP9" i="5" s="1"/>
  <c r="BS8" i="5"/>
  <c r="CA8" i="5" s="1"/>
  <c r="BN8" i="5"/>
  <c r="BV8" i="5" s="1"/>
  <c r="CG8" i="5"/>
  <c r="CO8" i="5" s="1"/>
  <c r="U52" i="29"/>
  <c r="BM8" i="5"/>
  <c r="BU8" i="5" s="1"/>
  <c r="BN9" i="5"/>
  <c r="BV9" i="5" s="1"/>
  <c r="BS9" i="5"/>
  <c r="CA9" i="5" s="1"/>
  <c r="CM9" i="5"/>
  <c r="CU9" i="5" s="1"/>
  <c r="DA9" i="5"/>
  <c r="DI9" i="5" s="1"/>
  <c r="T52" i="29"/>
  <c r="S28" i="29"/>
  <c r="T28" i="29"/>
  <c r="AR8" i="5"/>
  <c r="AZ8" i="5" s="1"/>
  <c r="H20" i="29"/>
  <c r="Q20" i="29" s="1"/>
  <c r="AR7" i="5"/>
  <c r="AZ7" i="5" s="1"/>
  <c r="AS9" i="5"/>
  <c r="BA9" i="5" s="1"/>
  <c r="X7" i="5"/>
  <c r="AF7" i="5" s="1"/>
  <c r="AF17" i="5" s="1"/>
  <c r="I33" i="23"/>
  <c r="J77" i="12"/>
  <c r="J87" i="12" s="1"/>
  <c r="H46" i="29"/>
  <c r="I46" i="29" s="1"/>
  <c r="P46" i="29"/>
  <c r="H19" i="29"/>
  <c r="I19" i="29" s="1"/>
  <c r="P19" i="29"/>
  <c r="E8" i="5" s="1"/>
  <c r="M8" i="5" s="1"/>
  <c r="H11" i="29"/>
  <c r="I11" i="29" s="1"/>
  <c r="P11" i="29"/>
  <c r="H37" i="29"/>
  <c r="I37" i="29" s="1"/>
  <c r="P37" i="29"/>
  <c r="H34" i="29"/>
  <c r="Q34" i="29" s="1"/>
  <c r="P34" i="29"/>
  <c r="H43" i="29"/>
  <c r="Q43" i="29" s="1"/>
  <c r="P43" i="29"/>
  <c r="H25" i="29"/>
  <c r="Q25" i="29" s="1"/>
  <c r="AT13" i="5" s="1"/>
  <c r="BB13" i="5" s="1"/>
  <c r="P25" i="29"/>
  <c r="AS13" i="5" s="1"/>
  <c r="BA13" i="5" s="1"/>
  <c r="H10" i="29"/>
  <c r="Q10" i="29" s="1"/>
  <c r="P10" i="29"/>
  <c r="H13" i="29"/>
  <c r="Q13" i="29" s="1"/>
  <c r="P13" i="29"/>
  <c r="H8" i="29"/>
  <c r="Q8" i="29" s="1"/>
  <c r="Z8" i="5" s="1"/>
  <c r="AH8" i="5" s="1"/>
  <c r="P8" i="29"/>
  <c r="Y8" i="5" s="1"/>
  <c r="AG8" i="5" s="1"/>
  <c r="H41" i="29"/>
  <c r="Q41" i="29" s="1"/>
  <c r="P41" i="29"/>
  <c r="H48" i="29"/>
  <c r="Q48" i="29" s="1"/>
  <c r="P48" i="29"/>
  <c r="H7" i="29"/>
  <c r="I7" i="29" s="1"/>
  <c r="R7" i="29" s="1"/>
  <c r="P7" i="29"/>
  <c r="Y7" i="5" s="1"/>
  <c r="AG7" i="5" s="1"/>
  <c r="H36" i="29"/>
  <c r="I36" i="29" s="1"/>
  <c r="P36" i="29"/>
  <c r="H32" i="29"/>
  <c r="Q32" i="29" s="1"/>
  <c r="P32" i="29"/>
  <c r="H16" i="29"/>
  <c r="I16" i="29" s="1"/>
  <c r="P16" i="29"/>
  <c r="Y13" i="5" s="1"/>
  <c r="AG13" i="5" s="1"/>
  <c r="H12" i="29"/>
  <c r="I12" i="29" s="1"/>
  <c r="P12" i="29"/>
  <c r="Y11" i="5" s="1"/>
  <c r="AG11" i="5" s="1"/>
  <c r="H31" i="29"/>
  <c r="Q31" i="29" s="1"/>
  <c r="P31" i="29"/>
  <c r="H47" i="29"/>
  <c r="Q47" i="29" s="1"/>
  <c r="P47" i="29"/>
  <c r="H35" i="29"/>
  <c r="Q35" i="29" s="1"/>
  <c r="P35" i="29"/>
  <c r="H44" i="29"/>
  <c r="Q44" i="29" s="1"/>
  <c r="P44" i="29"/>
  <c r="I24" i="29"/>
  <c r="Q24" i="29"/>
  <c r="AT12" i="5" s="1"/>
  <c r="BB12" i="5" s="1"/>
  <c r="I6" i="29"/>
  <c r="Q6" i="29"/>
  <c r="I22" i="29"/>
  <c r="Q22" i="29"/>
  <c r="AT10" i="5" s="1"/>
  <c r="BB10" i="5" s="1"/>
  <c r="I45" i="29"/>
  <c r="Q45" i="29"/>
  <c r="I18" i="29"/>
  <c r="Q18" i="29"/>
  <c r="DB7" i="5" s="1"/>
  <c r="DJ7" i="5" s="1"/>
  <c r="J42" i="29"/>
  <c r="R42" i="29"/>
  <c r="J30" i="29"/>
  <c r="R30" i="29"/>
  <c r="J29" i="29"/>
  <c r="R29" i="29"/>
  <c r="J23" i="29"/>
  <c r="R23" i="29"/>
  <c r="AU11" i="5" s="1"/>
  <c r="BC11" i="5" s="1"/>
  <c r="J17" i="29"/>
  <c r="R17" i="29"/>
  <c r="I21" i="29"/>
  <c r="H33" i="29"/>
  <c r="Q33" i="29" s="1"/>
  <c r="H9" i="29"/>
  <c r="Q9" i="29" s="1"/>
  <c r="Z9" i="5" s="1"/>
  <c r="AH9" i="5" s="1"/>
  <c r="H38" i="29"/>
  <c r="Q38" i="29" s="1"/>
  <c r="H40" i="29"/>
  <c r="Q40" i="29" s="1"/>
  <c r="H14" i="29"/>
  <c r="Q14" i="29" s="1"/>
  <c r="H39" i="29"/>
  <c r="Q39" i="29" s="1"/>
  <c r="H27" i="29"/>
  <c r="Q27" i="29" s="1"/>
  <c r="H15" i="29"/>
  <c r="Q15" i="29" s="1"/>
  <c r="H26" i="29"/>
  <c r="I5" i="29"/>
  <c r="Q5" i="29"/>
  <c r="D99" i="1"/>
  <c r="F99" i="1"/>
  <c r="E99" i="1"/>
  <c r="BP9" i="5" l="1"/>
  <c r="BX9" i="5" s="1"/>
  <c r="Q5" i="28"/>
  <c r="S5" i="28"/>
  <c r="U5" i="28" s="1"/>
  <c r="CJ9" i="5"/>
  <c r="CR9" i="5" s="1"/>
  <c r="CL8" i="5"/>
  <c r="CT8" i="5" s="1"/>
  <c r="P33" i="28"/>
  <c r="G99" i="1"/>
  <c r="DE8" i="5"/>
  <c r="DM8" i="5" s="1"/>
  <c r="BR8" i="5"/>
  <c r="BZ8" i="5" s="1"/>
  <c r="DC8" i="5"/>
  <c r="DK8" i="5" s="1"/>
  <c r="CI7" i="5"/>
  <c r="CQ7" i="5" s="1"/>
  <c r="BQ8" i="5"/>
  <c r="BY8" i="5" s="1"/>
  <c r="DD8" i="5"/>
  <c r="DL8" i="5" s="1"/>
  <c r="DF12" i="5"/>
  <c r="DN12" i="5" s="1"/>
  <c r="DE12" i="5"/>
  <c r="DM12" i="5" s="1"/>
  <c r="CG7" i="5"/>
  <c r="CO7" i="5" s="1"/>
  <c r="I25" i="23"/>
  <c r="B25" i="23"/>
  <c r="H25" i="23"/>
  <c r="B23" i="23"/>
  <c r="CJ8" i="5"/>
  <c r="CR8" i="5" s="1"/>
  <c r="I23" i="23"/>
  <c r="H23" i="23"/>
  <c r="DD12" i="5"/>
  <c r="DL12" i="5" s="1"/>
  <c r="CI8" i="5"/>
  <c r="CQ8" i="5" s="1"/>
  <c r="N43" i="23"/>
  <c r="N41" i="23"/>
  <c r="H14" i="23"/>
  <c r="N42" i="23"/>
  <c r="Q19" i="29"/>
  <c r="F8" i="5" s="1"/>
  <c r="N8" i="5" s="1"/>
  <c r="I20" i="29"/>
  <c r="R20" i="29" s="1"/>
  <c r="Q36" i="29"/>
  <c r="BO9" i="5"/>
  <c r="BW9" i="5" s="1"/>
  <c r="CI9" i="5"/>
  <c r="CQ9" i="5" s="1"/>
  <c r="DC9" i="5"/>
  <c r="DK9" i="5" s="1"/>
  <c r="BM10" i="5"/>
  <c r="BU10" i="5" s="1"/>
  <c r="BU17" i="5" s="1"/>
  <c r="DA10" i="5"/>
  <c r="DI10" i="5" s="1"/>
  <c r="DI17" i="5" s="1"/>
  <c r="CG10" i="5"/>
  <c r="CO10" i="5" s="1"/>
  <c r="DE9" i="5"/>
  <c r="DM9" i="5" s="1"/>
  <c r="CK9" i="5"/>
  <c r="CS9" i="5" s="1"/>
  <c r="BQ9" i="5"/>
  <c r="BY9" i="5" s="1"/>
  <c r="BN10" i="5"/>
  <c r="BV10" i="5" s="1"/>
  <c r="BV17" i="5" s="1"/>
  <c r="DB10" i="5"/>
  <c r="DJ10" i="5" s="1"/>
  <c r="DJ17" i="5" s="1"/>
  <c r="CH10" i="5"/>
  <c r="CP10" i="5" s="1"/>
  <c r="CP17" i="5" s="1"/>
  <c r="DF9" i="5"/>
  <c r="DN9" i="5" s="1"/>
  <c r="BR9" i="5"/>
  <c r="BZ9" i="5" s="1"/>
  <c r="CL9" i="5"/>
  <c r="CT9" i="5" s="1"/>
  <c r="I10" i="29"/>
  <c r="J10" i="29" s="1"/>
  <c r="I13" i="29"/>
  <c r="J13" i="29" s="1"/>
  <c r="I32" i="29"/>
  <c r="J32" i="29" s="1"/>
  <c r="I25" i="29"/>
  <c r="J25" i="29" s="1"/>
  <c r="Y10" i="5"/>
  <c r="AG10" i="5" s="1"/>
  <c r="AS8" i="5"/>
  <c r="BA8" i="5" s="1"/>
  <c r="AZ17" i="5"/>
  <c r="I47" i="29"/>
  <c r="R47" i="29" s="1"/>
  <c r="AT7" i="5"/>
  <c r="BB7" i="5" s="1"/>
  <c r="F7" i="5"/>
  <c r="N7" i="5" s="1"/>
  <c r="Q7" i="29"/>
  <c r="Z7" i="5" s="1"/>
  <c r="AH7" i="5" s="1"/>
  <c r="F9" i="5"/>
  <c r="N9" i="5" s="1"/>
  <c r="Z12" i="5"/>
  <c r="AH12" i="5" s="1"/>
  <c r="AT14" i="5"/>
  <c r="BB14" i="5" s="1"/>
  <c r="Q46" i="29"/>
  <c r="E9" i="5"/>
  <c r="M9" i="5" s="1"/>
  <c r="M17" i="5" s="1"/>
  <c r="AS14" i="5"/>
  <c r="BA14" i="5" s="1"/>
  <c r="Y12" i="5"/>
  <c r="AG12" i="5" s="1"/>
  <c r="H24" i="23"/>
  <c r="I24" i="23"/>
  <c r="B24" i="23"/>
  <c r="H15" i="23"/>
  <c r="I35" i="29"/>
  <c r="R35" i="29" s="1"/>
  <c r="Q11" i="29"/>
  <c r="Z10" i="5" s="1"/>
  <c r="AH10" i="5" s="1"/>
  <c r="I8" i="29"/>
  <c r="J8" i="29" s="1"/>
  <c r="Q37" i="29"/>
  <c r="I34" i="29"/>
  <c r="R34" i="29" s="1"/>
  <c r="I48" i="29"/>
  <c r="R48" i="29" s="1"/>
  <c r="I43" i="29"/>
  <c r="J43" i="29" s="1"/>
  <c r="I31" i="29"/>
  <c r="R31" i="29" s="1"/>
  <c r="I41" i="29"/>
  <c r="J41" i="29" s="1"/>
  <c r="I44" i="29"/>
  <c r="R44" i="29" s="1"/>
  <c r="Q12" i="29"/>
  <c r="Z11" i="5" s="1"/>
  <c r="AH11" i="5" s="1"/>
  <c r="Q16" i="29"/>
  <c r="Z13" i="5" s="1"/>
  <c r="AH13" i="5" s="1"/>
  <c r="J7" i="29"/>
  <c r="K7" i="29" s="1"/>
  <c r="J24" i="29"/>
  <c r="R24" i="29"/>
  <c r="AU12" i="5" s="1"/>
  <c r="BC12" i="5" s="1"/>
  <c r="J19" i="29"/>
  <c r="R19" i="29"/>
  <c r="J18" i="29"/>
  <c r="R18" i="29"/>
  <c r="DC7" i="5" s="1"/>
  <c r="DK7" i="5" s="1"/>
  <c r="J12" i="29"/>
  <c r="R12" i="29"/>
  <c r="AA11" i="5" s="1"/>
  <c r="AI11" i="5" s="1"/>
  <c r="K17" i="29"/>
  <c r="S17" i="29"/>
  <c r="J46" i="29"/>
  <c r="R46" i="29"/>
  <c r="I26" i="29"/>
  <c r="Q26" i="29"/>
  <c r="J16" i="29"/>
  <c r="R16" i="29"/>
  <c r="J21" i="29"/>
  <c r="R21" i="29"/>
  <c r="K30" i="29"/>
  <c r="S30" i="29"/>
  <c r="J45" i="29"/>
  <c r="R45" i="29"/>
  <c r="K23" i="29"/>
  <c r="S23" i="29"/>
  <c r="AV11" i="5" s="1"/>
  <c r="BD11" i="5" s="1"/>
  <c r="J11" i="29"/>
  <c r="R11" i="29"/>
  <c r="J22" i="29"/>
  <c r="R22" i="29"/>
  <c r="AU10" i="5" s="1"/>
  <c r="BC10" i="5" s="1"/>
  <c r="J37" i="29"/>
  <c r="R37" i="29"/>
  <c r="K29" i="29"/>
  <c r="S29" i="29"/>
  <c r="K42" i="29"/>
  <c r="S42" i="29"/>
  <c r="J6" i="29"/>
  <c r="R6" i="29"/>
  <c r="J36" i="29"/>
  <c r="R36" i="29"/>
  <c r="I9" i="29"/>
  <c r="R9" i="29" s="1"/>
  <c r="AA9" i="5" s="1"/>
  <c r="AI9" i="5" s="1"/>
  <c r="I33" i="29"/>
  <c r="R33" i="29" s="1"/>
  <c r="I39" i="29"/>
  <c r="R39" i="29" s="1"/>
  <c r="I40" i="29"/>
  <c r="R40" i="29" s="1"/>
  <c r="I15" i="29"/>
  <c r="R15" i="29" s="1"/>
  <c r="I38" i="29"/>
  <c r="R38" i="29" s="1"/>
  <c r="I27" i="29"/>
  <c r="R27" i="29" s="1"/>
  <c r="J5" i="29"/>
  <c r="R5" i="29"/>
  <c r="I14" i="29"/>
  <c r="R14" i="29" s="1"/>
  <c r="D100" i="1"/>
  <c r="I44" i="11" s="1"/>
  <c r="E100" i="1"/>
  <c r="J44" i="11" s="1"/>
  <c r="G100" i="1"/>
  <c r="L44" i="11" s="1"/>
  <c r="F100" i="1"/>
  <c r="K44" i="11" s="1"/>
  <c r="F59" i="12"/>
  <c r="F53" i="12"/>
  <c r="F52" i="12"/>
  <c r="F51" i="12"/>
  <c r="G30" i="12"/>
  <c r="G50" i="12" s="1"/>
  <c r="G91" i="12" s="1"/>
  <c r="G121" i="12" s="1"/>
  <c r="G128" i="12" s="1"/>
  <c r="J20" i="29" l="1"/>
  <c r="R10" i="29"/>
  <c r="R13" i="29"/>
  <c r="CO17" i="5"/>
  <c r="AT8" i="5"/>
  <c r="BB8" i="5" s="1"/>
  <c r="AA7" i="5"/>
  <c r="AI7" i="5" s="1"/>
  <c r="J47" i="29"/>
  <c r="S47" i="29" s="1"/>
  <c r="B14" i="23"/>
  <c r="B32" i="23"/>
  <c r="G23" i="23"/>
  <c r="C23" i="23"/>
  <c r="L23" i="23"/>
  <c r="E23" i="23"/>
  <c r="C14" i="23"/>
  <c r="AA13" i="5"/>
  <c r="AI13" i="5" s="1"/>
  <c r="R32" i="29"/>
  <c r="R25" i="29"/>
  <c r="AU13" i="5" s="1"/>
  <c r="BC13" i="5" s="1"/>
  <c r="DC10" i="5"/>
  <c r="DK10" i="5" s="1"/>
  <c r="DK17" i="5" s="1"/>
  <c r="BO10" i="5"/>
  <c r="BW10" i="5" s="1"/>
  <c r="BW17" i="5" s="1"/>
  <c r="CI10" i="5"/>
  <c r="CQ10" i="5" s="1"/>
  <c r="CQ17" i="5" s="1"/>
  <c r="BA17" i="5"/>
  <c r="AG17" i="5"/>
  <c r="G9" i="5"/>
  <c r="O9" i="5" s="1"/>
  <c r="AU14" i="5"/>
  <c r="BC14" i="5" s="1"/>
  <c r="AA12" i="5"/>
  <c r="AI12" i="5" s="1"/>
  <c r="AH17" i="5"/>
  <c r="F10" i="5"/>
  <c r="N10" i="5" s="1"/>
  <c r="N17" i="5" s="1"/>
  <c r="AT9" i="5"/>
  <c r="BB9" i="5" s="1"/>
  <c r="G7" i="5"/>
  <c r="O7" i="5" s="1"/>
  <c r="AU7" i="5"/>
  <c r="BC7" i="5" s="1"/>
  <c r="G8" i="5"/>
  <c r="O8" i="5" s="1"/>
  <c r="AA10" i="5"/>
  <c r="AI10" i="5" s="1"/>
  <c r="B33" i="23"/>
  <c r="C24" i="23"/>
  <c r="L24" i="23"/>
  <c r="G24" i="23"/>
  <c r="E24" i="23"/>
  <c r="C15" i="23"/>
  <c r="B15" i="23"/>
  <c r="L34" i="23"/>
  <c r="H34" i="23"/>
  <c r="G34" i="23"/>
  <c r="C34" i="23"/>
  <c r="E34" i="23"/>
  <c r="K25" i="23"/>
  <c r="F25" i="23"/>
  <c r="D25" i="23"/>
  <c r="L16" i="23"/>
  <c r="K16" i="23"/>
  <c r="G16" i="23"/>
  <c r="E16" i="23"/>
  <c r="J48" i="29"/>
  <c r="K48" i="29" s="1"/>
  <c r="J35" i="29"/>
  <c r="K35" i="29" s="1"/>
  <c r="J31" i="29"/>
  <c r="K31" i="29" s="1"/>
  <c r="R8" i="29"/>
  <c r="AA8" i="5" s="1"/>
  <c r="AI8" i="5" s="1"/>
  <c r="R43" i="29"/>
  <c r="R41" i="29"/>
  <c r="J34" i="29"/>
  <c r="K34" i="29" s="1"/>
  <c r="J44" i="29"/>
  <c r="K44" i="29" s="1"/>
  <c r="S7" i="29"/>
  <c r="K6" i="29"/>
  <c r="S6" i="29"/>
  <c r="K20" i="29"/>
  <c r="S20" i="29"/>
  <c r="K32" i="29"/>
  <c r="S32" i="29"/>
  <c r="K10" i="29"/>
  <c r="S10" i="29"/>
  <c r="K18" i="29"/>
  <c r="S18" i="29"/>
  <c r="DD7" i="5" s="1"/>
  <c r="DL7" i="5" s="1"/>
  <c r="K45" i="29"/>
  <c r="S45" i="29"/>
  <c r="J26" i="29"/>
  <c r="R26" i="29"/>
  <c r="K19" i="29"/>
  <c r="S19" i="29"/>
  <c r="K11" i="29"/>
  <c r="S11" i="29"/>
  <c r="L30" i="29"/>
  <c r="T30" i="29"/>
  <c r="K46" i="29"/>
  <c r="S46" i="29"/>
  <c r="K13" i="29"/>
  <c r="S13" i="29"/>
  <c r="L29" i="29"/>
  <c r="T29" i="29"/>
  <c r="L42" i="29"/>
  <c r="T42" i="29"/>
  <c r="K37" i="29"/>
  <c r="S37" i="29"/>
  <c r="L7" i="29"/>
  <c r="T7" i="29"/>
  <c r="K21" i="29"/>
  <c r="S21" i="29"/>
  <c r="L17" i="29"/>
  <c r="T17" i="29"/>
  <c r="K24" i="29"/>
  <c r="S24" i="29"/>
  <c r="AV12" i="5" s="1"/>
  <c r="BD12" i="5" s="1"/>
  <c r="K25" i="29"/>
  <c r="S25" i="29"/>
  <c r="AV13" i="5" s="1"/>
  <c r="BD13" i="5" s="1"/>
  <c r="K22" i="29"/>
  <c r="S22" i="29"/>
  <c r="AV10" i="5" s="1"/>
  <c r="BD10" i="5" s="1"/>
  <c r="L23" i="29"/>
  <c r="T23" i="29"/>
  <c r="AW11" i="5" s="1"/>
  <c r="BE11" i="5" s="1"/>
  <c r="K36" i="29"/>
  <c r="S36" i="29"/>
  <c r="K41" i="29"/>
  <c r="S41" i="29"/>
  <c r="K43" i="29"/>
  <c r="S43" i="29"/>
  <c r="K16" i="29"/>
  <c r="S16" i="29"/>
  <c r="K12" i="29"/>
  <c r="S12" i="29"/>
  <c r="AB11" i="5" s="1"/>
  <c r="AJ11" i="5" s="1"/>
  <c r="K8" i="29"/>
  <c r="S8" i="29"/>
  <c r="AB8" i="5" s="1"/>
  <c r="AJ8" i="5" s="1"/>
  <c r="J33" i="29"/>
  <c r="S33" i="29" s="1"/>
  <c r="J9" i="29"/>
  <c r="S9" i="29" s="1"/>
  <c r="AB9" i="5" s="1"/>
  <c r="AJ9" i="5" s="1"/>
  <c r="J14" i="29"/>
  <c r="S14" i="29" s="1"/>
  <c r="J15" i="29"/>
  <c r="S15" i="29" s="1"/>
  <c r="J27" i="29"/>
  <c r="S27" i="29" s="1"/>
  <c r="J40" i="29"/>
  <c r="S40" i="29" s="1"/>
  <c r="J38" i="29"/>
  <c r="S38" i="29" s="1"/>
  <c r="J39" i="29"/>
  <c r="S39" i="29" s="1"/>
  <c r="K5" i="29"/>
  <c r="S5" i="29"/>
  <c r="K47" i="29"/>
  <c r="T47" i="29" s="1"/>
  <c r="H99" i="1"/>
  <c r="J99" i="1"/>
  <c r="I99" i="1"/>
  <c r="S33" i="28" l="1"/>
  <c r="I14" i="23"/>
  <c r="I15" i="23"/>
  <c r="H16" i="23"/>
  <c r="B16" i="23"/>
  <c r="F16" i="23"/>
  <c r="D16" i="23"/>
  <c r="M25" i="23"/>
  <c r="F34" i="23"/>
  <c r="M34" i="23"/>
  <c r="K34" i="23"/>
  <c r="J16" i="23"/>
  <c r="J34" i="23"/>
  <c r="D34" i="23"/>
  <c r="J25" i="23"/>
  <c r="M16" i="23"/>
  <c r="B34" i="23"/>
  <c r="E25" i="23"/>
  <c r="C16" i="23"/>
  <c r="L25" i="23"/>
  <c r="G25" i="23"/>
  <c r="C25" i="23"/>
  <c r="I16" i="23"/>
  <c r="J23" i="23"/>
  <c r="BB17" i="5"/>
  <c r="S31" i="29"/>
  <c r="AU8" i="5"/>
  <c r="BC8" i="5" s="1"/>
  <c r="K14" i="23"/>
  <c r="G14" i="23"/>
  <c r="D23" i="23"/>
  <c r="E14" i="23"/>
  <c r="K23" i="23"/>
  <c r="F23" i="23"/>
  <c r="L32" i="23"/>
  <c r="C32" i="23"/>
  <c r="E32" i="23"/>
  <c r="H32" i="23"/>
  <c r="G32" i="23"/>
  <c r="L14" i="23"/>
  <c r="CJ10" i="5"/>
  <c r="CR10" i="5" s="1"/>
  <c r="CR17" i="5" s="1"/>
  <c r="DD10" i="5"/>
  <c r="DL10" i="5" s="1"/>
  <c r="DL17" i="5" s="1"/>
  <c r="BP10" i="5"/>
  <c r="BX10" i="5" s="1"/>
  <c r="BX17" i="5" s="1"/>
  <c r="S48" i="29"/>
  <c r="AB13" i="5"/>
  <c r="AJ13" i="5" s="1"/>
  <c r="AB7" i="5"/>
  <c r="AJ7" i="5" s="1"/>
  <c r="S35" i="29"/>
  <c r="S34" i="29"/>
  <c r="AI17" i="5"/>
  <c r="AV14" i="5"/>
  <c r="BD14" i="5" s="1"/>
  <c r="H9" i="5"/>
  <c r="P9" i="5" s="1"/>
  <c r="AB12" i="5"/>
  <c r="AJ12" i="5" s="1"/>
  <c r="AV7" i="5"/>
  <c r="BD7" i="5" s="1"/>
  <c r="H7" i="5"/>
  <c r="P7" i="5" s="1"/>
  <c r="AB10" i="5"/>
  <c r="AJ10" i="5" s="1"/>
  <c r="H8" i="5"/>
  <c r="P8" i="5" s="1"/>
  <c r="AU9" i="5"/>
  <c r="BC9" i="5" s="1"/>
  <c r="G10" i="5"/>
  <c r="O10" i="5" s="1"/>
  <c r="O17" i="5" s="1"/>
  <c r="C33" i="23"/>
  <c r="E33" i="23"/>
  <c r="L33" i="23"/>
  <c r="D24" i="23"/>
  <c r="L15" i="23"/>
  <c r="K15" i="23"/>
  <c r="H33" i="23"/>
  <c r="K24" i="23"/>
  <c r="G33" i="23"/>
  <c r="F24" i="23"/>
  <c r="G15" i="23"/>
  <c r="E15" i="23"/>
  <c r="S44" i="29"/>
  <c r="L34" i="29"/>
  <c r="T34" i="29"/>
  <c r="L21" i="29"/>
  <c r="T21" i="29"/>
  <c r="L46" i="29"/>
  <c r="T46" i="29"/>
  <c r="L35" i="29"/>
  <c r="T35" i="29"/>
  <c r="M7" i="29"/>
  <c r="V7" i="29" s="1"/>
  <c r="U7" i="29"/>
  <c r="M30" i="29"/>
  <c r="V30" i="29" s="1"/>
  <c r="U30" i="29"/>
  <c r="L18" i="29"/>
  <c r="T18" i="29"/>
  <c r="DE7" i="5" s="1"/>
  <c r="DM7" i="5" s="1"/>
  <c r="L31" i="29"/>
  <c r="T31" i="29"/>
  <c r="L11" i="29"/>
  <c r="T11" i="29"/>
  <c r="L10" i="29"/>
  <c r="T10" i="29"/>
  <c r="L25" i="29"/>
  <c r="T25" i="29"/>
  <c r="AW13" i="5" s="1"/>
  <c r="BE13" i="5" s="1"/>
  <c r="L36" i="29"/>
  <c r="T36" i="29"/>
  <c r="L37" i="29"/>
  <c r="T37" i="29"/>
  <c r="L43" i="29"/>
  <c r="T43" i="29"/>
  <c r="L8" i="29"/>
  <c r="T8" i="29"/>
  <c r="AC8" i="5" s="1"/>
  <c r="AK8" i="5" s="1"/>
  <c r="M23" i="29"/>
  <c r="V23" i="29" s="1"/>
  <c r="AY11" i="5" s="1"/>
  <c r="BG11" i="5" s="1"/>
  <c r="U23" i="29"/>
  <c r="AX11" i="5" s="1"/>
  <c r="BF11" i="5" s="1"/>
  <c r="L48" i="29"/>
  <c r="T48" i="29"/>
  <c r="M42" i="29"/>
  <c r="V42" i="29" s="1"/>
  <c r="U42" i="29"/>
  <c r="L19" i="29"/>
  <c r="T19" i="29"/>
  <c r="L32" i="29"/>
  <c r="T32" i="29"/>
  <c r="L41" i="29"/>
  <c r="T41" i="29"/>
  <c r="L22" i="29"/>
  <c r="T22" i="29"/>
  <c r="AW10" i="5" s="1"/>
  <c r="BE10" i="5" s="1"/>
  <c r="L24" i="29"/>
  <c r="T24" i="29"/>
  <c r="AW12" i="5" s="1"/>
  <c r="BE12" i="5" s="1"/>
  <c r="M29" i="29"/>
  <c r="V29" i="29" s="1"/>
  <c r="U29" i="29"/>
  <c r="K26" i="29"/>
  <c r="S26" i="29"/>
  <c r="L20" i="29"/>
  <c r="T20" i="29"/>
  <c r="L12" i="29"/>
  <c r="T12" i="29"/>
  <c r="AC11" i="5" s="1"/>
  <c r="AK11" i="5" s="1"/>
  <c r="L16" i="29"/>
  <c r="T16" i="29"/>
  <c r="L44" i="29"/>
  <c r="T44" i="29"/>
  <c r="M17" i="29"/>
  <c r="V17" i="29" s="1"/>
  <c r="U17" i="29"/>
  <c r="L13" i="29"/>
  <c r="T13" i="29"/>
  <c r="L45" i="29"/>
  <c r="T45" i="29"/>
  <c r="L6" i="29"/>
  <c r="T6" i="29"/>
  <c r="K9" i="29"/>
  <c r="T9" i="29" s="1"/>
  <c r="AC9" i="5" s="1"/>
  <c r="AK9" i="5" s="1"/>
  <c r="K33" i="29"/>
  <c r="T33" i="29" s="1"/>
  <c r="K40" i="29"/>
  <c r="T40" i="29" s="1"/>
  <c r="L47" i="29"/>
  <c r="U47" i="29" s="1"/>
  <c r="K27" i="29"/>
  <c r="T27" i="29" s="1"/>
  <c r="K15" i="29"/>
  <c r="T15" i="29" s="1"/>
  <c r="L5" i="29"/>
  <c r="T5" i="29"/>
  <c r="K38" i="29"/>
  <c r="T38" i="29" s="1"/>
  <c r="K39" i="29"/>
  <c r="T39" i="29" s="1"/>
  <c r="K14" i="29"/>
  <c r="T14" i="29" s="1"/>
  <c r="H100" i="1"/>
  <c r="M44" i="11" s="1"/>
  <c r="J100" i="1"/>
  <c r="O44" i="11" s="1"/>
  <c r="I100" i="1"/>
  <c r="N44" i="11" s="1"/>
  <c r="C11" i="25"/>
  <c r="T33" i="28" l="1"/>
  <c r="BC17" i="5"/>
  <c r="F32" i="23"/>
  <c r="N25" i="23"/>
  <c r="M32" i="23"/>
  <c r="N16" i="23"/>
  <c r="N34" i="23"/>
  <c r="K32" i="23"/>
  <c r="J32" i="23"/>
  <c r="D14" i="23"/>
  <c r="D32" i="23"/>
  <c r="J14" i="23"/>
  <c r="M23" i="23"/>
  <c r="N23" i="23" s="1"/>
  <c r="F14" i="23"/>
  <c r="M14" i="23"/>
  <c r="F15" i="23"/>
  <c r="K33" i="23"/>
  <c r="J33" i="23"/>
  <c r="D15" i="23"/>
  <c r="M24" i="23"/>
  <c r="M15" i="23"/>
  <c r="D33" i="23"/>
  <c r="J24" i="23"/>
  <c r="F33" i="23"/>
  <c r="J15" i="23"/>
  <c r="M33" i="23"/>
  <c r="AV8" i="5"/>
  <c r="BD8" i="5" s="1"/>
  <c r="CK10" i="5"/>
  <c r="CS10" i="5" s="1"/>
  <c r="CS17" i="5" s="1"/>
  <c r="DE10" i="5"/>
  <c r="DM10" i="5" s="1"/>
  <c r="DM17" i="5" s="1"/>
  <c r="BQ10" i="5"/>
  <c r="BY10" i="5" s="1"/>
  <c r="BY17" i="5" s="1"/>
  <c r="AJ17" i="5"/>
  <c r="I8" i="5"/>
  <c r="Q8" i="5" s="1"/>
  <c r="AC7" i="5"/>
  <c r="AK7" i="5" s="1"/>
  <c r="AC10" i="5"/>
  <c r="AK10" i="5" s="1"/>
  <c r="AC13" i="5"/>
  <c r="AK13" i="5" s="1"/>
  <c r="H10" i="5"/>
  <c r="P10" i="5" s="1"/>
  <c r="P17" i="5" s="1"/>
  <c r="AV9" i="5"/>
  <c r="BD9" i="5" s="1"/>
  <c r="AW7" i="5"/>
  <c r="BE7" i="5" s="1"/>
  <c r="I7" i="5"/>
  <c r="Q7" i="5" s="1"/>
  <c r="I9" i="5"/>
  <c r="Q9" i="5" s="1"/>
  <c r="AW14" i="5"/>
  <c r="BE14" i="5" s="1"/>
  <c r="AC12" i="5"/>
  <c r="AK12" i="5" s="1"/>
  <c r="AW8" i="5"/>
  <c r="BE8" i="5" s="1"/>
  <c r="M48" i="29"/>
  <c r="V48" i="29" s="1"/>
  <c r="U48" i="29"/>
  <c r="M22" i="29"/>
  <c r="V22" i="29" s="1"/>
  <c r="AY10" i="5" s="1"/>
  <c r="BG10" i="5" s="1"/>
  <c r="U22" i="29"/>
  <c r="AX10" i="5" s="1"/>
  <c r="BF10" i="5" s="1"/>
  <c r="M10" i="29"/>
  <c r="V10" i="29" s="1"/>
  <c r="U10" i="29"/>
  <c r="M35" i="29"/>
  <c r="V35" i="29" s="1"/>
  <c r="U35" i="29"/>
  <c r="M25" i="29"/>
  <c r="V25" i="29" s="1"/>
  <c r="AY13" i="5" s="1"/>
  <c r="BG13" i="5" s="1"/>
  <c r="U25" i="29"/>
  <c r="AX13" i="5" s="1"/>
  <c r="BF13" i="5" s="1"/>
  <c r="M36" i="29"/>
  <c r="V36" i="29" s="1"/>
  <c r="U36" i="29"/>
  <c r="M24" i="29"/>
  <c r="V24" i="29" s="1"/>
  <c r="AY12" i="5" s="1"/>
  <c r="BG12" i="5" s="1"/>
  <c r="U24" i="29"/>
  <c r="AX12" i="5" s="1"/>
  <c r="BF12" i="5" s="1"/>
  <c r="M6" i="29"/>
  <c r="V6" i="29" s="1"/>
  <c r="U6" i="29"/>
  <c r="M12" i="29"/>
  <c r="V12" i="29" s="1"/>
  <c r="AE11" i="5" s="1"/>
  <c r="AM11" i="5" s="1"/>
  <c r="U12" i="29"/>
  <c r="AD11" i="5" s="1"/>
  <c r="AL11" i="5" s="1"/>
  <c r="M41" i="29"/>
  <c r="V41" i="29" s="1"/>
  <c r="U41" i="29"/>
  <c r="M8" i="29"/>
  <c r="V8" i="29" s="1"/>
  <c r="AE8" i="5" s="1"/>
  <c r="AM8" i="5" s="1"/>
  <c r="U8" i="29"/>
  <c r="AD8" i="5" s="1"/>
  <c r="AL8" i="5" s="1"/>
  <c r="M11" i="29"/>
  <c r="V11" i="29" s="1"/>
  <c r="U11" i="29"/>
  <c r="M46" i="29"/>
  <c r="V46" i="29" s="1"/>
  <c r="U46" i="29"/>
  <c r="M16" i="29"/>
  <c r="V16" i="29" s="1"/>
  <c r="U16" i="29"/>
  <c r="M45" i="29"/>
  <c r="V45" i="29" s="1"/>
  <c r="U45" i="29"/>
  <c r="M32" i="29"/>
  <c r="V32" i="29" s="1"/>
  <c r="U32" i="29"/>
  <c r="M43" i="29"/>
  <c r="V43" i="29" s="1"/>
  <c r="U43" i="29"/>
  <c r="M31" i="29"/>
  <c r="V31" i="29" s="1"/>
  <c r="U31" i="29"/>
  <c r="M21" i="29"/>
  <c r="V21" i="29" s="1"/>
  <c r="U21" i="29"/>
  <c r="M44" i="29"/>
  <c r="V44" i="29" s="1"/>
  <c r="U44" i="29"/>
  <c r="M20" i="29"/>
  <c r="V20" i="29" s="1"/>
  <c r="U20" i="29"/>
  <c r="M13" i="29"/>
  <c r="V13" i="29" s="1"/>
  <c r="U13" i="29"/>
  <c r="L26" i="29"/>
  <c r="T26" i="29"/>
  <c r="M19" i="29"/>
  <c r="V19" i="29" s="1"/>
  <c r="U19" i="29"/>
  <c r="M37" i="29"/>
  <c r="V37" i="29" s="1"/>
  <c r="U37" i="29"/>
  <c r="M18" i="29"/>
  <c r="V18" i="29" s="1"/>
  <c r="DG7" i="5" s="1"/>
  <c r="DO7" i="5" s="1"/>
  <c r="U18" i="29"/>
  <c r="DF7" i="5" s="1"/>
  <c r="DN7" i="5" s="1"/>
  <c r="M34" i="29"/>
  <c r="V34" i="29" s="1"/>
  <c r="U34" i="29"/>
  <c r="L33" i="29"/>
  <c r="U33" i="29" s="1"/>
  <c r="L9" i="29"/>
  <c r="U9" i="29" s="1"/>
  <c r="AD9" i="5" s="1"/>
  <c r="AL9" i="5" s="1"/>
  <c r="M5" i="29"/>
  <c r="V5" i="29" s="1"/>
  <c r="U5" i="29"/>
  <c r="L15" i="29"/>
  <c r="U15" i="29" s="1"/>
  <c r="L27" i="29"/>
  <c r="U27" i="29" s="1"/>
  <c r="L14" i="29"/>
  <c r="U14" i="29" s="1"/>
  <c r="M47" i="29"/>
  <c r="V47" i="29" s="1"/>
  <c r="L38" i="29"/>
  <c r="U38" i="29" s="1"/>
  <c r="L39" i="29"/>
  <c r="U39" i="29" s="1"/>
  <c r="L40" i="29"/>
  <c r="U40" i="29" s="1"/>
  <c r="C29" i="25"/>
  <c r="D29" i="25" s="1"/>
  <c r="E29" i="25" s="1"/>
  <c r="F29" i="25" s="1"/>
  <c r="G29" i="25" s="1"/>
  <c r="H29" i="25" s="1"/>
  <c r="I29" i="25" s="1"/>
  <c r="J29" i="25" s="1"/>
  <c r="C30" i="25"/>
  <c r="D30" i="25" s="1"/>
  <c r="E30" i="25" s="1"/>
  <c r="F30" i="25" s="1"/>
  <c r="G30" i="25" s="1"/>
  <c r="H30" i="25" s="1"/>
  <c r="I30" i="25" s="1"/>
  <c r="J30" i="25" s="1"/>
  <c r="C31" i="25"/>
  <c r="D31" i="25" s="1"/>
  <c r="E31" i="25" s="1"/>
  <c r="F31" i="25" s="1"/>
  <c r="G31" i="25" s="1"/>
  <c r="H31" i="25" s="1"/>
  <c r="I31" i="25" s="1"/>
  <c r="J31" i="25" s="1"/>
  <c r="U33" i="28" l="1"/>
  <c r="AD7" i="5"/>
  <c r="AL7" i="5" s="1"/>
  <c r="AE7" i="5"/>
  <c r="AM7" i="5" s="1"/>
  <c r="N32" i="23"/>
  <c r="N14" i="23"/>
  <c r="N15" i="23"/>
  <c r="N33" i="23"/>
  <c r="N24" i="23"/>
  <c r="BD17" i="5"/>
  <c r="AD10" i="5"/>
  <c r="AL10" i="5" s="1"/>
  <c r="DF10" i="5"/>
  <c r="DN10" i="5" s="1"/>
  <c r="DN17" i="5" s="1"/>
  <c r="BR10" i="5"/>
  <c r="BZ10" i="5" s="1"/>
  <c r="BZ17" i="5" s="1"/>
  <c r="CL10" i="5"/>
  <c r="CT10" i="5" s="1"/>
  <c r="CT17" i="5" s="1"/>
  <c r="CM10" i="5"/>
  <c r="CU10" i="5" s="1"/>
  <c r="CU17" i="5" s="1"/>
  <c r="DG10" i="5"/>
  <c r="DO10" i="5" s="1"/>
  <c r="DO17" i="5" s="1"/>
  <c r="BS10" i="5"/>
  <c r="CA10" i="5" s="1"/>
  <c r="CA17" i="5" s="1"/>
  <c r="AE10" i="5"/>
  <c r="AM10" i="5" s="1"/>
  <c r="AK17" i="5"/>
  <c r="AD13" i="5"/>
  <c r="AL13" i="5" s="1"/>
  <c r="AE12" i="5"/>
  <c r="AM12" i="5" s="1"/>
  <c r="AY14" i="5"/>
  <c r="BG14" i="5" s="1"/>
  <c r="K9" i="5"/>
  <c r="S9" i="5" s="1"/>
  <c r="J7" i="5"/>
  <c r="R7" i="5" s="1"/>
  <c r="AX7" i="5"/>
  <c r="BF7" i="5" s="1"/>
  <c r="AY7" i="5"/>
  <c r="BG7" i="5" s="1"/>
  <c r="K7" i="5"/>
  <c r="S7" i="5" s="1"/>
  <c r="AX8" i="5"/>
  <c r="BF8" i="5" s="1"/>
  <c r="J8" i="5"/>
  <c r="R8" i="5" s="1"/>
  <c r="J9" i="5"/>
  <c r="R9" i="5" s="1"/>
  <c r="AX14" i="5"/>
  <c r="BF14" i="5" s="1"/>
  <c r="AD12" i="5"/>
  <c r="AL12" i="5" s="1"/>
  <c r="K8" i="5"/>
  <c r="S8" i="5" s="1"/>
  <c r="I10" i="5"/>
  <c r="Q10" i="5" s="1"/>
  <c r="Q17" i="5" s="1"/>
  <c r="AW9" i="5"/>
  <c r="BE9" i="5" s="1"/>
  <c r="BE17" i="5" s="1"/>
  <c r="M26" i="29"/>
  <c r="V26" i="29" s="1"/>
  <c r="U26" i="29"/>
  <c r="M9" i="29"/>
  <c r="V9" i="29" s="1"/>
  <c r="AE9" i="5" s="1"/>
  <c r="AM9" i="5" s="1"/>
  <c r="M33" i="29"/>
  <c r="V33" i="29" s="1"/>
  <c r="M14" i="29"/>
  <c r="V14" i="29" s="1"/>
  <c r="M27" i="29"/>
  <c r="V27" i="29" s="1"/>
  <c r="M40" i="29"/>
  <c r="V40" i="29" s="1"/>
  <c r="M15" i="29"/>
  <c r="V15" i="29" s="1"/>
  <c r="M38" i="29"/>
  <c r="V38" i="29" s="1"/>
  <c r="M39" i="29"/>
  <c r="V39" i="29" s="1"/>
  <c r="AY8" i="5" l="1"/>
  <c r="BG8" i="5" s="1"/>
  <c r="AE13" i="5"/>
  <c r="AM13" i="5" s="1"/>
  <c r="AM17" i="5" s="1"/>
  <c r="AL17" i="5"/>
  <c r="J10" i="5"/>
  <c r="R10" i="5" s="1"/>
  <c r="R17" i="5" s="1"/>
  <c r="AX9" i="5"/>
  <c r="BF9" i="5" s="1"/>
  <c r="BF17" i="5" s="1"/>
  <c r="AY9" i="5"/>
  <c r="BG9" i="5" s="1"/>
  <c r="K10" i="5"/>
  <c r="S10" i="5" s="1"/>
  <c r="S17" i="5" s="1"/>
  <c r="AE47" i="11"/>
  <c r="S36" i="11"/>
  <c r="T36" i="11" s="1"/>
  <c r="U36" i="11" s="1"/>
  <c r="V36" i="11" s="1"/>
  <c r="W36" i="11" s="1"/>
  <c r="X36" i="11" s="1"/>
  <c r="Y36" i="11" s="1"/>
  <c r="S2" i="11"/>
  <c r="T2" i="11" s="1"/>
  <c r="U2" i="11" s="1"/>
  <c r="V2" i="11" s="1"/>
  <c r="W2" i="11" s="1"/>
  <c r="X2" i="11" s="1"/>
  <c r="Y2" i="11" s="1"/>
  <c r="BG17" i="5" l="1"/>
  <c r="G93" i="11"/>
  <c r="B22" i="23" l="1"/>
  <c r="H21" i="23"/>
  <c r="A1" i="20"/>
  <c r="A74" i="11"/>
  <c r="A33" i="20"/>
  <c r="A34" i="20" s="1"/>
  <c r="A35" i="20" s="1"/>
  <c r="A36" i="20" s="1"/>
  <c r="A37" i="20" s="1"/>
  <c r="A38" i="20" s="1"/>
  <c r="A39" i="20" s="1"/>
  <c r="I30" i="23" l="1"/>
  <c r="I21" i="23"/>
  <c r="B21" i="23"/>
  <c r="I22" i="23"/>
  <c r="I31" i="23"/>
  <c r="H22" i="23"/>
  <c r="G18" i="11"/>
  <c r="B4" i="22"/>
  <c r="J3" i="22"/>
  <c r="I3" i="22"/>
  <c r="H3" i="22"/>
  <c r="G3" i="22"/>
  <c r="F3" i="22"/>
  <c r="E3" i="22"/>
  <c r="D3" i="22"/>
  <c r="C3" i="22"/>
  <c r="B3" i="22"/>
  <c r="C1" i="22"/>
  <c r="D1" i="22" s="1"/>
  <c r="E1" i="22" s="1"/>
  <c r="F1" i="22" s="1"/>
  <c r="G1" i="22" s="1"/>
  <c r="H1" i="22" s="1"/>
  <c r="I1" i="22" s="1"/>
  <c r="J1" i="22" s="1"/>
  <c r="G95" i="11" l="1"/>
  <c r="G67" i="11"/>
  <c r="M24" i="3"/>
  <c r="C82" i="1"/>
  <c r="Z289" i="14" l="1"/>
  <c r="Y289" i="14" s="1"/>
  <c r="Z288" i="14"/>
  <c r="Y288" i="14" s="1"/>
  <c r="Z287" i="14"/>
  <c r="Y287" i="14" s="1"/>
  <c r="Z286" i="14"/>
  <c r="Y286" i="14" s="1"/>
  <c r="Z285" i="14"/>
  <c r="Y285" i="14" s="1"/>
  <c r="W285" i="14" s="1"/>
  <c r="Z284" i="14"/>
  <c r="Y284" i="14" s="1"/>
  <c r="W284" i="14" s="1"/>
  <c r="Z283" i="14"/>
  <c r="Y283" i="14" s="1"/>
  <c r="Z282" i="14"/>
  <c r="Y282" i="14" s="1"/>
  <c r="W282" i="14" s="1"/>
  <c r="Z281" i="14"/>
  <c r="Y281" i="14" s="1"/>
  <c r="W281" i="14" s="1"/>
  <c r="Z280" i="14"/>
  <c r="Y280" i="14" s="1"/>
  <c r="Z279" i="14"/>
  <c r="Y279" i="14" s="1"/>
  <c r="W279" i="14" s="1"/>
  <c r="Z278" i="14"/>
  <c r="Y278" i="14" s="1"/>
  <c r="W278" i="14" s="1"/>
  <c r="Z277" i="14"/>
  <c r="Y277" i="14" s="1"/>
  <c r="Z276" i="14"/>
  <c r="Y276" i="14" s="1"/>
  <c r="Z275" i="14"/>
  <c r="Y275" i="14" s="1"/>
  <c r="Z274" i="14"/>
  <c r="Y274" i="14" s="1"/>
  <c r="Z273" i="14"/>
  <c r="Y273" i="14" s="1"/>
  <c r="W273" i="14" s="1"/>
  <c r="Z272" i="14"/>
  <c r="Y272" i="14" s="1"/>
  <c r="W272" i="14" s="1"/>
  <c r="Z271" i="14"/>
  <c r="Y271" i="14" s="1"/>
  <c r="Z270" i="14"/>
  <c r="Y270" i="14" s="1"/>
  <c r="W270" i="14" s="1"/>
  <c r="Z269" i="14"/>
  <c r="Y269" i="14" s="1"/>
  <c r="W269" i="14" s="1"/>
  <c r="Z268" i="14"/>
  <c r="Y268" i="14" s="1"/>
  <c r="Z267" i="14"/>
  <c r="Y267" i="14" s="1"/>
  <c r="W267" i="14" s="1"/>
  <c r="Z266" i="14"/>
  <c r="Y266" i="14" s="1"/>
  <c r="W266" i="14" s="1"/>
  <c r="Z265" i="14"/>
  <c r="Y265" i="14" s="1"/>
  <c r="Z264" i="14"/>
  <c r="Y264" i="14" s="1"/>
  <c r="Z263" i="14"/>
  <c r="Y263" i="14" s="1"/>
  <c r="Z262" i="14"/>
  <c r="Y262" i="14" s="1"/>
  <c r="Z261" i="14"/>
  <c r="Y261" i="14" s="1"/>
  <c r="W261" i="14" s="1"/>
  <c r="Z260" i="14"/>
  <c r="Y260" i="14" s="1"/>
  <c r="W260" i="14" s="1"/>
  <c r="Z259" i="14"/>
  <c r="Y259" i="14" s="1"/>
  <c r="Z258" i="14"/>
  <c r="Y258" i="14" s="1"/>
  <c r="W258" i="14" s="1"/>
  <c r="Z257" i="14"/>
  <c r="Y257" i="14" s="1"/>
  <c r="W257" i="14" s="1"/>
  <c r="Z256" i="14"/>
  <c r="Y256" i="14" s="1"/>
  <c r="Z255" i="14"/>
  <c r="Y255" i="14" s="1"/>
  <c r="W255" i="14" s="1"/>
  <c r="Z254" i="14"/>
  <c r="Y254" i="14" s="1"/>
  <c r="W254" i="14" s="1"/>
  <c r="Z253" i="14"/>
  <c r="Y253" i="14" s="1"/>
  <c r="Z252" i="14"/>
  <c r="Y252" i="14" s="1"/>
  <c r="Z251" i="14"/>
  <c r="Y251" i="14" s="1"/>
  <c r="Z250" i="14"/>
  <c r="Y250" i="14" s="1"/>
  <c r="Z249" i="14"/>
  <c r="Y249" i="14" s="1"/>
  <c r="W249" i="14" s="1"/>
  <c r="Z248" i="14"/>
  <c r="Y248" i="14" s="1"/>
  <c r="W248" i="14" s="1"/>
  <c r="Z247" i="14"/>
  <c r="Y247" i="14" s="1"/>
  <c r="Z246" i="14"/>
  <c r="Y246" i="14" s="1"/>
  <c r="W246" i="14" s="1"/>
  <c r="Z245" i="14"/>
  <c r="Y245" i="14" s="1"/>
  <c r="W245" i="14" s="1"/>
  <c r="Z244" i="14"/>
  <c r="Y244" i="14" s="1"/>
  <c r="Z243" i="14"/>
  <c r="Y243" i="14" s="1"/>
  <c r="W243" i="14" s="1"/>
  <c r="Z242" i="14"/>
  <c r="Y242" i="14" s="1"/>
  <c r="W242" i="14" s="1"/>
  <c r="Z241" i="14"/>
  <c r="Y241" i="14" s="1"/>
  <c r="Z240" i="14"/>
  <c r="Y240" i="14" s="1"/>
  <c r="Z239" i="14"/>
  <c r="Y239" i="14" s="1"/>
  <c r="Z238" i="14"/>
  <c r="Y238" i="14" s="1"/>
  <c r="Z237" i="14"/>
  <c r="Y237" i="14" s="1"/>
  <c r="W237" i="14" s="1"/>
  <c r="Z236" i="14"/>
  <c r="Y236" i="14" s="1"/>
  <c r="W236" i="14" s="1"/>
  <c r="Z235" i="14"/>
  <c r="Y235" i="14" s="1"/>
  <c r="Z234" i="14"/>
  <c r="Y234" i="14" s="1"/>
  <c r="W234" i="14" s="1"/>
  <c r="Z233" i="14"/>
  <c r="Y233" i="14" s="1"/>
  <c r="W233" i="14" s="1"/>
  <c r="Z232" i="14"/>
  <c r="Y232" i="14" s="1"/>
  <c r="Z231" i="14"/>
  <c r="Y231" i="14" s="1"/>
  <c r="W231" i="14" s="1"/>
  <c r="Z230" i="14"/>
  <c r="Y230" i="14" s="1"/>
  <c r="W230" i="14" s="1"/>
  <c r="Z229" i="14"/>
  <c r="Y229" i="14" s="1"/>
  <c r="Z228" i="14"/>
  <c r="Y228" i="14" s="1"/>
  <c r="Z227" i="14"/>
  <c r="Y227" i="14" s="1"/>
  <c r="Z226" i="14"/>
  <c r="Y226" i="14" s="1"/>
  <c r="Z225" i="14"/>
  <c r="Y225" i="14" s="1"/>
  <c r="W225" i="14" s="1"/>
  <c r="Z224" i="14"/>
  <c r="Y224" i="14" s="1"/>
  <c r="W224" i="14" s="1"/>
  <c r="Z223" i="14"/>
  <c r="Y223" i="14" s="1"/>
  <c r="Z222" i="14"/>
  <c r="Y222" i="14" s="1"/>
  <c r="W222" i="14" s="1"/>
  <c r="Z221" i="14"/>
  <c r="Y221" i="14" s="1"/>
  <c r="W221" i="14" s="1"/>
  <c r="Z220" i="14"/>
  <c r="Y220" i="14" s="1"/>
  <c r="Z219" i="14"/>
  <c r="Y219" i="14" s="1"/>
  <c r="W219" i="14" s="1"/>
  <c r="Z218" i="14"/>
  <c r="Y218" i="14" s="1"/>
  <c r="W218" i="14" s="1"/>
  <c r="Z217" i="14"/>
  <c r="Y217" i="14" s="1"/>
  <c r="Z216" i="14"/>
  <c r="Y216" i="14" s="1"/>
  <c r="Z215" i="14"/>
  <c r="Y215" i="14" s="1"/>
  <c r="Z214" i="14"/>
  <c r="Y214" i="14" s="1"/>
  <c r="Z213" i="14"/>
  <c r="Y213" i="14" s="1"/>
  <c r="W213" i="14" s="1"/>
  <c r="Z212" i="14"/>
  <c r="Y212" i="14" s="1"/>
  <c r="W212" i="14" s="1"/>
  <c r="Z211" i="14"/>
  <c r="Y211" i="14" s="1"/>
  <c r="Z210" i="14"/>
  <c r="Y210" i="14" s="1"/>
  <c r="W210" i="14" s="1"/>
  <c r="Z209" i="14"/>
  <c r="Y209" i="14" s="1"/>
  <c r="W209" i="14" s="1"/>
  <c r="Z208" i="14"/>
  <c r="Y208" i="14" s="1"/>
  <c r="Z207" i="14"/>
  <c r="Y207" i="14" s="1"/>
  <c r="W207" i="14" s="1"/>
  <c r="Z206" i="14"/>
  <c r="Y206" i="14" s="1"/>
  <c r="W206" i="14" s="1"/>
  <c r="Z205" i="14"/>
  <c r="Y205" i="14" s="1"/>
  <c r="Z204" i="14"/>
  <c r="Y204" i="14" s="1"/>
  <c r="Z203" i="14"/>
  <c r="Y203" i="14" s="1"/>
  <c r="Z202" i="14"/>
  <c r="Y202" i="14" s="1"/>
  <c r="Z201" i="14"/>
  <c r="Y201" i="14" s="1"/>
  <c r="W201" i="14" s="1"/>
  <c r="Z200" i="14"/>
  <c r="Y200" i="14" s="1"/>
  <c r="W200" i="14" s="1"/>
  <c r="Z199" i="14"/>
  <c r="Y199" i="14" s="1"/>
  <c r="Z198" i="14"/>
  <c r="Y198" i="14" s="1"/>
  <c r="W198" i="14" s="1"/>
  <c r="Z197" i="14"/>
  <c r="Y197" i="14" s="1"/>
  <c r="W197" i="14" s="1"/>
  <c r="Z196" i="14"/>
  <c r="Y196" i="14" s="1"/>
  <c r="Z195" i="14"/>
  <c r="Y195" i="14" s="1"/>
  <c r="W195" i="14" s="1"/>
  <c r="Z194" i="14"/>
  <c r="Y194" i="14" s="1"/>
  <c r="W194" i="14" s="1"/>
  <c r="Z193" i="14"/>
  <c r="Y193" i="14" s="1"/>
  <c r="Z192" i="14"/>
  <c r="Y192" i="14" s="1"/>
  <c r="Z191" i="14"/>
  <c r="Y191" i="14" s="1"/>
  <c r="Z190" i="14"/>
  <c r="Y190" i="14" s="1"/>
  <c r="Z189" i="14"/>
  <c r="Y189" i="14" s="1"/>
  <c r="W189" i="14" s="1"/>
  <c r="Z188" i="14"/>
  <c r="Y188" i="14" s="1"/>
  <c r="W188" i="14" s="1"/>
  <c r="Z187" i="14"/>
  <c r="Y187" i="14" s="1"/>
  <c r="Z186" i="14"/>
  <c r="Y186" i="14" s="1"/>
  <c r="W186" i="14" s="1"/>
  <c r="Z185" i="14"/>
  <c r="Y185" i="14" s="1"/>
  <c r="W185" i="14" s="1"/>
  <c r="Z184" i="14"/>
  <c r="Y184" i="14" s="1"/>
  <c r="Z183" i="14"/>
  <c r="Y183" i="14" s="1"/>
  <c r="W183" i="14" s="1"/>
  <c r="Z182" i="14"/>
  <c r="Y182" i="14" s="1"/>
  <c r="W182" i="14" s="1"/>
  <c r="Z181" i="14"/>
  <c r="Y181" i="14" s="1"/>
  <c r="Z180" i="14"/>
  <c r="Y180" i="14" s="1"/>
  <c r="W180" i="14" s="1"/>
  <c r="Z179" i="14"/>
  <c r="Y179" i="14" s="1"/>
  <c r="W179" i="14" s="1"/>
  <c r="Z178" i="14"/>
  <c r="Y178" i="14" s="1"/>
  <c r="Z177" i="14"/>
  <c r="Y177" i="14" s="1"/>
  <c r="Z176" i="14"/>
  <c r="Y176" i="14" s="1"/>
  <c r="Z175" i="14"/>
  <c r="Y175" i="14" s="1"/>
  <c r="Z174" i="14"/>
  <c r="Y174" i="14" s="1"/>
  <c r="W174" i="14" s="1"/>
  <c r="Z173" i="14"/>
  <c r="Y173" i="14" s="1"/>
  <c r="W173" i="14" s="1"/>
  <c r="Z172" i="14"/>
  <c r="Y172" i="14" s="1"/>
  <c r="Z171" i="14"/>
  <c r="Y171" i="14" s="1"/>
  <c r="W171" i="14" s="1"/>
  <c r="Z170" i="14"/>
  <c r="Y170" i="14" s="1"/>
  <c r="W170" i="14" s="1"/>
  <c r="Z169" i="14"/>
  <c r="Y169" i="14" s="1"/>
  <c r="Z168" i="14"/>
  <c r="Y168" i="14" s="1"/>
  <c r="W168" i="14" s="1"/>
  <c r="Z167" i="14"/>
  <c r="Y167" i="14" s="1"/>
  <c r="W167" i="14" s="1"/>
  <c r="Z166" i="14"/>
  <c r="Y166" i="14" s="1"/>
  <c r="Z165" i="14"/>
  <c r="Y165" i="14" s="1"/>
  <c r="Z164" i="14"/>
  <c r="Y164" i="14" s="1"/>
  <c r="Z163" i="14"/>
  <c r="Y163" i="14" s="1"/>
  <c r="Z162" i="14"/>
  <c r="Y162" i="14" s="1"/>
  <c r="W162" i="14" s="1"/>
  <c r="Z161" i="14"/>
  <c r="Y161" i="14" s="1"/>
  <c r="W161" i="14" s="1"/>
  <c r="Z160" i="14"/>
  <c r="Y160" i="14" s="1"/>
  <c r="Z159" i="14"/>
  <c r="Y159" i="14" s="1"/>
  <c r="W159" i="14" s="1"/>
  <c r="Z158" i="14"/>
  <c r="Y158" i="14" s="1"/>
  <c r="W158" i="14" s="1"/>
  <c r="Z157" i="14"/>
  <c r="Y157" i="14" s="1"/>
  <c r="Z156" i="14"/>
  <c r="Y156" i="14" s="1"/>
  <c r="Z155" i="14"/>
  <c r="Y155" i="14" s="1"/>
  <c r="Z154" i="14"/>
  <c r="Y154" i="14" s="1"/>
  <c r="Z153" i="14"/>
  <c r="Y153" i="14" s="1"/>
  <c r="W153" i="14" s="1"/>
  <c r="Z152" i="14"/>
  <c r="Y152" i="14" s="1"/>
  <c r="W152" i="14" s="1"/>
  <c r="Z151" i="14"/>
  <c r="Y151" i="14" s="1"/>
  <c r="Z150" i="14"/>
  <c r="Y150" i="14" s="1"/>
  <c r="W150" i="14" s="1"/>
  <c r="Z149" i="14"/>
  <c r="Y149" i="14" s="1"/>
  <c r="W149" i="14" s="1"/>
  <c r="Z148" i="14"/>
  <c r="Y148" i="14" s="1"/>
  <c r="Z147" i="14"/>
  <c r="Y147" i="14" s="1"/>
  <c r="W147" i="14" s="1"/>
  <c r="Z146" i="14"/>
  <c r="Y146" i="14" s="1"/>
  <c r="W146" i="14" s="1"/>
  <c r="Z145" i="14"/>
  <c r="Y145" i="14" s="1"/>
  <c r="Z144" i="14"/>
  <c r="Y144" i="14" s="1"/>
  <c r="W144" i="14" s="1"/>
  <c r="Z143" i="14"/>
  <c r="Y143" i="14" s="1"/>
  <c r="W143" i="14" s="1"/>
  <c r="Z142" i="14"/>
  <c r="Y142" i="14" s="1"/>
  <c r="Z141" i="14"/>
  <c r="Y141" i="14" s="1"/>
  <c r="Z140" i="14"/>
  <c r="Y140" i="14" s="1"/>
  <c r="Z139" i="14"/>
  <c r="Y139" i="14" s="1"/>
  <c r="Z138" i="14"/>
  <c r="Y138" i="14" s="1"/>
  <c r="W138" i="14" s="1"/>
  <c r="Z137" i="14"/>
  <c r="Y137" i="14" s="1"/>
  <c r="W137" i="14" s="1"/>
  <c r="Z136" i="14"/>
  <c r="Y136" i="14" s="1"/>
  <c r="Z135" i="14"/>
  <c r="Y135" i="14" s="1"/>
  <c r="W135" i="14" s="1"/>
  <c r="Z134" i="14"/>
  <c r="Y134" i="14" s="1"/>
  <c r="W134" i="14" s="1"/>
  <c r="Z133" i="14"/>
  <c r="Y133" i="14" s="1"/>
  <c r="Z132" i="14"/>
  <c r="Y132" i="14" s="1"/>
  <c r="W132" i="14" s="1"/>
  <c r="Z131" i="14"/>
  <c r="Y131" i="14" s="1"/>
  <c r="W131" i="14" s="1"/>
  <c r="Z130" i="14"/>
  <c r="Y130" i="14" s="1"/>
  <c r="Z129" i="14"/>
  <c r="Y129" i="14" s="1"/>
  <c r="Z128" i="14"/>
  <c r="Y128" i="14" s="1"/>
  <c r="Z127" i="14"/>
  <c r="Y127" i="14" s="1"/>
  <c r="Z126" i="14"/>
  <c r="Y126" i="14" s="1"/>
  <c r="W126" i="14" s="1"/>
  <c r="Z125" i="14"/>
  <c r="Y125" i="14" s="1"/>
  <c r="W125" i="14" s="1"/>
  <c r="Z124" i="14"/>
  <c r="Y124" i="14" s="1"/>
  <c r="Z123" i="14"/>
  <c r="Y123" i="14" s="1"/>
  <c r="W123" i="14" s="1"/>
  <c r="Z122" i="14"/>
  <c r="Y122" i="14" s="1"/>
  <c r="W122" i="14" s="1"/>
  <c r="Z121" i="14"/>
  <c r="Y121" i="14" s="1"/>
  <c r="Z120" i="14"/>
  <c r="Y120" i="14" s="1"/>
  <c r="Z119" i="14"/>
  <c r="Y119" i="14" s="1"/>
  <c r="Z118" i="14"/>
  <c r="Y118" i="14" s="1"/>
  <c r="Z117" i="14"/>
  <c r="Y117" i="14" s="1"/>
  <c r="W117" i="14" s="1"/>
  <c r="Z116" i="14"/>
  <c r="Y116" i="14" s="1"/>
  <c r="W116" i="14" s="1"/>
  <c r="Z115" i="14"/>
  <c r="Y115" i="14" s="1"/>
  <c r="Z114" i="14"/>
  <c r="Y114" i="14" s="1"/>
  <c r="W114" i="14" s="1"/>
  <c r="Z113" i="14"/>
  <c r="Y113" i="14" s="1"/>
  <c r="W113" i="14" s="1"/>
  <c r="Z112" i="14"/>
  <c r="Y112" i="14" s="1"/>
  <c r="Z111" i="14"/>
  <c r="Y111" i="14" s="1"/>
  <c r="W111" i="14" s="1"/>
  <c r="Z110" i="14"/>
  <c r="Y110" i="14" s="1"/>
  <c r="W110" i="14" s="1"/>
  <c r="Z109" i="14"/>
  <c r="Y109" i="14" s="1"/>
  <c r="Z108" i="14"/>
  <c r="Y108" i="14" s="1"/>
  <c r="W108" i="14" s="1"/>
  <c r="Z107" i="14"/>
  <c r="Y107" i="14" s="1"/>
  <c r="W107" i="14" s="1"/>
  <c r="Z106" i="14"/>
  <c r="Y106" i="14" s="1"/>
  <c r="Z105" i="14"/>
  <c r="Y105" i="14" s="1"/>
  <c r="Z104" i="14"/>
  <c r="Y104" i="14" s="1"/>
  <c r="Z103" i="14"/>
  <c r="Y103" i="14" s="1"/>
  <c r="Z102" i="14"/>
  <c r="Y102" i="14" s="1"/>
  <c r="W102" i="14" s="1"/>
  <c r="Z101" i="14"/>
  <c r="Y101" i="14" s="1"/>
  <c r="W101" i="14" s="1"/>
  <c r="Z100" i="14"/>
  <c r="Y100" i="14" s="1"/>
  <c r="Z99" i="14"/>
  <c r="Y99" i="14" s="1"/>
  <c r="W99" i="14" s="1"/>
  <c r="Z98" i="14"/>
  <c r="Y98" i="14" s="1"/>
  <c r="W98" i="14" s="1"/>
  <c r="Z97" i="14"/>
  <c r="Y97" i="14" s="1"/>
  <c r="Z96" i="14"/>
  <c r="Y96" i="14" s="1"/>
  <c r="W96" i="14" s="1"/>
  <c r="Z95" i="14"/>
  <c r="Y95" i="14" s="1"/>
  <c r="W95" i="14" s="1"/>
  <c r="Z94" i="14"/>
  <c r="Y94" i="14" s="1"/>
  <c r="Z93" i="14"/>
  <c r="Y93" i="14" s="1"/>
  <c r="Z92" i="14"/>
  <c r="Y92" i="14" s="1"/>
  <c r="Z91" i="14"/>
  <c r="Y91" i="14" s="1"/>
  <c r="Z90" i="14"/>
  <c r="Y90" i="14" s="1"/>
  <c r="W90" i="14" s="1"/>
  <c r="Z89" i="14"/>
  <c r="Y89" i="14" s="1"/>
  <c r="W89" i="14" s="1"/>
  <c r="Z88" i="14"/>
  <c r="Y88" i="14" s="1"/>
  <c r="Z87" i="14"/>
  <c r="Y87" i="14" s="1"/>
  <c r="W87" i="14" s="1"/>
  <c r="Z86" i="14"/>
  <c r="Y86" i="14" s="1"/>
  <c r="W86" i="14" s="1"/>
  <c r="Z85" i="14"/>
  <c r="Y85" i="14" s="1"/>
  <c r="Z84" i="14"/>
  <c r="Y84" i="14" s="1"/>
  <c r="Z83" i="14"/>
  <c r="Y83" i="14" s="1"/>
  <c r="Z82" i="14"/>
  <c r="Y82" i="14" s="1"/>
  <c r="Z81" i="14"/>
  <c r="Y81" i="14" s="1"/>
  <c r="W81" i="14" s="1"/>
  <c r="Z80" i="14"/>
  <c r="Y80" i="14" s="1"/>
  <c r="W80" i="14" s="1"/>
  <c r="Z79" i="14"/>
  <c r="Y79" i="14" s="1"/>
  <c r="Z78" i="14"/>
  <c r="Y78" i="14" s="1"/>
  <c r="W78" i="14" s="1"/>
  <c r="Z77" i="14"/>
  <c r="Y77" i="14" s="1"/>
  <c r="W77" i="14" s="1"/>
  <c r="Z76" i="14"/>
  <c r="Y76" i="14" s="1"/>
  <c r="Z75" i="14"/>
  <c r="Y75" i="14" s="1"/>
  <c r="W75" i="14" s="1"/>
  <c r="Z74" i="14"/>
  <c r="Y74" i="14" s="1"/>
  <c r="W74" i="14" s="1"/>
  <c r="Z73" i="14"/>
  <c r="Y73" i="14" s="1"/>
  <c r="Z72" i="14"/>
  <c r="Y72" i="14" s="1"/>
  <c r="W72" i="14" s="1"/>
  <c r="Z71" i="14"/>
  <c r="Y71" i="14" s="1"/>
  <c r="Z70" i="14"/>
  <c r="Y70" i="14" s="1"/>
  <c r="Z69" i="14"/>
  <c r="Y69" i="14" s="1"/>
  <c r="Z68" i="14"/>
  <c r="Y68" i="14" s="1"/>
  <c r="Z67" i="14"/>
  <c r="Y67" i="14" s="1"/>
  <c r="Z66" i="14"/>
  <c r="Y66" i="14" s="1"/>
  <c r="W66" i="14" s="1"/>
  <c r="Z65" i="14"/>
  <c r="Y65" i="14" s="1"/>
  <c r="Z64" i="14"/>
  <c r="Y64" i="14" s="1"/>
  <c r="Z63" i="14"/>
  <c r="Y63" i="14" s="1"/>
  <c r="W63" i="14" s="1"/>
  <c r="Z62" i="14"/>
  <c r="Y62" i="14" s="1"/>
  <c r="Z61" i="14"/>
  <c r="Y61" i="14" s="1"/>
  <c r="Z60" i="14"/>
  <c r="Y60" i="14" s="1"/>
  <c r="W60" i="14" s="1"/>
  <c r="Z59" i="14"/>
  <c r="Y59" i="14" s="1"/>
  <c r="Z58" i="14"/>
  <c r="Y58" i="14" s="1"/>
  <c r="Z57" i="14"/>
  <c r="Y57" i="14" s="1"/>
  <c r="Z56" i="14"/>
  <c r="Y56" i="14" s="1"/>
  <c r="Z55" i="14"/>
  <c r="Y55" i="14" s="1"/>
  <c r="Z54" i="14"/>
  <c r="Y54" i="14" s="1"/>
  <c r="W54" i="14" s="1"/>
  <c r="Z53" i="14"/>
  <c r="Y53" i="14" s="1"/>
  <c r="Z52" i="14"/>
  <c r="Y52" i="14" s="1"/>
  <c r="Z51" i="14"/>
  <c r="Y51" i="14" s="1"/>
  <c r="W51" i="14" s="1"/>
  <c r="Z50" i="14"/>
  <c r="Y50" i="14" s="1"/>
  <c r="Z49" i="14"/>
  <c r="Y49" i="14" s="1"/>
  <c r="Z48" i="14"/>
  <c r="Y48" i="14" s="1"/>
  <c r="Z47" i="14"/>
  <c r="Y47" i="14" s="1"/>
  <c r="Z46" i="14"/>
  <c r="Y46" i="14" s="1"/>
  <c r="Z45" i="14"/>
  <c r="Y45" i="14" s="1"/>
  <c r="W45" i="14" s="1"/>
  <c r="Z44" i="14"/>
  <c r="Y44" i="14" s="1"/>
  <c r="Z43" i="14"/>
  <c r="Y43" i="14" s="1"/>
  <c r="Z42" i="14"/>
  <c r="Y42" i="14" s="1"/>
  <c r="W42" i="14" s="1"/>
  <c r="Z41" i="14"/>
  <c r="Y41" i="14" s="1"/>
  <c r="Z40" i="14"/>
  <c r="Y40" i="14" s="1"/>
  <c r="Z39" i="14"/>
  <c r="Y39" i="14" s="1"/>
  <c r="W39" i="14" s="1"/>
  <c r="Z38" i="14"/>
  <c r="Y38" i="14" s="1"/>
  <c r="Z37" i="14"/>
  <c r="Y37" i="14" s="1"/>
  <c r="Z36" i="14"/>
  <c r="Y36" i="14" s="1"/>
  <c r="W36" i="14" s="1"/>
  <c r="Z35" i="14"/>
  <c r="Y35" i="14" s="1"/>
  <c r="Z34" i="14"/>
  <c r="Y34" i="14" s="1"/>
  <c r="Z33" i="14"/>
  <c r="Y33" i="14" s="1"/>
  <c r="Z32" i="14"/>
  <c r="Y32" i="14" s="1"/>
  <c r="Z31" i="14"/>
  <c r="Y31" i="14" s="1"/>
  <c r="Z30" i="14"/>
  <c r="Y30" i="14" s="1"/>
  <c r="W30" i="14" s="1"/>
  <c r="Z29" i="14"/>
  <c r="Y29" i="14" s="1"/>
  <c r="Z28" i="14"/>
  <c r="Y28" i="14" s="1"/>
  <c r="Z27" i="14"/>
  <c r="Y27" i="14" s="1"/>
  <c r="Z26" i="14"/>
  <c r="Y26" i="14" s="1"/>
  <c r="Z25" i="14"/>
  <c r="Y25" i="14" s="1"/>
  <c r="Z24" i="14"/>
  <c r="Y24" i="14" s="1"/>
  <c r="W24" i="14" s="1"/>
  <c r="Z23" i="14"/>
  <c r="Y23" i="14" s="1"/>
  <c r="Z22" i="14"/>
  <c r="Y22" i="14" s="1"/>
  <c r="Z21" i="14"/>
  <c r="Y21" i="14" s="1"/>
  <c r="W21" i="14" s="1"/>
  <c r="Z20" i="14"/>
  <c r="Y20" i="14" s="1"/>
  <c r="Z19" i="14"/>
  <c r="Y19" i="14" s="1"/>
  <c r="Z18" i="14"/>
  <c r="Y18" i="14" s="1"/>
  <c r="W18" i="14" s="1"/>
  <c r="Z17" i="14"/>
  <c r="Y17" i="14" s="1"/>
  <c r="Z16" i="14"/>
  <c r="Y16" i="14" s="1"/>
  <c r="Z15" i="14"/>
  <c r="Y15" i="14" s="1"/>
  <c r="W15" i="14" s="1"/>
  <c r="Z14" i="14"/>
  <c r="Y14" i="14" s="1"/>
  <c r="Z13" i="14"/>
  <c r="Y13" i="14" s="1"/>
  <c r="Z12" i="14"/>
  <c r="Y12" i="14" s="1"/>
  <c r="Z11" i="14"/>
  <c r="Y11" i="14" s="1"/>
  <c r="Z10" i="14"/>
  <c r="Y10" i="14" s="1"/>
  <c r="Z9" i="14"/>
  <c r="Y9" i="14" s="1"/>
  <c r="W9" i="14" s="1"/>
  <c r="Z8" i="14"/>
  <c r="Y8" i="14" s="1"/>
  <c r="Z7" i="14"/>
  <c r="Y7" i="14" s="1"/>
  <c r="Z6" i="14"/>
  <c r="Y6" i="14" s="1"/>
  <c r="W6" i="14" s="1"/>
  <c r="Z5" i="14"/>
  <c r="Y5" i="14" s="1"/>
  <c r="Z4" i="14"/>
  <c r="Y4" i="14" s="1"/>
  <c r="Z3" i="14"/>
  <c r="Y3" i="14" s="1"/>
  <c r="W3" i="14" s="1"/>
  <c r="Z2" i="14"/>
  <c r="Y2" i="14" s="1"/>
  <c r="W2" i="14" s="1"/>
  <c r="A2" i="14"/>
  <c r="F101" i="15"/>
  <c r="G101" i="15" s="1"/>
  <c r="H101" i="15" s="1"/>
  <c r="I101" i="15" s="1"/>
  <c r="J101" i="15" s="1"/>
  <c r="K101" i="15" s="1"/>
  <c r="E100" i="15"/>
  <c r="D100" i="15"/>
  <c r="E99" i="15"/>
  <c r="D99" i="15"/>
  <c r="E98" i="15"/>
  <c r="D98" i="15"/>
  <c r="F51" i="2"/>
  <c r="F52" i="2"/>
  <c r="B54" i="15"/>
  <c r="I54" i="15"/>
  <c r="H54" i="15"/>
  <c r="G54" i="15"/>
  <c r="F54" i="15"/>
  <c r="E54" i="15"/>
  <c r="D54" i="15"/>
  <c r="C54" i="15"/>
  <c r="C76" i="1" l="1"/>
  <c r="C75" i="1" s="1"/>
  <c r="C3" i="20"/>
  <c r="H55" i="11"/>
  <c r="H62" i="11" s="1"/>
  <c r="H75" i="11" s="1"/>
  <c r="H36" i="11"/>
  <c r="I2" i="11"/>
  <c r="D3" i="20" l="1"/>
  <c r="H100" i="11"/>
  <c r="J2" i="11"/>
  <c r="J55" i="11" s="1"/>
  <c r="J62" i="11" s="1"/>
  <c r="J75" i="11" s="1"/>
  <c r="I55" i="11"/>
  <c r="I62" i="11" s="1"/>
  <c r="I75" i="11" s="1"/>
  <c r="I36" i="11"/>
  <c r="E3" i="20" l="1"/>
  <c r="J36" i="11"/>
  <c r="G64" i="11"/>
  <c r="I100" i="11"/>
  <c r="J100" i="11"/>
  <c r="K2" i="11"/>
  <c r="F3" i="20" l="1"/>
  <c r="G3" i="20" s="1"/>
  <c r="H3" i="20" s="1"/>
  <c r="I3" i="20" s="1"/>
  <c r="J3" i="20" s="1"/>
  <c r="G57" i="11"/>
  <c r="L2" i="11"/>
  <c r="K55" i="11"/>
  <c r="K62" i="11" s="1"/>
  <c r="K75" i="11" s="1"/>
  <c r="K36" i="11"/>
  <c r="K100" i="11" l="1"/>
  <c r="M2" i="11"/>
  <c r="L55" i="11"/>
  <c r="L62" i="11" s="1"/>
  <c r="L75" i="11" s="1"/>
  <c r="L36" i="11"/>
  <c r="G63" i="11" l="1"/>
  <c r="L100" i="11"/>
  <c r="M55" i="11"/>
  <c r="M62" i="11" s="1"/>
  <c r="M75" i="11" s="1"/>
  <c r="M36" i="11"/>
  <c r="N2" i="11"/>
  <c r="M30" i="12" s="1"/>
  <c r="M50" i="12" s="1"/>
  <c r="M91" i="12" s="1"/>
  <c r="M121" i="12" s="1"/>
  <c r="M128" i="12" s="1"/>
  <c r="M100" i="11" l="1"/>
  <c r="O2" i="11"/>
  <c r="N30" i="12" s="1"/>
  <c r="N50" i="12" s="1"/>
  <c r="N36" i="11"/>
  <c r="N55" i="11"/>
  <c r="N62" i="11" s="1"/>
  <c r="N75" i="11" s="1"/>
  <c r="N91" i="12" l="1"/>
  <c r="N121" i="12" s="1"/>
  <c r="N128" i="12" s="1"/>
  <c r="J74" i="12"/>
  <c r="N100" i="11"/>
  <c r="O55" i="11"/>
  <c r="O62" i="11" s="1"/>
  <c r="O75" i="11" s="1"/>
  <c r="O36" i="11"/>
  <c r="O100" i="11" l="1"/>
  <c r="AF4" i="5"/>
  <c r="AZ4" i="5" s="1"/>
  <c r="CN4" i="5" s="1"/>
  <c r="DH4" i="5" s="1"/>
  <c r="A30" i="1"/>
  <c r="A29" i="1"/>
  <c r="A28" i="1"/>
  <c r="A27" i="1"/>
  <c r="A26" i="1"/>
  <c r="A22" i="1"/>
  <c r="A17" i="1"/>
  <c r="A16" i="1"/>
  <c r="A13" i="1"/>
  <c r="A12" i="1"/>
  <c r="AP1" i="5"/>
  <c r="AP44" i="5" s="1"/>
  <c r="V1" i="5"/>
  <c r="V44" i="5" s="1"/>
  <c r="B1" i="5"/>
  <c r="B3" i="19"/>
  <c r="B3" i="17"/>
  <c r="C26" i="3"/>
  <c r="B2" i="19"/>
  <c r="E107" i="19" s="1"/>
  <c r="H107" i="19" s="1"/>
  <c r="C15" i="19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C38" i="19" s="1"/>
  <c r="C39" i="19" s="1"/>
  <c r="C40" i="19" s="1"/>
  <c r="C41" i="19" s="1"/>
  <c r="C42" i="19" s="1"/>
  <c r="C43" i="19" s="1"/>
  <c r="C44" i="19" s="1"/>
  <c r="C45" i="19" s="1"/>
  <c r="C46" i="19" s="1"/>
  <c r="C47" i="19" s="1"/>
  <c r="C48" i="19" s="1"/>
  <c r="C49" i="19" s="1"/>
  <c r="C50" i="19" s="1"/>
  <c r="C51" i="19" s="1"/>
  <c r="C52" i="19" s="1"/>
  <c r="C53" i="19" s="1"/>
  <c r="C54" i="19" s="1"/>
  <c r="C55" i="19" s="1"/>
  <c r="C56" i="19" s="1"/>
  <c r="C57" i="19" s="1"/>
  <c r="C58" i="19" s="1"/>
  <c r="C59" i="19" s="1"/>
  <c r="C60" i="19" s="1"/>
  <c r="C61" i="19" s="1"/>
  <c r="C62" i="19" s="1"/>
  <c r="C63" i="19" s="1"/>
  <c r="C64" i="19" s="1"/>
  <c r="C65" i="19" s="1"/>
  <c r="C66" i="19" s="1"/>
  <c r="C67" i="19" s="1"/>
  <c r="C68" i="19" s="1"/>
  <c r="C69" i="19" s="1"/>
  <c r="C70" i="19" s="1"/>
  <c r="C71" i="19" s="1"/>
  <c r="C72" i="19" s="1"/>
  <c r="C73" i="19" s="1"/>
  <c r="C74" i="19" s="1"/>
  <c r="C75" i="19" s="1"/>
  <c r="C76" i="19" s="1"/>
  <c r="C77" i="19" s="1"/>
  <c r="C78" i="19" s="1"/>
  <c r="C79" i="19" s="1"/>
  <c r="C80" i="19" s="1"/>
  <c r="C81" i="19" s="1"/>
  <c r="C82" i="19" s="1"/>
  <c r="C83" i="19" s="1"/>
  <c r="C84" i="19" s="1"/>
  <c r="C85" i="19" s="1"/>
  <c r="C86" i="19" s="1"/>
  <c r="C87" i="19" s="1"/>
  <c r="C88" i="19" s="1"/>
  <c r="C89" i="19" s="1"/>
  <c r="C90" i="19" s="1"/>
  <c r="C91" i="19" s="1"/>
  <c r="C92" i="19" s="1"/>
  <c r="C93" i="19" s="1"/>
  <c r="C94" i="19" s="1"/>
  <c r="C95" i="19" s="1"/>
  <c r="C96" i="19" s="1"/>
  <c r="C97" i="19" s="1"/>
  <c r="C98" i="19" s="1"/>
  <c r="C15" i="17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C73" i="17" s="1"/>
  <c r="C74" i="17" s="1"/>
  <c r="C75" i="17" s="1"/>
  <c r="C76" i="17" s="1"/>
  <c r="C77" i="17" s="1"/>
  <c r="C78" i="17" s="1"/>
  <c r="C79" i="17" s="1"/>
  <c r="C80" i="17" s="1"/>
  <c r="C81" i="17" s="1"/>
  <c r="C82" i="17" s="1"/>
  <c r="C83" i="17" s="1"/>
  <c r="C84" i="17" s="1"/>
  <c r="C85" i="17" s="1"/>
  <c r="C86" i="17" s="1"/>
  <c r="C87" i="17" s="1"/>
  <c r="C88" i="17" s="1"/>
  <c r="C89" i="17" s="1"/>
  <c r="C90" i="17" s="1"/>
  <c r="C91" i="17" s="1"/>
  <c r="C92" i="17" s="1"/>
  <c r="C93" i="17" s="1"/>
  <c r="C94" i="17" s="1"/>
  <c r="C95" i="17" s="1"/>
  <c r="C96" i="17" s="1"/>
  <c r="C97" i="17" s="1"/>
  <c r="C98" i="17" s="1"/>
  <c r="J26" i="3" l="1"/>
  <c r="K26" i="3"/>
  <c r="C27" i="3"/>
  <c r="B44" i="5"/>
  <c r="E105" i="19"/>
  <c r="I105" i="19" s="1"/>
  <c r="E6" i="19"/>
  <c r="E112" i="19"/>
  <c r="H112" i="19" s="1"/>
  <c r="E109" i="19"/>
  <c r="H109" i="19" s="1"/>
  <c r="E13" i="19"/>
  <c r="E115" i="19"/>
  <c r="H115" i="19" s="1"/>
  <c r="E108" i="19"/>
  <c r="H108" i="19" s="1"/>
  <c r="E113" i="19"/>
  <c r="H113" i="19" s="1"/>
  <c r="E116" i="19"/>
  <c r="H116" i="19" s="1"/>
  <c r="E117" i="19"/>
  <c r="H117" i="19" s="1"/>
  <c r="E111" i="19"/>
  <c r="H111" i="19" s="1"/>
  <c r="E100" i="19"/>
  <c r="H100" i="19" s="1"/>
  <c r="E119" i="19"/>
  <c r="H119" i="19" s="1"/>
  <c r="E104" i="19"/>
  <c r="I104" i="19" s="1"/>
  <c r="E3" i="19"/>
  <c r="E9" i="19"/>
  <c r="E103" i="19"/>
  <c r="I103" i="19" s="1"/>
  <c r="E121" i="19"/>
  <c r="H121" i="19" s="1"/>
  <c r="E120" i="19"/>
  <c r="H120" i="19" s="1"/>
  <c r="F104" i="19"/>
  <c r="E102" i="19"/>
  <c r="F107" i="19"/>
  <c r="E11" i="19"/>
  <c r="E5" i="19"/>
  <c r="E8" i="19"/>
  <c r="E14" i="19"/>
  <c r="E16" i="19"/>
  <c r="E18" i="19"/>
  <c r="E20" i="19"/>
  <c r="E22" i="19"/>
  <c r="E24" i="19"/>
  <c r="E26" i="19"/>
  <c r="E28" i="19"/>
  <c r="E30" i="19"/>
  <c r="E32" i="19"/>
  <c r="E34" i="19"/>
  <c r="E36" i="19"/>
  <c r="E38" i="19"/>
  <c r="E40" i="19"/>
  <c r="E42" i="19"/>
  <c r="E44" i="19"/>
  <c r="E46" i="19"/>
  <c r="E48" i="19"/>
  <c r="E50" i="19"/>
  <c r="E52" i="19"/>
  <c r="E54" i="19"/>
  <c r="E56" i="19"/>
  <c r="E58" i="19"/>
  <c r="E60" i="19"/>
  <c r="E62" i="19"/>
  <c r="E64" i="19"/>
  <c r="E66" i="19"/>
  <c r="E68" i="19"/>
  <c r="E70" i="19"/>
  <c r="E72" i="19"/>
  <c r="E74" i="19"/>
  <c r="E76" i="19"/>
  <c r="E78" i="19"/>
  <c r="E80" i="19"/>
  <c r="E82" i="19"/>
  <c r="E84" i="19"/>
  <c r="E86" i="19"/>
  <c r="E88" i="19"/>
  <c r="E90" i="19"/>
  <c r="E92" i="19"/>
  <c r="E94" i="19"/>
  <c r="E96" i="19"/>
  <c r="E98" i="19"/>
  <c r="E12" i="19"/>
  <c r="E101" i="19"/>
  <c r="E4" i="19"/>
  <c r="E7" i="19"/>
  <c r="E10" i="19"/>
  <c r="E106" i="19"/>
  <c r="E110" i="19"/>
  <c r="E114" i="19"/>
  <c r="E118" i="19"/>
  <c r="E122" i="19"/>
  <c r="E99" i="19"/>
  <c r="E15" i="19"/>
  <c r="E17" i="19"/>
  <c r="E19" i="19"/>
  <c r="E21" i="19"/>
  <c r="E23" i="19"/>
  <c r="E25" i="19"/>
  <c r="E27" i="19"/>
  <c r="E29" i="19"/>
  <c r="E31" i="19"/>
  <c r="E33" i="19"/>
  <c r="E35" i="19"/>
  <c r="E37" i="19"/>
  <c r="E39" i="19"/>
  <c r="E41" i="19"/>
  <c r="E43" i="19"/>
  <c r="E45" i="19"/>
  <c r="E47" i="19"/>
  <c r="E49" i="19"/>
  <c r="E51" i="19"/>
  <c r="E53" i="19"/>
  <c r="E55" i="19"/>
  <c r="E57" i="19"/>
  <c r="E59" i="19"/>
  <c r="E61" i="19"/>
  <c r="E63" i="19"/>
  <c r="E65" i="19"/>
  <c r="E67" i="19"/>
  <c r="E69" i="19"/>
  <c r="E71" i="19"/>
  <c r="E73" i="19"/>
  <c r="E75" i="19"/>
  <c r="E77" i="19"/>
  <c r="E79" i="19"/>
  <c r="E81" i="19"/>
  <c r="E83" i="19"/>
  <c r="E85" i="19"/>
  <c r="E87" i="19"/>
  <c r="E89" i="19"/>
  <c r="E91" i="19"/>
  <c r="E93" i="19"/>
  <c r="E95" i="19"/>
  <c r="E97" i="19"/>
  <c r="C28" i="3" l="1"/>
  <c r="C29" i="3" s="1"/>
  <c r="C30" i="3" s="1"/>
  <c r="K27" i="3"/>
  <c r="J27" i="3"/>
  <c r="F113" i="19"/>
  <c r="F109" i="19"/>
  <c r="F112" i="19"/>
  <c r="I32" i="3"/>
  <c r="I28" i="3"/>
  <c r="K16" i="11" s="1"/>
  <c r="I31" i="3"/>
  <c r="I27" i="3"/>
  <c r="J16" i="11" s="1"/>
  <c r="I29" i="3"/>
  <c r="L16" i="11" s="1"/>
  <c r="I30" i="3"/>
  <c r="M16" i="11" s="1"/>
  <c r="F105" i="19"/>
  <c r="G105" i="19"/>
  <c r="H105" i="19"/>
  <c r="F117" i="19"/>
  <c r="F111" i="19"/>
  <c r="F103" i="19"/>
  <c r="H103" i="19"/>
  <c r="G103" i="19"/>
  <c r="F121" i="19"/>
  <c r="H104" i="19"/>
  <c r="F115" i="19"/>
  <c r="F116" i="19"/>
  <c r="F119" i="19"/>
  <c r="F100" i="19"/>
  <c r="C31" i="3"/>
  <c r="J31" i="3" s="1"/>
  <c r="G100" i="19"/>
  <c r="I100" i="19"/>
  <c r="G104" i="19"/>
  <c r="F120" i="19"/>
  <c r="F108" i="19"/>
  <c r="F84" i="19"/>
  <c r="F77" i="19"/>
  <c r="F53" i="19"/>
  <c r="F29" i="19"/>
  <c r="H110" i="19"/>
  <c r="F110" i="19"/>
  <c r="F82" i="19"/>
  <c r="F58" i="19"/>
  <c r="F34" i="19"/>
  <c r="F75" i="19"/>
  <c r="F51" i="19"/>
  <c r="F27" i="19"/>
  <c r="H106" i="19"/>
  <c r="F106" i="19"/>
  <c r="F80" i="19"/>
  <c r="F56" i="19"/>
  <c r="F32" i="19"/>
  <c r="F78" i="19"/>
  <c r="F30" i="19"/>
  <c r="F95" i="19"/>
  <c r="F71" i="19"/>
  <c r="F47" i="19"/>
  <c r="F76" i="19"/>
  <c r="F52" i="19"/>
  <c r="F28" i="19"/>
  <c r="F54" i="19"/>
  <c r="F93" i="19"/>
  <c r="F69" i="19"/>
  <c r="F45" i="19"/>
  <c r="F98" i="19"/>
  <c r="F74" i="19"/>
  <c r="F50" i="19"/>
  <c r="F96" i="19"/>
  <c r="F97" i="19"/>
  <c r="F91" i="19"/>
  <c r="F89" i="19"/>
  <c r="F65" i="19"/>
  <c r="F41" i="19"/>
  <c r="F94" i="19"/>
  <c r="F70" i="19"/>
  <c r="F46" i="19"/>
  <c r="F55" i="19"/>
  <c r="F87" i="19"/>
  <c r="F63" i="19"/>
  <c r="F39" i="19"/>
  <c r="H101" i="19"/>
  <c r="G101" i="19"/>
  <c r="F101" i="19"/>
  <c r="I101" i="19"/>
  <c r="F92" i="19"/>
  <c r="F68" i="19"/>
  <c r="F44" i="19"/>
  <c r="F79" i="19"/>
  <c r="F60" i="19"/>
  <c r="F49" i="19"/>
  <c r="F72" i="19"/>
  <c r="F85" i="19"/>
  <c r="F61" i="19"/>
  <c r="F37" i="19"/>
  <c r="F99" i="19"/>
  <c r="I99" i="19"/>
  <c r="G99" i="19"/>
  <c r="H99" i="19"/>
  <c r="F90" i="19"/>
  <c r="F66" i="19"/>
  <c r="F42" i="19"/>
  <c r="F31" i="19"/>
  <c r="F36" i="19"/>
  <c r="F73" i="19"/>
  <c r="F43" i="19"/>
  <c r="F48" i="19"/>
  <c r="F83" i="19"/>
  <c r="F59" i="19"/>
  <c r="F35" i="19"/>
  <c r="H122" i="19"/>
  <c r="F122" i="19"/>
  <c r="F88" i="19"/>
  <c r="F64" i="19"/>
  <c r="F40" i="19"/>
  <c r="I102" i="19"/>
  <c r="H102" i="19"/>
  <c r="F102" i="19"/>
  <c r="G102" i="19"/>
  <c r="H114" i="19"/>
  <c r="F114" i="19"/>
  <c r="F67" i="19"/>
  <c r="F81" i="19"/>
  <c r="F57" i="19"/>
  <c r="F33" i="19"/>
  <c r="H118" i="19"/>
  <c r="F118" i="19"/>
  <c r="F86" i="19"/>
  <c r="F62" i="19"/>
  <c r="F38" i="19"/>
  <c r="N16" i="11" l="1"/>
  <c r="G30" i="3"/>
  <c r="G31" i="3"/>
  <c r="G28" i="3"/>
  <c r="G27" i="3"/>
  <c r="G29" i="3"/>
  <c r="C32" i="3"/>
  <c r="O16" i="11" l="1"/>
  <c r="J32" i="3"/>
  <c r="G32" i="3"/>
  <c r="G27" i="19" l="1"/>
  <c r="I27" i="19"/>
  <c r="I28" i="19" l="1"/>
  <c r="G28" i="19"/>
  <c r="H28" i="19" s="1"/>
  <c r="H27" i="19"/>
  <c r="G29" i="19" l="1"/>
  <c r="I29" i="19"/>
  <c r="I30" i="19" l="1"/>
  <c r="G30" i="19"/>
  <c r="H30" i="19" s="1"/>
  <c r="H29" i="19"/>
  <c r="I31" i="19" l="1"/>
  <c r="G31" i="19"/>
  <c r="H31" i="19" l="1"/>
  <c r="I32" i="19"/>
  <c r="G32" i="19"/>
  <c r="H32" i="19" s="1"/>
  <c r="G33" i="19" l="1"/>
  <c r="I33" i="19"/>
  <c r="I34" i="19" l="1"/>
  <c r="G34" i="19"/>
  <c r="H34" i="19" s="1"/>
  <c r="H33" i="19"/>
  <c r="I35" i="19" l="1"/>
  <c r="G35" i="19"/>
  <c r="H35" i="19" s="1"/>
  <c r="I36" i="19" l="1"/>
  <c r="G36" i="19"/>
  <c r="H36" i="19" s="1"/>
  <c r="I37" i="19" l="1"/>
  <c r="G37" i="19"/>
  <c r="H37" i="19" s="1"/>
  <c r="I38" i="19" l="1"/>
  <c r="G38" i="19"/>
  <c r="H38" i="19" s="1"/>
  <c r="G39" i="19" l="1"/>
  <c r="I39" i="19"/>
  <c r="I40" i="19" l="1"/>
  <c r="G40" i="19"/>
  <c r="H40" i="19" s="1"/>
  <c r="H39" i="19"/>
  <c r="G41" i="19" l="1"/>
  <c r="I41" i="19"/>
  <c r="I42" i="19" l="1"/>
  <c r="G42" i="19"/>
  <c r="H41" i="19"/>
  <c r="H42" i="19" l="1"/>
  <c r="I43" i="19"/>
  <c r="G43" i="19"/>
  <c r="H43" i="19" l="1"/>
  <c r="I44" i="19"/>
  <c r="G44" i="19"/>
  <c r="H44" i="19" s="1"/>
  <c r="I45" i="19" l="1"/>
  <c r="G45" i="19"/>
  <c r="H45" i="19" l="1"/>
  <c r="G46" i="19"/>
  <c r="H46" i="19" s="1"/>
  <c r="I46" i="19"/>
  <c r="G47" i="19" l="1"/>
  <c r="H47" i="19" s="1"/>
  <c r="I47" i="19"/>
  <c r="I48" i="19" l="1"/>
  <c r="G48" i="19"/>
  <c r="H48" i="19" s="1"/>
  <c r="G49" i="19" l="1"/>
  <c r="H49" i="19" s="1"/>
  <c r="I49" i="19"/>
  <c r="I50" i="19" l="1"/>
  <c r="G50" i="19"/>
  <c r="H50" i="19" s="1"/>
  <c r="G51" i="19" l="1"/>
  <c r="I51" i="19"/>
  <c r="G52" i="19" l="1"/>
  <c r="H52" i="19" s="1"/>
  <c r="I52" i="19"/>
  <c r="H51" i="19"/>
  <c r="I53" i="19" l="1"/>
  <c r="G53" i="19"/>
  <c r="H53" i="19" l="1"/>
  <c r="I54" i="19"/>
  <c r="G54" i="19"/>
  <c r="H54" i="19" s="1"/>
  <c r="G55" i="19" l="1"/>
  <c r="I55" i="19"/>
  <c r="I56" i="19" l="1"/>
  <c r="G56" i="19"/>
  <c r="H56" i="19" s="1"/>
  <c r="H55" i="19"/>
  <c r="G57" i="19" l="1"/>
  <c r="I57" i="19"/>
  <c r="G58" i="19" l="1"/>
  <c r="H58" i="19" s="1"/>
  <c r="I58" i="19"/>
  <c r="H57" i="19"/>
  <c r="G59" i="19" l="1"/>
  <c r="H59" i="19" s="1"/>
  <c r="I59" i="19"/>
  <c r="I60" i="19" l="1"/>
  <c r="G60" i="19"/>
  <c r="H60" i="19" s="1"/>
  <c r="G61" i="19" l="1"/>
  <c r="H61" i="19" s="1"/>
  <c r="I61" i="19"/>
  <c r="I62" i="19" l="1"/>
  <c r="G62" i="19"/>
  <c r="H62" i="19" s="1"/>
  <c r="G63" i="19" l="1"/>
  <c r="I63" i="19"/>
  <c r="I64" i="19" l="1"/>
  <c r="G64" i="19"/>
  <c r="H64" i="19" s="1"/>
  <c r="H63" i="19"/>
  <c r="G65" i="19" l="1"/>
  <c r="I65" i="19"/>
  <c r="I66" i="19" l="1"/>
  <c r="G66" i="19"/>
  <c r="H65" i="19"/>
  <c r="H66" i="19" l="1"/>
  <c r="I67" i="19"/>
  <c r="G67" i="19"/>
  <c r="H67" i="19" l="1"/>
  <c r="I68" i="19"/>
  <c r="G68" i="19"/>
  <c r="H68" i="19" s="1"/>
  <c r="G69" i="19" l="1"/>
  <c r="I69" i="19"/>
  <c r="I70" i="19" l="1"/>
  <c r="G70" i="19"/>
  <c r="H70" i="19" s="1"/>
  <c r="H69" i="19"/>
  <c r="G71" i="19" l="1"/>
  <c r="H71" i="19" s="1"/>
  <c r="I71" i="19"/>
  <c r="I72" i="19" l="1"/>
  <c r="G72" i="19"/>
  <c r="H72" i="19" s="1"/>
  <c r="G73" i="19" l="1"/>
  <c r="H73" i="19" s="1"/>
  <c r="I73" i="19"/>
  <c r="I74" i="19" l="1"/>
  <c r="G74" i="19"/>
  <c r="H74" i="19" s="1"/>
  <c r="G75" i="19" l="1"/>
  <c r="I75" i="19"/>
  <c r="I76" i="19" l="1"/>
  <c r="G76" i="19"/>
  <c r="H76" i="19" s="1"/>
  <c r="H75" i="19"/>
  <c r="G77" i="19" l="1"/>
  <c r="I77" i="19"/>
  <c r="I78" i="19" l="1"/>
  <c r="G78" i="19"/>
  <c r="H78" i="19" s="1"/>
  <c r="H77" i="19"/>
  <c r="G79" i="19" l="1"/>
  <c r="I79" i="19"/>
  <c r="I80" i="19" l="1"/>
  <c r="G80" i="19"/>
  <c r="H80" i="19" s="1"/>
  <c r="H79" i="19"/>
  <c r="I81" i="19" l="1"/>
  <c r="G81" i="19"/>
  <c r="H81" i="19" l="1"/>
  <c r="I82" i="19"/>
  <c r="G82" i="19"/>
  <c r="H82" i="19" s="1"/>
  <c r="I83" i="19" l="1"/>
  <c r="G83" i="19"/>
  <c r="H83" i="19" s="1"/>
  <c r="I84" i="19" l="1"/>
  <c r="G84" i="19"/>
  <c r="H84" i="19" s="1"/>
  <c r="G85" i="19" l="1"/>
  <c r="H85" i="19" s="1"/>
  <c r="I85" i="19"/>
  <c r="G86" i="19" l="1"/>
  <c r="H86" i="19" s="1"/>
  <c r="I86" i="19"/>
  <c r="G87" i="19" l="1"/>
  <c r="I87" i="19"/>
  <c r="G88" i="19" l="1"/>
  <c r="H88" i="19" s="1"/>
  <c r="I88" i="19"/>
  <c r="H87" i="19"/>
  <c r="I89" i="19" l="1"/>
  <c r="G89" i="19"/>
  <c r="H89" i="19" l="1"/>
  <c r="I90" i="19"/>
  <c r="G90" i="19"/>
  <c r="H90" i="19" s="1"/>
  <c r="G91" i="19" l="1"/>
  <c r="I91" i="19"/>
  <c r="I92" i="19" l="1"/>
  <c r="G92" i="19"/>
  <c r="H92" i="19" s="1"/>
  <c r="H91" i="19"/>
  <c r="G93" i="19" l="1"/>
  <c r="I93" i="19"/>
  <c r="I94" i="19" l="1"/>
  <c r="G94" i="19"/>
  <c r="H94" i="19" s="1"/>
  <c r="H93" i="19"/>
  <c r="G95" i="19" l="1"/>
  <c r="H95" i="19" s="1"/>
  <c r="I95" i="19"/>
  <c r="G96" i="19" l="1"/>
  <c r="H96" i="19" s="1"/>
  <c r="I96" i="19"/>
  <c r="G97" i="19" l="1"/>
  <c r="H97" i="19" s="1"/>
  <c r="I97" i="19"/>
  <c r="G98" i="19" l="1"/>
  <c r="I98" i="19"/>
  <c r="H27" i="3" l="1"/>
  <c r="H28" i="3"/>
  <c r="H29" i="3"/>
  <c r="H30" i="3"/>
  <c r="H31" i="3"/>
  <c r="H32" i="3"/>
  <c r="H98" i="19"/>
  <c r="C84" i="1" l="1"/>
  <c r="D84" i="1" s="1"/>
  <c r="E84" i="1" s="1"/>
  <c r="C64" i="1"/>
  <c r="C63" i="1"/>
  <c r="C62" i="1"/>
  <c r="D75" i="15"/>
  <c r="C75" i="15"/>
  <c r="E74" i="15"/>
  <c r="D74" i="15"/>
  <c r="E91" i="15"/>
  <c r="D91" i="15"/>
  <c r="E90" i="15"/>
  <c r="D90" i="15"/>
  <c r="E89" i="15"/>
  <c r="D89" i="15"/>
  <c r="I2" i="14" s="1"/>
  <c r="E82" i="15"/>
  <c r="E81" i="15"/>
  <c r="E80" i="15"/>
  <c r="D82" i="15"/>
  <c r="D81" i="15"/>
  <c r="D80" i="15"/>
  <c r="H2" i="14" s="1"/>
  <c r="C95" i="1"/>
  <c r="C67" i="1"/>
  <c r="D68" i="1"/>
  <c r="D82" i="1" s="1"/>
  <c r="A289" i="14"/>
  <c r="A288" i="14"/>
  <c r="A287" i="14"/>
  <c r="A286" i="14"/>
  <c r="A285" i="14"/>
  <c r="A284" i="14"/>
  <c r="A283" i="14"/>
  <c r="A282" i="14"/>
  <c r="A281" i="14"/>
  <c r="A280" i="14"/>
  <c r="A279" i="14"/>
  <c r="A278" i="14"/>
  <c r="A277" i="14"/>
  <c r="A276" i="14"/>
  <c r="A275" i="14"/>
  <c r="A274" i="14"/>
  <c r="A273" i="14"/>
  <c r="A272" i="14"/>
  <c r="A271" i="14"/>
  <c r="A270" i="14"/>
  <c r="A269" i="14"/>
  <c r="A268" i="14"/>
  <c r="A267" i="14"/>
  <c r="A266" i="14"/>
  <c r="A265" i="14"/>
  <c r="A264" i="14"/>
  <c r="A263" i="14"/>
  <c r="A262" i="14"/>
  <c r="A261" i="14"/>
  <c r="A260" i="14"/>
  <c r="A259" i="14"/>
  <c r="A258" i="14"/>
  <c r="A257" i="14"/>
  <c r="A256" i="14"/>
  <c r="A255" i="14"/>
  <c r="A254" i="14"/>
  <c r="A253" i="14"/>
  <c r="A252" i="14"/>
  <c r="A251" i="14"/>
  <c r="A250" i="14"/>
  <c r="A249" i="14"/>
  <c r="A248" i="14"/>
  <c r="A247" i="14"/>
  <c r="A246" i="14"/>
  <c r="A245" i="14"/>
  <c r="A244" i="14"/>
  <c r="A243" i="14"/>
  <c r="A242" i="14"/>
  <c r="A241" i="14"/>
  <c r="A240" i="14"/>
  <c r="A239" i="14"/>
  <c r="A238" i="14"/>
  <c r="A237" i="14"/>
  <c r="A236" i="14"/>
  <c r="A235" i="14"/>
  <c r="A234" i="14"/>
  <c r="A233" i="14"/>
  <c r="A232" i="14"/>
  <c r="A231" i="14"/>
  <c r="A230" i="14"/>
  <c r="A229" i="14"/>
  <c r="A228" i="14"/>
  <c r="A227" i="14"/>
  <c r="A226" i="14"/>
  <c r="A225" i="14"/>
  <c r="A224" i="14"/>
  <c r="A223" i="14"/>
  <c r="A222" i="14"/>
  <c r="A221" i="14"/>
  <c r="A220" i="14"/>
  <c r="A219" i="14"/>
  <c r="A218" i="14"/>
  <c r="A217" i="14"/>
  <c r="A216" i="14"/>
  <c r="A215" i="14"/>
  <c r="A214" i="14"/>
  <c r="A213" i="14"/>
  <c r="A212" i="14"/>
  <c r="A211" i="14"/>
  <c r="A210" i="14"/>
  <c r="A209" i="14"/>
  <c r="A208" i="14"/>
  <c r="A207" i="14"/>
  <c r="A206" i="14"/>
  <c r="A205" i="14"/>
  <c r="A204" i="14"/>
  <c r="A203" i="14"/>
  <c r="A202" i="14"/>
  <c r="A201" i="14"/>
  <c r="A200" i="14"/>
  <c r="A199" i="14"/>
  <c r="A198" i="14"/>
  <c r="A197" i="14"/>
  <c r="A196" i="14"/>
  <c r="A195" i="14"/>
  <c r="A194" i="14"/>
  <c r="A193" i="14"/>
  <c r="A192" i="14"/>
  <c r="A191" i="14"/>
  <c r="A190" i="14"/>
  <c r="A189" i="14"/>
  <c r="A188" i="14"/>
  <c r="A187" i="14"/>
  <c r="A186" i="14"/>
  <c r="A185" i="14"/>
  <c r="A184" i="14"/>
  <c r="A183" i="14"/>
  <c r="A182" i="14"/>
  <c r="A181" i="14"/>
  <c r="A180" i="14"/>
  <c r="A179" i="14"/>
  <c r="A178" i="14"/>
  <c r="A177" i="14"/>
  <c r="A176" i="14"/>
  <c r="A175" i="14"/>
  <c r="A174" i="14"/>
  <c r="A173" i="14"/>
  <c r="A172" i="14"/>
  <c r="A171" i="14"/>
  <c r="A170" i="14"/>
  <c r="A169" i="14"/>
  <c r="A168" i="14"/>
  <c r="A167" i="14"/>
  <c r="A166" i="14"/>
  <c r="A165" i="14"/>
  <c r="A164" i="14"/>
  <c r="A163" i="14"/>
  <c r="A162" i="14"/>
  <c r="A161" i="14"/>
  <c r="A160" i="14"/>
  <c r="A159" i="14"/>
  <c r="A158" i="14"/>
  <c r="A157" i="14"/>
  <c r="A156" i="14"/>
  <c r="A155" i="14"/>
  <c r="A154" i="14"/>
  <c r="A153" i="14"/>
  <c r="A152" i="14"/>
  <c r="A151" i="14"/>
  <c r="A150" i="14"/>
  <c r="A149" i="14"/>
  <c r="A148" i="14"/>
  <c r="A147" i="14"/>
  <c r="A146" i="14"/>
  <c r="A145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W69" i="14" s="1"/>
  <c r="A68" i="14"/>
  <c r="A67" i="14"/>
  <c r="A66" i="14"/>
  <c r="A65" i="14"/>
  <c r="A64" i="14"/>
  <c r="A63" i="14"/>
  <c r="A62" i="14"/>
  <c r="A61" i="14"/>
  <c r="A60" i="14"/>
  <c r="A59" i="14"/>
  <c r="A58" i="14"/>
  <c r="A57" i="14"/>
  <c r="W57" i="14" s="1"/>
  <c r="A56" i="14"/>
  <c r="A55" i="14"/>
  <c r="A54" i="14"/>
  <c r="A53" i="14"/>
  <c r="A52" i="14"/>
  <c r="A51" i="14"/>
  <c r="A50" i="14"/>
  <c r="A49" i="14"/>
  <c r="A48" i="14"/>
  <c r="W48" i="14" s="1"/>
  <c r="A47" i="14"/>
  <c r="A46" i="14"/>
  <c r="A45" i="14"/>
  <c r="A44" i="14"/>
  <c r="A43" i="14"/>
  <c r="A42" i="14"/>
  <c r="A41" i="14"/>
  <c r="A40" i="14"/>
  <c r="A39" i="14"/>
  <c r="A38" i="14"/>
  <c r="A4" i="14"/>
  <c r="A3" i="14"/>
  <c r="W286" i="14"/>
  <c r="W283" i="14"/>
  <c r="W280" i="14"/>
  <c r="W274" i="14"/>
  <c r="W271" i="14"/>
  <c r="W268" i="14"/>
  <c r="W262" i="14"/>
  <c r="W259" i="14"/>
  <c r="W256" i="14"/>
  <c r="W250" i="14"/>
  <c r="W247" i="14"/>
  <c r="W244" i="14"/>
  <c r="W238" i="14"/>
  <c r="W235" i="14"/>
  <c r="W232" i="14"/>
  <c r="W226" i="14"/>
  <c r="W223" i="14"/>
  <c r="W220" i="14"/>
  <c r="W214" i="14"/>
  <c r="W211" i="14"/>
  <c r="W208" i="14"/>
  <c r="W202" i="14"/>
  <c r="W199" i="14"/>
  <c r="W196" i="14"/>
  <c r="W190" i="14"/>
  <c r="W187" i="14"/>
  <c r="F92" i="15"/>
  <c r="G92" i="15" s="1"/>
  <c r="H92" i="15" s="1"/>
  <c r="I92" i="15" s="1"/>
  <c r="J92" i="15" s="1"/>
  <c r="K92" i="15" s="1"/>
  <c r="F83" i="15"/>
  <c r="D69" i="15"/>
  <c r="E69" i="15" s="1"/>
  <c r="F69" i="15" s="1"/>
  <c r="G69" i="15" s="1"/>
  <c r="H69" i="15" s="1"/>
  <c r="I69" i="15" s="1"/>
  <c r="D51" i="15"/>
  <c r="B49" i="15"/>
  <c r="F84" i="1" l="1"/>
  <c r="G84" i="1" s="1"/>
  <c r="H84" i="1" s="1"/>
  <c r="I84" i="1" s="1"/>
  <c r="J84" i="1" s="1"/>
  <c r="I41" i="14"/>
  <c r="H41" i="14"/>
  <c r="I65" i="14"/>
  <c r="H65" i="14"/>
  <c r="I43" i="14"/>
  <c r="H43" i="14"/>
  <c r="H56" i="14"/>
  <c r="I56" i="14"/>
  <c r="I57" i="14"/>
  <c r="H57" i="14"/>
  <c r="I59" i="14"/>
  <c r="H59" i="14"/>
  <c r="H3" i="14"/>
  <c r="I3" i="14"/>
  <c r="I48" i="14"/>
  <c r="H48" i="14"/>
  <c r="I60" i="14"/>
  <c r="H60" i="14"/>
  <c r="I72" i="14"/>
  <c r="H72" i="14"/>
  <c r="I40" i="14"/>
  <c r="H40" i="14"/>
  <c r="H54" i="14"/>
  <c r="I54" i="14"/>
  <c r="H55" i="14"/>
  <c r="I55" i="14"/>
  <c r="I69" i="14"/>
  <c r="H69" i="14"/>
  <c r="I70" i="14"/>
  <c r="H70" i="14"/>
  <c r="I4" i="14"/>
  <c r="H4" i="14"/>
  <c r="I49" i="14"/>
  <c r="H49" i="14"/>
  <c r="I61" i="14"/>
  <c r="H61" i="14"/>
  <c r="I73" i="14"/>
  <c r="H73" i="14"/>
  <c r="H64" i="14"/>
  <c r="I64" i="14"/>
  <c r="I53" i="14"/>
  <c r="H53" i="14"/>
  <c r="I42" i="14"/>
  <c r="H42" i="14"/>
  <c r="I67" i="14"/>
  <c r="H67" i="14"/>
  <c r="I68" i="14"/>
  <c r="H68" i="14"/>
  <c r="I46" i="14"/>
  <c r="H46" i="14"/>
  <c r="I71" i="14"/>
  <c r="H71" i="14"/>
  <c r="I38" i="14"/>
  <c r="H38" i="14"/>
  <c r="H50" i="14"/>
  <c r="I50" i="14"/>
  <c r="I62" i="14"/>
  <c r="H62" i="14"/>
  <c r="I52" i="14"/>
  <c r="H52" i="14"/>
  <c r="I66" i="14"/>
  <c r="H66" i="14"/>
  <c r="H44" i="14"/>
  <c r="I44" i="14"/>
  <c r="I45" i="14"/>
  <c r="H45" i="14"/>
  <c r="I58" i="14"/>
  <c r="H58" i="14"/>
  <c r="I47" i="14"/>
  <c r="H47" i="14"/>
  <c r="H39" i="14"/>
  <c r="I39" i="14"/>
  <c r="H51" i="14"/>
  <c r="I51" i="14"/>
  <c r="I63" i="14"/>
  <c r="H63" i="14"/>
  <c r="G83" i="15"/>
  <c r="G81" i="15" s="1"/>
  <c r="F99" i="15"/>
  <c r="F98" i="15"/>
  <c r="F100" i="15"/>
  <c r="D76" i="1"/>
  <c r="D95" i="1" s="1"/>
  <c r="D67" i="1"/>
  <c r="C74" i="1"/>
  <c r="A1" i="14"/>
  <c r="F90" i="15"/>
  <c r="F81" i="15"/>
  <c r="F89" i="15"/>
  <c r="F80" i="15"/>
  <c r="F82" i="15"/>
  <c r="F91" i="15"/>
  <c r="E68" i="1"/>
  <c r="E82" i="1" s="1"/>
  <c r="E51" i="15"/>
  <c r="H97" i="14" l="1"/>
  <c r="G80" i="15"/>
  <c r="I100" i="14"/>
  <c r="H110" i="14"/>
  <c r="I101" i="14"/>
  <c r="H114" i="14"/>
  <c r="G89" i="15"/>
  <c r="G91" i="15"/>
  <c r="I112" i="14" s="1"/>
  <c r="H140" i="14"/>
  <c r="G82" i="15"/>
  <c r="H143" i="14"/>
  <c r="H81" i="14"/>
  <c r="G90" i="15"/>
  <c r="I123" i="14" s="1"/>
  <c r="H122" i="14"/>
  <c r="I109" i="14"/>
  <c r="H101" i="14"/>
  <c r="W93" i="14"/>
  <c r="H93" i="14"/>
  <c r="H104" i="14"/>
  <c r="I103" i="14"/>
  <c r="H78" i="14"/>
  <c r="H88" i="14"/>
  <c r="H123" i="14"/>
  <c r="I81" i="14"/>
  <c r="H100" i="14"/>
  <c r="I97" i="14"/>
  <c r="I108" i="14"/>
  <c r="I93" i="14"/>
  <c r="I104" i="14"/>
  <c r="H103" i="14"/>
  <c r="I78" i="14"/>
  <c r="I88" i="14"/>
  <c r="I91" i="14"/>
  <c r="I98" i="14"/>
  <c r="H94" i="14"/>
  <c r="H138" i="14"/>
  <c r="H113" i="14"/>
  <c r="H85" i="14"/>
  <c r="I76" i="14"/>
  <c r="H96" i="14"/>
  <c r="H107" i="14"/>
  <c r="H82" i="14"/>
  <c r="H111" i="14"/>
  <c r="H91" i="14"/>
  <c r="H98" i="14"/>
  <c r="I94" i="14"/>
  <c r="I85" i="14"/>
  <c r="H76" i="14"/>
  <c r="I96" i="14"/>
  <c r="I107" i="14"/>
  <c r="I82" i="14"/>
  <c r="W83" i="14"/>
  <c r="H108" i="14"/>
  <c r="H99" i="14"/>
  <c r="I92" i="14"/>
  <c r="I86" i="14"/>
  <c r="I90" i="14"/>
  <c r="H79" i="14"/>
  <c r="H102" i="14"/>
  <c r="H89" i="14"/>
  <c r="H84" i="14"/>
  <c r="W104" i="14"/>
  <c r="I99" i="14"/>
  <c r="H92" i="14"/>
  <c r="H86" i="14"/>
  <c r="H90" i="14"/>
  <c r="H128" i="14"/>
  <c r="I79" i="14"/>
  <c r="I102" i="14"/>
  <c r="I89" i="14"/>
  <c r="I84" i="14"/>
  <c r="W92" i="14"/>
  <c r="I87" i="14"/>
  <c r="H105" i="14"/>
  <c r="H125" i="14"/>
  <c r="H74" i="14"/>
  <c r="H119" i="14"/>
  <c r="H131" i="14"/>
  <c r="H106" i="14"/>
  <c r="H117" i="14"/>
  <c r="I80" i="14"/>
  <c r="H144" i="14"/>
  <c r="W105" i="14"/>
  <c r="H87" i="14"/>
  <c r="I105" i="14"/>
  <c r="I74" i="14"/>
  <c r="I106" i="14"/>
  <c r="H80" i="14"/>
  <c r="I75" i="14"/>
  <c r="H95" i="14"/>
  <c r="I77" i="14"/>
  <c r="H83" i="14"/>
  <c r="H132" i="14"/>
  <c r="H137" i="14"/>
  <c r="W84" i="14"/>
  <c r="I95" i="14"/>
  <c r="H77" i="14"/>
  <c r="H134" i="14"/>
  <c r="H116" i="14"/>
  <c r="I83" i="14"/>
  <c r="H75" i="14"/>
  <c r="H135" i="14"/>
  <c r="H126" i="14"/>
  <c r="H141" i="14"/>
  <c r="H109" i="14"/>
  <c r="H120" i="14"/>
  <c r="H129" i="14"/>
  <c r="H83" i="15"/>
  <c r="G99" i="15"/>
  <c r="G100" i="15"/>
  <c r="G98" i="15"/>
  <c r="D74" i="1"/>
  <c r="D75" i="1"/>
  <c r="E76" i="1"/>
  <c r="E95" i="1" s="1"/>
  <c r="F68" i="1"/>
  <c r="F82" i="1" s="1"/>
  <c r="E67" i="1"/>
  <c r="F51" i="15"/>
  <c r="I145" i="14" l="1"/>
  <c r="I121" i="14"/>
  <c r="I136" i="14"/>
  <c r="H124" i="14"/>
  <c r="I132" i="14"/>
  <c r="I142" i="14"/>
  <c r="I118" i="14"/>
  <c r="I137" i="14"/>
  <c r="I127" i="14"/>
  <c r="I130" i="14"/>
  <c r="I124" i="14"/>
  <c r="I119" i="14"/>
  <c r="I139" i="14"/>
  <c r="I135" i="14"/>
  <c r="I138" i="14"/>
  <c r="I114" i="14"/>
  <c r="I122" i="14"/>
  <c r="I133" i="14"/>
  <c r="I120" i="14"/>
  <c r="I115" i="14"/>
  <c r="I111" i="14"/>
  <c r="I144" i="14"/>
  <c r="I117" i="14"/>
  <c r="I129" i="14"/>
  <c r="I141" i="14"/>
  <c r="I131" i="14"/>
  <c r="I125" i="14"/>
  <c r="I128" i="14"/>
  <c r="I113" i="14"/>
  <c r="W141" i="14"/>
  <c r="I116" i="14"/>
  <c r="H136" i="14"/>
  <c r="H142" i="14"/>
  <c r="H112" i="14"/>
  <c r="W128" i="14"/>
  <c r="I110" i="14"/>
  <c r="W129" i="14"/>
  <c r="I134" i="14"/>
  <c r="W119" i="14"/>
  <c r="H133" i="14"/>
  <c r="H145" i="14"/>
  <c r="H127" i="14"/>
  <c r="W140" i="14"/>
  <c r="I143" i="14"/>
  <c r="I140" i="14"/>
  <c r="W120" i="14"/>
  <c r="H115" i="14"/>
  <c r="I126" i="14"/>
  <c r="H121" i="14"/>
  <c r="H118" i="14"/>
  <c r="H130" i="14"/>
  <c r="H139" i="14"/>
  <c r="I83" i="15"/>
  <c r="H99" i="15"/>
  <c r="H100" i="15"/>
  <c r="H98" i="15"/>
  <c r="W155" i="14" s="1"/>
  <c r="H89" i="15"/>
  <c r="H91" i="15"/>
  <c r="H82" i="15"/>
  <c r="H90" i="15"/>
  <c r="I162" i="14" s="1"/>
  <c r="H80" i="15"/>
  <c r="H81" i="15"/>
  <c r="E74" i="1"/>
  <c r="E75" i="1"/>
  <c r="F76" i="1"/>
  <c r="F95" i="1" s="1"/>
  <c r="G68" i="1"/>
  <c r="G82" i="1" s="1"/>
  <c r="F67" i="1"/>
  <c r="G51" i="15"/>
  <c r="W177" i="14" l="1"/>
  <c r="H161" i="14"/>
  <c r="H170" i="14"/>
  <c r="H164" i="14"/>
  <c r="H173" i="14"/>
  <c r="H176" i="14"/>
  <c r="H155" i="14"/>
  <c r="H149" i="14"/>
  <c r="H167" i="14"/>
  <c r="H152" i="14"/>
  <c r="H158" i="14"/>
  <c r="H146" i="14"/>
  <c r="H179" i="14"/>
  <c r="I177" i="14"/>
  <c r="I180" i="14"/>
  <c r="I174" i="14"/>
  <c r="I150" i="14"/>
  <c r="I153" i="14"/>
  <c r="I159" i="14"/>
  <c r="I171" i="14"/>
  <c r="I168" i="14"/>
  <c r="I156" i="14"/>
  <c r="I165" i="14"/>
  <c r="I147" i="14"/>
  <c r="H151" i="14"/>
  <c r="H154" i="14"/>
  <c r="H169" i="14"/>
  <c r="H175" i="14"/>
  <c r="H163" i="14"/>
  <c r="H181" i="14"/>
  <c r="H166" i="14"/>
  <c r="H172" i="14"/>
  <c r="H178" i="14"/>
  <c r="H157" i="14"/>
  <c r="H160" i="14"/>
  <c r="H148" i="14"/>
  <c r="I160" i="14"/>
  <c r="I181" i="14"/>
  <c r="I178" i="14"/>
  <c r="I151" i="14"/>
  <c r="I169" i="14"/>
  <c r="I172" i="14"/>
  <c r="I154" i="14"/>
  <c r="I166" i="14"/>
  <c r="I175" i="14"/>
  <c r="I163" i="14"/>
  <c r="I148" i="14"/>
  <c r="I157" i="14"/>
  <c r="W164" i="14"/>
  <c r="W176" i="14"/>
  <c r="I161" i="14"/>
  <c r="I179" i="14"/>
  <c r="I146" i="14"/>
  <c r="I170" i="14"/>
  <c r="I167" i="14"/>
  <c r="I176" i="14"/>
  <c r="I158" i="14"/>
  <c r="I164" i="14"/>
  <c r="I152" i="14"/>
  <c r="I149" i="14"/>
  <c r="I155" i="14"/>
  <c r="I173" i="14"/>
  <c r="W156" i="14"/>
  <c r="W165" i="14"/>
  <c r="H177" i="14"/>
  <c r="H159" i="14"/>
  <c r="H156" i="14"/>
  <c r="H165" i="14"/>
  <c r="H162" i="14"/>
  <c r="H174" i="14"/>
  <c r="H180" i="14"/>
  <c r="H150" i="14"/>
  <c r="H168" i="14"/>
  <c r="H153" i="14"/>
  <c r="H147" i="14"/>
  <c r="H171" i="14"/>
  <c r="J83" i="15"/>
  <c r="I100" i="15"/>
  <c r="I98" i="15"/>
  <c r="I99" i="15"/>
  <c r="W216" i="14" s="1"/>
  <c r="I89" i="15"/>
  <c r="I80" i="15"/>
  <c r="H212" i="14" s="1"/>
  <c r="J212" i="14" s="1"/>
  <c r="I91" i="15"/>
  <c r="I90" i="15"/>
  <c r="I81" i="15"/>
  <c r="H216" i="14" s="1"/>
  <c r="I82" i="15"/>
  <c r="F74" i="1"/>
  <c r="F75" i="1"/>
  <c r="G76" i="1"/>
  <c r="G95" i="1" s="1"/>
  <c r="H51" i="15"/>
  <c r="H68" i="1"/>
  <c r="H82" i="1" s="1"/>
  <c r="G67" i="1"/>
  <c r="W184" i="14"/>
  <c r="U212" i="14" l="1"/>
  <c r="T212" i="14"/>
  <c r="S212" i="14"/>
  <c r="H195" i="14"/>
  <c r="J195" i="14" s="1"/>
  <c r="I215" i="14"/>
  <c r="K215" i="14" s="1"/>
  <c r="H210" i="14"/>
  <c r="J210" i="14" s="1"/>
  <c r="W192" i="14"/>
  <c r="H198" i="14"/>
  <c r="J198" i="14" s="1"/>
  <c r="I206" i="14"/>
  <c r="K206" i="14" s="1"/>
  <c r="I196" i="14"/>
  <c r="K196" i="14" s="1"/>
  <c r="I195" i="14"/>
  <c r="K195" i="14" s="1"/>
  <c r="I201" i="14"/>
  <c r="K201" i="14" s="1"/>
  <c r="H197" i="14"/>
  <c r="J197" i="14" s="1"/>
  <c r="H189" i="14"/>
  <c r="J189" i="14" s="1"/>
  <c r="W217" i="14"/>
  <c r="I209" i="14"/>
  <c r="K209" i="14" s="1"/>
  <c r="I187" i="14"/>
  <c r="K187" i="14" s="1"/>
  <c r="H182" i="14"/>
  <c r="J182" i="14" s="1"/>
  <c r="I182" i="14"/>
  <c r="K182" i="14" s="1"/>
  <c r="I199" i="14"/>
  <c r="K199" i="14" s="1"/>
  <c r="H199" i="14"/>
  <c r="J199" i="14" s="1"/>
  <c r="I207" i="14"/>
  <c r="K207" i="14" s="1"/>
  <c r="I213" i="14"/>
  <c r="K213" i="14" s="1"/>
  <c r="I210" i="14"/>
  <c r="K210" i="14" s="1"/>
  <c r="H206" i="14"/>
  <c r="J206" i="14" s="1"/>
  <c r="H209" i="14"/>
  <c r="J209" i="14" s="1"/>
  <c r="H207" i="14"/>
  <c r="J207" i="14" s="1"/>
  <c r="I193" i="14"/>
  <c r="K193" i="14" s="1"/>
  <c r="H214" i="14"/>
  <c r="J214" i="14" s="1"/>
  <c r="H217" i="14"/>
  <c r="J217" i="14" s="1"/>
  <c r="I204" i="14"/>
  <c r="K204" i="14" s="1"/>
  <c r="H188" i="14"/>
  <c r="J188" i="14" s="1"/>
  <c r="I200" i="14"/>
  <c r="K200" i="14" s="1"/>
  <c r="I188" i="14"/>
  <c r="K188" i="14" s="1"/>
  <c r="I214" i="14"/>
  <c r="K214" i="14" s="1"/>
  <c r="H208" i="14"/>
  <c r="J208" i="14" s="1"/>
  <c r="H184" i="14"/>
  <c r="J184" i="14" s="1"/>
  <c r="H185" i="14"/>
  <c r="J185" i="14" s="1"/>
  <c r="W203" i="14"/>
  <c r="H204" i="14"/>
  <c r="J204" i="14" s="1"/>
  <c r="H213" i="14"/>
  <c r="J213" i="14" s="1"/>
  <c r="I211" i="14"/>
  <c r="K211" i="14" s="1"/>
  <c r="H193" i="14"/>
  <c r="J193" i="14" s="1"/>
  <c r="W215" i="14"/>
  <c r="H186" i="14"/>
  <c r="J186" i="14" s="1"/>
  <c r="H183" i="14"/>
  <c r="J183" i="14" s="1"/>
  <c r="W205" i="14"/>
  <c r="I202" i="14"/>
  <c r="K202" i="14" s="1"/>
  <c r="I217" i="14"/>
  <c r="K217" i="14" s="1"/>
  <c r="H190" i="14"/>
  <c r="J190" i="14" s="1"/>
  <c r="I198" i="14"/>
  <c r="K198" i="14" s="1"/>
  <c r="I183" i="14"/>
  <c r="K183" i="14" s="1"/>
  <c r="I189" i="14"/>
  <c r="K189" i="14" s="1"/>
  <c r="I203" i="14"/>
  <c r="K203" i="14" s="1"/>
  <c r="I197" i="14"/>
  <c r="K197" i="14" s="1"/>
  <c r="H196" i="14"/>
  <c r="J196" i="14" s="1"/>
  <c r="H187" i="14"/>
  <c r="J187" i="14" s="1"/>
  <c r="I192" i="14"/>
  <c r="K192" i="14" s="1"/>
  <c r="H191" i="14"/>
  <c r="J191" i="14" s="1"/>
  <c r="I191" i="14"/>
  <c r="K191" i="14" s="1"/>
  <c r="I205" i="14"/>
  <c r="K205" i="14" s="1"/>
  <c r="H205" i="14"/>
  <c r="J205" i="14" s="1"/>
  <c r="H215" i="14"/>
  <c r="J215" i="14" s="1"/>
  <c r="H194" i="14"/>
  <c r="J194" i="14" s="1"/>
  <c r="W204" i="14"/>
  <c r="H192" i="14"/>
  <c r="J192" i="14" s="1"/>
  <c r="I194" i="14"/>
  <c r="K194" i="14" s="1"/>
  <c r="I212" i="14"/>
  <c r="K212" i="14" s="1"/>
  <c r="H211" i="14"/>
  <c r="J211" i="14" s="1"/>
  <c r="H202" i="14"/>
  <c r="J202" i="14" s="1"/>
  <c r="I216" i="14"/>
  <c r="K216" i="14" s="1"/>
  <c r="H203" i="14"/>
  <c r="J203" i="14" s="1"/>
  <c r="H200" i="14"/>
  <c r="J200" i="14" s="1"/>
  <c r="I185" i="14"/>
  <c r="K185" i="14" s="1"/>
  <c r="I190" i="14"/>
  <c r="K190" i="14" s="1"/>
  <c r="I208" i="14"/>
  <c r="K208" i="14" s="1"/>
  <c r="H201" i="14"/>
  <c r="J201" i="14" s="1"/>
  <c r="I184" i="14"/>
  <c r="K184" i="14" s="1"/>
  <c r="I186" i="14"/>
  <c r="K186" i="14" s="1"/>
  <c r="J216" i="14"/>
  <c r="K83" i="15"/>
  <c r="J100" i="15"/>
  <c r="J98" i="15"/>
  <c r="W227" i="14" s="1"/>
  <c r="J99" i="15"/>
  <c r="J80" i="15"/>
  <c r="H227" i="14" s="1"/>
  <c r="J227" i="14" s="1"/>
  <c r="J81" i="15"/>
  <c r="J82" i="15"/>
  <c r="J90" i="15"/>
  <c r="J91" i="15"/>
  <c r="I241" i="14" s="1"/>
  <c r="K241" i="14" s="1"/>
  <c r="J89" i="15"/>
  <c r="O212" i="14"/>
  <c r="Q212" i="14"/>
  <c r="R212" i="14" s="1"/>
  <c r="L212" i="14"/>
  <c r="P212" i="14"/>
  <c r="N212" i="14"/>
  <c r="M212" i="14"/>
  <c r="G74" i="1"/>
  <c r="G75" i="1"/>
  <c r="H76" i="1"/>
  <c r="H95" i="1" s="1"/>
  <c r="I51" i="15"/>
  <c r="I68" i="1"/>
  <c r="I82" i="1" s="1"/>
  <c r="H67" i="1"/>
  <c r="C87" i="1"/>
  <c r="D87" i="1" s="1"/>
  <c r="E87" i="1" s="1"/>
  <c r="F23" i="2"/>
  <c r="F24" i="2"/>
  <c r="W181" i="14"/>
  <c r="W178" i="14"/>
  <c r="W175" i="14"/>
  <c r="W172" i="14"/>
  <c r="W169" i="14"/>
  <c r="W166" i="14"/>
  <c r="W163" i="14"/>
  <c r="W160" i="14"/>
  <c r="W157" i="14"/>
  <c r="W154" i="14"/>
  <c r="W151" i="14"/>
  <c r="W148" i="14"/>
  <c r="W145" i="14"/>
  <c r="W142" i="14"/>
  <c r="W139" i="14"/>
  <c r="W136" i="14"/>
  <c r="W133" i="14"/>
  <c r="W130" i="14"/>
  <c r="W127" i="14"/>
  <c r="W124" i="14"/>
  <c r="W121" i="14"/>
  <c r="W118" i="14"/>
  <c r="W115" i="14"/>
  <c r="W112" i="14"/>
  <c r="W109" i="14"/>
  <c r="W106" i="14"/>
  <c r="W103" i="14"/>
  <c r="W100" i="14"/>
  <c r="W97" i="14"/>
  <c r="W94" i="14"/>
  <c r="W91" i="14"/>
  <c r="W88" i="14"/>
  <c r="W85" i="14"/>
  <c r="W82" i="14"/>
  <c r="W79" i="14"/>
  <c r="W76" i="14"/>
  <c r="W73" i="14"/>
  <c r="W70" i="14"/>
  <c r="W67" i="14"/>
  <c r="W64" i="14"/>
  <c r="W61" i="14"/>
  <c r="W58" i="14"/>
  <c r="W55" i="14"/>
  <c r="W52" i="14"/>
  <c r="W49" i="14"/>
  <c r="W46" i="14"/>
  <c r="W43" i="14"/>
  <c r="W40" i="14"/>
  <c r="G5" i="14"/>
  <c r="J38" i="14"/>
  <c r="E16" i="3"/>
  <c r="G8" i="3"/>
  <c r="E75" i="15" s="1"/>
  <c r="B3" i="2"/>
  <c r="F87" i="1" l="1"/>
  <c r="G87" i="1" s="1"/>
  <c r="H87" i="1" s="1"/>
  <c r="I87" i="1" s="1"/>
  <c r="J87" i="1" s="1"/>
  <c r="V212" i="14"/>
  <c r="P183" i="14"/>
  <c r="U183" i="14"/>
  <c r="T183" i="14"/>
  <c r="S183" i="14"/>
  <c r="U199" i="14"/>
  <c r="T199" i="14"/>
  <c r="S199" i="14"/>
  <c r="P210" i="14"/>
  <c r="U210" i="14"/>
  <c r="T210" i="14"/>
  <c r="S210" i="14"/>
  <c r="O195" i="14"/>
  <c r="U195" i="14"/>
  <c r="T195" i="14"/>
  <c r="S195" i="14"/>
  <c r="U211" i="14"/>
  <c r="T211" i="14"/>
  <c r="S211" i="14"/>
  <c r="U187" i="14"/>
  <c r="T187" i="14"/>
  <c r="S187" i="14"/>
  <c r="L186" i="14"/>
  <c r="U186" i="14"/>
  <c r="T186" i="14"/>
  <c r="S186" i="14"/>
  <c r="U202" i="14"/>
  <c r="T202" i="14"/>
  <c r="S202" i="14"/>
  <c r="U193" i="14"/>
  <c r="T193" i="14"/>
  <c r="S193" i="14"/>
  <c r="O191" i="14"/>
  <c r="U191" i="14"/>
  <c r="T191" i="14"/>
  <c r="S191" i="14"/>
  <c r="O216" i="14"/>
  <c r="U216" i="14"/>
  <c r="T216" i="14"/>
  <c r="S216" i="14"/>
  <c r="L192" i="14"/>
  <c r="U192" i="14"/>
  <c r="T192" i="14"/>
  <c r="S192" i="14"/>
  <c r="U217" i="14"/>
  <c r="T217" i="14"/>
  <c r="S217" i="14"/>
  <c r="L182" i="14"/>
  <c r="U182" i="14"/>
  <c r="T182" i="14"/>
  <c r="S182" i="14"/>
  <c r="N213" i="14"/>
  <c r="U213" i="14"/>
  <c r="T213" i="14"/>
  <c r="S213" i="14"/>
  <c r="U214" i="14"/>
  <c r="T214" i="14"/>
  <c r="S214" i="14"/>
  <c r="O188" i="14"/>
  <c r="U188" i="14"/>
  <c r="T188" i="14"/>
  <c r="S188" i="14"/>
  <c r="O201" i="14"/>
  <c r="U201" i="14"/>
  <c r="T201" i="14"/>
  <c r="S201" i="14"/>
  <c r="P194" i="14"/>
  <c r="U194" i="14"/>
  <c r="T194" i="14"/>
  <c r="S194" i="14"/>
  <c r="L204" i="14"/>
  <c r="U204" i="14"/>
  <c r="T204" i="14"/>
  <c r="S204" i="14"/>
  <c r="L198" i="14"/>
  <c r="U198" i="14"/>
  <c r="T198" i="14"/>
  <c r="S198" i="14"/>
  <c r="U227" i="14"/>
  <c r="T227" i="14"/>
  <c r="S227" i="14"/>
  <c r="N215" i="14"/>
  <c r="U215" i="14"/>
  <c r="T215" i="14"/>
  <c r="S215" i="14"/>
  <c r="U207" i="14"/>
  <c r="T207" i="14"/>
  <c r="S207" i="14"/>
  <c r="U38" i="14"/>
  <c r="T38" i="14"/>
  <c r="S38" i="14"/>
  <c r="U196" i="14"/>
  <c r="T196" i="14"/>
  <c r="S196" i="14"/>
  <c r="U205" i="14"/>
  <c r="T205" i="14"/>
  <c r="S205" i="14"/>
  <c r="U190" i="14"/>
  <c r="T190" i="14"/>
  <c r="S190" i="14"/>
  <c r="L185" i="14"/>
  <c r="U185" i="14"/>
  <c r="T185" i="14"/>
  <c r="S185" i="14"/>
  <c r="O209" i="14"/>
  <c r="U209" i="14"/>
  <c r="T209" i="14"/>
  <c r="S209" i="14"/>
  <c r="M189" i="14"/>
  <c r="U189" i="14"/>
  <c r="T189" i="14"/>
  <c r="S189" i="14"/>
  <c r="M200" i="14"/>
  <c r="U200" i="14"/>
  <c r="T200" i="14"/>
  <c r="S200" i="14"/>
  <c r="U184" i="14"/>
  <c r="T184" i="14"/>
  <c r="S184" i="14"/>
  <c r="Q206" i="14"/>
  <c r="R206" i="14" s="1"/>
  <c r="U206" i="14"/>
  <c r="T206" i="14"/>
  <c r="S206" i="14"/>
  <c r="Q197" i="14"/>
  <c r="R197" i="14" s="1"/>
  <c r="U197" i="14"/>
  <c r="T197" i="14"/>
  <c r="S197" i="14"/>
  <c r="Q203" i="14"/>
  <c r="R203" i="14" s="1"/>
  <c r="U203" i="14"/>
  <c r="T203" i="14"/>
  <c r="S203" i="14"/>
  <c r="U208" i="14"/>
  <c r="T208" i="14"/>
  <c r="S208" i="14"/>
  <c r="L188" i="14"/>
  <c r="M27" i="28"/>
  <c r="R27" i="28" s="1"/>
  <c r="M12" i="28"/>
  <c r="R12" i="28" s="1"/>
  <c r="M25" i="28"/>
  <c r="R25" i="28" s="1"/>
  <c r="M24" i="28"/>
  <c r="R24" i="28" s="1"/>
  <c r="M22" i="28"/>
  <c r="R22" i="28" s="1"/>
  <c r="M32" i="28"/>
  <c r="M23" i="28"/>
  <c r="R23" i="28" s="1"/>
  <c r="M4" i="28"/>
  <c r="R4" i="28" s="1"/>
  <c r="M15" i="28"/>
  <c r="R15" i="28" s="1"/>
  <c r="M14" i="28"/>
  <c r="R14" i="28" s="1"/>
  <c r="M13" i="28"/>
  <c r="R13" i="28" s="1"/>
  <c r="M26" i="28"/>
  <c r="R26" i="28" s="1"/>
  <c r="M11" i="28"/>
  <c r="R11" i="28" s="1"/>
  <c r="M10" i="28"/>
  <c r="R10" i="28" s="1"/>
  <c r="M9" i="28"/>
  <c r="R9" i="28" s="1"/>
  <c r="M8" i="28"/>
  <c r="R8" i="28" s="1"/>
  <c r="M17" i="28"/>
  <c r="R17" i="28" s="1"/>
  <c r="M16" i="28"/>
  <c r="R16" i="28" s="1"/>
  <c r="M3" i="28"/>
  <c r="R3" i="28" s="1"/>
  <c r="M28" i="28"/>
  <c r="R28" i="28" s="1"/>
  <c r="M21" i="28"/>
  <c r="R21" i="28" s="1"/>
  <c r="M7" i="28"/>
  <c r="R7" i="28" s="1"/>
  <c r="M20" i="28"/>
  <c r="R20" i="28" s="1"/>
  <c r="M18" i="28"/>
  <c r="R18" i="28" s="1"/>
  <c r="M6" i="28"/>
  <c r="R6" i="28" s="1"/>
  <c r="M19" i="28"/>
  <c r="R19" i="28" s="1"/>
  <c r="M5" i="28"/>
  <c r="R5" i="28" s="1"/>
  <c r="M31" i="28"/>
  <c r="R31" i="28" s="1"/>
  <c r="M30" i="28"/>
  <c r="R30" i="28" s="1"/>
  <c r="M29" i="28"/>
  <c r="R29" i="28" s="1"/>
  <c r="C3" i="3"/>
  <c r="B3" i="13" s="1"/>
  <c r="C25" i="28"/>
  <c r="C14" i="28"/>
  <c r="C12" i="28"/>
  <c r="C22" i="28"/>
  <c r="C10" i="28"/>
  <c r="C18" i="28"/>
  <c r="C17" i="28"/>
  <c r="C28" i="28"/>
  <c r="C16" i="28"/>
  <c r="C26" i="28"/>
  <c r="C24" i="28"/>
  <c r="C13" i="28"/>
  <c r="C23" i="28"/>
  <c r="C11" i="28"/>
  <c r="C21" i="28"/>
  <c r="C7" i="28"/>
  <c r="C29" i="28"/>
  <c r="C27" i="28"/>
  <c r="C3" i="28"/>
  <c r="C32" i="28"/>
  <c r="C20" i="28"/>
  <c r="C9" i="28"/>
  <c r="C31" i="28"/>
  <c r="C19" i="28"/>
  <c r="C8" i="28"/>
  <c r="C30" i="28"/>
  <c r="C6" i="28"/>
  <c r="C5" i="28"/>
  <c r="C4" i="28"/>
  <c r="C15" i="28"/>
  <c r="Q188" i="14"/>
  <c r="R188" i="14" s="1"/>
  <c r="W5" i="14"/>
  <c r="G8" i="14"/>
  <c r="G11" i="14" s="1"/>
  <c r="G14" i="14" s="1"/>
  <c r="G17" i="14" s="1"/>
  <c r="L191" i="14"/>
  <c r="O203" i="14"/>
  <c r="P191" i="14"/>
  <c r="Q191" i="14"/>
  <c r="R191" i="14" s="1"/>
  <c r="Q185" i="14"/>
  <c r="R185" i="14" s="1"/>
  <c r="M188" i="14"/>
  <c r="N188" i="14"/>
  <c r="N191" i="14"/>
  <c r="M191" i="14"/>
  <c r="I239" i="14"/>
  <c r="K239" i="14" s="1"/>
  <c r="L200" i="14"/>
  <c r="P188" i="14"/>
  <c r="N197" i="14"/>
  <c r="Q194" i="14"/>
  <c r="R194" i="14" s="1"/>
  <c r="M183" i="14"/>
  <c r="L183" i="14"/>
  <c r="O215" i="14"/>
  <c r="Q183" i="14"/>
  <c r="R183" i="14" s="1"/>
  <c r="L209" i="14"/>
  <c r="L197" i="14"/>
  <c r="N183" i="14"/>
  <c r="P209" i="14"/>
  <c r="O183" i="14"/>
  <c r="N194" i="14"/>
  <c r="N209" i="14"/>
  <c r="O197" i="14"/>
  <c r="P197" i="14"/>
  <c r="M194" i="14"/>
  <c r="M209" i="14"/>
  <c r="M197" i="14"/>
  <c r="L207" i="14"/>
  <c r="Q207" i="14"/>
  <c r="R207" i="14" s="1"/>
  <c r="N207" i="14"/>
  <c r="M207" i="14"/>
  <c r="P207" i="14"/>
  <c r="O207" i="14"/>
  <c r="Q213" i="14"/>
  <c r="R213" i="14" s="1"/>
  <c r="P200" i="14"/>
  <c r="P206" i="14"/>
  <c r="Q209" i="14"/>
  <c r="R209" i="14" s="1"/>
  <c r="M185" i="14"/>
  <c r="O213" i="14"/>
  <c r="N200" i="14"/>
  <c r="N206" i="14"/>
  <c r="P215" i="14"/>
  <c r="I230" i="14"/>
  <c r="K230" i="14" s="1"/>
  <c r="L213" i="14"/>
  <c r="O200" i="14"/>
  <c r="M206" i="14"/>
  <c r="L194" i="14"/>
  <c r="L203" i="14"/>
  <c r="O185" i="14"/>
  <c r="Q215" i="14"/>
  <c r="R215" i="14" s="1"/>
  <c r="P182" i="14"/>
  <c r="P195" i="14"/>
  <c r="P213" i="14"/>
  <c r="N182" i="14"/>
  <c r="N185" i="14"/>
  <c r="Q200" i="14"/>
  <c r="R200" i="14" s="1"/>
  <c r="L206" i="14"/>
  <c r="O194" i="14"/>
  <c r="N203" i="14"/>
  <c r="P185" i="14"/>
  <c r="M215" i="14"/>
  <c r="O182" i="14"/>
  <c r="N195" i="14"/>
  <c r="Q182" i="14"/>
  <c r="R182" i="14" s="1"/>
  <c r="M213" i="14"/>
  <c r="M182" i="14"/>
  <c r="O206" i="14"/>
  <c r="L215" i="14"/>
  <c r="P203" i="14"/>
  <c r="I222" i="14"/>
  <c r="K222" i="14" s="1"/>
  <c r="W253" i="14"/>
  <c r="H232" i="14"/>
  <c r="J232" i="14" s="1"/>
  <c r="H253" i="14"/>
  <c r="J253" i="14" s="1"/>
  <c r="I245" i="14"/>
  <c r="K245" i="14" s="1"/>
  <c r="H226" i="14"/>
  <c r="J226" i="14" s="1"/>
  <c r="H251" i="14"/>
  <c r="J251" i="14" s="1"/>
  <c r="H247" i="14"/>
  <c r="J247" i="14" s="1"/>
  <c r="I249" i="14"/>
  <c r="K249" i="14" s="1"/>
  <c r="H220" i="14"/>
  <c r="J220" i="14" s="1"/>
  <c r="H242" i="14"/>
  <c r="J242" i="14" s="1"/>
  <c r="I229" i="14"/>
  <c r="K229" i="14" s="1"/>
  <c r="I219" i="14"/>
  <c r="K219" i="14" s="1"/>
  <c r="I242" i="14"/>
  <c r="K242" i="14" s="1"/>
  <c r="H248" i="14"/>
  <c r="J248" i="14" s="1"/>
  <c r="H223" i="14"/>
  <c r="J223" i="14" s="1"/>
  <c r="I252" i="14"/>
  <c r="K252" i="14" s="1"/>
  <c r="H235" i="14"/>
  <c r="J235" i="14" s="1"/>
  <c r="H236" i="14"/>
  <c r="J236" i="14" s="1"/>
  <c r="H231" i="14"/>
  <c r="J231" i="14" s="1"/>
  <c r="H224" i="14"/>
  <c r="J224" i="14" s="1"/>
  <c r="I244" i="14"/>
  <c r="K244" i="14" s="1"/>
  <c r="I236" i="14"/>
  <c r="K236" i="14" s="1"/>
  <c r="H238" i="14"/>
  <c r="J238" i="14" s="1"/>
  <c r="I251" i="14"/>
  <c r="K251" i="14" s="1"/>
  <c r="I220" i="14"/>
  <c r="K220" i="14" s="1"/>
  <c r="H228" i="14"/>
  <c r="J228" i="14" s="1"/>
  <c r="I243" i="14"/>
  <c r="K243" i="14" s="1"/>
  <c r="I223" i="14"/>
  <c r="K223" i="14" s="1"/>
  <c r="M203" i="14"/>
  <c r="I246" i="14"/>
  <c r="K246" i="14" s="1"/>
  <c r="H245" i="14"/>
  <c r="J245" i="14" s="1"/>
  <c r="I226" i="14"/>
  <c r="K226" i="14" s="1"/>
  <c r="I240" i="14"/>
  <c r="K240" i="14" s="1"/>
  <c r="H250" i="14"/>
  <c r="J250" i="14" s="1"/>
  <c r="H218" i="14"/>
  <c r="J218" i="14" s="1"/>
  <c r="H246" i="14"/>
  <c r="J246" i="14" s="1"/>
  <c r="I218" i="14"/>
  <c r="K218" i="14" s="1"/>
  <c r="I221" i="14"/>
  <c r="K221" i="14" s="1"/>
  <c r="I237" i="14"/>
  <c r="K237" i="14" s="1"/>
  <c r="H221" i="14"/>
  <c r="J221" i="14" s="1"/>
  <c r="H237" i="14"/>
  <c r="J237" i="14" s="1"/>
  <c r="I232" i="14"/>
  <c r="K232" i="14" s="1"/>
  <c r="H241" i="14"/>
  <c r="J241" i="14" s="1"/>
  <c r="I250" i="14"/>
  <c r="K250" i="14" s="1"/>
  <c r="I234" i="14"/>
  <c r="K234" i="14" s="1"/>
  <c r="I233" i="14"/>
  <c r="K233" i="14" s="1"/>
  <c r="I225" i="14"/>
  <c r="K225" i="14" s="1"/>
  <c r="I248" i="14"/>
  <c r="K248" i="14" s="1"/>
  <c r="H229" i="14"/>
  <c r="J229" i="14" s="1"/>
  <c r="I253" i="14"/>
  <c r="K253" i="14" s="1"/>
  <c r="H239" i="14"/>
  <c r="J239" i="14" s="1"/>
  <c r="I228" i="14"/>
  <c r="K228" i="14" s="1"/>
  <c r="W229" i="14"/>
  <c r="I247" i="14"/>
  <c r="K247" i="14" s="1"/>
  <c r="I231" i="14"/>
  <c r="K231" i="14" s="1"/>
  <c r="H230" i="14"/>
  <c r="J230" i="14" s="1"/>
  <c r="I224" i="14"/>
  <c r="K224" i="14" s="1"/>
  <c r="I238" i="14"/>
  <c r="K238" i="14" s="1"/>
  <c r="H234" i="14"/>
  <c r="J234" i="14" s="1"/>
  <c r="H249" i="14"/>
  <c r="J249" i="14" s="1"/>
  <c r="H225" i="14"/>
  <c r="J225" i="14" s="1"/>
  <c r="H243" i="14"/>
  <c r="J243" i="14" s="1"/>
  <c r="H222" i="14"/>
  <c r="J222" i="14" s="1"/>
  <c r="H252" i="14"/>
  <c r="J252" i="14" s="1"/>
  <c r="H240" i="14"/>
  <c r="J240" i="14" s="1"/>
  <c r="H219" i="14"/>
  <c r="J219" i="14" s="1"/>
  <c r="I235" i="14"/>
  <c r="K235" i="14" s="1"/>
  <c r="H233" i="14"/>
  <c r="J233" i="14" s="1"/>
  <c r="I227" i="14"/>
  <c r="K227" i="14" s="1"/>
  <c r="H244" i="14"/>
  <c r="J244" i="14" s="1"/>
  <c r="Q195" i="14"/>
  <c r="R195" i="14" s="1"/>
  <c r="L195" i="14"/>
  <c r="M195" i="14"/>
  <c r="M216" i="14"/>
  <c r="Q216" i="14"/>
  <c r="R216" i="14" s="1"/>
  <c r="P216" i="14"/>
  <c r="N216" i="14"/>
  <c r="L216" i="14"/>
  <c r="Q186" i="14"/>
  <c r="R186" i="14" s="1"/>
  <c r="M210" i="14"/>
  <c r="P186" i="14"/>
  <c r="N186" i="14"/>
  <c r="O186" i="14"/>
  <c r="M186" i="14"/>
  <c r="Q189" i="14"/>
  <c r="R189" i="14" s="1"/>
  <c r="O210" i="14"/>
  <c r="N189" i="14"/>
  <c r="L210" i="14"/>
  <c r="L189" i="14"/>
  <c r="Q210" i="14"/>
  <c r="R210" i="14" s="1"/>
  <c r="N210" i="14"/>
  <c r="O189" i="14"/>
  <c r="P189" i="14"/>
  <c r="P201" i="14"/>
  <c r="O198" i="14"/>
  <c r="N198" i="14"/>
  <c r="P198" i="14"/>
  <c r="Q204" i="14"/>
  <c r="R204" i="14" s="1"/>
  <c r="Q201" i="14"/>
  <c r="R201" i="14" s="1"/>
  <c r="M198" i="14"/>
  <c r="P204" i="14"/>
  <c r="Q198" i="14"/>
  <c r="R198" i="14" s="1"/>
  <c r="O204" i="14"/>
  <c r="L201" i="14"/>
  <c r="N204" i="14"/>
  <c r="M201" i="14"/>
  <c r="M204" i="14"/>
  <c r="N201" i="14"/>
  <c r="P192" i="14"/>
  <c r="O192" i="14"/>
  <c r="M192" i="14"/>
  <c r="N192" i="14"/>
  <c r="Q192" i="14"/>
  <c r="R192" i="14" s="1"/>
  <c r="K100" i="15"/>
  <c r="K98" i="15"/>
  <c r="K99" i="15"/>
  <c r="K81" i="15"/>
  <c r="H270" i="14" s="1"/>
  <c r="K89" i="15"/>
  <c r="K91" i="15"/>
  <c r="I277" i="14" s="1"/>
  <c r="K277" i="14" s="1"/>
  <c r="K90" i="15"/>
  <c r="I285" i="14" s="1"/>
  <c r="K80" i="15"/>
  <c r="H257" i="14" s="1"/>
  <c r="K82" i="15"/>
  <c r="P227" i="14"/>
  <c r="N227" i="14"/>
  <c r="O227" i="14"/>
  <c r="L227" i="14"/>
  <c r="Q227" i="14"/>
  <c r="R227" i="14" s="1"/>
  <c r="M227" i="14"/>
  <c r="H75" i="1"/>
  <c r="H74" i="1"/>
  <c r="I76" i="1"/>
  <c r="I95" i="1" s="1"/>
  <c r="B2" i="17"/>
  <c r="C74" i="15"/>
  <c r="N211" i="14"/>
  <c r="M211" i="14"/>
  <c r="L211" i="14"/>
  <c r="P211" i="14"/>
  <c r="Q211" i="14"/>
  <c r="R211" i="14" s="1"/>
  <c r="O211" i="14"/>
  <c r="O217" i="14"/>
  <c r="L217" i="14"/>
  <c r="Q217" i="14"/>
  <c r="R217" i="14" s="1"/>
  <c r="M217" i="14"/>
  <c r="N217" i="14"/>
  <c r="P217" i="14"/>
  <c r="O196" i="14"/>
  <c r="M196" i="14"/>
  <c r="L196" i="14"/>
  <c r="Q196" i="14"/>
  <c r="R196" i="14" s="1"/>
  <c r="N196" i="14"/>
  <c r="P196" i="14"/>
  <c r="N190" i="14"/>
  <c r="O190" i="14"/>
  <c r="M190" i="14"/>
  <c r="P190" i="14"/>
  <c r="L190" i="14"/>
  <c r="Q190" i="14"/>
  <c r="R190" i="14" s="1"/>
  <c r="O214" i="14"/>
  <c r="P214" i="14"/>
  <c r="N214" i="14"/>
  <c r="Q214" i="14"/>
  <c r="R214" i="14" s="1"/>
  <c r="L214" i="14"/>
  <c r="M214" i="14"/>
  <c r="O208" i="14"/>
  <c r="N208" i="14"/>
  <c r="M208" i="14"/>
  <c r="L208" i="14"/>
  <c r="P208" i="14"/>
  <c r="Q208" i="14"/>
  <c r="R208" i="14" s="1"/>
  <c r="L187" i="14"/>
  <c r="P187" i="14"/>
  <c r="N187" i="14"/>
  <c r="O187" i="14"/>
  <c r="Q187" i="14"/>
  <c r="R187" i="14" s="1"/>
  <c r="M187" i="14"/>
  <c r="O205" i="14"/>
  <c r="N205" i="14"/>
  <c r="M205" i="14"/>
  <c r="L205" i="14"/>
  <c r="P205" i="14"/>
  <c r="Q205" i="14"/>
  <c r="R205" i="14" s="1"/>
  <c r="L193" i="14"/>
  <c r="O193" i="14"/>
  <c r="P193" i="14"/>
  <c r="N193" i="14"/>
  <c r="M193" i="14"/>
  <c r="Q193" i="14"/>
  <c r="R193" i="14" s="1"/>
  <c r="L184" i="14"/>
  <c r="O184" i="14"/>
  <c r="N184" i="14"/>
  <c r="M184" i="14"/>
  <c r="Q184" i="14"/>
  <c r="R184" i="14" s="1"/>
  <c r="P184" i="14"/>
  <c r="L199" i="14"/>
  <c r="P199" i="14"/>
  <c r="Q199" i="14"/>
  <c r="R199" i="14" s="1"/>
  <c r="N199" i="14"/>
  <c r="O199" i="14"/>
  <c r="M199" i="14"/>
  <c r="O202" i="14"/>
  <c r="N202" i="14"/>
  <c r="M202" i="14"/>
  <c r="L202" i="14"/>
  <c r="P202" i="14"/>
  <c r="Q202" i="14"/>
  <c r="R202" i="14" s="1"/>
  <c r="J68" i="1"/>
  <c r="J82" i="1" s="1"/>
  <c r="I67" i="1"/>
  <c r="K2" i="14"/>
  <c r="J2" i="14"/>
  <c r="J3" i="14"/>
  <c r="K3" i="14"/>
  <c r="A19" i="14"/>
  <c r="J4" i="14"/>
  <c r="K43" i="14"/>
  <c r="Q38" i="14"/>
  <c r="R38" i="14" s="1"/>
  <c r="P38" i="14"/>
  <c r="O38" i="14"/>
  <c r="N38" i="14"/>
  <c r="M38" i="14"/>
  <c r="L38" i="14"/>
  <c r="J65" i="14"/>
  <c r="J53" i="14"/>
  <c r="J41" i="14"/>
  <c r="J62" i="14"/>
  <c r="J50" i="14"/>
  <c r="J59" i="14"/>
  <c r="J68" i="14"/>
  <c r="J56" i="14"/>
  <c r="J44" i="14"/>
  <c r="J66" i="14"/>
  <c r="J54" i="14"/>
  <c r="J42" i="14"/>
  <c r="J63" i="14"/>
  <c r="J51" i="14"/>
  <c r="J60" i="14"/>
  <c r="J48" i="14"/>
  <c r="J69" i="14"/>
  <c r="J57" i="14"/>
  <c r="J45" i="14"/>
  <c r="K64" i="14"/>
  <c r="K52" i="14"/>
  <c r="K61" i="14"/>
  <c r="K49" i="14"/>
  <c r="K70" i="14"/>
  <c r="K58" i="14"/>
  <c r="K55" i="14"/>
  <c r="K67" i="14"/>
  <c r="K46" i="14"/>
  <c r="J47" i="14"/>
  <c r="A21" i="14"/>
  <c r="A6" i="14"/>
  <c r="A12" i="14"/>
  <c r="W12" i="14" s="1"/>
  <c r="A18" i="14"/>
  <c r="A30" i="14"/>
  <c r="A24" i="14"/>
  <c r="K63" i="14"/>
  <c r="K51" i="14"/>
  <c r="K39" i="14"/>
  <c r="K60" i="14"/>
  <c r="K48" i="14"/>
  <c r="K66" i="14"/>
  <c r="K54" i="14"/>
  <c r="K45" i="14"/>
  <c r="K57" i="14"/>
  <c r="K42" i="14"/>
  <c r="K69" i="14"/>
  <c r="A29" i="14"/>
  <c r="A23" i="14"/>
  <c r="A20" i="14"/>
  <c r="A5" i="14"/>
  <c r="A17" i="14"/>
  <c r="A11" i="14"/>
  <c r="W4" i="14"/>
  <c r="J64" i="14"/>
  <c r="J52" i="14"/>
  <c r="J61" i="14"/>
  <c r="J70" i="14"/>
  <c r="J58" i="14"/>
  <c r="J67" i="14"/>
  <c r="J55" i="14"/>
  <c r="J43" i="14"/>
  <c r="J49" i="14"/>
  <c r="J46" i="14"/>
  <c r="A13" i="14"/>
  <c r="A7" i="14"/>
  <c r="A22" i="14"/>
  <c r="A25" i="14"/>
  <c r="A31" i="14"/>
  <c r="Q32" i="28" l="1"/>
  <c r="R32" i="28"/>
  <c r="R33" i="28"/>
  <c r="V183" i="14"/>
  <c r="V192" i="14"/>
  <c r="W11" i="14"/>
  <c r="V187" i="14"/>
  <c r="W8" i="14"/>
  <c r="V182" i="14"/>
  <c r="V195" i="14"/>
  <c r="V206" i="14"/>
  <c r="V217" i="14"/>
  <c r="V190" i="14"/>
  <c r="V215" i="14"/>
  <c r="V203" i="14"/>
  <c r="V186" i="14"/>
  <c r="W14" i="14"/>
  <c r="V202" i="14"/>
  <c r="V194" i="14"/>
  <c r="V184" i="14"/>
  <c r="V201" i="14"/>
  <c r="V200" i="14"/>
  <c r="V208" i="14"/>
  <c r="V204" i="14"/>
  <c r="V227" i="14"/>
  <c r="V185" i="14"/>
  <c r="V191" i="14"/>
  <c r="V197" i="14"/>
  <c r="V188" i="14"/>
  <c r="V213" i="14"/>
  <c r="V214" i="14"/>
  <c r="V207" i="14"/>
  <c r="V209" i="14"/>
  <c r="V205" i="14"/>
  <c r="V189" i="14"/>
  <c r="V199" i="14"/>
  <c r="V193" i="14"/>
  <c r="V196" i="14"/>
  <c r="V211" i="14"/>
  <c r="V198" i="14"/>
  <c r="V210" i="14"/>
  <c r="V216" i="14"/>
  <c r="U47" i="14"/>
  <c r="T47" i="14"/>
  <c r="S47" i="14"/>
  <c r="U229" i="14"/>
  <c r="T229" i="14"/>
  <c r="S229" i="14"/>
  <c r="U61" i="14"/>
  <c r="T61" i="14"/>
  <c r="S61" i="14"/>
  <c r="U56" i="14"/>
  <c r="T56" i="14"/>
  <c r="S56" i="14"/>
  <c r="M252" i="14"/>
  <c r="U252" i="14"/>
  <c r="T252" i="14"/>
  <c r="S252" i="14"/>
  <c r="L221" i="14"/>
  <c r="U221" i="14"/>
  <c r="T221" i="14"/>
  <c r="S221" i="14"/>
  <c r="U68" i="14"/>
  <c r="T68" i="14"/>
  <c r="S68" i="14"/>
  <c r="Q222" i="14"/>
  <c r="R222" i="14" s="1"/>
  <c r="U222" i="14"/>
  <c r="T222" i="14"/>
  <c r="S222" i="14"/>
  <c r="L239" i="14"/>
  <c r="U239" i="14"/>
  <c r="T239" i="14"/>
  <c r="S239" i="14"/>
  <c r="U223" i="14"/>
  <c r="T223" i="14"/>
  <c r="S223" i="14"/>
  <c r="U253" i="14"/>
  <c r="T253" i="14"/>
  <c r="S253" i="14"/>
  <c r="U64" i="14"/>
  <c r="T64" i="14"/>
  <c r="S64" i="14"/>
  <c r="U57" i="14"/>
  <c r="T57" i="14"/>
  <c r="S57" i="14"/>
  <c r="U59" i="14"/>
  <c r="T59" i="14"/>
  <c r="S59" i="14"/>
  <c r="O243" i="14"/>
  <c r="U243" i="14"/>
  <c r="T243" i="14"/>
  <c r="S243" i="14"/>
  <c r="U228" i="14"/>
  <c r="T228" i="14"/>
  <c r="S228" i="14"/>
  <c r="U248" i="14"/>
  <c r="T248" i="14"/>
  <c r="S248" i="14"/>
  <c r="U232" i="14"/>
  <c r="T232" i="14"/>
  <c r="S232" i="14"/>
  <c r="U62" i="14"/>
  <c r="T62" i="14"/>
  <c r="S62" i="14"/>
  <c r="U46" i="14"/>
  <c r="T46" i="14"/>
  <c r="S46" i="14"/>
  <c r="U60" i="14"/>
  <c r="T60" i="14"/>
  <c r="S60" i="14"/>
  <c r="T41" i="14"/>
  <c r="S41" i="14"/>
  <c r="U41" i="14"/>
  <c r="U4" i="14"/>
  <c r="T4" i="14"/>
  <c r="S4" i="14"/>
  <c r="P234" i="14"/>
  <c r="U234" i="14"/>
  <c r="T234" i="14"/>
  <c r="S234" i="14"/>
  <c r="L218" i="14"/>
  <c r="U218" i="14"/>
  <c r="T218" i="14"/>
  <c r="S218" i="14"/>
  <c r="U238" i="14"/>
  <c r="T238" i="14"/>
  <c r="S238" i="14"/>
  <c r="N242" i="14"/>
  <c r="U242" i="14"/>
  <c r="T242" i="14"/>
  <c r="S242" i="14"/>
  <c r="U52" i="14"/>
  <c r="T52" i="14"/>
  <c r="S52" i="14"/>
  <c r="T50" i="14"/>
  <c r="U50" i="14"/>
  <c r="S50" i="14"/>
  <c r="L249" i="14"/>
  <c r="U249" i="14"/>
  <c r="T249" i="14"/>
  <c r="S249" i="14"/>
  <c r="U244" i="14"/>
  <c r="T244" i="14"/>
  <c r="S244" i="14"/>
  <c r="U250" i="14"/>
  <c r="T250" i="14"/>
  <c r="S250" i="14"/>
  <c r="S43" i="14"/>
  <c r="U43" i="14"/>
  <c r="T43" i="14"/>
  <c r="U63" i="14"/>
  <c r="T63" i="14"/>
  <c r="S63" i="14"/>
  <c r="U65" i="14"/>
  <c r="T65" i="14"/>
  <c r="S65" i="14"/>
  <c r="U220" i="14"/>
  <c r="T220" i="14"/>
  <c r="S220" i="14"/>
  <c r="P230" i="14"/>
  <c r="U230" i="14"/>
  <c r="T230" i="14"/>
  <c r="S230" i="14"/>
  <c r="O224" i="14"/>
  <c r="U224" i="14"/>
  <c r="T224" i="14"/>
  <c r="S224" i="14"/>
  <c r="O246" i="14"/>
  <c r="U246" i="14"/>
  <c r="T246" i="14"/>
  <c r="S246" i="14"/>
  <c r="U53" i="14"/>
  <c r="T53" i="14"/>
  <c r="S53" i="14"/>
  <c r="M233" i="14"/>
  <c r="U233" i="14"/>
  <c r="T233" i="14"/>
  <c r="S233" i="14"/>
  <c r="U67" i="14"/>
  <c r="T67" i="14"/>
  <c r="S67" i="14"/>
  <c r="U54" i="14"/>
  <c r="T54" i="14"/>
  <c r="S54" i="14"/>
  <c r="U241" i="14"/>
  <c r="T241" i="14"/>
  <c r="S241" i="14"/>
  <c r="Q245" i="14"/>
  <c r="R245" i="14" s="1"/>
  <c r="U245" i="14"/>
  <c r="T245" i="14"/>
  <c r="S245" i="14"/>
  <c r="N231" i="14"/>
  <c r="U231" i="14"/>
  <c r="T231" i="14"/>
  <c r="S231" i="14"/>
  <c r="U247" i="14"/>
  <c r="T247" i="14"/>
  <c r="S247" i="14"/>
  <c r="T45" i="14"/>
  <c r="S45" i="14"/>
  <c r="U45" i="14"/>
  <c r="U69" i="14"/>
  <c r="T69" i="14"/>
  <c r="S69" i="14"/>
  <c r="L225" i="14"/>
  <c r="U225" i="14"/>
  <c r="T225" i="14"/>
  <c r="S225" i="14"/>
  <c r="U58" i="14"/>
  <c r="T58" i="14"/>
  <c r="S58" i="14"/>
  <c r="U66" i="14"/>
  <c r="T66" i="14"/>
  <c r="S66" i="14"/>
  <c r="O219" i="14"/>
  <c r="U219" i="14"/>
  <c r="T219" i="14"/>
  <c r="S219" i="14"/>
  <c r="O236" i="14"/>
  <c r="U236" i="14"/>
  <c r="T236" i="14"/>
  <c r="S236" i="14"/>
  <c r="P251" i="14"/>
  <c r="U251" i="14"/>
  <c r="T251" i="14"/>
  <c r="S251" i="14"/>
  <c r="U48" i="14"/>
  <c r="T48" i="14"/>
  <c r="S48" i="14"/>
  <c r="U49" i="14"/>
  <c r="T49" i="14"/>
  <c r="S49" i="14"/>
  <c r="U51" i="14"/>
  <c r="T51" i="14"/>
  <c r="S51" i="14"/>
  <c r="U55" i="14"/>
  <c r="T55" i="14"/>
  <c r="S55" i="14"/>
  <c r="U42" i="14"/>
  <c r="T42" i="14"/>
  <c r="S42" i="14"/>
  <c r="S3" i="14"/>
  <c r="U3" i="14"/>
  <c r="T3" i="14"/>
  <c r="U70" i="14"/>
  <c r="T70" i="14"/>
  <c r="S70" i="14"/>
  <c r="U44" i="14"/>
  <c r="T44" i="14"/>
  <c r="S44" i="14"/>
  <c r="N240" i="14"/>
  <c r="U240" i="14"/>
  <c r="T240" i="14"/>
  <c r="S240" i="14"/>
  <c r="O237" i="14"/>
  <c r="U237" i="14"/>
  <c r="T237" i="14"/>
  <c r="S237" i="14"/>
  <c r="U235" i="14"/>
  <c r="T235" i="14"/>
  <c r="S235" i="14"/>
  <c r="U226" i="14"/>
  <c r="T226" i="14"/>
  <c r="S226" i="14"/>
  <c r="U2" i="14"/>
  <c r="T2" i="14"/>
  <c r="S2" i="14"/>
  <c r="Q33" i="28"/>
  <c r="M33" i="28"/>
  <c r="W31" i="28"/>
  <c r="D31" i="28"/>
  <c r="W26" i="28"/>
  <c r="D26" i="28"/>
  <c r="W16" i="28"/>
  <c r="D16" i="28"/>
  <c r="W28" i="28"/>
  <c r="D28" i="28"/>
  <c r="W3" i="28"/>
  <c r="D3" i="28"/>
  <c r="C33" i="28"/>
  <c r="C35" i="28" s="1"/>
  <c r="W27" i="28"/>
  <c r="D27" i="28"/>
  <c r="W18" i="28"/>
  <c r="D18" i="28"/>
  <c r="W4" i="28"/>
  <c r="D4" i="28"/>
  <c r="W10" i="28"/>
  <c r="D10" i="28"/>
  <c r="W5" i="28"/>
  <c r="D5" i="28"/>
  <c r="W7" i="28"/>
  <c r="D7" i="28"/>
  <c r="W6" i="28"/>
  <c r="D6" i="28"/>
  <c r="W12" i="28"/>
  <c r="D12" i="28"/>
  <c r="W30" i="28"/>
  <c r="D30" i="28"/>
  <c r="W11" i="28"/>
  <c r="D11" i="28"/>
  <c r="W14" i="28"/>
  <c r="D14" i="28"/>
  <c r="W8" i="28"/>
  <c r="D8" i="28"/>
  <c r="W23" i="28"/>
  <c r="D23" i="28"/>
  <c r="W25" i="28"/>
  <c r="D25" i="28"/>
  <c r="W24" i="28"/>
  <c r="D24" i="28"/>
  <c r="W9" i="28"/>
  <c r="D9" i="28"/>
  <c r="D20" i="28"/>
  <c r="W20" i="28"/>
  <c r="W32" i="28"/>
  <c r="D32" i="28"/>
  <c r="W17" i="28"/>
  <c r="D17" i="28"/>
  <c r="W15" i="28"/>
  <c r="D15" i="28"/>
  <c r="W29" i="28"/>
  <c r="D29" i="28"/>
  <c r="W22" i="28"/>
  <c r="D22" i="28"/>
  <c r="W21" i="28"/>
  <c r="D21" i="28"/>
  <c r="W19" i="28"/>
  <c r="D19" i="28"/>
  <c r="W13" i="28"/>
  <c r="D13" i="28"/>
  <c r="G20" i="14"/>
  <c r="W17" i="14"/>
  <c r="O245" i="14"/>
  <c r="N245" i="14"/>
  <c r="L245" i="14"/>
  <c r="L242" i="14"/>
  <c r="O242" i="14"/>
  <c r="M245" i="14"/>
  <c r="P245" i="14"/>
  <c r="M242" i="14"/>
  <c r="Q242" i="14"/>
  <c r="R242" i="14" s="1"/>
  <c r="H273" i="14"/>
  <c r="J273" i="14" s="1"/>
  <c r="I262" i="14"/>
  <c r="K262" i="14" s="1"/>
  <c r="P242" i="14"/>
  <c r="H279" i="14"/>
  <c r="J279" i="14" s="1"/>
  <c r="P228" i="14"/>
  <c r="L228" i="14"/>
  <c r="M228" i="14"/>
  <c r="Q228" i="14"/>
  <c r="R228" i="14" s="1"/>
  <c r="O228" i="14"/>
  <c r="N228" i="14"/>
  <c r="I260" i="14"/>
  <c r="K260" i="14" s="1"/>
  <c r="M248" i="14"/>
  <c r="O248" i="14"/>
  <c r="L248" i="14"/>
  <c r="Q248" i="14"/>
  <c r="R248" i="14" s="1"/>
  <c r="N248" i="14"/>
  <c r="P248" i="14"/>
  <c r="H285" i="14"/>
  <c r="J285" i="14" s="1"/>
  <c r="H287" i="14"/>
  <c r="J287" i="14" s="1"/>
  <c r="H254" i="14"/>
  <c r="J254" i="14" s="1"/>
  <c r="H269" i="14"/>
  <c r="J269" i="14" s="1"/>
  <c r="H277" i="14"/>
  <c r="J277" i="14" s="1"/>
  <c r="H265" i="14"/>
  <c r="J265" i="14" s="1"/>
  <c r="I286" i="14"/>
  <c r="K286" i="14" s="1"/>
  <c r="H288" i="14"/>
  <c r="J288" i="14" s="1"/>
  <c r="I284" i="14"/>
  <c r="K284" i="14" s="1"/>
  <c r="I274" i="14"/>
  <c r="K274" i="14" s="1"/>
  <c r="H256" i="14"/>
  <c r="J256" i="14" s="1"/>
  <c r="I269" i="14"/>
  <c r="K269" i="14" s="1"/>
  <c r="I282" i="14"/>
  <c r="K282" i="14" s="1"/>
  <c r="I254" i="14"/>
  <c r="K254" i="14" s="1"/>
  <c r="H278" i="14"/>
  <c r="J278" i="14" s="1"/>
  <c r="H286" i="14"/>
  <c r="J286" i="14" s="1"/>
  <c r="I268" i="14"/>
  <c r="K268" i="14" s="1"/>
  <c r="W193" i="14"/>
  <c r="W276" i="14"/>
  <c r="W252" i="14"/>
  <c r="W263" i="14"/>
  <c r="W191" i="14"/>
  <c r="W287" i="14"/>
  <c r="W240" i="14"/>
  <c r="W241" i="14"/>
  <c r="W288" i="14"/>
  <c r="W251" i="14"/>
  <c r="W239" i="14"/>
  <c r="W264" i="14"/>
  <c r="W228" i="14"/>
  <c r="W275" i="14"/>
  <c r="I267" i="14"/>
  <c r="K267" i="14" s="1"/>
  <c r="H255" i="14"/>
  <c r="J255" i="14" s="1"/>
  <c r="I258" i="14"/>
  <c r="K258" i="14" s="1"/>
  <c r="I271" i="14"/>
  <c r="K271" i="14" s="1"/>
  <c r="H266" i="14"/>
  <c r="J266" i="14" s="1"/>
  <c r="I261" i="14"/>
  <c r="K261" i="14" s="1"/>
  <c r="H289" i="14"/>
  <c r="J289" i="14" s="1"/>
  <c r="I259" i="14"/>
  <c r="K259" i="14" s="1"/>
  <c r="H267" i="14"/>
  <c r="J267" i="14" s="1"/>
  <c r="I283" i="14"/>
  <c r="K283" i="14" s="1"/>
  <c r="H283" i="14"/>
  <c r="J283" i="14" s="1"/>
  <c r="I273" i="14"/>
  <c r="K273" i="14" s="1"/>
  <c r="I265" i="14"/>
  <c r="K265" i="14" s="1"/>
  <c r="H260" i="14"/>
  <c r="J260" i="14" s="1"/>
  <c r="H274" i="14"/>
  <c r="J274" i="14" s="1"/>
  <c r="I280" i="14"/>
  <c r="K280" i="14" s="1"/>
  <c r="H264" i="14"/>
  <c r="J264" i="14" s="1"/>
  <c r="H261" i="14"/>
  <c r="J261" i="14" s="1"/>
  <c r="H263" i="14"/>
  <c r="J263" i="14" s="1"/>
  <c r="I276" i="14"/>
  <c r="K276" i="14" s="1"/>
  <c r="H282" i="14"/>
  <c r="J282" i="14" s="1"/>
  <c r="H281" i="14"/>
  <c r="J281" i="14" s="1"/>
  <c r="H258" i="14"/>
  <c r="J258" i="14" s="1"/>
  <c r="H271" i="14"/>
  <c r="J271" i="14" s="1"/>
  <c r="W265" i="14"/>
  <c r="H276" i="14"/>
  <c r="J276" i="14" s="1"/>
  <c r="I278" i="14"/>
  <c r="K278" i="14" s="1"/>
  <c r="H262" i="14"/>
  <c r="J262" i="14" s="1"/>
  <c r="I263" i="14"/>
  <c r="K263" i="14" s="1"/>
  <c r="I281" i="14"/>
  <c r="K281" i="14" s="1"/>
  <c r="H280" i="14"/>
  <c r="J280" i="14" s="1"/>
  <c r="I287" i="14"/>
  <c r="K287" i="14" s="1"/>
  <c r="I266" i="14"/>
  <c r="K266" i="14" s="1"/>
  <c r="H268" i="14"/>
  <c r="J268" i="14" s="1"/>
  <c r="I264" i="14"/>
  <c r="K264" i="14" s="1"/>
  <c r="I288" i="14"/>
  <c r="K288" i="14" s="1"/>
  <c r="I255" i="14"/>
  <c r="K255" i="14" s="1"/>
  <c r="W277" i="14"/>
  <c r="H284" i="14"/>
  <c r="J284" i="14" s="1"/>
  <c r="I270" i="14"/>
  <c r="K270" i="14" s="1"/>
  <c r="H259" i="14"/>
  <c r="J259" i="14" s="1"/>
  <c r="H275" i="14"/>
  <c r="J275" i="14" s="1"/>
  <c r="H272" i="14"/>
  <c r="J272" i="14" s="1"/>
  <c r="I279" i="14"/>
  <c r="K279" i="14" s="1"/>
  <c r="W289" i="14"/>
  <c r="I257" i="14"/>
  <c r="K257" i="14" s="1"/>
  <c r="I289" i="14"/>
  <c r="K289" i="14" s="1"/>
  <c r="I272" i="14"/>
  <c r="K272" i="14" s="1"/>
  <c r="I256" i="14"/>
  <c r="K256" i="14" s="1"/>
  <c r="I275" i="14"/>
  <c r="K275" i="14" s="1"/>
  <c r="N230" i="14"/>
  <c r="M230" i="14"/>
  <c r="M240" i="14"/>
  <c r="O240" i="14"/>
  <c r="P240" i="14"/>
  <c r="Q240" i="14"/>
  <c r="R240" i="14" s="1"/>
  <c r="Q230" i="14"/>
  <c r="R230" i="14" s="1"/>
  <c r="O230" i="14"/>
  <c r="L230" i="14"/>
  <c r="L240" i="14"/>
  <c r="L252" i="14"/>
  <c r="N252" i="14"/>
  <c r="P252" i="14"/>
  <c r="M237" i="14"/>
  <c r="N225" i="14"/>
  <c r="N221" i="14"/>
  <c r="M221" i="14"/>
  <c r="O221" i="14"/>
  <c r="P225" i="14"/>
  <c r="P221" i="14"/>
  <c r="O222" i="14"/>
  <c r="N224" i="14"/>
  <c r="Q221" i="14"/>
  <c r="R221" i="14" s="1"/>
  <c r="Q225" i="14"/>
  <c r="R225" i="14" s="1"/>
  <c r="Q252" i="14"/>
  <c r="R252" i="14" s="1"/>
  <c r="O225" i="14"/>
  <c r="M236" i="14"/>
  <c r="O252" i="14"/>
  <c r="P224" i="14"/>
  <c r="M225" i="14"/>
  <c r="I21" i="14"/>
  <c r="K21" i="14" s="1"/>
  <c r="H21" i="14"/>
  <c r="J21" i="14" s="1"/>
  <c r="I25" i="14"/>
  <c r="H25" i="14"/>
  <c r="J25" i="14" s="1"/>
  <c r="I23" i="14"/>
  <c r="H23" i="14"/>
  <c r="J23" i="14" s="1"/>
  <c r="L222" i="14"/>
  <c r="P237" i="14"/>
  <c r="O218" i="14"/>
  <c r="H6" i="14"/>
  <c r="J6" i="14" s="1"/>
  <c r="I6" i="14"/>
  <c r="K6" i="14" s="1"/>
  <c r="L237" i="14"/>
  <c r="H20" i="14"/>
  <c r="J20" i="14" s="1"/>
  <c r="I20" i="14"/>
  <c r="N237" i="14"/>
  <c r="H29" i="14"/>
  <c r="J29" i="14" s="1"/>
  <c r="I29" i="14"/>
  <c r="I24" i="14"/>
  <c r="K24" i="14" s="1"/>
  <c r="H24" i="14"/>
  <c r="J24" i="14" s="1"/>
  <c r="M222" i="14"/>
  <c r="Q237" i="14"/>
  <c r="R237" i="14" s="1"/>
  <c r="Q224" i="14"/>
  <c r="R224" i="14" s="1"/>
  <c r="Q218" i="14"/>
  <c r="R218" i="14" s="1"/>
  <c r="I11" i="14"/>
  <c r="K11" i="14" s="1"/>
  <c r="H11" i="14"/>
  <c r="J11" i="14" s="1"/>
  <c r="H5" i="14"/>
  <c r="I5" i="14"/>
  <c r="P218" i="14"/>
  <c r="I30" i="14"/>
  <c r="K30" i="14" s="1"/>
  <c r="H30" i="14"/>
  <c r="J30" i="14" s="1"/>
  <c r="N222" i="14"/>
  <c r="L224" i="14"/>
  <c r="Q233" i="14"/>
  <c r="R233" i="14" s="1"/>
  <c r="M218" i="14"/>
  <c r="H31" i="14"/>
  <c r="J31" i="14" s="1"/>
  <c r="I31" i="14"/>
  <c r="I22" i="14"/>
  <c r="H22" i="14"/>
  <c r="J22" i="14" s="1"/>
  <c r="I7" i="14"/>
  <c r="H7" i="14"/>
  <c r="J7" i="14" s="1"/>
  <c r="I13" i="14"/>
  <c r="H13" i="14"/>
  <c r="J13" i="14" s="1"/>
  <c r="I19" i="14"/>
  <c r="H19" i="14"/>
  <c r="J19" i="14" s="1"/>
  <c r="I18" i="14"/>
  <c r="K18" i="14" s="1"/>
  <c r="H18" i="14"/>
  <c r="J18" i="14" s="1"/>
  <c r="P222" i="14"/>
  <c r="M224" i="14"/>
  <c r="N218" i="14"/>
  <c r="I17" i="14"/>
  <c r="K17" i="14" s="1"/>
  <c r="H17" i="14"/>
  <c r="J17" i="14" s="1"/>
  <c r="I12" i="14"/>
  <c r="K12" i="14" s="1"/>
  <c r="H12" i="14"/>
  <c r="J12" i="14" s="1"/>
  <c r="M219" i="14"/>
  <c r="L243" i="14"/>
  <c r="N219" i="14"/>
  <c r="M243" i="14"/>
  <c r="P219" i="14"/>
  <c r="N243" i="14"/>
  <c r="Q219" i="14"/>
  <c r="R219" i="14" s="1"/>
  <c r="P243" i="14"/>
  <c r="L219" i="14"/>
  <c r="Q243" i="14"/>
  <c r="R243" i="14" s="1"/>
  <c r="P233" i="14"/>
  <c r="L246" i="14"/>
  <c r="O239" i="14"/>
  <c r="M246" i="14"/>
  <c r="N239" i="14"/>
  <c r="M251" i="14"/>
  <c r="N246" i="14"/>
  <c r="Q239" i="14"/>
  <c r="R239" i="14" s="1"/>
  <c r="N251" i="14"/>
  <c r="Q246" i="14"/>
  <c r="R246" i="14" s="1"/>
  <c r="M239" i="14"/>
  <c r="P239" i="14"/>
  <c r="P246" i="14"/>
  <c r="L233" i="14"/>
  <c r="N233" i="14"/>
  <c r="O233" i="14"/>
  <c r="P231" i="14"/>
  <c r="O234" i="14"/>
  <c r="K285" i="14"/>
  <c r="Q231" i="14"/>
  <c r="R231" i="14" s="1"/>
  <c r="L234" i="14"/>
  <c r="L231" i="14"/>
  <c r="M234" i="14"/>
  <c r="Q251" i="14"/>
  <c r="R251" i="14" s="1"/>
  <c r="O231" i="14"/>
  <c r="Q234" i="14"/>
  <c r="R234" i="14" s="1"/>
  <c r="L251" i="14"/>
  <c r="M231" i="14"/>
  <c r="N234" i="14"/>
  <c r="Q236" i="14"/>
  <c r="R236" i="14" s="1"/>
  <c r="J257" i="14"/>
  <c r="N236" i="14"/>
  <c r="P236" i="14"/>
  <c r="O251" i="14"/>
  <c r="L236" i="14"/>
  <c r="N249" i="14"/>
  <c r="M249" i="14"/>
  <c r="O249" i="14"/>
  <c r="P249" i="14"/>
  <c r="Q249" i="14"/>
  <c r="R249" i="14" s="1"/>
  <c r="J270" i="14"/>
  <c r="I75" i="1"/>
  <c r="I74" i="1"/>
  <c r="J76" i="1"/>
  <c r="J95" i="1" s="1"/>
  <c r="E60" i="17"/>
  <c r="E38" i="17"/>
  <c r="E61" i="17"/>
  <c r="E66" i="17"/>
  <c r="E16" i="17"/>
  <c r="E4" i="17"/>
  <c r="E103" i="17"/>
  <c r="E41" i="17"/>
  <c r="E34" i="17"/>
  <c r="E27" i="17"/>
  <c r="E68" i="17"/>
  <c r="E29" i="17"/>
  <c r="E14" i="17"/>
  <c r="E104" i="17"/>
  <c r="E48" i="17"/>
  <c r="E73" i="17"/>
  <c r="E78" i="17"/>
  <c r="E28" i="17"/>
  <c r="E7" i="17"/>
  <c r="E31" i="17"/>
  <c r="E109" i="17"/>
  <c r="E46" i="17"/>
  <c r="E39" i="17"/>
  <c r="E80" i="17"/>
  <c r="E83" i="17"/>
  <c r="E50" i="17"/>
  <c r="E85" i="17"/>
  <c r="E90" i="17"/>
  <c r="E40" i="17"/>
  <c r="E9" i="17"/>
  <c r="E43" i="17"/>
  <c r="E113" i="17"/>
  <c r="E53" i="17"/>
  <c r="E58" i="17"/>
  <c r="E51" i="17"/>
  <c r="E92" i="17"/>
  <c r="E72" i="17"/>
  <c r="E12" i="17"/>
  <c r="E97" i="17"/>
  <c r="E102" i="17"/>
  <c r="E52" i="17"/>
  <c r="E21" i="17"/>
  <c r="E117" i="17"/>
  <c r="E70" i="17"/>
  <c r="E63" i="17"/>
  <c r="E74" i="17"/>
  <c r="E116" i="17"/>
  <c r="E122" i="17"/>
  <c r="E107" i="17"/>
  <c r="E11" i="17"/>
  <c r="E64" i="17"/>
  <c r="E33" i="17"/>
  <c r="E55" i="17"/>
  <c r="E121" i="17"/>
  <c r="E65" i="17"/>
  <c r="E82" i="17"/>
  <c r="E75" i="17"/>
  <c r="E26" i="17"/>
  <c r="E24" i="17"/>
  <c r="E111" i="17"/>
  <c r="E23" i="17"/>
  <c r="E76" i="17"/>
  <c r="E45" i="17"/>
  <c r="E3" i="17"/>
  <c r="E94" i="17"/>
  <c r="E87" i="17"/>
  <c r="E37" i="17"/>
  <c r="E86" i="17"/>
  <c r="E98" i="17"/>
  <c r="E115" i="17"/>
  <c r="E35" i="17"/>
  <c r="E88" i="17"/>
  <c r="E57" i="17"/>
  <c r="E67" i="17"/>
  <c r="E6" i="17"/>
  <c r="E77" i="17"/>
  <c r="E106" i="17"/>
  <c r="E99" i="17"/>
  <c r="E10" i="17"/>
  <c r="E5" i="17"/>
  <c r="E119" i="17"/>
  <c r="E47" i="17"/>
  <c r="E100" i="17"/>
  <c r="E69" i="17"/>
  <c r="E110" i="17"/>
  <c r="E8" i="17"/>
  <c r="E96" i="17"/>
  <c r="E91" i="17"/>
  <c r="E13" i="17"/>
  <c r="E18" i="17"/>
  <c r="E59" i="17"/>
  <c r="E108" i="17"/>
  <c r="E81" i="17"/>
  <c r="E79" i="17"/>
  <c r="E17" i="17"/>
  <c r="E89" i="17"/>
  <c r="E114" i="17"/>
  <c r="E20" i="17"/>
  <c r="E105" i="17"/>
  <c r="E62" i="17"/>
  <c r="E36" i="17"/>
  <c r="E25" i="17"/>
  <c r="E30" i="17"/>
  <c r="E71" i="17"/>
  <c r="E112" i="17"/>
  <c r="E93" i="17"/>
  <c r="E101" i="17"/>
  <c r="E118" i="17"/>
  <c r="E32" i="17"/>
  <c r="E84" i="17"/>
  <c r="E49" i="17"/>
  <c r="E54" i="17"/>
  <c r="E95" i="17"/>
  <c r="E120" i="17"/>
  <c r="E19" i="17"/>
  <c r="E22" i="17"/>
  <c r="E15" i="17"/>
  <c r="E56" i="17"/>
  <c r="E42" i="17"/>
  <c r="E44" i="17"/>
  <c r="P229" i="14"/>
  <c r="O229" i="14"/>
  <c r="N229" i="14"/>
  <c r="M229" i="14"/>
  <c r="L229" i="14"/>
  <c r="Q229" i="14"/>
  <c r="R229" i="14" s="1"/>
  <c r="P220" i="14"/>
  <c r="O220" i="14"/>
  <c r="N220" i="14"/>
  <c r="M220" i="14"/>
  <c r="L220" i="14"/>
  <c r="Q220" i="14"/>
  <c r="R220" i="14" s="1"/>
  <c r="O238" i="14"/>
  <c r="N238" i="14"/>
  <c r="M238" i="14"/>
  <c r="L238" i="14"/>
  <c r="P238" i="14"/>
  <c r="Q238" i="14"/>
  <c r="R238" i="14" s="1"/>
  <c r="Q247" i="14"/>
  <c r="R247" i="14" s="1"/>
  <c r="P247" i="14"/>
  <c r="O247" i="14"/>
  <c r="N247" i="14"/>
  <c r="M247" i="14"/>
  <c r="L247" i="14"/>
  <c r="Q241" i="14"/>
  <c r="R241" i="14" s="1"/>
  <c r="O241" i="14"/>
  <c r="L241" i="14"/>
  <c r="N241" i="14"/>
  <c r="P241" i="14"/>
  <c r="M241" i="14"/>
  <c r="P226" i="14"/>
  <c r="L226" i="14"/>
  <c r="Q226" i="14"/>
  <c r="R226" i="14" s="1"/>
  <c r="M226" i="14"/>
  <c r="N226" i="14"/>
  <c r="O226" i="14"/>
  <c r="Q235" i="14"/>
  <c r="R235" i="14" s="1"/>
  <c r="O235" i="14"/>
  <c r="N235" i="14"/>
  <c r="M235" i="14"/>
  <c r="L235" i="14"/>
  <c r="P235" i="14"/>
  <c r="O244" i="14"/>
  <c r="N244" i="14"/>
  <c r="M244" i="14"/>
  <c r="L244" i="14"/>
  <c r="P244" i="14"/>
  <c r="Q244" i="14"/>
  <c r="R244" i="14" s="1"/>
  <c r="O253" i="14"/>
  <c r="N253" i="14"/>
  <c r="M253" i="14"/>
  <c r="L253" i="14"/>
  <c r="P253" i="14"/>
  <c r="Q253" i="14"/>
  <c r="R253" i="14" s="1"/>
  <c r="Q232" i="14"/>
  <c r="R232" i="14" s="1"/>
  <c r="L232" i="14"/>
  <c r="P232" i="14"/>
  <c r="O232" i="14"/>
  <c r="N232" i="14"/>
  <c r="M232" i="14"/>
  <c r="P223" i="14"/>
  <c r="O223" i="14"/>
  <c r="N223" i="14"/>
  <c r="M223" i="14"/>
  <c r="L223" i="14"/>
  <c r="Q223" i="14"/>
  <c r="R223" i="14" s="1"/>
  <c r="P250" i="14"/>
  <c r="O250" i="14"/>
  <c r="N250" i="14"/>
  <c r="M250" i="14"/>
  <c r="L250" i="14"/>
  <c r="Q250" i="14"/>
  <c r="R250" i="14" s="1"/>
  <c r="J67" i="1"/>
  <c r="Q4" i="14"/>
  <c r="R4" i="14" s="1"/>
  <c r="L4" i="14"/>
  <c r="P4" i="14"/>
  <c r="O4" i="14"/>
  <c r="N4" i="14"/>
  <c r="M4" i="14"/>
  <c r="J71" i="14"/>
  <c r="Q46" i="14"/>
  <c r="R46" i="14" s="1"/>
  <c r="P46" i="14"/>
  <c r="O46" i="14"/>
  <c r="N46" i="14"/>
  <c r="M46" i="14"/>
  <c r="L46" i="14"/>
  <c r="O58" i="14"/>
  <c r="N58" i="14"/>
  <c r="M58" i="14"/>
  <c r="L58" i="14"/>
  <c r="P58" i="14"/>
  <c r="Q58" i="14"/>
  <c r="R58" i="14" s="1"/>
  <c r="J98" i="14"/>
  <c r="Q47" i="14"/>
  <c r="R47" i="14" s="1"/>
  <c r="P47" i="14"/>
  <c r="O47" i="14"/>
  <c r="N47" i="14"/>
  <c r="M47" i="14"/>
  <c r="L47" i="14"/>
  <c r="Q57" i="14"/>
  <c r="R57" i="14" s="1"/>
  <c r="P57" i="14"/>
  <c r="O57" i="14"/>
  <c r="N57" i="14"/>
  <c r="M57" i="14"/>
  <c r="L57" i="14"/>
  <c r="Q65" i="14"/>
  <c r="R65" i="14" s="1"/>
  <c r="P65" i="14"/>
  <c r="O65" i="14"/>
  <c r="N65" i="14"/>
  <c r="L65" i="14"/>
  <c r="M65" i="14"/>
  <c r="Q67" i="14"/>
  <c r="R67" i="14" s="1"/>
  <c r="P67" i="14"/>
  <c r="O67" i="14"/>
  <c r="N67" i="14"/>
  <c r="M67" i="14"/>
  <c r="L67" i="14"/>
  <c r="Q53" i="14"/>
  <c r="R53" i="14" s="1"/>
  <c r="P53" i="14"/>
  <c r="O53" i="14"/>
  <c r="N53" i="14"/>
  <c r="L53" i="14"/>
  <c r="M53" i="14"/>
  <c r="O70" i="14"/>
  <c r="N70" i="14"/>
  <c r="M70" i="14"/>
  <c r="L70" i="14"/>
  <c r="P70" i="14"/>
  <c r="Q70" i="14"/>
  <c r="R70" i="14" s="1"/>
  <c r="J77" i="14"/>
  <c r="Q69" i="14"/>
  <c r="R69" i="14" s="1"/>
  <c r="P69" i="14"/>
  <c r="O69" i="14"/>
  <c r="N69" i="14"/>
  <c r="M69" i="14"/>
  <c r="L69" i="14"/>
  <c r="A16" i="14"/>
  <c r="A10" i="14"/>
  <c r="A34" i="14"/>
  <c r="A28" i="14"/>
  <c r="Q61" i="14"/>
  <c r="R61" i="14" s="1"/>
  <c r="P61" i="14"/>
  <c r="N61" i="14"/>
  <c r="L61" i="14"/>
  <c r="O61" i="14"/>
  <c r="M61" i="14"/>
  <c r="J92" i="14"/>
  <c r="K40" i="14"/>
  <c r="O48" i="14"/>
  <c r="N48" i="14"/>
  <c r="M48" i="14"/>
  <c r="P48" i="14"/>
  <c r="Q48" i="14"/>
  <c r="R48" i="14" s="1"/>
  <c r="L48" i="14"/>
  <c r="J40" i="14"/>
  <c r="J95" i="14"/>
  <c r="L60" i="14"/>
  <c r="Q60" i="14"/>
  <c r="R60" i="14" s="1"/>
  <c r="O60" i="14"/>
  <c r="M60" i="14"/>
  <c r="P60" i="14"/>
  <c r="N60" i="14"/>
  <c r="J73" i="14"/>
  <c r="Q52" i="14"/>
  <c r="R52" i="14" s="1"/>
  <c r="P52" i="14"/>
  <c r="O52" i="14"/>
  <c r="N52" i="14"/>
  <c r="L52" i="14"/>
  <c r="M52" i="14"/>
  <c r="A14" i="14"/>
  <c r="A8" i="14"/>
  <c r="A32" i="14"/>
  <c r="A26" i="14"/>
  <c r="J107" i="14"/>
  <c r="J39" i="14"/>
  <c r="Q44" i="14"/>
  <c r="R44" i="14" s="1"/>
  <c r="M44" i="14"/>
  <c r="L44" i="14"/>
  <c r="P44" i="14"/>
  <c r="O44" i="14"/>
  <c r="N44" i="14"/>
  <c r="Q64" i="14"/>
  <c r="R64" i="14" s="1"/>
  <c r="P64" i="14"/>
  <c r="O64" i="14"/>
  <c r="N64" i="14"/>
  <c r="L64" i="14"/>
  <c r="M64" i="14"/>
  <c r="J89" i="14"/>
  <c r="K73" i="14"/>
  <c r="J72" i="14"/>
  <c r="Q51" i="14"/>
  <c r="R51" i="14" s="1"/>
  <c r="P51" i="14"/>
  <c r="O51" i="14"/>
  <c r="N51" i="14"/>
  <c r="M51" i="14"/>
  <c r="L51" i="14"/>
  <c r="Q56" i="14"/>
  <c r="R56" i="14" s="1"/>
  <c r="P56" i="14"/>
  <c r="O56" i="14"/>
  <c r="N56" i="14"/>
  <c r="M56" i="14"/>
  <c r="L56" i="14"/>
  <c r="J86" i="14"/>
  <c r="M49" i="14"/>
  <c r="L49" i="14"/>
  <c r="N49" i="14"/>
  <c r="Q49" i="14"/>
  <c r="R49" i="14" s="1"/>
  <c r="P49" i="14"/>
  <c r="O49" i="14"/>
  <c r="J101" i="14"/>
  <c r="Q63" i="14"/>
  <c r="R63" i="14" s="1"/>
  <c r="P63" i="14"/>
  <c r="O63" i="14"/>
  <c r="M63" i="14"/>
  <c r="N63" i="14"/>
  <c r="L63" i="14"/>
  <c r="Q68" i="14"/>
  <c r="R68" i="14" s="1"/>
  <c r="P68" i="14"/>
  <c r="O68" i="14"/>
  <c r="N68" i="14"/>
  <c r="M68" i="14"/>
  <c r="L68" i="14"/>
  <c r="J104" i="14"/>
  <c r="N42" i="14"/>
  <c r="M42" i="14"/>
  <c r="Q42" i="14"/>
  <c r="R42" i="14" s="1"/>
  <c r="P42" i="14"/>
  <c r="O42" i="14"/>
  <c r="L42" i="14"/>
  <c r="M59" i="14"/>
  <c r="L59" i="14"/>
  <c r="P59" i="14"/>
  <c r="N59" i="14"/>
  <c r="O59" i="14"/>
  <c r="Q59" i="14"/>
  <c r="R59" i="14" s="1"/>
  <c r="J80" i="14"/>
  <c r="Q54" i="14"/>
  <c r="R54" i="14" s="1"/>
  <c r="P54" i="14"/>
  <c r="O54" i="14"/>
  <c r="N54" i="14"/>
  <c r="M54" i="14"/>
  <c r="L54" i="14"/>
  <c r="Q50" i="14"/>
  <c r="R50" i="14" s="1"/>
  <c r="P50" i="14"/>
  <c r="L50" i="14"/>
  <c r="O50" i="14"/>
  <c r="N50" i="14"/>
  <c r="M50" i="14"/>
  <c r="Q43" i="14"/>
  <c r="R43" i="14" s="1"/>
  <c r="M43" i="14"/>
  <c r="L43" i="14"/>
  <c r="P43" i="14"/>
  <c r="O43" i="14"/>
  <c r="N43" i="14"/>
  <c r="W31" i="14"/>
  <c r="W25" i="14"/>
  <c r="K4" i="14"/>
  <c r="W22" i="14"/>
  <c r="W7" i="14"/>
  <c r="W19" i="14"/>
  <c r="W13" i="14"/>
  <c r="J83" i="14"/>
  <c r="K72" i="14"/>
  <c r="Q45" i="14"/>
  <c r="R45" i="14" s="1"/>
  <c r="P45" i="14"/>
  <c r="L45" i="14"/>
  <c r="M45" i="14"/>
  <c r="N45" i="14"/>
  <c r="O45" i="14"/>
  <c r="Q66" i="14"/>
  <c r="R66" i="14" s="1"/>
  <c r="P66" i="14"/>
  <c r="O66" i="14"/>
  <c r="N66" i="14"/>
  <c r="M66" i="14"/>
  <c r="L66" i="14"/>
  <c r="Q62" i="14"/>
  <c r="R62" i="14" s="1"/>
  <c r="P62" i="14"/>
  <c r="N62" i="14"/>
  <c r="L62" i="14"/>
  <c r="M62" i="14"/>
  <c r="O62" i="14"/>
  <c r="Q55" i="14"/>
  <c r="R55" i="14" s="1"/>
  <c r="P55" i="14"/>
  <c r="O55" i="14"/>
  <c r="N55" i="14"/>
  <c r="M55" i="14"/>
  <c r="L55" i="14"/>
  <c r="M2" i="14"/>
  <c r="Q2" i="14"/>
  <c r="R2" i="14" s="1"/>
  <c r="O2" i="14"/>
  <c r="N2" i="14"/>
  <c r="P2" i="14"/>
  <c r="L2" i="14"/>
  <c r="A33" i="14"/>
  <c r="W33" i="14" s="1"/>
  <c r="A27" i="14"/>
  <c r="W27" i="14" s="1"/>
  <c r="A15" i="14"/>
  <c r="A9" i="14"/>
  <c r="J74" i="14"/>
  <c r="Q3" i="14"/>
  <c r="R3" i="14" s="1"/>
  <c r="P3" i="14"/>
  <c r="O3" i="14"/>
  <c r="N3" i="14"/>
  <c r="M3" i="14"/>
  <c r="L3" i="14"/>
  <c r="O41" i="14"/>
  <c r="N41" i="14"/>
  <c r="L41" i="14"/>
  <c r="Q41" i="14"/>
  <c r="R41" i="14" s="1"/>
  <c r="M41" i="14"/>
  <c r="P41" i="14"/>
  <c r="V249" i="14" l="1"/>
  <c r="V51" i="14"/>
  <c r="V246" i="14"/>
  <c r="V253" i="14"/>
  <c r="V48" i="14"/>
  <c r="V244" i="14"/>
  <c r="V224" i="14"/>
  <c r="V222" i="14"/>
  <c r="V232" i="14"/>
  <c r="V243" i="14"/>
  <c r="V242" i="14"/>
  <c r="V221" i="14"/>
  <c r="V70" i="14"/>
  <c r="V248" i="14"/>
  <c r="V58" i="14"/>
  <c r="V67" i="14"/>
  <c r="V220" i="14"/>
  <c r="V226" i="14"/>
  <c r="V2" i="14"/>
  <c r="C69" i="1" s="1"/>
  <c r="V4" i="14"/>
  <c r="C78" i="1" s="1"/>
  <c r="V223" i="14"/>
  <c r="V235" i="14"/>
  <c r="V229" i="14"/>
  <c r="V238" i="14"/>
  <c r="V230" i="14"/>
  <c r="V251" i="14"/>
  <c r="V241" i="14"/>
  <c r="V236" i="14"/>
  <c r="V219" i="14"/>
  <c r="V3" i="14"/>
  <c r="V52" i="14"/>
  <c r="V233" i="14"/>
  <c r="V45" i="14"/>
  <c r="V54" i="14"/>
  <c r="V46" i="14"/>
  <c r="V231" i="14"/>
  <c r="V57" i="14"/>
  <c r="V247" i="14"/>
  <c r="V239" i="14"/>
  <c r="V252" i="14"/>
  <c r="V42" i="14"/>
  <c r="V49" i="14"/>
  <c r="V60" i="14"/>
  <c r="V69" i="14"/>
  <c r="V234" i="14"/>
  <c r="V237" i="14"/>
  <c r="V64" i="14"/>
  <c r="V63" i="14"/>
  <c r="V225" i="14"/>
  <c r="V55" i="14"/>
  <c r="V66" i="14"/>
  <c r="V43" i="14"/>
  <c r="V250" i="14"/>
  <c r="V218" i="14"/>
  <c r="V228" i="14"/>
  <c r="V245" i="14"/>
  <c r="V240" i="14"/>
  <c r="U73" i="14"/>
  <c r="T73" i="14"/>
  <c r="S73" i="14"/>
  <c r="L276" i="14"/>
  <c r="U276" i="14"/>
  <c r="T276" i="14"/>
  <c r="S276" i="14"/>
  <c r="V61" i="14"/>
  <c r="U74" i="14"/>
  <c r="T74" i="14"/>
  <c r="S74" i="14"/>
  <c r="U83" i="14"/>
  <c r="T83" i="14"/>
  <c r="S83" i="14"/>
  <c r="U72" i="14"/>
  <c r="T72" i="14"/>
  <c r="S72" i="14"/>
  <c r="U77" i="14"/>
  <c r="T77" i="14"/>
  <c r="S77" i="14"/>
  <c r="U259" i="14"/>
  <c r="T259" i="14"/>
  <c r="S259" i="14"/>
  <c r="Q264" i="14"/>
  <c r="R264" i="14" s="1"/>
  <c r="U264" i="14"/>
  <c r="T264" i="14"/>
  <c r="S264" i="14"/>
  <c r="N266" i="14"/>
  <c r="U266" i="14"/>
  <c r="T266" i="14"/>
  <c r="S266" i="14"/>
  <c r="S19" i="14"/>
  <c r="U19" i="14"/>
  <c r="T19" i="14"/>
  <c r="U256" i="14"/>
  <c r="T256" i="14"/>
  <c r="S256" i="14"/>
  <c r="Q279" i="14"/>
  <c r="R279" i="14" s="1"/>
  <c r="U279" i="14"/>
  <c r="T279" i="14"/>
  <c r="S279" i="14"/>
  <c r="U80" i="14"/>
  <c r="T80" i="14"/>
  <c r="S80" i="14"/>
  <c r="U89" i="14"/>
  <c r="T89" i="14"/>
  <c r="S89" i="14"/>
  <c r="U71" i="14"/>
  <c r="T71" i="14"/>
  <c r="S71" i="14"/>
  <c r="O24" i="14"/>
  <c r="U24" i="14"/>
  <c r="T24" i="14"/>
  <c r="S24" i="14"/>
  <c r="M284" i="14"/>
  <c r="U284" i="14"/>
  <c r="T284" i="14"/>
  <c r="S284" i="14"/>
  <c r="U274" i="14"/>
  <c r="T274" i="14"/>
  <c r="S274" i="14"/>
  <c r="U262" i="14"/>
  <c r="T262" i="14"/>
  <c r="S262" i="14"/>
  <c r="O13" i="14"/>
  <c r="T13" i="14"/>
  <c r="S13" i="14"/>
  <c r="U13" i="14"/>
  <c r="U101" i="14"/>
  <c r="T101" i="14"/>
  <c r="S101" i="14"/>
  <c r="S7" i="14"/>
  <c r="U7" i="14"/>
  <c r="T7" i="14"/>
  <c r="T29" i="14"/>
  <c r="S29" i="14"/>
  <c r="U29" i="14"/>
  <c r="T25" i="14"/>
  <c r="S25" i="14"/>
  <c r="U25" i="14"/>
  <c r="U271" i="14"/>
  <c r="T271" i="14"/>
  <c r="S271" i="14"/>
  <c r="U107" i="14"/>
  <c r="T107" i="14"/>
  <c r="S107" i="14"/>
  <c r="N273" i="14"/>
  <c r="U273" i="14"/>
  <c r="T273" i="14"/>
  <c r="S273" i="14"/>
  <c r="M17" i="14"/>
  <c r="T17" i="14"/>
  <c r="S17" i="14"/>
  <c r="U17" i="14"/>
  <c r="U258" i="14"/>
  <c r="T258" i="14"/>
  <c r="S258" i="14"/>
  <c r="U283" i="14"/>
  <c r="T283" i="14"/>
  <c r="S283" i="14"/>
  <c r="U265" i="14"/>
  <c r="T265" i="14"/>
  <c r="S265" i="14"/>
  <c r="U98" i="14"/>
  <c r="T98" i="14"/>
  <c r="S98" i="14"/>
  <c r="O270" i="14"/>
  <c r="U270" i="14"/>
  <c r="T270" i="14"/>
  <c r="S270" i="14"/>
  <c r="O260" i="14"/>
  <c r="U260" i="14"/>
  <c r="T260" i="14"/>
  <c r="S260" i="14"/>
  <c r="U92" i="14"/>
  <c r="T92" i="14"/>
  <c r="S92" i="14"/>
  <c r="U22" i="14"/>
  <c r="T22" i="14"/>
  <c r="S22" i="14"/>
  <c r="Q21" i="14"/>
  <c r="R21" i="14" s="1"/>
  <c r="T21" i="14"/>
  <c r="S21" i="14"/>
  <c r="U21" i="14"/>
  <c r="U268" i="14"/>
  <c r="T268" i="14"/>
  <c r="S268" i="14"/>
  <c r="P281" i="14"/>
  <c r="U281" i="14"/>
  <c r="T281" i="14"/>
  <c r="S281" i="14"/>
  <c r="U277" i="14"/>
  <c r="T277" i="14"/>
  <c r="S277" i="14"/>
  <c r="Q23" i="14"/>
  <c r="R23" i="14" s="1"/>
  <c r="S23" i="14"/>
  <c r="U23" i="14"/>
  <c r="T23" i="14"/>
  <c r="L255" i="14"/>
  <c r="U255" i="14"/>
  <c r="T255" i="14"/>
  <c r="S255" i="14"/>
  <c r="U12" i="14"/>
  <c r="T12" i="14"/>
  <c r="S12" i="14"/>
  <c r="M288" i="14"/>
  <c r="U288" i="14"/>
  <c r="T288" i="14"/>
  <c r="S288" i="14"/>
  <c r="L11" i="14"/>
  <c r="U11" i="14"/>
  <c r="T11" i="14"/>
  <c r="S11" i="14"/>
  <c r="L20" i="14"/>
  <c r="U20" i="14"/>
  <c r="T20" i="14"/>
  <c r="S20" i="14"/>
  <c r="Q282" i="14"/>
  <c r="R282" i="14" s="1"/>
  <c r="U282" i="14"/>
  <c r="T282" i="14"/>
  <c r="S282" i="14"/>
  <c r="Q267" i="14"/>
  <c r="R267" i="14" s="1"/>
  <c r="U267" i="14"/>
  <c r="T267" i="14"/>
  <c r="S267" i="14"/>
  <c r="U286" i="14"/>
  <c r="T286" i="14"/>
  <c r="S286" i="14"/>
  <c r="M269" i="14"/>
  <c r="U269" i="14"/>
  <c r="T269" i="14"/>
  <c r="S269" i="14"/>
  <c r="Q278" i="14"/>
  <c r="R278" i="14" s="1"/>
  <c r="U278" i="14"/>
  <c r="T278" i="14"/>
  <c r="S278" i="14"/>
  <c r="O254" i="14"/>
  <c r="U254" i="14"/>
  <c r="T254" i="14"/>
  <c r="S254" i="14"/>
  <c r="U104" i="14"/>
  <c r="T104" i="14"/>
  <c r="S104" i="14"/>
  <c r="U95" i="14"/>
  <c r="T95" i="14"/>
  <c r="S95" i="14"/>
  <c r="U31" i="14"/>
  <c r="S31" i="14"/>
  <c r="T31" i="14"/>
  <c r="U272" i="14"/>
  <c r="T272" i="14"/>
  <c r="S272" i="14"/>
  <c r="U280" i="14"/>
  <c r="T280" i="14"/>
  <c r="S280" i="14"/>
  <c r="O263" i="14"/>
  <c r="U263" i="14"/>
  <c r="T263" i="14"/>
  <c r="S263" i="14"/>
  <c r="U289" i="14"/>
  <c r="T289" i="14"/>
  <c r="S289" i="14"/>
  <c r="O287" i="14"/>
  <c r="U287" i="14"/>
  <c r="T287" i="14"/>
  <c r="S287" i="14"/>
  <c r="S39" i="14"/>
  <c r="U39" i="14"/>
  <c r="T39" i="14"/>
  <c r="M30" i="14"/>
  <c r="U30" i="14"/>
  <c r="T30" i="14"/>
  <c r="S30" i="14"/>
  <c r="U86" i="14"/>
  <c r="T86" i="14"/>
  <c r="S86" i="14"/>
  <c r="U40" i="14"/>
  <c r="T40" i="14"/>
  <c r="S40" i="14"/>
  <c r="Q257" i="14"/>
  <c r="R257" i="14" s="1"/>
  <c r="U257" i="14"/>
  <c r="T257" i="14"/>
  <c r="S257" i="14"/>
  <c r="Q18" i="14"/>
  <c r="R18" i="14" s="1"/>
  <c r="U18" i="14"/>
  <c r="T18" i="14"/>
  <c r="S18" i="14"/>
  <c r="U6" i="14"/>
  <c r="T6" i="14"/>
  <c r="S6" i="14"/>
  <c r="P275" i="14"/>
  <c r="U275" i="14"/>
  <c r="T275" i="14"/>
  <c r="S275" i="14"/>
  <c r="Q261" i="14"/>
  <c r="R261" i="14" s="1"/>
  <c r="U261" i="14"/>
  <c r="T261" i="14"/>
  <c r="S261" i="14"/>
  <c r="P285" i="14"/>
  <c r="U285" i="14"/>
  <c r="T285" i="14"/>
  <c r="S285" i="14"/>
  <c r="K20" i="14"/>
  <c r="F32" i="3"/>
  <c r="W33" i="28"/>
  <c r="B11" i="20" s="1"/>
  <c r="E32" i="28"/>
  <c r="X32" i="28"/>
  <c r="E8" i="28"/>
  <c r="X8" i="28"/>
  <c r="E7" i="28"/>
  <c r="X7" i="28"/>
  <c r="E5" i="28"/>
  <c r="X5" i="28"/>
  <c r="E20" i="28"/>
  <c r="X20" i="28"/>
  <c r="E4" i="28"/>
  <c r="X4" i="28"/>
  <c r="E18" i="28"/>
  <c r="X18" i="28"/>
  <c r="E31" i="28"/>
  <c r="X31" i="28"/>
  <c r="E19" i="28"/>
  <c r="X19" i="28"/>
  <c r="E3" i="28"/>
  <c r="X3" i="28"/>
  <c r="E21" i="28"/>
  <c r="X21" i="28"/>
  <c r="E14" i="28"/>
  <c r="X14" i="28"/>
  <c r="E28" i="28"/>
  <c r="X28" i="28"/>
  <c r="E22" i="28"/>
  <c r="X22" i="28"/>
  <c r="E9" i="28"/>
  <c r="X9" i="28"/>
  <c r="E11" i="28"/>
  <c r="X11" i="28"/>
  <c r="E10" i="28"/>
  <c r="X10" i="28"/>
  <c r="E16" i="28"/>
  <c r="X16" i="28"/>
  <c r="E29" i="28"/>
  <c r="X29" i="28"/>
  <c r="E24" i="28"/>
  <c r="X24" i="28"/>
  <c r="E30" i="28"/>
  <c r="X30" i="28"/>
  <c r="E26" i="28"/>
  <c r="X26" i="28"/>
  <c r="E15" i="28"/>
  <c r="X15" i="28"/>
  <c r="E25" i="28"/>
  <c r="X25" i="28"/>
  <c r="E12" i="28"/>
  <c r="X12" i="28"/>
  <c r="E13" i="28"/>
  <c r="X13" i="28"/>
  <c r="E17" i="28"/>
  <c r="X17" i="28"/>
  <c r="E23" i="28"/>
  <c r="X23" i="28"/>
  <c r="E6" i="28"/>
  <c r="X6" i="28"/>
  <c r="E27" i="28"/>
  <c r="X27" i="28"/>
  <c r="G23" i="14"/>
  <c r="W20" i="14"/>
  <c r="M260" i="14"/>
  <c r="L260" i="14"/>
  <c r="N260" i="14"/>
  <c r="P260" i="14"/>
  <c r="Q260" i="14"/>
  <c r="R260" i="14" s="1"/>
  <c r="O258" i="14"/>
  <c r="Q258" i="14"/>
  <c r="R258" i="14" s="1"/>
  <c r="P258" i="14"/>
  <c r="N258" i="14"/>
  <c r="M258" i="14"/>
  <c r="L258" i="14"/>
  <c r="O272" i="14"/>
  <c r="N272" i="14"/>
  <c r="M272" i="14"/>
  <c r="L272" i="14"/>
  <c r="P272" i="14"/>
  <c r="Q272" i="14"/>
  <c r="R272" i="14" s="1"/>
  <c r="M282" i="14"/>
  <c r="N282" i="14"/>
  <c r="O282" i="14"/>
  <c r="N284" i="14"/>
  <c r="L282" i="14"/>
  <c r="P267" i="14"/>
  <c r="Q285" i="14"/>
  <c r="R285" i="14" s="1"/>
  <c r="L261" i="14"/>
  <c r="N285" i="14"/>
  <c r="L257" i="14"/>
  <c r="L285" i="14"/>
  <c r="O285" i="14"/>
  <c r="L267" i="14"/>
  <c r="M285" i="14"/>
  <c r="M267" i="14"/>
  <c r="N279" i="14"/>
  <c r="L279" i="14"/>
  <c r="P282" i="14"/>
  <c r="P263" i="14"/>
  <c r="L270" i="14"/>
  <c r="M270" i="14"/>
  <c r="O261" i="14"/>
  <c r="N269" i="14"/>
  <c r="O269" i="14"/>
  <c r="Q269" i="14"/>
  <c r="R269" i="14" s="1"/>
  <c r="L269" i="14"/>
  <c r="P270" i="14"/>
  <c r="M261" i="14"/>
  <c r="N270" i="14"/>
  <c r="N261" i="14"/>
  <c r="Q270" i="14"/>
  <c r="R270" i="14" s="1"/>
  <c r="P261" i="14"/>
  <c r="O279" i="14"/>
  <c r="M275" i="14"/>
  <c r="N278" i="14"/>
  <c r="N275" i="14"/>
  <c r="L275" i="14"/>
  <c r="O275" i="14"/>
  <c r="Q275" i="14"/>
  <c r="R275" i="14" s="1"/>
  <c r="L263" i="14"/>
  <c r="L273" i="14"/>
  <c r="P257" i="14"/>
  <c r="M263" i="14"/>
  <c r="H15" i="14"/>
  <c r="J15" i="14" s="1"/>
  <c r="I15" i="14"/>
  <c r="K15" i="14" s="1"/>
  <c r="H28" i="14"/>
  <c r="J28" i="14" s="1"/>
  <c r="I28" i="14"/>
  <c r="N267" i="14"/>
  <c r="M273" i="14"/>
  <c r="N263" i="14"/>
  <c r="P273" i="14"/>
  <c r="H26" i="14"/>
  <c r="J26" i="14" s="1"/>
  <c r="I26" i="14"/>
  <c r="I16" i="14"/>
  <c r="H16" i="14"/>
  <c r="J16" i="14" s="1"/>
  <c r="O267" i="14"/>
  <c r="O273" i="14"/>
  <c r="M257" i="14"/>
  <c r="N257" i="14"/>
  <c r="M279" i="14"/>
  <c r="I34" i="14"/>
  <c r="H34" i="14"/>
  <c r="J34" i="14" s="1"/>
  <c r="I10" i="14"/>
  <c r="H10" i="14"/>
  <c r="J10" i="14" s="1"/>
  <c r="Q263" i="14"/>
  <c r="R263" i="14" s="1"/>
  <c r="H32" i="14"/>
  <c r="J32" i="14" s="1"/>
  <c r="I32" i="14"/>
  <c r="Q273" i="14"/>
  <c r="R273" i="14" s="1"/>
  <c r="O257" i="14"/>
  <c r="H8" i="14"/>
  <c r="J8" i="14" s="1"/>
  <c r="I8" i="14"/>
  <c r="K8" i="14" s="1"/>
  <c r="P279" i="14"/>
  <c r="P269" i="14"/>
  <c r="I9" i="14"/>
  <c r="K9" i="14" s="1"/>
  <c r="H9" i="14"/>
  <c r="J9" i="14" s="1"/>
  <c r="I27" i="14"/>
  <c r="K27" i="14" s="1"/>
  <c r="H27" i="14"/>
  <c r="J27" i="14" s="1"/>
  <c r="I33" i="14"/>
  <c r="K33" i="14" s="1"/>
  <c r="H33" i="14"/>
  <c r="J33" i="14" s="1"/>
  <c r="H14" i="14"/>
  <c r="J14" i="14" s="1"/>
  <c r="I14" i="14"/>
  <c r="K14" i="14" s="1"/>
  <c r="P284" i="14"/>
  <c r="P266" i="14"/>
  <c r="M281" i="14"/>
  <c r="L266" i="14"/>
  <c r="O266" i="14"/>
  <c r="N281" i="14"/>
  <c r="L281" i="14"/>
  <c r="M266" i="14"/>
  <c r="Q281" i="14"/>
  <c r="R281" i="14" s="1"/>
  <c r="Q266" i="14"/>
  <c r="R266" i="14" s="1"/>
  <c r="O281" i="14"/>
  <c r="N276" i="14"/>
  <c r="P276" i="14"/>
  <c r="L278" i="14"/>
  <c r="M276" i="14"/>
  <c r="Q284" i="14"/>
  <c r="R284" i="14" s="1"/>
  <c r="M278" i="14"/>
  <c r="Q276" i="14"/>
  <c r="R276" i="14" s="1"/>
  <c r="P255" i="14"/>
  <c r="L284" i="14"/>
  <c r="P278" i="14"/>
  <c r="Q254" i="14"/>
  <c r="R254" i="14" s="1"/>
  <c r="Q287" i="14"/>
  <c r="R287" i="14" s="1"/>
  <c r="N255" i="14"/>
  <c r="M254" i="14"/>
  <c r="L287" i="14"/>
  <c r="O278" i="14"/>
  <c r="Q255" i="14"/>
  <c r="R255" i="14" s="1"/>
  <c r="O264" i="14"/>
  <c r="N254" i="14"/>
  <c r="P287" i="14"/>
  <c r="M255" i="14"/>
  <c r="M264" i="14"/>
  <c r="P254" i="14"/>
  <c r="M287" i="14"/>
  <c r="L254" i="14"/>
  <c r="O255" i="14"/>
  <c r="L264" i="14"/>
  <c r="N287" i="14"/>
  <c r="N264" i="14"/>
  <c r="O276" i="14"/>
  <c r="P264" i="14"/>
  <c r="O284" i="14"/>
  <c r="O288" i="14"/>
  <c r="P288" i="14"/>
  <c r="Q288" i="14"/>
  <c r="R288" i="14" s="1"/>
  <c r="N288" i="14"/>
  <c r="L288" i="14"/>
  <c r="J75" i="1"/>
  <c r="J74" i="1"/>
  <c r="H118" i="17"/>
  <c r="F118" i="17"/>
  <c r="H111" i="17"/>
  <c r="F111" i="17"/>
  <c r="H122" i="17"/>
  <c r="F122" i="17"/>
  <c r="H115" i="17"/>
  <c r="F115" i="17"/>
  <c r="F112" i="17"/>
  <c r="H112" i="17"/>
  <c r="F119" i="17"/>
  <c r="H119" i="17"/>
  <c r="F109" i="17"/>
  <c r="H109" i="17"/>
  <c r="H116" i="17"/>
  <c r="F116" i="17"/>
  <c r="H108" i="17"/>
  <c r="F108" i="17"/>
  <c r="H113" i="17"/>
  <c r="F113" i="17"/>
  <c r="I100" i="17"/>
  <c r="H100" i="17"/>
  <c r="G100" i="17"/>
  <c r="F100" i="17"/>
  <c r="H117" i="17"/>
  <c r="F117" i="17"/>
  <c r="F103" i="17"/>
  <c r="G103" i="17"/>
  <c r="I103" i="17"/>
  <c r="H103" i="17"/>
  <c r="H120" i="17"/>
  <c r="F120" i="17"/>
  <c r="G99" i="17"/>
  <c r="F99" i="17"/>
  <c r="I99" i="17"/>
  <c r="H99" i="17"/>
  <c r="H121" i="17"/>
  <c r="F121" i="17"/>
  <c r="H106" i="17"/>
  <c r="F106" i="17"/>
  <c r="I102" i="17"/>
  <c r="H102" i="17"/>
  <c r="G102" i="17"/>
  <c r="F102" i="17"/>
  <c r="I101" i="17"/>
  <c r="H101" i="17"/>
  <c r="G101" i="17"/>
  <c r="F101" i="17"/>
  <c r="F105" i="17"/>
  <c r="H105" i="17"/>
  <c r="I105" i="17"/>
  <c r="G105" i="17"/>
  <c r="I104" i="17"/>
  <c r="H104" i="17"/>
  <c r="G104" i="17"/>
  <c r="F104" i="17"/>
  <c r="H114" i="17"/>
  <c r="F114" i="17"/>
  <c r="H110" i="17"/>
  <c r="F110" i="17"/>
  <c r="H107" i="17"/>
  <c r="F107" i="17"/>
  <c r="K19" i="14"/>
  <c r="O259" i="14"/>
  <c r="M259" i="14"/>
  <c r="N259" i="14"/>
  <c r="L259" i="14"/>
  <c r="Q259" i="14"/>
  <c r="R259" i="14" s="1"/>
  <c r="P259" i="14"/>
  <c r="O277" i="14"/>
  <c r="M277" i="14"/>
  <c r="N277" i="14"/>
  <c r="L277" i="14"/>
  <c r="Q277" i="14"/>
  <c r="R277" i="14" s="1"/>
  <c r="P277" i="14"/>
  <c r="O262" i="14"/>
  <c r="N262" i="14"/>
  <c r="M262" i="14"/>
  <c r="L262" i="14"/>
  <c r="P262" i="14"/>
  <c r="Q262" i="14"/>
  <c r="R262" i="14" s="1"/>
  <c r="O271" i="14"/>
  <c r="M271" i="14"/>
  <c r="N271" i="14"/>
  <c r="L271" i="14"/>
  <c r="Q271" i="14"/>
  <c r="R271" i="14" s="1"/>
  <c r="P271" i="14"/>
  <c r="P280" i="14"/>
  <c r="L280" i="14"/>
  <c r="Q280" i="14"/>
  <c r="R280" i="14" s="1"/>
  <c r="O280" i="14"/>
  <c r="N280" i="14"/>
  <c r="M280" i="14"/>
  <c r="O289" i="14"/>
  <c r="N289" i="14"/>
  <c r="M289" i="14"/>
  <c r="L289" i="14"/>
  <c r="P289" i="14"/>
  <c r="Q289" i="14"/>
  <c r="R289" i="14" s="1"/>
  <c r="O268" i="14"/>
  <c r="M268" i="14"/>
  <c r="N268" i="14"/>
  <c r="L268" i="14"/>
  <c r="Q268" i="14"/>
  <c r="R268" i="14" s="1"/>
  <c r="P268" i="14"/>
  <c r="O286" i="14"/>
  <c r="N286" i="14"/>
  <c r="M286" i="14"/>
  <c r="L286" i="14"/>
  <c r="Q286" i="14"/>
  <c r="R286" i="14" s="1"/>
  <c r="P286" i="14"/>
  <c r="O256" i="14"/>
  <c r="N256" i="14"/>
  <c r="M256" i="14"/>
  <c r="L256" i="14"/>
  <c r="Q256" i="14"/>
  <c r="R256" i="14" s="1"/>
  <c r="P256" i="14"/>
  <c r="O265" i="14"/>
  <c r="N265" i="14"/>
  <c r="M265" i="14"/>
  <c r="L265" i="14"/>
  <c r="P265" i="14"/>
  <c r="Q265" i="14"/>
  <c r="R265" i="14" s="1"/>
  <c r="O274" i="14"/>
  <c r="N274" i="14"/>
  <c r="M274" i="14"/>
  <c r="L274" i="14"/>
  <c r="Q274" i="14"/>
  <c r="R274" i="14" s="1"/>
  <c r="P274" i="14"/>
  <c r="M283" i="14"/>
  <c r="L283" i="14"/>
  <c r="N283" i="14"/>
  <c r="P283" i="14"/>
  <c r="Q283" i="14"/>
  <c r="R283" i="14" s="1"/>
  <c r="O283" i="14"/>
  <c r="K31" i="14"/>
  <c r="K22" i="14"/>
  <c r="K25" i="14"/>
  <c r="K5" i="14"/>
  <c r="A37" i="14"/>
  <c r="J5" i="14"/>
  <c r="A35" i="14"/>
  <c r="A36" i="14"/>
  <c r="O17" i="14"/>
  <c r="Q17" i="14"/>
  <c r="R17" i="14" s="1"/>
  <c r="N17" i="14"/>
  <c r="P17" i="14"/>
  <c r="L17" i="14"/>
  <c r="L23" i="14"/>
  <c r="M23" i="14"/>
  <c r="M11" i="14"/>
  <c r="Q11" i="14"/>
  <c r="R11" i="14" s="1"/>
  <c r="O11" i="14"/>
  <c r="N11" i="14"/>
  <c r="P11" i="14"/>
  <c r="N24" i="14"/>
  <c r="P24" i="14"/>
  <c r="O30" i="14"/>
  <c r="Q30" i="14"/>
  <c r="R30" i="14" s="1"/>
  <c r="N30" i="14"/>
  <c r="P30" i="14"/>
  <c r="Q24" i="14"/>
  <c r="R24" i="14" s="1"/>
  <c r="L24" i="14"/>
  <c r="Q20" i="14"/>
  <c r="R20" i="14" s="1"/>
  <c r="M24" i="14"/>
  <c r="L30" i="14"/>
  <c r="O20" i="14"/>
  <c r="M18" i="14"/>
  <c r="L18" i="14"/>
  <c r="N18" i="14"/>
  <c r="O18" i="14"/>
  <c r="P18" i="14"/>
  <c r="N20" i="14"/>
  <c r="P20" i="14"/>
  <c r="L21" i="14"/>
  <c r="M21" i="14"/>
  <c r="N21" i="14"/>
  <c r="O21" i="14"/>
  <c r="P21" i="14"/>
  <c r="M20" i="14"/>
  <c r="N23" i="14"/>
  <c r="O23" i="14"/>
  <c r="P23" i="14"/>
  <c r="Q13" i="14"/>
  <c r="R13" i="14" s="1"/>
  <c r="P13" i="14"/>
  <c r="L13" i="14"/>
  <c r="M13" i="14"/>
  <c r="N13" i="14"/>
  <c r="K75" i="14"/>
  <c r="J75" i="14"/>
  <c r="K108" i="14"/>
  <c r="Q31" i="14"/>
  <c r="R31" i="14" s="1"/>
  <c r="P31" i="14"/>
  <c r="O31" i="14"/>
  <c r="N31" i="14"/>
  <c r="L31" i="14"/>
  <c r="M31" i="14"/>
  <c r="J87" i="14"/>
  <c r="Q6" i="14"/>
  <c r="R6" i="14" s="1"/>
  <c r="P6" i="14"/>
  <c r="O6" i="14"/>
  <c r="N6" i="14"/>
  <c r="M6" i="14"/>
  <c r="L6" i="14"/>
  <c r="J109" i="14"/>
  <c r="K103" i="14"/>
  <c r="J125" i="14"/>
  <c r="J161" i="14"/>
  <c r="Q25" i="14"/>
  <c r="R25" i="14" s="1"/>
  <c r="P25" i="14"/>
  <c r="O25" i="14"/>
  <c r="N25" i="14"/>
  <c r="L25" i="14"/>
  <c r="M25" i="14"/>
  <c r="J97" i="14"/>
  <c r="Q19" i="14"/>
  <c r="R19" i="14" s="1"/>
  <c r="P19" i="14"/>
  <c r="O19" i="14"/>
  <c r="N19" i="14"/>
  <c r="M19" i="14"/>
  <c r="L19" i="14"/>
  <c r="K87" i="14"/>
  <c r="P39" i="14"/>
  <c r="O39" i="14"/>
  <c r="N39" i="14"/>
  <c r="L39" i="14"/>
  <c r="Q39" i="14"/>
  <c r="R39" i="14" s="1"/>
  <c r="M39" i="14"/>
  <c r="J88" i="14"/>
  <c r="K94" i="14"/>
  <c r="K77" i="14"/>
  <c r="K91" i="14"/>
  <c r="K98" i="14"/>
  <c r="Q12" i="14"/>
  <c r="R12" i="14" s="1"/>
  <c r="P12" i="14"/>
  <c r="O12" i="14"/>
  <c r="N12" i="14"/>
  <c r="M12" i="14"/>
  <c r="L12" i="14"/>
  <c r="K99" i="14"/>
  <c r="J173" i="14"/>
  <c r="J137" i="14"/>
  <c r="J78" i="14"/>
  <c r="Q95" i="14"/>
  <c r="R95" i="14" s="1"/>
  <c r="P95" i="14"/>
  <c r="O95" i="14"/>
  <c r="M95" i="14"/>
  <c r="L95" i="14"/>
  <c r="N95" i="14"/>
  <c r="J100" i="14"/>
  <c r="K106" i="14"/>
  <c r="K95" i="14"/>
  <c r="K102" i="14"/>
  <c r="O101" i="14"/>
  <c r="N101" i="14"/>
  <c r="M101" i="14"/>
  <c r="L101" i="14"/>
  <c r="P101" i="14"/>
  <c r="Q101" i="14"/>
  <c r="R101" i="14" s="1"/>
  <c r="J99" i="14"/>
  <c r="Q73" i="14"/>
  <c r="R73" i="14" s="1"/>
  <c r="P73" i="14"/>
  <c r="N73" i="14"/>
  <c r="L73" i="14"/>
  <c r="M73" i="14"/>
  <c r="O73" i="14"/>
  <c r="J167" i="14"/>
  <c r="J131" i="14"/>
  <c r="J103" i="14"/>
  <c r="K82" i="14"/>
  <c r="K101" i="14"/>
  <c r="M22" i="14"/>
  <c r="L22" i="14"/>
  <c r="P22" i="14"/>
  <c r="N22" i="14"/>
  <c r="Q22" i="14"/>
  <c r="R22" i="14" s="1"/>
  <c r="O22" i="14"/>
  <c r="J116" i="14"/>
  <c r="J152" i="14"/>
  <c r="K105" i="14"/>
  <c r="J140" i="14"/>
  <c r="J176" i="14"/>
  <c r="J93" i="14"/>
  <c r="O40" i="14"/>
  <c r="N40" i="14"/>
  <c r="P40" i="14"/>
  <c r="M40" i="14"/>
  <c r="L40" i="14"/>
  <c r="Q40" i="14"/>
  <c r="R40" i="14" s="1"/>
  <c r="J106" i="14"/>
  <c r="K88" i="14"/>
  <c r="M92" i="14"/>
  <c r="L92" i="14"/>
  <c r="N92" i="14"/>
  <c r="Q92" i="14"/>
  <c r="R92" i="14" s="1"/>
  <c r="O92" i="14"/>
  <c r="P92" i="14"/>
  <c r="K83" i="14"/>
  <c r="K104" i="14"/>
  <c r="L72" i="14"/>
  <c r="Q72" i="14"/>
  <c r="R72" i="14" s="1"/>
  <c r="O72" i="14"/>
  <c r="M72" i="14"/>
  <c r="N72" i="14"/>
  <c r="P72" i="14"/>
  <c r="Q83" i="14"/>
  <c r="R83" i="14" s="1"/>
  <c r="P83" i="14"/>
  <c r="O83" i="14"/>
  <c r="N83" i="14"/>
  <c r="M83" i="14"/>
  <c r="L83" i="14"/>
  <c r="K78" i="14"/>
  <c r="M104" i="14"/>
  <c r="L104" i="14"/>
  <c r="Q104" i="14"/>
  <c r="R104" i="14" s="1"/>
  <c r="P104" i="14"/>
  <c r="N104" i="14"/>
  <c r="O104" i="14"/>
  <c r="J81" i="14"/>
  <c r="J105" i="14"/>
  <c r="J79" i="14"/>
  <c r="M71" i="14"/>
  <c r="L71" i="14"/>
  <c r="P71" i="14"/>
  <c r="N71" i="14"/>
  <c r="Q71" i="14"/>
  <c r="R71" i="14" s="1"/>
  <c r="O71" i="14"/>
  <c r="K85" i="14"/>
  <c r="K80" i="14"/>
  <c r="K93" i="14"/>
  <c r="J155" i="14"/>
  <c r="J119" i="14"/>
  <c r="K81" i="14"/>
  <c r="J90" i="14"/>
  <c r="J82" i="14"/>
  <c r="K76" i="14"/>
  <c r="K107" i="14"/>
  <c r="Q77" i="14"/>
  <c r="R77" i="14" s="1"/>
  <c r="P77" i="14"/>
  <c r="O77" i="14"/>
  <c r="N77" i="14"/>
  <c r="L77" i="14"/>
  <c r="M77" i="14"/>
  <c r="K79" i="14"/>
  <c r="K92" i="14"/>
  <c r="Q74" i="14"/>
  <c r="R74" i="14" s="1"/>
  <c r="P74" i="14"/>
  <c r="N74" i="14"/>
  <c r="L74" i="14"/>
  <c r="O74" i="14"/>
  <c r="M74" i="14"/>
  <c r="K13" i="14"/>
  <c r="K90" i="14"/>
  <c r="J158" i="14"/>
  <c r="J122" i="14"/>
  <c r="Q29" i="14"/>
  <c r="R29" i="14" s="1"/>
  <c r="P29" i="14"/>
  <c r="O29" i="14"/>
  <c r="N29" i="14"/>
  <c r="M29" i="14"/>
  <c r="L29" i="14"/>
  <c r="J84" i="14"/>
  <c r="J85" i="14"/>
  <c r="K97" i="14"/>
  <c r="M7" i="14"/>
  <c r="L7" i="14"/>
  <c r="P7" i="14"/>
  <c r="N7" i="14"/>
  <c r="O7" i="14"/>
  <c r="Q7" i="14"/>
  <c r="R7" i="14" s="1"/>
  <c r="K89" i="14"/>
  <c r="J149" i="14"/>
  <c r="J113" i="14"/>
  <c r="J94" i="14"/>
  <c r="J128" i="14"/>
  <c r="J164" i="14"/>
  <c r="K84" i="14"/>
  <c r="Q86" i="14"/>
  <c r="R86" i="14" s="1"/>
  <c r="P86" i="14"/>
  <c r="N86" i="14"/>
  <c r="L86" i="14"/>
  <c r="M86" i="14"/>
  <c r="O86" i="14"/>
  <c r="J96" i="14"/>
  <c r="Q107" i="14"/>
  <c r="R107" i="14" s="1"/>
  <c r="P107" i="14"/>
  <c r="O107" i="14"/>
  <c r="N107" i="14"/>
  <c r="M107" i="14"/>
  <c r="L107" i="14"/>
  <c r="J76" i="14"/>
  <c r="K109" i="14"/>
  <c r="K74" i="14"/>
  <c r="J134" i="14"/>
  <c r="J170" i="14"/>
  <c r="Q80" i="14"/>
  <c r="R80" i="14" s="1"/>
  <c r="P80" i="14"/>
  <c r="O80" i="14"/>
  <c r="N80" i="14"/>
  <c r="M80" i="14"/>
  <c r="L80" i="14"/>
  <c r="J102" i="14"/>
  <c r="J146" i="14"/>
  <c r="J110" i="14"/>
  <c r="W16" i="14"/>
  <c r="W10" i="14"/>
  <c r="K7" i="14"/>
  <c r="W28" i="14"/>
  <c r="W34" i="14"/>
  <c r="K96" i="14"/>
  <c r="O89" i="14"/>
  <c r="N89" i="14"/>
  <c r="M89" i="14"/>
  <c r="L89" i="14"/>
  <c r="Q89" i="14"/>
  <c r="R89" i="14" s="1"/>
  <c r="P89" i="14"/>
  <c r="J108" i="14"/>
  <c r="J179" i="14"/>
  <c r="J143" i="14"/>
  <c r="J91" i="14"/>
  <c r="K100" i="14"/>
  <c r="K86" i="14"/>
  <c r="Q98" i="14"/>
  <c r="R98" i="14" s="1"/>
  <c r="P98" i="14"/>
  <c r="O98" i="14"/>
  <c r="N98" i="14"/>
  <c r="M98" i="14"/>
  <c r="L98" i="14"/>
  <c r="C77" i="1" l="1"/>
  <c r="H69" i="1"/>
  <c r="I77" i="1"/>
  <c r="I78" i="1"/>
  <c r="H77" i="1"/>
  <c r="H78" i="1"/>
  <c r="I69" i="1"/>
  <c r="V261" i="14"/>
  <c r="V274" i="14"/>
  <c r="V256" i="14"/>
  <c r="J78" i="1" s="1"/>
  <c r="V268" i="14"/>
  <c r="V262" i="14"/>
  <c r="V259" i="14"/>
  <c r="V257" i="14"/>
  <c r="V258" i="14"/>
  <c r="V279" i="14"/>
  <c r="V280" i="14"/>
  <c r="V40" i="14"/>
  <c r="D78" i="1" s="1"/>
  <c r="V73" i="14"/>
  <c r="V282" i="14"/>
  <c r="V80" i="14"/>
  <c r="V98" i="14"/>
  <c r="V284" i="14"/>
  <c r="V13" i="14"/>
  <c r="V17" i="14"/>
  <c r="V31" i="14"/>
  <c r="V281" i="14"/>
  <c r="V263" i="14"/>
  <c r="V255" i="14"/>
  <c r="V86" i="14"/>
  <c r="V19" i="14"/>
  <c r="V269" i="14"/>
  <c r="V285" i="14"/>
  <c r="V107" i="14"/>
  <c r="V18" i="14"/>
  <c r="V266" i="14"/>
  <c r="V273" i="14"/>
  <c r="V275" i="14"/>
  <c r="V267" i="14"/>
  <c r="V95" i="14"/>
  <c r="V72" i="14"/>
  <c r="V6" i="14"/>
  <c r="V286" i="14"/>
  <c r="V289" i="14"/>
  <c r="V277" i="14"/>
  <c r="V7" i="14"/>
  <c r="V89" i="14"/>
  <c r="V104" i="14"/>
  <c r="V22" i="14"/>
  <c r="V12" i="14"/>
  <c r="V265" i="14"/>
  <c r="V271" i="14"/>
  <c r="V264" i="14"/>
  <c r="V278" i="14"/>
  <c r="V276" i="14"/>
  <c r="V77" i="14"/>
  <c r="V83" i="14"/>
  <c r="V39" i="14"/>
  <c r="V30" i="14"/>
  <c r="V283" i="14"/>
  <c r="V287" i="14"/>
  <c r="V25" i="14"/>
  <c r="V74" i="14"/>
  <c r="E69" i="1" s="1"/>
  <c r="V92" i="14"/>
  <c r="V288" i="14"/>
  <c r="V254" i="14"/>
  <c r="J69" i="1" s="1"/>
  <c r="V272" i="14"/>
  <c r="V260" i="14"/>
  <c r="V270" i="14"/>
  <c r="V101" i="14"/>
  <c r="V21" i="14"/>
  <c r="V24" i="14"/>
  <c r="V11" i="14"/>
  <c r="V20" i="14"/>
  <c r="U91" i="14"/>
  <c r="T91" i="14"/>
  <c r="S91" i="14"/>
  <c r="U96" i="14"/>
  <c r="T96" i="14"/>
  <c r="S96" i="14"/>
  <c r="U149" i="14"/>
  <c r="T149" i="14"/>
  <c r="S149" i="14"/>
  <c r="U34" i="14"/>
  <c r="T34" i="14"/>
  <c r="S34" i="14"/>
  <c r="U113" i="14"/>
  <c r="T113" i="14"/>
  <c r="S113" i="14"/>
  <c r="U88" i="14"/>
  <c r="T88" i="14"/>
  <c r="S88" i="14"/>
  <c r="U134" i="14"/>
  <c r="T134" i="14"/>
  <c r="S134" i="14"/>
  <c r="U90" i="14"/>
  <c r="T90" i="14"/>
  <c r="S90" i="14"/>
  <c r="U100" i="14"/>
  <c r="T100" i="14"/>
  <c r="S100" i="14"/>
  <c r="U75" i="14"/>
  <c r="T75" i="14"/>
  <c r="S75" i="14"/>
  <c r="U8" i="14"/>
  <c r="T8" i="14"/>
  <c r="S8" i="14"/>
  <c r="U28" i="14"/>
  <c r="T28" i="14"/>
  <c r="S28" i="14"/>
  <c r="U109" i="14"/>
  <c r="T109" i="14"/>
  <c r="S109" i="14"/>
  <c r="U79" i="14"/>
  <c r="T79" i="14"/>
  <c r="S79" i="14"/>
  <c r="N5" i="14"/>
  <c r="T5" i="14"/>
  <c r="S5" i="14"/>
  <c r="U5" i="14"/>
  <c r="U84" i="14"/>
  <c r="T84" i="14"/>
  <c r="S84" i="14"/>
  <c r="U173" i="14"/>
  <c r="T173" i="14"/>
  <c r="S173" i="14"/>
  <c r="U170" i="14"/>
  <c r="T170" i="14"/>
  <c r="S170" i="14"/>
  <c r="U108" i="14"/>
  <c r="T108" i="14"/>
  <c r="S108" i="14"/>
  <c r="U110" i="14"/>
  <c r="T110" i="14"/>
  <c r="S110" i="14"/>
  <c r="U119" i="14"/>
  <c r="T119" i="14"/>
  <c r="S119" i="14"/>
  <c r="U105" i="14"/>
  <c r="T105" i="14"/>
  <c r="S105" i="14"/>
  <c r="U99" i="14"/>
  <c r="T99" i="14"/>
  <c r="S99" i="14"/>
  <c r="Q14" i="14"/>
  <c r="R14" i="14" s="1"/>
  <c r="U14" i="14"/>
  <c r="T14" i="14"/>
  <c r="S14" i="14"/>
  <c r="S15" i="14"/>
  <c r="U15" i="14"/>
  <c r="T15" i="14"/>
  <c r="U116" i="14"/>
  <c r="T116" i="14"/>
  <c r="S116" i="14"/>
  <c r="U97" i="14"/>
  <c r="T97" i="14"/>
  <c r="S97" i="14"/>
  <c r="U146" i="14"/>
  <c r="T146" i="14"/>
  <c r="S146" i="14"/>
  <c r="U76" i="14"/>
  <c r="T76" i="14"/>
  <c r="S76" i="14"/>
  <c r="U122" i="14"/>
  <c r="T122" i="14"/>
  <c r="S122" i="14"/>
  <c r="U155" i="14"/>
  <c r="T155" i="14"/>
  <c r="S155" i="14"/>
  <c r="U81" i="14"/>
  <c r="T81" i="14"/>
  <c r="S81" i="14"/>
  <c r="U93" i="14"/>
  <c r="T93" i="14"/>
  <c r="S93" i="14"/>
  <c r="P33" i="14"/>
  <c r="T33" i="14"/>
  <c r="S33" i="14"/>
  <c r="U33" i="14"/>
  <c r="U16" i="14"/>
  <c r="T16" i="14"/>
  <c r="S16" i="14"/>
  <c r="U94" i="14"/>
  <c r="T94" i="14"/>
  <c r="S94" i="14"/>
  <c r="U137" i="14"/>
  <c r="T137" i="14"/>
  <c r="S137" i="14"/>
  <c r="U102" i="14"/>
  <c r="T102" i="14"/>
  <c r="S102" i="14"/>
  <c r="U158" i="14"/>
  <c r="T158" i="14"/>
  <c r="S158" i="14"/>
  <c r="U176" i="14"/>
  <c r="T176" i="14"/>
  <c r="S176" i="14"/>
  <c r="U87" i="14"/>
  <c r="T87" i="14"/>
  <c r="S87" i="14"/>
  <c r="M32" i="14"/>
  <c r="U32" i="14"/>
  <c r="T32" i="14"/>
  <c r="S32" i="14"/>
  <c r="U106" i="14"/>
  <c r="T106" i="14"/>
  <c r="S106" i="14"/>
  <c r="U140" i="14"/>
  <c r="T140" i="14"/>
  <c r="S140" i="14"/>
  <c r="U103" i="14"/>
  <c r="T103" i="14"/>
  <c r="S103" i="14"/>
  <c r="S27" i="14"/>
  <c r="U27" i="14"/>
  <c r="T27" i="14"/>
  <c r="U143" i="14"/>
  <c r="T143" i="14"/>
  <c r="S143" i="14"/>
  <c r="U179" i="14"/>
  <c r="T179" i="14"/>
  <c r="S179" i="14"/>
  <c r="U164" i="14"/>
  <c r="T164" i="14"/>
  <c r="S164" i="14"/>
  <c r="U131" i="14"/>
  <c r="T131" i="14"/>
  <c r="S131" i="14"/>
  <c r="U161" i="14"/>
  <c r="T161" i="14"/>
  <c r="S161" i="14"/>
  <c r="U10" i="14"/>
  <c r="T10" i="14"/>
  <c r="S10" i="14"/>
  <c r="U26" i="14"/>
  <c r="T26" i="14"/>
  <c r="S26" i="14"/>
  <c r="U82" i="14"/>
  <c r="T82" i="14"/>
  <c r="S82" i="14"/>
  <c r="U128" i="14"/>
  <c r="T128" i="14"/>
  <c r="S128" i="14"/>
  <c r="U85" i="14"/>
  <c r="T85" i="14"/>
  <c r="S85" i="14"/>
  <c r="U152" i="14"/>
  <c r="T152" i="14"/>
  <c r="S152" i="14"/>
  <c r="U167" i="14"/>
  <c r="T167" i="14"/>
  <c r="S167" i="14"/>
  <c r="U78" i="14"/>
  <c r="T78" i="14"/>
  <c r="S78" i="14"/>
  <c r="U125" i="14"/>
  <c r="T125" i="14"/>
  <c r="S125" i="14"/>
  <c r="T9" i="14"/>
  <c r="S9" i="14"/>
  <c r="U9" i="14"/>
  <c r="X255" i="14"/>
  <c r="X39" i="28"/>
  <c r="Y39" i="28" s="1"/>
  <c r="F16" i="28"/>
  <c r="Y16" i="28"/>
  <c r="F15" i="28"/>
  <c r="Y15" i="28"/>
  <c r="F10" i="28"/>
  <c r="Y10" i="28"/>
  <c r="F21" i="28"/>
  <c r="Y21" i="28"/>
  <c r="F20" i="28"/>
  <c r="Y20" i="28"/>
  <c r="X33" i="28"/>
  <c r="F23" i="28"/>
  <c r="Y23" i="28"/>
  <c r="F26" i="28"/>
  <c r="Y26" i="28"/>
  <c r="F11" i="28"/>
  <c r="Y11" i="28"/>
  <c r="F3" i="28"/>
  <c r="Y3" i="28"/>
  <c r="F5" i="28"/>
  <c r="Y5" i="28"/>
  <c r="F27" i="28"/>
  <c r="Y27" i="28"/>
  <c r="F25" i="28"/>
  <c r="Y25" i="28"/>
  <c r="F4" i="28"/>
  <c r="Y4" i="28"/>
  <c r="F6" i="28"/>
  <c r="Y6" i="28"/>
  <c r="F17" i="28"/>
  <c r="Y17" i="28"/>
  <c r="F30" i="28"/>
  <c r="Y30" i="28"/>
  <c r="F9" i="28"/>
  <c r="Y9" i="28"/>
  <c r="F7" i="28"/>
  <c r="Y7" i="28"/>
  <c r="F13" i="28"/>
  <c r="Y13" i="28"/>
  <c r="F24" i="28"/>
  <c r="Y24" i="28"/>
  <c r="F22" i="28"/>
  <c r="Y22" i="28"/>
  <c r="F8" i="28"/>
  <c r="Y8" i="28"/>
  <c r="F14" i="28"/>
  <c r="Y14" i="28"/>
  <c r="F19" i="28"/>
  <c r="Y19" i="28"/>
  <c r="F31" i="28"/>
  <c r="Y31" i="28"/>
  <c r="F12" i="28"/>
  <c r="Y12" i="28"/>
  <c r="F29" i="28"/>
  <c r="Y29" i="28"/>
  <c r="F28" i="28"/>
  <c r="Y28" i="28"/>
  <c r="F18" i="28"/>
  <c r="Y18" i="28"/>
  <c r="F32" i="28"/>
  <c r="Y32" i="28"/>
  <c r="G26" i="14"/>
  <c r="W23" i="14"/>
  <c r="K23" i="14"/>
  <c r="V23" i="14" s="1"/>
  <c r="X75" i="14"/>
  <c r="X36" i="14"/>
  <c r="X167" i="14"/>
  <c r="X166" i="14"/>
  <c r="X170" i="14"/>
  <c r="X284" i="14"/>
  <c r="X240" i="14"/>
  <c r="X152" i="14"/>
  <c r="X251" i="14"/>
  <c r="X87" i="14"/>
  <c r="X243" i="14"/>
  <c r="X233" i="14"/>
  <c r="X66" i="14"/>
  <c r="X163" i="14"/>
  <c r="X136" i="14"/>
  <c r="X133" i="14"/>
  <c r="X173" i="14"/>
  <c r="X266" i="14"/>
  <c r="X33" i="14"/>
  <c r="X43" i="14"/>
  <c r="X148" i="14"/>
  <c r="X276" i="14"/>
  <c r="X204" i="14"/>
  <c r="X265" i="14"/>
  <c r="X214" i="14"/>
  <c r="X191" i="14"/>
  <c r="X118" i="14"/>
  <c r="X283" i="14"/>
  <c r="X177" i="14"/>
  <c r="X144" i="14"/>
  <c r="X138" i="14"/>
  <c r="X229" i="14"/>
  <c r="X247" i="14"/>
  <c r="X79" i="14"/>
  <c r="X24" i="14"/>
  <c r="X104" i="14"/>
  <c r="X88" i="14"/>
  <c r="X215" i="14"/>
  <c r="X180" i="14"/>
  <c r="X199" i="14"/>
  <c r="X94" i="14"/>
  <c r="X121" i="14"/>
  <c r="X86" i="14"/>
  <c r="X6" i="14"/>
  <c r="X259" i="14"/>
  <c r="X61" i="14"/>
  <c r="X209" i="14"/>
  <c r="X272" i="14"/>
  <c r="X139" i="14"/>
  <c r="X227" i="14"/>
  <c r="X275" i="14"/>
  <c r="X105" i="14"/>
  <c r="X241" i="14"/>
  <c r="X190" i="14"/>
  <c r="X238" i="14"/>
  <c r="X80" i="14"/>
  <c r="X231" i="14"/>
  <c r="X60" i="14"/>
  <c r="X228" i="14"/>
  <c r="X198" i="14"/>
  <c r="X112" i="14"/>
  <c r="X54" i="14"/>
  <c r="X72" i="14"/>
  <c r="X30" i="14"/>
  <c r="X273" i="14"/>
  <c r="X176" i="14"/>
  <c r="X154" i="14"/>
  <c r="X182" i="14"/>
  <c r="X134" i="14"/>
  <c r="X119" i="14"/>
  <c r="X146" i="14"/>
  <c r="X78" i="14"/>
  <c r="X3" i="14"/>
  <c r="X73" i="14"/>
  <c r="X77" i="14"/>
  <c r="X108" i="14"/>
  <c r="X58" i="14"/>
  <c r="X111" i="14"/>
  <c r="X194" i="14"/>
  <c r="X201" i="14"/>
  <c r="X219" i="14"/>
  <c r="X122" i="14"/>
  <c r="X179" i="14"/>
  <c r="X262" i="14"/>
  <c r="X76" i="14"/>
  <c r="X162" i="14"/>
  <c r="X99" i="14"/>
  <c r="X127" i="14"/>
  <c r="X96" i="14"/>
  <c r="X102" i="14"/>
  <c r="X103" i="14"/>
  <c r="X218" i="14"/>
  <c r="X151" i="14"/>
  <c r="X110" i="14"/>
  <c r="X185" i="14"/>
  <c r="X113" i="14"/>
  <c r="X9" i="14"/>
  <c r="X15" i="14"/>
  <c r="X90" i="14"/>
  <c r="X188" i="14"/>
  <c r="X46" i="14"/>
  <c r="X150" i="14"/>
  <c r="X196" i="14"/>
  <c r="X280" i="14"/>
  <c r="X82" i="14"/>
  <c r="X249" i="14"/>
  <c r="X235" i="14"/>
  <c r="X74" i="14"/>
  <c r="X145" i="14"/>
  <c r="X123" i="14"/>
  <c r="X91" i="14"/>
  <c r="X40" i="14"/>
  <c r="X147" i="14"/>
  <c r="X107" i="14"/>
  <c r="X52" i="14"/>
  <c r="X55" i="14"/>
  <c r="X230" i="14"/>
  <c r="X48" i="14"/>
  <c r="X69" i="14"/>
  <c r="X250" i="14"/>
  <c r="X12" i="14"/>
  <c r="X117" i="14"/>
  <c r="X169" i="14"/>
  <c r="X174" i="14"/>
  <c r="X64" i="14"/>
  <c r="X140" i="14"/>
  <c r="X132" i="14"/>
  <c r="X242" i="14"/>
  <c r="X274" i="14"/>
  <c r="X258" i="14"/>
  <c r="X278" i="14"/>
  <c r="X281" i="14"/>
  <c r="X21" i="14"/>
  <c r="X67" i="14"/>
  <c r="X85" i="14"/>
  <c r="X289" i="14"/>
  <c r="X244" i="14"/>
  <c r="X187" i="14"/>
  <c r="X267" i="14"/>
  <c r="X81" i="14"/>
  <c r="X254" i="14"/>
  <c r="X175" i="14"/>
  <c r="X18" i="14"/>
  <c r="X92" i="14"/>
  <c r="X277" i="14"/>
  <c r="X51" i="14"/>
  <c r="X236" i="14"/>
  <c r="X63" i="14"/>
  <c r="X237" i="14"/>
  <c r="X93" i="14"/>
  <c r="X207" i="14"/>
  <c r="X248" i="14"/>
  <c r="X161" i="14"/>
  <c r="X246" i="14"/>
  <c r="X287" i="14"/>
  <c r="X220" i="14"/>
  <c r="X120" i="14"/>
  <c r="X256" i="14"/>
  <c r="X89" i="14"/>
  <c r="X124" i="14"/>
  <c r="X239" i="14"/>
  <c r="X208" i="14"/>
  <c r="X70" i="14"/>
  <c r="X224" i="14"/>
  <c r="X57" i="14"/>
  <c r="X172" i="14"/>
  <c r="X189" i="14"/>
  <c r="X159" i="14"/>
  <c r="X282" i="14"/>
  <c r="X135" i="14"/>
  <c r="X202" i="14"/>
  <c r="X160" i="14"/>
  <c r="X223" i="14"/>
  <c r="X171" i="14"/>
  <c r="X268" i="14"/>
  <c r="X142" i="14"/>
  <c r="X83" i="14"/>
  <c r="X200" i="14"/>
  <c r="X95" i="14"/>
  <c r="X225" i="14"/>
  <c r="X213" i="14"/>
  <c r="X252" i="14"/>
  <c r="X125" i="14"/>
  <c r="X210" i="14"/>
  <c r="X49" i="14"/>
  <c r="X114" i="14"/>
  <c r="X155" i="14"/>
  <c r="X271" i="14"/>
  <c r="X183" i="14"/>
  <c r="X269" i="14"/>
  <c r="X279" i="14"/>
  <c r="X270" i="14"/>
  <c r="X164" i="14"/>
  <c r="X116" i="14"/>
  <c r="X226" i="14"/>
  <c r="X197" i="14"/>
  <c r="X168" i="14"/>
  <c r="X39" i="14"/>
  <c r="X156" i="14"/>
  <c r="X130" i="14"/>
  <c r="X100" i="14"/>
  <c r="X205" i="14"/>
  <c r="X128" i="14"/>
  <c r="X131" i="14"/>
  <c r="X221" i="14"/>
  <c r="X186" i="14"/>
  <c r="X137" i="14"/>
  <c r="X286" i="14"/>
  <c r="X261" i="14"/>
  <c r="X195" i="14"/>
  <c r="X193" i="14"/>
  <c r="X98" i="14"/>
  <c r="X126" i="14"/>
  <c r="X217" i="14"/>
  <c r="X129" i="14"/>
  <c r="X149" i="14"/>
  <c r="X206" i="14"/>
  <c r="X285" i="14"/>
  <c r="X212" i="14"/>
  <c r="X232" i="14"/>
  <c r="X222" i="14"/>
  <c r="X27" i="14"/>
  <c r="X165" i="14"/>
  <c r="X109" i="14"/>
  <c r="X141" i="14"/>
  <c r="X101" i="14"/>
  <c r="X245" i="14"/>
  <c r="X42" i="14"/>
  <c r="X288" i="14"/>
  <c r="X84" i="14"/>
  <c r="X216" i="14"/>
  <c r="X181" i="14"/>
  <c r="X192" i="14"/>
  <c r="X253" i="14"/>
  <c r="X184" i="14"/>
  <c r="X158" i="14"/>
  <c r="X211" i="14"/>
  <c r="X234" i="14"/>
  <c r="X178" i="14"/>
  <c r="X157" i="14"/>
  <c r="X260" i="14"/>
  <c r="X203" i="14"/>
  <c r="X153" i="14"/>
  <c r="X115" i="14"/>
  <c r="X143" i="14"/>
  <c r="X106" i="14"/>
  <c r="X97" i="14"/>
  <c r="X263" i="14"/>
  <c r="X264" i="14"/>
  <c r="X257" i="14"/>
  <c r="X45" i="14"/>
  <c r="I37" i="14"/>
  <c r="H37" i="14"/>
  <c r="J37" i="14" s="1"/>
  <c r="I35" i="14"/>
  <c r="H35" i="14"/>
  <c r="J35" i="14" s="1"/>
  <c r="I36" i="14"/>
  <c r="K36" i="14" s="1"/>
  <c r="H36" i="14"/>
  <c r="J36" i="14" s="1"/>
  <c r="K16" i="14"/>
  <c r="Q5" i="14"/>
  <c r="R5" i="14" s="1"/>
  <c r="M5" i="14"/>
  <c r="L5" i="14"/>
  <c r="O5" i="14"/>
  <c r="P5" i="14"/>
  <c r="M14" i="14"/>
  <c r="N33" i="14"/>
  <c r="O33" i="14"/>
  <c r="L14" i="14"/>
  <c r="N14" i="14"/>
  <c r="O14" i="14"/>
  <c r="P14" i="14"/>
  <c r="O32" i="14"/>
  <c r="Q32" i="14"/>
  <c r="R32" i="14" s="1"/>
  <c r="N32" i="14"/>
  <c r="P32" i="14"/>
  <c r="L32" i="14"/>
  <c r="L33" i="14"/>
  <c r="M33" i="14"/>
  <c r="Q33" i="14"/>
  <c r="R33" i="14" s="1"/>
  <c r="O100" i="14"/>
  <c r="N100" i="14"/>
  <c r="M100" i="14"/>
  <c r="L100" i="14"/>
  <c r="Q100" i="14"/>
  <c r="R100" i="14" s="1"/>
  <c r="P100" i="14"/>
  <c r="Q143" i="14"/>
  <c r="R143" i="14" s="1"/>
  <c r="P143" i="14"/>
  <c r="M143" i="14"/>
  <c r="L143" i="14"/>
  <c r="N143" i="14"/>
  <c r="O143" i="14"/>
  <c r="J127" i="14"/>
  <c r="J163" i="14"/>
  <c r="K132" i="14"/>
  <c r="K168" i="14"/>
  <c r="N102" i="14"/>
  <c r="M102" i="14"/>
  <c r="L102" i="14"/>
  <c r="Q102" i="14"/>
  <c r="R102" i="14" s="1"/>
  <c r="O102" i="14"/>
  <c r="P102" i="14"/>
  <c r="Q134" i="14"/>
  <c r="R134" i="14" s="1"/>
  <c r="P134" i="14"/>
  <c r="O134" i="14"/>
  <c r="N134" i="14"/>
  <c r="M134" i="14"/>
  <c r="L134" i="14"/>
  <c r="J130" i="14"/>
  <c r="J166" i="14"/>
  <c r="Q119" i="14"/>
  <c r="R119" i="14" s="1"/>
  <c r="P119" i="14"/>
  <c r="O119" i="14"/>
  <c r="N119" i="14"/>
  <c r="L119" i="14"/>
  <c r="M119" i="14"/>
  <c r="Q81" i="14"/>
  <c r="R81" i="14" s="1"/>
  <c r="P81" i="14"/>
  <c r="O81" i="14"/>
  <c r="N81" i="14"/>
  <c r="M81" i="14"/>
  <c r="L81" i="14"/>
  <c r="K140" i="14"/>
  <c r="K176" i="14"/>
  <c r="K160" i="14"/>
  <c r="K124" i="14"/>
  <c r="Q93" i="14"/>
  <c r="R93" i="14" s="1"/>
  <c r="P93" i="14"/>
  <c r="O93" i="14"/>
  <c r="N93" i="14"/>
  <c r="M93" i="14"/>
  <c r="L93" i="14"/>
  <c r="O140" i="14"/>
  <c r="N140" i="14"/>
  <c r="M140" i="14"/>
  <c r="L140" i="14"/>
  <c r="Q140" i="14"/>
  <c r="R140" i="14" s="1"/>
  <c r="P140" i="14"/>
  <c r="K142" i="14"/>
  <c r="K178" i="14"/>
  <c r="J169" i="14"/>
  <c r="J133" i="14"/>
  <c r="Q125" i="14"/>
  <c r="R125" i="14" s="1"/>
  <c r="P125" i="14"/>
  <c r="O125" i="14"/>
  <c r="N125" i="14"/>
  <c r="M125" i="14"/>
  <c r="L125" i="14"/>
  <c r="Q109" i="14"/>
  <c r="R109" i="14" s="1"/>
  <c r="P109" i="14"/>
  <c r="O109" i="14"/>
  <c r="N109" i="14"/>
  <c r="M109" i="14"/>
  <c r="L109" i="14"/>
  <c r="J123" i="14"/>
  <c r="J159" i="14"/>
  <c r="K169" i="14"/>
  <c r="K133" i="14"/>
  <c r="M155" i="14"/>
  <c r="L155" i="14"/>
  <c r="Q155" i="14"/>
  <c r="R155" i="14" s="1"/>
  <c r="P155" i="14"/>
  <c r="O155" i="14"/>
  <c r="N155" i="14"/>
  <c r="J153" i="14"/>
  <c r="J117" i="14"/>
  <c r="J129" i="14"/>
  <c r="J165" i="14"/>
  <c r="Q78" i="14"/>
  <c r="R78" i="14" s="1"/>
  <c r="P78" i="14"/>
  <c r="O78" i="14"/>
  <c r="N78" i="14"/>
  <c r="M78" i="14"/>
  <c r="L78" i="14"/>
  <c r="K130" i="14"/>
  <c r="K166" i="14"/>
  <c r="Q97" i="14"/>
  <c r="R97" i="14" s="1"/>
  <c r="P97" i="14"/>
  <c r="O97" i="14"/>
  <c r="N97" i="14"/>
  <c r="M97" i="14"/>
  <c r="L97" i="14"/>
  <c r="K146" i="14"/>
  <c r="K110" i="14"/>
  <c r="Q149" i="14"/>
  <c r="R149" i="14" s="1"/>
  <c r="P149" i="14"/>
  <c r="O149" i="14"/>
  <c r="N149" i="14"/>
  <c r="M149" i="14"/>
  <c r="L149" i="14"/>
  <c r="M85" i="14"/>
  <c r="L85" i="14"/>
  <c r="P85" i="14"/>
  <c r="N85" i="14"/>
  <c r="Q85" i="14"/>
  <c r="R85" i="14" s="1"/>
  <c r="O85" i="14"/>
  <c r="Q82" i="14"/>
  <c r="R82" i="14" s="1"/>
  <c r="P82" i="14"/>
  <c r="O82" i="14"/>
  <c r="N82" i="14"/>
  <c r="M82" i="14"/>
  <c r="L82" i="14"/>
  <c r="J142" i="14"/>
  <c r="J178" i="14"/>
  <c r="K177" i="14"/>
  <c r="K141" i="14"/>
  <c r="K173" i="14"/>
  <c r="K137" i="14"/>
  <c r="J172" i="14"/>
  <c r="J136" i="14"/>
  <c r="J150" i="14"/>
  <c r="J114" i="14"/>
  <c r="O88" i="14"/>
  <c r="N88" i="14"/>
  <c r="M88" i="14"/>
  <c r="L88" i="14"/>
  <c r="Q88" i="14"/>
  <c r="R88" i="14" s="1"/>
  <c r="P88" i="14"/>
  <c r="J181" i="14"/>
  <c r="J145" i="14"/>
  <c r="Q10" i="14"/>
  <c r="R10" i="14" s="1"/>
  <c r="P10" i="14"/>
  <c r="O10" i="14"/>
  <c r="N10" i="14"/>
  <c r="L10" i="14"/>
  <c r="M10" i="14"/>
  <c r="J157" i="14"/>
  <c r="J121" i="14"/>
  <c r="K162" i="14"/>
  <c r="K126" i="14"/>
  <c r="K128" i="14"/>
  <c r="K164" i="14"/>
  <c r="J154" i="14"/>
  <c r="J118" i="14"/>
  <c r="K155" i="14"/>
  <c r="K119" i="14"/>
  <c r="O152" i="14"/>
  <c r="N152" i="14"/>
  <c r="M152" i="14"/>
  <c r="L152" i="14"/>
  <c r="Q152" i="14"/>
  <c r="R152" i="14" s="1"/>
  <c r="P152" i="14"/>
  <c r="Q137" i="14"/>
  <c r="R137" i="14" s="1"/>
  <c r="P137" i="14"/>
  <c r="O137" i="14"/>
  <c r="N137" i="14"/>
  <c r="M137" i="14"/>
  <c r="L137" i="14"/>
  <c r="J160" i="14"/>
  <c r="J124" i="14"/>
  <c r="K34" i="14"/>
  <c r="K28" i="14"/>
  <c r="W37" i="14"/>
  <c r="X28" i="14" s="1"/>
  <c r="K10" i="14"/>
  <c r="M26" i="14"/>
  <c r="L26" i="14"/>
  <c r="P26" i="14"/>
  <c r="N26" i="14"/>
  <c r="Q26" i="14"/>
  <c r="R26" i="14" s="1"/>
  <c r="O26" i="14"/>
  <c r="K161" i="14"/>
  <c r="K125" i="14"/>
  <c r="Q79" i="14"/>
  <c r="R79" i="14" s="1"/>
  <c r="P79" i="14"/>
  <c r="O79" i="14"/>
  <c r="N79" i="14"/>
  <c r="M79" i="14"/>
  <c r="L79" i="14"/>
  <c r="M116" i="14"/>
  <c r="L116" i="14"/>
  <c r="Q116" i="14"/>
  <c r="R116" i="14" s="1"/>
  <c r="P116" i="14"/>
  <c r="N116" i="14"/>
  <c r="O116" i="14"/>
  <c r="Q173" i="14"/>
  <c r="R173" i="14" s="1"/>
  <c r="P173" i="14"/>
  <c r="O173" i="14"/>
  <c r="N173" i="14"/>
  <c r="M173" i="14"/>
  <c r="L173" i="14"/>
  <c r="K159" i="14"/>
  <c r="K123" i="14"/>
  <c r="M9" i="14"/>
  <c r="L9" i="14"/>
  <c r="P9" i="14"/>
  <c r="N9" i="14"/>
  <c r="Q9" i="14"/>
  <c r="R9" i="14" s="1"/>
  <c r="O9" i="14"/>
  <c r="M91" i="14"/>
  <c r="L91" i="14"/>
  <c r="N91" i="14"/>
  <c r="Q91" i="14"/>
  <c r="R91" i="14" s="1"/>
  <c r="O91" i="14"/>
  <c r="P91" i="14"/>
  <c r="K157" i="14"/>
  <c r="K121" i="14"/>
  <c r="Q179" i="14"/>
  <c r="R179" i="14" s="1"/>
  <c r="P179" i="14"/>
  <c r="O179" i="14"/>
  <c r="M179" i="14"/>
  <c r="L179" i="14"/>
  <c r="N179" i="14"/>
  <c r="K145" i="14"/>
  <c r="K181" i="14"/>
  <c r="K156" i="14"/>
  <c r="K120" i="14"/>
  <c r="Q158" i="14"/>
  <c r="R158" i="14" s="1"/>
  <c r="P158" i="14"/>
  <c r="O158" i="14"/>
  <c r="N158" i="14"/>
  <c r="M158" i="14"/>
  <c r="L158" i="14"/>
  <c r="K151" i="14"/>
  <c r="K115" i="14"/>
  <c r="N90" i="14"/>
  <c r="M90" i="14"/>
  <c r="L90" i="14"/>
  <c r="Q90" i="14"/>
  <c r="R90" i="14" s="1"/>
  <c r="P90" i="14"/>
  <c r="O90" i="14"/>
  <c r="J139" i="14"/>
  <c r="J175" i="14"/>
  <c r="K174" i="14"/>
  <c r="K138" i="14"/>
  <c r="K171" i="14"/>
  <c r="K135" i="14"/>
  <c r="K134" i="14"/>
  <c r="K170" i="14"/>
  <c r="J115" i="14"/>
  <c r="J151" i="14"/>
  <c r="Q76" i="14"/>
  <c r="R76" i="14" s="1"/>
  <c r="P76" i="14"/>
  <c r="O76" i="14"/>
  <c r="N76" i="14"/>
  <c r="L76" i="14"/>
  <c r="M76" i="14"/>
  <c r="Q96" i="14"/>
  <c r="R96" i="14" s="1"/>
  <c r="P96" i="14"/>
  <c r="O96" i="14"/>
  <c r="N96" i="14"/>
  <c r="L96" i="14"/>
  <c r="M96" i="14"/>
  <c r="J162" i="14"/>
  <c r="J126" i="14"/>
  <c r="K165" i="14"/>
  <c r="K129" i="14"/>
  <c r="M103" i="14"/>
  <c r="L103" i="14"/>
  <c r="Q103" i="14"/>
  <c r="R103" i="14" s="1"/>
  <c r="P103" i="14"/>
  <c r="N103" i="14"/>
  <c r="O103" i="14"/>
  <c r="Q122" i="14"/>
  <c r="R122" i="14" s="1"/>
  <c r="P122" i="14"/>
  <c r="O122" i="14"/>
  <c r="N122" i="14"/>
  <c r="M122" i="14"/>
  <c r="L122" i="14"/>
  <c r="K122" i="14"/>
  <c r="K158" i="14"/>
  <c r="J168" i="14"/>
  <c r="J132" i="14"/>
  <c r="O84" i="14"/>
  <c r="N84" i="14"/>
  <c r="M84" i="14"/>
  <c r="L84" i="14"/>
  <c r="P84" i="14"/>
  <c r="Q84" i="14"/>
  <c r="R84" i="14" s="1"/>
  <c r="Q131" i="14"/>
  <c r="R131" i="14" s="1"/>
  <c r="P131" i="14"/>
  <c r="O131" i="14"/>
  <c r="N131" i="14"/>
  <c r="L131" i="14"/>
  <c r="M131" i="14"/>
  <c r="P99" i="14"/>
  <c r="O99" i="14"/>
  <c r="N99" i="14"/>
  <c r="M99" i="14"/>
  <c r="L99" i="14"/>
  <c r="Q99" i="14"/>
  <c r="R99" i="14" s="1"/>
  <c r="Q75" i="14"/>
  <c r="R75" i="14" s="1"/>
  <c r="P75" i="14"/>
  <c r="O75" i="14"/>
  <c r="M75" i="14"/>
  <c r="N75" i="14"/>
  <c r="L75" i="14"/>
  <c r="Q8" i="14"/>
  <c r="R8" i="14" s="1"/>
  <c r="P8" i="14"/>
  <c r="O8" i="14"/>
  <c r="N8" i="14"/>
  <c r="M8" i="14"/>
  <c r="L8" i="14"/>
  <c r="Q167" i="14"/>
  <c r="R167" i="14" s="1"/>
  <c r="P167" i="14"/>
  <c r="O167" i="14"/>
  <c r="M167" i="14"/>
  <c r="N167" i="14"/>
  <c r="L167" i="14"/>
  <c r="J135" i="14"/>
  <c r="J171" i="14"/>
  <c r="K163" i="14"/>
  <c r="K127" i="14"/>
  <c r="J111" i="14"/>
  <c r="J147" i="14"/>
  <c r="J174" i="14"/>
  <c r="J138" i="14"/>
  <c r="K148" i="14"/>
  <c r="K112" i="14"/>
  <c r="K154" i="14"/>
  <c r="K118" i="14"/>
  <c r="J180" i="14"/>
  <c r="J144" i="14"/>
  <c r="J148" i="14"/>
  <c r="J112" i="14"/>
  <c r="O164" i="14"/>
  <c r="N164" i="14"/>
  <c r="M164" i="14"/>
  <c r="L164" i="14"/>
  <c r="P164" i="14"/>
  <c r="Q164" i="14"/>
  <c r="R164" i="14" s="1"/>
  <c r="J156" i="14"/>
  <c r="J120" i="14"/>
  <c r="Q110" i="14"/>
  <c r="R110" i="14" s="1"/>
  <c r="P110" i="14"/>
  <c r="O110" i="14"/>
  <c r="N110" i="14"/>
  <c r="M110" i="14"/>
  <c r="L110" i="14"/>
  <c r="O128" i="14"/>
  <c r="N128" i="14"/>
  <c r="M128" i="14"/>
  <c r="L128" i="14"/>
  <c r="Q128" i="14"/>
  <c r="R128" i="14" s="1"/>
  <c r="P128" i="14"/>
  <c r="K179" i="14"/>
  <c r="K143" i="14"/>
  <c r="K116" i="14"/>
  <c r="K152" i="14"/>
  <c r="Q105" i="14"/>
  <c r="R105" i="14" s="1"/>
  <c r="P105" i="14"/>
  <c r="O105" i="14"/>
  <c r="N105" i="14"/>
  <c r="L105" i="14"/>
  <c r="M105" i="14"/>
  <c r="Q27" i="14"/>
  <c r="R27" i="14" s="1"/>
  <c r="P27" i="14"/>
  <c r="O27" i="14"/>
  <c r="N27" i="14"/>
  <c r="M27" i="14"/>
  <c r="L27" i="14"/>
  <c r="K167" i="14"/>
  <c r="K131" i="14"/>
  <c r="M15" i="14"/>
  <c r="L15" i="14"/>
  <c r="P15" i="14"/>
  <c r="N15" i="14"/>
  <c r="Q15" i="14"/>
  <c r="R15" i="14" s="1"/>
  <c r="O15" i="14"/>
  <c r="K144" i="14"/>
  <c r="K180" i="14"/>
  <c r="O113" i="14"/>
  <c r="N113" i="14"/>
  <c r="M113" i="14"/>
  <c r="L113" i="14"/>
  <c r="P113" i="14"/>
  <c r="Q113" i="14"/>
  <c r="R113" i="14" s="1"/>
  <c r="Q106" i="14"/>
  <c r="R106" i="14" s="1"/>
  <c r="P106" i="14"/>
  <c r="O106" i="14"/>
  <c r="N106" i="14"/>
  <c r="M106" i="14"/>
  <c r="L106" i="14"/>
  <c r="K114" i="14"/>
  <c r="K150" i="14"/>
  <c r="Q108" i="14"/>
  <c r="R108" i="14" s="1"/>
  <c r="P108" i="14"/>
  <c r="O108" i="14"/>
  <c r="N108" i="14"/>
  <c r="M108" i="14"/>
  <c r="L108" i="14"/>
  <c r="Q16" i="14"/>
  <c r="R16" i="14" s="1"/>
  <c r="P16" i="14"/>
  <c r="O16" i="14"/>
  <c r="N16" i="14"/>
  <c r="L16" i="14"/>
  <c r="M16" i="14"/>
  <c r="K172" i="14"/>
  <c r="K136" i="14"/>
  <c r="Q146" i="14"/>
  <c r="R146" i="14" s="1"/>
  <c r="P146" i="14"/>
  <c r="O146" i="14"/>
  <c r="N146" i="14"/>
  <c r="L146" i="14"/>
  <c r="M146" i="14"/>
  <c r="Q170" i="14"/>
  <c r="R170" i="14" s="1"/>
  <c r="P170" i="14"/>
  <c r="O170" i="14"/>
  <c r="N170" i="14"/>
  <c r="M170" i="14"/>
  <c r="L170" i="14"/>
  <c r="Q94" i="14"/>
  <c r="R94" i="14" s="1"/>
  <c r="O94" i="14"/>
  <c r="N94" i="14"/>
  <c r="M94" i="14"/>
  <c r="P94" i="14"/>
  <c r="L94" i="14"/>
  <c r="O34" i="14"/>
  <c r="N34" i="14"/>
  <c r="M34" i="14"/>
  <c r="L34" i="14"/>
  <c r="P34" i="14"/>
  <c r="Q34" i="14"/>
  <c r="R34" i="14" s="1"/>
  <c r="K153" i="14"/>
  <c r="K117" i="14"/>
  <c r="O28" i="14"/>
  <c r="N28" i="14"/>
  <c r="M28" i="14"/>
  <c r="L28" i="14"/>
  <c r="P28" i="14"/>
  <c r="Q28" i="14"/>
  <c r="R28" i="14" s="1"/>
  <c r="J141" i="14"/>
  <c r="J177" i="14"/>
  <c r="O176" i="14"/>
  <c r="N176" i="14"/>
  <c r="M176" i="14"/>
  <c r="L176" i="14"/>
  <c r="Q176" i="14"/>
  <c r="R176" i="14" s="1"/>
  <c r="P176" i="14"/>
  <c r="K149" i="14"/>
  <c r="K113" i="14"/>
  <c r="Q161" i="14"/>
  <c r="R161" i="14" s="1"/>
  <c r="P161" i="14"/>
  <c r="O161" i="14"/>
  <c r="N161" i="14"/>
  <c r="M161" i="14"/>
  <c r="L161" i="14"/>
  <c r="K175" i="14"/>
  <c r="K139" i="14"/>
  <c r="P87" i="14"/>
  <c r="O87" i="14"/>
  <c r="N87" i="14"/>
  <c r="M87" i="14"/>
  <c r="L87" i="14"/>
  <c r="Q87" i="14"/>
  <c r="R87" i="14" s="1"/>
  <c r="K147" i="14"/>
  <c r="K111" i="14"/>
  <c r="N43" i="11" l="1"/>
  <c r="D77" i="1"/>
  <c r="I43" i="11"/>
  <c r="J77" i="1"/>
  <c r="O43" i="11"/>
  <c r="M43" i="11"/>
  <c r="V125" i="14"/>
  <c r="V14" i="14"/>
  <c r="V167" i="14"/>
  <c r="V152" i="14"/>
  <c r="V78" i="14"/>
  <c r="V119" i="14"/>
  <c r="V27" i="14"/>
  <c r="V84" i="14"/>
  <c r="V97" i="14"/>
  <c r="V5" i="14"/>
  <c r="V76" i="14"/>
  <c r="E78" i="1" s="1"/>
  <c r="V99" i="14"/>
  <c r="V155" i="14"/>
  <c r="V106" i="14"/>
  <c r="V143" i="14"/>
  <c r="V170" i="14"/>
  <c r="V79" i="14"/>
  <c r="V164" i="14"/>
  <c r="V137" i="14"/>
  <c r="V110" i="14"/>
  <c r="V176" i="14"/>
  <c r="V96" i="14"/>
  <c r="V87" i="14"/>
  <c r="V179" i="14"/>
  <c r="V134" i="14"/>
  <c r="V128" i="14"/>
  <c r="V173" i="14"/>
  <c r="V146" i="14"/>
  <c r="G69" i="1" s="1"/>
  <c r="V140" i="14"/>
  <c r="V102" i="14"/>
  <c r="V113" i="14"/>
  <c r="V94" i="14"/>
  <c r="V75" i="14"/>
  <c r="V91" i="14"/>
  <c r="V10" i="14"/>
  <c r="V81" i="14"/>
  <c r="V116" i="14"/>
  <c r="V33" i="14"/>
  <c r="V149" i="14"/>
  <c r="V108" i="14"/>
  <c r="V158" i="14"/>
  <c r="V103" i="14"/>
  <c r="V28" i="14"/>
  <c r="V88" i="14"/>
  <c r="V85" i="14"/>
  <c r="V93" i="14"/>
  <c r="V100" i="14"/>
  <c r="V105" i="14"/>
  <c r="V122" i="14"/>
  <c r="V34" i="14"/>
  <c r="V16" i="14"/>
  <c r="V90" i="14"/>
  <c r="V15" i="14"/>
  <c r="V82" i="14"/>
  <c r="V109" i="14"/>
  <c r="V161" i="14"/>
  <c r="V131" i="14"/>
  <c r="V8" i="14"/>
  <c r="V9" i="14"/>
  <c r="U144" i="14"/>
  <c r="T144" i="14"/>
  <c r="S144" i="14"/>
  <c r="U171" i="14"/>
  <c r="T171" i="14"/>
  <c r="S171" i="14"/>
  <c r="U145" i="14"/>
  <c r="T145" i="14"/>
  <c r="S145" i="14"/>
  <c r="U36" i="14"/>
  <c r="T36" i="14"/>
  <c r="S36" i="14"/>
  <c r="U121" i="14"/>
  <c r="T121" i="14"/>
  <c r="S121" i="14"/>
  <c r="U178" i="14"/>
  <c r="T178" i="14"/>
  <c r="S178" i="14"/>
  <c r="U165" i="14"/>
  <c r="T165" i="14"/>
  <c r="S165" i="14"/>
  <c r="U159" i="14"/>
  <c r="T159" i="14"/>
  <c r="S159" i="14"/>
  <c r="U181" i="14"/>
  <c r="T181" i="14"/>
  <c r="S181" i="14"/>
  <c r="U157" i="14"/>
  <c r="T157" i="14"/>
  <c r="S157" i="14"/>
  <c r="U142" i="14"/>
  <c r="T142" i="14"/>
  <c r="S142" i="14"/>
  <c r="U129" i="14"/>
  <c r="T129" i="14"/>
  <c r="S129" i="14"/>
  <c r="U123" i="14"/>
  <c r="T123" i="14"/>
  <c r="S123" i="14"/>
  <c r="S35" i="14"/>
  <c r="U35" i="14"/>
  <c r="T35" i="14"/>
  <c r="U156" i="14"/>
  <c r="T156" i="14"/>
  <c r="S156" i="14"/>
  <c r="U168" i="14"/>
  <c r="T168" i="14"/>
  <c r="S168" i="14"/>
  <c r="U130" i="14"/>
  <c r="T130" i="14"/>
  <c r="S130" i="14"/>
  <c r="U174" i="14"/>
  <c r="T174" i="14"/>
  <c r="S174" i="14"/>
  <c r="U139" i="14"/>
  <c r="T139" i="14"/>
  <c r="S139" i="14"/>
  <c r="U160" i="14"/>
  <c r="T160" i="14"/>
  <c r="S160" i="14"/>
  <c r="U153" i="14"/>
  <c r="T153" i="14"/>
  <c r="S153" i="14"/>
  <c r="U169" i="14"/>
  <c r="T169" i="14"/>
  <c r="S169" i="14"/>
  <c r="U127" i="14"/>
  <c r="T127" i="14"/>
  <c r="S127" i="14"/>
  <c r="T37" i="14"/>
  <c r="S37" i="14"/>
  <c r="U37" i="14"/>
  <c r="U180" i="14"/>
  <c r="T180" i="14"/>
  <c r="S180" i="14"/>
  <c r="U138" i="14"/>
  <c r="T138" i="14"/>
  <c r="S138" i="14"/>
  <c r="U175" i="14"/>
  <c r="T175" i="14"/>
  <c r="S175" i="14"/>
  <c r="U124" i="14"/>
  <c r="T124" i="14"/>
  <c r="S124" i="14"/>
  <c r="U117" i="14"/>
  <c r="T117" i="14"/>
  <c r="S117" i="14"/>
  <c r="U133" i="14"/>
  <c r="T133" i="14"/>
  <c r="S133" i="14"/>
  <c r="U163" i="14"/>
  <c r="T163" i="14"/>
  <c r="S163" i="14"/>
  <c r="U126" i="14"/>
  <c r="T126" i="14"/>
  <c r="S126" i="14"/>
  <c r="U114" i="14"/>
  <c r="T114" i="14"/>
  <c r="S114" i="14"/>
  <c r="U147" i="14"/>
  <c r="T147" i="14"/>
  <c r="S147" i="14"/>
  <c r="U111" i="14"/>
  <c r="T111" i="14"/>
  <c r="S111" i="14"/>
  <c r="U162" i="14"/>
  <c r="T162" i="14"/>
  <c r="S162" i="14"/>
  <c r="U150" i="14"/>
  <c r="T150" i="14"/>
  <c r="S150" i="14"/>
  <c r="U120" i="14"/>
  <c r="T120" i="14"/>
  <c r="S120" i="14"/>
  <c r="U132" i="14"/>
  <c r="T132" i="14"/>
  <c r="S132" i="14"/>
  <c r="U166" i="14"/>
  <c r="T166" i="14"/>
  <c r="S166" i="14"/>
  <c r="U135" i="14"/>
  <c r="T135" i="14"/>
  <c r="S135" i="14"/>
  <c r="U177" i="14"/>
  <c r="T177" i="14"/>
  <c r="S177" i="14"/>
  <c r="U112" i="14"/>
  <c r="T112" i="14"/>
  <c r="S112" i="14"/>
  <c r="U151" i="14"/>
  <c r="T151" i="14"/>
  <c r="S151" i="14"/>
  <c r="U118" i="14"/>
  <c r="T118" i="14"/>
  <c r="S118" i="14"/>
  <c r="U136" i="14"/>
  <c r="T136" i="14"/>
  <c r="S136" i="14"/>
  <c r="U141" i="14"/>
  <c r="T141" i="14"/>
  <c r="S141" i="14"/>
  <c r="U148" i="14"/>
  <c r="T148" i="14"/>
  <c r="S148" i="14"/>
  <c r="U115" i="14"/>
  <c r="T115" i="14"/>
  <c r="S115" i="14"/>
  <c r="U154" i="14"/>
  <c r="T154" i="14"/>
  <c r="S154" i="14"/>
  <c r="U172" i="14"/>
  <c r="T172" i="14"/>
  <c r="S172" i="14"/>
  <c r="C11" i="20"/>
  <c r="X40" i="28"/>
  <c r="Y40" i="28" s="1"/>
  <c r="Z40" i="28" s="1"/>
  <c r="AA40" i="28" s="1"/>
  <c r="AB40" i="28" s="1"/>
  <c r="Z39" i="28"/>
  <c r="G7" i="28"/>
  <c r="Z7" i="28"/>
  <c r="G18" i="28"/>
  <c r="Z18" i="28"/>
  <c r="G14" i="28"/>
  <c r="Z14" i="28"/>
  <c r="G20" i="28"/>
  <c r="Z20" i="28"/>
  <c r="G28" i="28"/>
  <c r="Z28" i="28"/>
  <c r="G8" i="28"/>
  <c r="Z8" i="28"/>
  <c r="G30" i="28"/>
  <c r="Z30" i="28"/>
  <c r="G5" i="28"/>
  <c r="Z5" i="28"/>
  <c r="Y33" i="28"/>
  <c r="D11" i="20" s="1"/>
  <c r="G21" i="28"/>
  <c r="Z21" i="28"/>
  <c r="G29" i="28"/>
  <c r="Z29" i="28"/>
  <c r="G22" i="28"/>
  <c r="Z22" i="28"/>
  <c r="G17" i="28"/>
  <c r="Z17" i="28"/>
  <c r="G3" i="28"/>
  <c r="Z3" i="28"/>
  <c r="G32" i="28"/>
  <c r="Z32" i="28"/>
  <c r="G19" i="28"/>
  <c r="Z19" i="28"/>
  <c r="G23" i="28"/>
  <c r="Z23" i="28"/>
  <c r="G9" i="28"/>
  <c r="Z9" i="28"/>
  <c r="G10" i="28"/>
  <c r="Z10" i="28"/>
  <c r="G12" i="28"/>
  <c r="Z12" i="28"/>
  <c r="G24" i="28"/>
  <c r="Z24" i="28"/>
  <c r="G6" i="28"/>
  <c r="Z6" i="28"/>
  <c r="G31" i="28"/>
  <c r="Z31" i="28"/>
  <c r="G13" i="28"/>
  <c r="Z13" i="28"/>
  <c r="G4" i="28"/>
  <c r="Z4" i="28"/>
  <c r="G26" i="28"/>
  <c r="Z26" i="28"/>
  <c r="G25" i="28"/>
  <c r="Z25" i="28"/>
  <c r="G27" i="28"/>
  <c r="Z27" i="28"/>
  <c r="G11" i="28"/>
  <c r="Z11" i="28"/>
  <c r="G15" i="28"/>
  <c r="Z15" i="28"/>
  <c r="G16" i="28"/>
  <c r="Z16" i="28"/>
  <c r="G29" i="14"/>
  <c r="W26" i="14"/>
  <c r="K26" i="14"/>
  <c r="V26" i="14" s="1"/>
  <c r="X19" i="14"/>
  <c r="X7" i="14"/>
  <c r="X4" i="14"/>
  <c r="X22" i="14"/>
  <c r="X13" i="14"/>
  <c r="X34" i="14"/>
  <c r="X25" i="14"/>
  <c r="X31" i="14"/>
  <c r="X10" i="14"/>
  <c r="X16" i="14"/>
  <c r="X37" i="14"/>
  <c r="H70" i="1"/>
  <c r="E79" i="1"/>
  <c r="J70" i="1"/>
  <c r="J79" i="1"/>
  <c r="H79" i="1"/>
  <c r="E70" i="1"/>
  <c r="D79" i="1"/>
  <c r="I70" i="1"/>
  <c r="G70" i="1"/>
  <c r="F79" i="1"/>
  <c r="I79" i="1"/>
  <c r="F70" i="1"/>
  <c r="G79" i="1"/>
  <c r="M40" i="11"/>
  <c r="H15" i="20" s="1"/>
  <c r="J40" i="11"/>
  <c r="E15" i="20" s="1"/>
  <c r="N37" i="14"/>
  <c r="Q37" i="14"/>
  <c r="R37" i="14" s="1"/>
  <c r="L37" i="14"/>
  <c r="O37" i="14"/>
  <c r="M37" i="14"/>
  <c r="P37" i="14"/>
  <c r="O36" i="14"/>
  <c r="N36" i="14"/>
  <c r="P36" i="14"/>
  <c r="Q36" i="14"/>
  <c r="R36" i="14" s="1"/>
  <c r="M36" i="14"/>
  <c r="L36" i="14"/>
  <c r="Q35" i="14"/>
  <c r="R35" i="14" s="1"/>
  <c r="M35" i="14"/>
  <c r="P35" i="14"/>
  <c r="L35" i="14"/>
  <c r="O35" i="14"/>
  <c r="N35" i="14"/>
  <c r="K37" i="14"/>
  <c r="P138" i="14"/>
  <c r="O138" i="14"/>
  <c r="N138" i="14"/>
  <c r="M138" i="14"/>
  <c r="L138" i="14"/>
  <c r="Q138" i="14"/>
  <c r="R138" i="14" s="1"/>
  <c r="P174" i="14"/>
  <c r="O174" i="14"/>
  <c r="N174" i="14"/>
  <c r="M174" i="14"/>
  <c r="L174" i="14"/>
  <c r="Q174" i="14"/>
  <c r="R174" i="14" s="1"/>
  <c r="Q147" i="14"/>
  <c r="R147" i="14" s="1"/>
  <c r="P147" i="14"/>
  <c r="O147" i="14"/>
  <c r="N147" i="14"/>
  <c r="M147" i="14"/>
  <c r="L147" i="14"/>
  <c r="P126" i="14"/>
  <c r="O126" i="14"/>
  <c r="N126" i="14"/>
  <c r="M126" i="14"/>
  <c r="L126" i="14"/>
  <c r="Q126" i="14"/>
  <c r="R126" i="14" s="1"/>
  <c r="Q166" i="14"/>
  <c r="R166" i="14" s="1"/>
  <c r="O166" i="14"/>
  <c r="M166" i="14"/>
  <c r="L166" i="14"/>
  <c r="N166" i="14"/>
  <c r="P166" i="14"/>
  <c r="M141" i="14"/>
  <c r="L141" i="14"/>
  <c r="Q141" i="14"/>
  <c r="R141" i="14" s="1"/>
  <c r="P141" i="14"/>
  <c r="N141" i="14"/>
  <c r="O141" i="14"/>
  <c r="Q120" i="14"/>
  <c r="R120" i="14" s="1"/>
  <c r="P120" i="14"/>
  <c r="O120" i="14"/>
  <c r="N120" i="14"/>
  <c r="M120" i="14"/>
  <c r="L120" i="14"/>
  <c r="P111" i="14"/>
  <c r="O111" i="14"/>
  <c r="N111" i="14"/>
  <c r="M111" i="14"/>
  <c r="L111" i="14"/>
  <c r="Q111" i="14"/>
  <c r="R111" i="14" s="1"/>
  <c r="Q171" i="14"/>
  <c r="R171" i="14" s="1"/>
  <c r="P171" i="14"/>
  <c r="O171" i="14"/>
  <c r="N171" i="14"/>
  <c r="M171" i="14"/>
  <c r="L171" i="14"/>
  <c r="P162" i="14"/>
  <c r="O162" i="14"/>
  <c r="N162" i="14"/>
  <c r="M162" i="14"/>
  <c r="L162" i="14"/>
  <c r="Q162" i="14"/>
  <c r="R162" i="14" s="1"/>
  <c r="Q118" i="14"/>
  <c r="R118" i="14" s="1"/>
  <c r="P118" i="14"/>
  <c r="O118" i="14"/>
  <c r="N118" i="14"/>
  <c r="L118" i="14"/>
  <c r="M118" i="14"/>
  <c r="Q178" i="14"/>
  <c r="R178" i="14" s="1"/>
  <c r="O178" i="14"/>
  <c r="P178" i="14"/>
  <c r="N178" i="14"/>
  <c r="L178" i="14"/>
  <c r="M178" i="14"/>
  <c r="N130" i="14"/>
  <c r="M130" i="14"/>
  <c r="L130" i="14"/>
  <c r="Q130" i="14"/>
  <c r="R130" i="14" s="1"/>
  <c r="O130" i="14"/>
  <c r="P130" i="14"/>
  <c r="Q156" i="14"/>
  <c r="R156" i="14" s="1"/>
  <c r="O156" i="14"/>
  <c r="N156" i="14"/>
  <c r="M156" i="14"/>
  <c r="L156" i="14"/>
  <c r="P156" i="14"/>
  <c r="Q135" i="14"/>
  <c r="R135" i="14" s="1"/>
  <c r="P135" i="14"/>
  <c r="O135" i="14"/>
  <c r="N135" i="14"/>
  <c r="M135" i="14"/>
  <c r="L135" i="14"/>
  <c r="M154" i="14"/>
  <c r="L154" i="14"/>
  <c r="Q154" i="14"/>
  <c r="R154" i="14" s="1"/>
  <c r="P154" i="14"/>
  <c r="O154" i="14"/>
  <c r="N154" i="14"/>
  <c r="P142" i="14"/>
  <c r="O142" i="14"/>
  <c r="N142" i="14"/>
  <c r="M142" i="14"/>
  <c r="L142" i="14"/>
  <c r="Q142" i="14"/>
  <c r="R142" i="14" s="1"/>
  <c r="Q159" i="14"/>
  <c r="R159" i="14" s="1"/>
  <c r="P159" i="14"/>
  <c r="O159" i="14"/>
  <c r="N159" i="14"/>
  <c r="M159" i="14"/>
  <c r="L159" i="14"/>
  <c r="Q132" i="14"/>
  <c r="R132" i="14" s="1"/>
  <c r="P132" i="14"/>
  <c r="O132" i="14"/>
  <c r="N132" i="14"/>
  <c r="M132" i="14"/>
  <c r="L132" i="14"/>
  <c r="Q124" i="14"/>
  <c r="R124" i="14" s="1"/>
  <c r="P124" i="14"/>
  <c r="O124" i="14"/>
  <c r="N124" i="14"/>
  <c r="M124" i="14"/>
  <c r="L124" i="14"/>
  <c r="N114" i="14"/>
  <c r="M114" i="14"/>
  <c r="L114" i="14"/>
  <c r="Q114" i="14"/>
  <c r="R114" i="14" s="1"/>
  <c r="O114" i="14"/>
  <c r="P114" i="14"/>
  <c r="L117" i="14"/>
  <c r="Q117" i="14"/>
  <c r="R117" i="14" s="1"/>
  <c r="P117" i="14"/>
  <c r="O117" i="14"/>
  <c r="M117" i="14"/>
  <c r="N117" i="14"/>
  <c r="Q123" i="14"/>
  <c r="R123" i="14" s="1"/>
  <c r="P123" i="14"/>
  <c r="O123" i="14"/>
  <c r="N123" i="14"/>
  <c r="M123" i="14"/>
  <c r="L123" i="14"/>
  <c r="Q168" i="14"/>
  <c r="R168" i="14" s="1"/>
  <c r="P168" i="14"/>
  <c r="O168" i="14"/>
  <c r="N168" i="14"/>
  <c r="L168" i="14"/>
  <c r="M168" i="14"/>
  <c r="O175" i="14"/>
  <c r="N175" i="14"/>
  <c r="M175" i="14"/>
  <c r="L175" i="14"/>
  <c r="Q175" i="14"/>
  <c r="R175" i="14" s="1"/>
  <c r="P175" i="14"/>
  <c r="Q160" i="14"/>
  <c r="R160" i="14" s="1"/>
  <c r="P160" i="14"/>
  <c r="O160" i="14"/>
  <c r="N160" i="14"/>
  <c r="M160" i="14"/>
  <c r="L160" i="14"/>
  <c r="Q145" i="14"/>
  <c r="R145" i="14" s="1"/>
  <c r="P145" i="14"/>
  <c r="O145" i="14"/>
  <c r="N145" i="14"/>
  <c r="M145" i="14"/>
  <c r="L145" i="14"/>
  <c r="P150" i="14"/>
  <c r="O150" i="14"/>
  <c r="N150" i="14"/>
  <c r="M150" i="14"/>
  <c r="L150" i="14"/>
  <c r="Q150" i="14"/>
  <c r="R150" i="14" s="1"/>
  <c r="N153" i="14"/>
  <c r="M153" i="14"/>
  <c r="L153" i="14"/>
  <c r="O153" i="14"/>
  <c r="P153" i="14"/>
  <c r="Q153" i="14"/>
  <c r="R153" i="14" s="1"/>
  <c r="O163" i="14"/>
  <c r="N163" i="14"/>
  <c r="M163" i="14"/>
  <c r="L163" i="14"/>
  <c r="Q163" i="14"/>
  <c r="R163" i="14" s="1"/>
  <c r="P163" i="14"/>
  <c r="O112" i="14"/>
  <c r="N112" i="14"/>
  <c r="M112" i="14"/>
  <c r="L112" i="14"/>
  <c r="P112" i="14"/>
  <c r="Q112" i="14"/>
  <c r="R112" i="14" s="1"/>
  <c r="O139" i="14"/>
  <c r="N139" i="14"/>
  <c r="M139" i="14"/>
  <c r="L139" i="14"/>
  <c r="Q139" i="14"/>
  <c r="R139" i="14" s="1"/>
  <c r="P139" i="14"/>
  <c r="Q121" i="14"/>
  <c r="R121" i="14" s="1"/>
  <c r="P121" i="14"/>
  <c r="O121" i="14"/>
  <c r="N121" i="14"/>
  <c r="M121" i="14"/>
  <c r="L121" i="14"/>
  <c r="Q181" i="14"/>
  <c r="R181" i="14" s="1"/>
  <c r="P181" i="14"/>
  <c r="O181" i="14"/>
  <c r="N181" i="14"/>
  <c r="M181" i="14"/>
  <c r="L181" i="14"/>
  <c r="Q136" i="14"/>
  <c r="R136" i="14" s="1"/>
  <c r="P136" i="14"/>
  <c r="O136" i="14"/>
  <c r="N136" i="14"/>
  <c r="M136" i="14"/>
  <c r="L136" i="14"/>
  <c r="O127" i="14"/>
  <c r="N127" i="14"/>
  <c r="M127" i="14"/>
  <c r="L127" i="14"/>
  <c r="Q127" i="14"/>
  <c r="R127" i="14" s="1"/>
  <c r="P127" i="14"/>
  <c r="Q180" i="14"/>
  <c r="R180" i="14" s="1"/>
  <c r="P180" i="14"/>
  <c r="O180" i="14"/>
  <c r="N180" i="14"/>
  <c r="L180" i="14"/>
  <c r="M180" i="14"/>
  <c r="Q148" i="14"/>
  <c r="R148" i="14" s="1"/>
  <c r="P148" i="14"/>
  <c r="O148" i="14"/>
  <c r="N148" i="14"/>
  <c r="M148" i="14"/>
  <c r="L148" i="14"/>
  <c r="O151" i="14"/>
  <c r="N151" i="14"/>
  <c r="M151" i="14"/>
  <c r="L151" i="14"/>
  <c r="Q151" i="14"/>
  <c r="R151" i="14" s="1"/>
  <c r="P151" i="14"/>
  <c r="Q157" i="14"/>
  <c r="R157" i="14" s="1"/>
  <c r="P157" i="14"/>
  <c r="O157" i="14"/>
  <c r="M157" i="14"/>
  <c r="N157" i="14"/>
  <c r="L157" i="14"/>
  <c r="Q172" i="14"/>
  <c r="R172" i="14" s="1"/>
  <c r="P172" i="14"/>
  <c r="O172" i="14"/>
  <c r="N172" i="14"/>
  <c r="M172" i="14"/>
  <c r="L172" i="14"/>
  <c r="M165" i="14"/>
  <c r="L165" i="14"/>
  <c r="Q165" i="14"/>
  <c r="R165" i="14" s="1"/>
  <c r="P165" i="14"/>
  <c r="O165" i="14"/>
  <c r="N165" i="14"/>
  <c r="Q133" i="14"/>
  <c r="R133" i="14" s="1"/>
  <c r="P133" i="14"/>
  <c r="O133" i="14"/>
  <c r="N133" i="14"/>
  <c r="M133" i="14"/>
  <c r="L133" i="14"/>
  <c r="M177" i="14"/>
  <c r="L177" i="14"/>
  <c r="Q177" i="14"/>
  <c r="R177" i="14" s="1"/>
  <c r="P177" i="14"/>
  <c r="O177" i="14"/>
  <c r="N177" i="14"/>
  <c r="Q144" i="14"/>
  <c r="R144" i="14" s="1"/>
  <c r="P144" i="14"/>
  <c r="O144" i="14"/>
  <c r="N144" i="14"/>
  <c r="M144" i="14"/>
  <c r="L144" i="14"/>
  <c r="M115" i="14"/>
  <c r="L115" i="14"/>
  <c r="Q115" i="14"/>
  <c r="R115" i="14" s="1"/>
  <c r="P115" i="14"/>
  <c r="N115" i="14"/>
  <c r="O115" i="14"/>
  <c r="M129" i="14"/>
  <c r="L129" i="14"/>
  <c r="Q129" i="14"/>
  <c r="R129" i="14" s="1"/>
  <c r="P129" i="14"/>
  <c r="O129" i="14"/>
  <c r="N129" i="14"/>
  <c r="Q169" i="14"/>
  <c r="R169" i="14" s="1"/>
  <c r="P169" i="14"/>
  <c r="O169" i="14"/>
  <c r="N169" i="14"/>
  <c r="M169" i="14"/>
  <c r="L169" i="14"/>
  <c r="E77" i="1" l="1"/>
  <c r="J43" i="11"/>
  <c r="F69" i="1"/>
  <c r="K40" i="11"/>
  <c r="F15" i="20" s="1"/>
  <c r="V169" i="14"/>
  <c r="V157" i="14"/>
  <c r="V129" i="14"/>
  <c r="V181" i="14"/>
  <c r="V148" i="14"/>
  <c r="G78" i="1" s="1"/>
  <c r="V124" i="14"/>
  <c r="V150" i="14"/>
  <c r="V168" i="14"/>
  <c r="V178" i="14"/>
  <c r="V111" i="14"/>
  <c r="V37" i="14"/>
  <c r="V127" i="14"/>
  <c r="V139" i="14"/>
  <c r="V156" i="14"/>
  <c r="V162" i="14"/>
  <c r="V126" i="14"/>
  <c r="V174" i="14"/>
  <c r="V163" i="14"/>
  <c r="V115" i="14"/>
  <c r="V177" i="14"/>
  <c r="V165" i="14"/>
  <c r="V154" i="14"/>
  <c r="V141" i="14"/>
  <c r="V117" i="14"/>
  <c r="V144" i="14"/>
  <c r="V136" i="14"/>
  <c r="V121" i="14"/>
  <c r="V123" i="14"/>
  <c r="V135" i="14"/>
  <c r="V171" i="14"/>
  <c r="V120" i="14"/>
  <c r="V147" i="14"/>
  <c r="V180" i="14"/>
  <c r="V142" i="14"/>
  <c r="V138" i="14"/>
  <c r="V172" i="14"/>
  <c r="V112" i="14"/>
  <c r="F78" i="1" s="1"/>
  <c r="V175" i="14"/>
  <c r="V166" i="14"/>
  <c r="V160" i="14"/>
  <c r="V159" i="14"/>
  <c r="V133" i="14"/>
  <c r="V151" i="14"/>
  <c r="V145" i="14"/>
  <c r="V132" i="14"/>
  <c r="V118" i="14"/>
  <c r="V36" i="14"/>
  <c r="V153" i="14"/>
  <c r="V114" i="14"/>
  <c r="V130" i="14"/>
  <c r="X48" i="28"/>
  <c r="X49" i="28" s="1"/>
  <c r="H10" i="11" s="1"/>
  <c r="Y41" i="28"/>
  <c r="Z41" i="28" s="1"/>
  <c r="AA41" i="28" s="1"/>
  <c r="AB41" i="28" s="1"/>
  <c r="AC41" i="28" s="1"/>
  <c r="AA39" i="28"/>
  <c r="H10" i="28"/>
  <c r="AA10" i="28"/>
  <c r="H8" i="28"/>
  <c r="AA8" i="28"/>
  <c r="H15" i="28"/>
  <c r="AA15" i="28"/>
  <c r="H22" i="28"/>
  <c r="AA22" i="28"/>
  <c r="H28" i="28"/>
  <c r="AA28" i="28"/>
  <c r="H11" i="28"/>
  <c r="AA11" i="28"/>
  <c r="H31" i="28"/>
  <c r="AA31" i="28"/>
  <c r="H23" i="28"/>
  <c r="AA23" i="28"/>
  <c r="H29" i="28"/>
  <c r="AA29" i="28"/>
  <c r="H20" i="28"/>
  <c r="AA20" i="28"/>
  <c r="H27" i="28"/>
  <c r="AA27" i="28"/>
  <c r="H6" i="28"/>
  <c r="AA6" i="28"/>
  <c r="H19" i="28"/>
  <c r="AA19" i="28"/>
  <c r="H21" i="28"/>
  <c r="AA21" i="28"/>
  <c r="H16" i="28"/>
  <c r="AA16" i="28"/>
  <c r="H4" i="28"/>
  <c r="AA4" i="28"/>
  <c r="H13" i="28"/>
  <c r="AA13" i="28"/>
  <c r="H14" i="28"/>
  <c r="AA14" i="28"/>
  <c r="H25" i="28"/>
  <c r="AA25" i="28"/>
  <c r="H24" i="28"/>
  <c r="AA24" i="28"/>
  <c r="H32" i="28"/>
  <c r="AA32" i="28"/>
  <c r="H5" i="28"/>
  <c r="AA5" i="28"/>
  <c r="H26" i="28"/>
  <c r="AA26" i="28"/>
  <c r="H12" i="28"/>
  <c r="AA12" i="28"/>
  <c r="H3" i="28"/>
  <c r="AA3" i="28"/>
  <c r="H17" i="28"/>
  <c r="AA17" i="28"/>
  <c r="H9" i="28"/>
  <c r="AA9" i="28"/>
  <c r="Z33" i="28"/>
  <c r="E11" i="20" s="1"/>
  <c r="H18" i="28"/>
  <c r="AA18" i="28"/>
  <c r="H30" i="28"/>
  <c r="AA30" i="28"/>
  <c r="H7" i="28"/>
  <c r="AA7" i="28"/>
  <c r="G32" i="14"/>
  <c r="W29" i="14"/>
  <c r="K29" i="14"/>
  <c r="V29" i="14" s="1"/>
  <c r="C79" i="1"/>
  <c r="N40" i="11"/>
  <c r="I15" i="20" s="1"/>
  <c r="L40" i="11"/>
  <c r="G15" i="20" s="1"/>
  <c r="H45" i="11" l="1"/>
  <c r="H43" i="11"/>
  <c r="G77" i="1"/>
  <c r="L43" i="11"/>
  <c r="F77" i="1"/>
  <c r="K43" i="11"/>
  <c r="Y48" i="28"/>
  <c r="Y49" i="28" s="1"/>
  <c r="I10" i="11" s="1"/>
  <c r="Z42" i="28"/>
  <c r="AA42" i="28" s="1"/>
  <c r="AB42" i="28" s="1"/>
  <c r="AC42" i="28" s="1"/>
  <c r="AD42" i="28" s="1"/>
  <c r="AB39" i="28"/>
  <c r="I14" i="28"/>
  <c r="AB14" i="28"/>
  <c r="I30" i="28"/>
  <c r="AB30" i="28"/>
  <c r="I28" i="28"/>
  <c r="AB28" i="28"/>
  <c r="I5" i="28"/>
  <c r="AB5" i="28"/>
  <c r="I4" i="28"/>
  <c r="AB4" i="28"/>
  <c r="I20" i="28"/>
  <c r="AB20" i="28"/>
  <c r="I22" i="28"/>
  <c r="AB22" i="28"/>
  <c r="I7" i="28"/>
  <c r="AB7" i="28"/>
  <c r="I6" i="28"/>
  <c r="AB6" i="28"/>
  <c r="I13" i="28"/>
  <c r="AB13" i="28"/>
  <c r="I18" i="28"/>
  <c r="AB18" i="28"/>
  <c r="I9" i="28"/>
  <c r="AB9" i="28"/>
  <c r="I16" i="28"/>
  <c r="AB16" i="28"/>
  <c r="I29" i="28"/>
  <c r="AB29" i="28"/>
  <c r="I24" i="28"/>
  <c r="AB24" i="28"/>
  <c r="I23" i="28"/>
  <c r="AB23" i="28"/>
  <c r="I8" i="28"/>
  <c r="AB8" i="28"/>
  <c r="AA33" i="28"/>
  <c r="F11" i="20" s="1"/>
  <c r="I12" i="28"/>
  <c r="AB12" i="28"/>
  <c r="I11" i="28"/>
  <c r="AB11" i="28"/>
  <c r="I26" i="28"/>
  <c r="AB26" i="28"/>
  <c r="I27" i="28"/>
  <c r="AB27" i="28"/>
  <c r="I32" i="28"/>
  <c r="AB32" i="28"/>
  <c r="I15" i="28"/>
  <c r="AB15" i="28"/>
  <c r="I17" i="28"/>
  <c r="AB17" i="28"/>
  <c r="I21" i="28"/>
  <c r="AB21" i="28"/>
  <c r="I3" i="28"/>
  <c r="AB3" i="28"/>
  <c r="I25" i="28"/>
  <c r="AB25" i="28"/>
  <c r="I19" i="28"/>
  <c r="AB19" i="28"/>
  <c r="I31" i="28"/>
  <c r="AB31" i="28"/>
  <c r="I10" i="28"/>
  <c r="AB10" i="28"/>
  <c r="G35" i="14"/>
  <c r="W32" i="14"/>
  <c r="K32" i="14"/>
  <c r="V32" i="14" s="1"/>
  <c r="O40" i="11"/>
  <c r="J15" i="20" s="1"/>
  <c r="F69" i="2"/>
  <c r="B40" i="15" s="1"/>
  <c r="F62" i="2"/>
  <c r="F61" i="2"/>
  <c r="F60" i="2"/>
  <c r="F59" i="2"/>
  <c r="F45" i="2"/>
  <c r="F43" i="2"/>
  <c r="F42" i="2"/>
  <c r="F35" i="2"/>
  <c r="F32" i="2"/>
  <c r="F18" i="2"/>
  <c r="F8" i="2"/>
  <c r="F113" i="12"/>
  <c r="F66" i="12"/>
  <c r="D15" i="13"/>
  <c r="B15" i="13"/>
  <c r="D10" i="13"/>
  <c r="B10" i="13"/>
  <c r="B5" i="13"/>
  <c r="I45" i="11" l="1"/>
  <c r="Z48" i="28"/>
  <c r="Z49" i="28" s="1"/>
  <c r="J10" i="11" s="1"/>
  <c r="J45" i="11"/>
  <c r="AA43" i="28"/>
  <c r="AB43" i="28" s="1"/>
  <c r="AC43" i="28" s="1"/>
  <c r="AD43" i="28" s="1"/>
  <c r="AE43" i="28" s="1"/>
  <c r="J12" i="28"/>
  <c r="AC12" i="28"/>
  <c r="J20" i="28"/>
  <c r="AC20" i="28"/>
  <c r="J8" i="28"/>
  <c r="AC8" i="28"/>
  <c r="J32" i="28"/>
  <c r="AC32" i="28"/>
  <c r="J23" i="28"/>
  <c r="AC23" i="28"/>
  <c r="J30" i="28"/>
  <c r="AC30" i="28"/>
  <c r="J17" i="28"/>
  <c r="AC17" i="28"/>
  <c r="J9" i="28"/>
  <c r="AC9" i="28"/>
  <c r="J31" i="28"/>
  <c r="AC31" i="28"/>
  <c r="J18" i="28"/>
  <c r="AC18" i="28"/>
  <c r="J19" i="28"/>
  <c r="AC19" i="28"/>
  <c r="J13" i="28"/>
  <c r="AC13" i="28"/>
  <c r="J25" i="28"/>
  <c r="AC25" i="28"/>
  <c r="AB33" i="28"/>
  <c r="G11" i="20" s="1"/>
  <c r="J24" i="28"/>
  <c r="AC24" i="28"/>
  <c r="J28" i="28"/>
  <c r="AC28" i="28"/>
  <c r="J26" i="28"/>
  <c r="AC26" i="28"/>
  <c r="J7" i="28"/>
  <c r="AC7" i="28"/>
  <c r="J21" i="28"/>
  <c r="AC21" i="28"/>
  <c r="J11" i="28"/>
  <c r="AC11" i="28"/>
  <c r="J10" i="28"/>
  <c r="AC10" i="28"/>
  <c r="J15" i="28"/>
  <c r="AC15" i="28"/>
  <c r="J4" i="28"/>
  <c r="AC4" i="28"/>
  <c r="J5" i="28"/>
  <c r="AC5" i="28"/>
  <c r="J27" i="28"/>
  <c r="AC27" i="28"/>
  <c r="J6" i="28"/>
  <c r="AC6" i="28"/>
  <c r="J3" i="28"/>
  <c r="AC3" i="28"/>
  <c r="J29" i="28"/>
  <c r="AC29" i="28"/>
  <c r="J16" i="28"/>
  <c r="AC16" i="28"/>
  <c r="J22" i="28"/>
  <c r="AC22" i="28"/>
  <c r="J14" i="28"/>
  <c r="AC14" i="28"/>
  <c r="G38" i="14"/>
  <c r="W35" i="14"/>
  <c r="X35" i="14" s="1"/>
  <c r="K35" i="14"/>
  <c r="V35" i="14" s="1"/>
  <c r="P96" i="12"/>
  <c r="F18" i="12"/>
  <c r="F15" i="12"/>
  <c r="F12" i="12"/>
  <c r="F22" i="12" s="1"/>
  <c r="F9" i="12"/>
  <c r="F19" i="12" s="1"/>
  <c r="F8" i="12"/>
  <c r="F7" i="12"/>
  <c r="G36" i="11"/>
  <c r="AA48" i="28" l="1"/>
  <c r="AA49" i="28" s="1"/>
  <c r="K10" i="11" s="1"/>
  <c r="K45" i="11"/>
  <c r="AB44" i="28"/>
  <c r="AC44" i="28" s="1"/>
  <c r="AD44" i="28" s="1"/>
  <c r="K21" i="28"/>
  <c r="AE21" i="28" s="1"/>
  <c r="AD21" i="28"/>
  <c r="K13" i="28"/>
  <c r="AE13" i="28" s="1"/>
  <c r="AD13" i="28"/>
  <c r="K30" i="28"/>
  <c r="AE30" i="28" s="1"/>
  <c r="AD30" i="28"/>
  <c r="K7" i="28"/>
  <c r="AE7" i="28" s="1"/>
  <c r="AD7" i="28"/>
  <c r="K23" i="28"/>
  <c r="AE23" i="28" s="1"/>
  <c r="AD23" i="28"/>
  <c r="K26" i="28"/>
  <c r="AE26" i="28" s="1"/>
  <c r="AD26" i="28"/>
  <c r="K27" i="28"/>
  <c r="AE27" i="28" s="1"/>
  <c r="AD27" i="28"/>
  <c r="K5" i="28"/>
  <c r="AE5" i="28" s="1"/>
  <c r="AD5" i="28"/>
  <c r="K16" i="28"/>
  <c r="AE16" i="28" s="1"/>
  <c r="AD16" i="28"/>
  <c r="K32" i="28"/>
  <c r="AE32" i="28" s="1"/>
  <c r="AD32" i="28"/>
  <c r="K15" i="28"/>
  <c r="AE15" i="28" s="1"/>
  <c r="AD15" i="28"/>
  <c r="AC33" i="28"/>
  <c r="H11" i="20" s="1"/>
  <c r="K31" i="28"/>
  <c r="AE31" i="28" s="1"/>
  <c r="AD31" i="28"/>
  <c r="K20" i="28"/>
  <c r="AE20" i="28" s="1"/>
  <c r="AD20" i="28"/>
  <c r="K6" i="28"/>
  <c r="AE6" i="28" s="1"/>
  <c r="AD6" i="28"/>
  <c r="K11" i="28"/>
  <c r="AE11" i="28" s="1"/>
  <c r="AD11" i="28"/>
  <c r="K14" i="28"/>
  <c r="AE14" i="28" s="1"/>
  <c r="AD14" i="28"/>
  <c r="K22" i="28"/>
  <c r="AE22" i="28" s="1"/>
  <c r="AD22" i="28"/>
  <c r="K19" i="28"/>
  <c r="AE19" i="28" s="1"/>
  <c r="AD19" i="28"/>
  <c r="K4" i="28"/>
  <c r="AE4" i="28" s="1"/>
  <c r="AD4" i="28"/>
  <c r="K18" i="28"/>
  <c r="AE18" i="28" s="1"/>
  <c r="AD18" i="28"/>
  <c r="K29" i="28"/>
  <c r="AE29" i="28" s="1"/>
  <c r="AD29" i="28"/>
  <c r="K28" i="28"/>
  <c r="AE28" i="28" s="1"/>
  <c r="AD28" i="28"/>
  <c r="K8" i="28"/>
  <c r="AE8" i="28" s="1"/>
  <c r="AD8" i="28"/>
  <c r="K3" i="28"/>
  <c r="AE3" i="28" s="1"/>
  <c r="AD3" i="28"/>
  <c r="K10" i="28"/>
  <c r="AE10" i="28" s="1"/>
  <c r="AD10" i="28"/>
  <c r="K24" i="28"/>
  <c r="AE24" i="28" s="1"/>
  <c r="AD24" i="28"/>
  <c r="K9" i="28"/>
  <c r="AE9" i="28" s="1"/>
  <c r="AD9" i="28"/>
  <c r="K25" i="28"/>
  <c r="AE25" i="28" s="1"/>
  <c r="AD25" i="28"/>
  <c r="K17" i="28"/>
  <c r="AE17" i="28" s="1"/>
  <c r="AD17" i="28"/>
  <c r="K12" i="28"/>
  <c r="AE12" i="28" s="1"/>
  <c r="AD12" i="28"/>
  <c r="X26" i="14"/>
  <c r="X17" i="14"/>
  <c r="X14" i="14"/>
  <c r="X2" i="14"/>
  <c r="X8" i="14"/>
  <c r="X20" i="14"/>
  <c r="X5" i="14"/>
  <c r="X11" i="14"/>
  <c r="X32" i="14"/>
  <c r="X23" i="14"/>
  <c r="X29" i="14"/>
  <c r="G41" i="14"/>
  <c r="W38" i="14"/>
  <c r="K38" i="14"/>
  <c r="V38" i="14" s="1"/>
  <c r="D69" i="1" s="1"/>
  <c r="F10" i="12"/>
  <c r="F13" i="12" s="1"/>
  <c r="K30" i="12"/>
  <c r="K50" i="12" s="1"/>
  <c r="J30" i="12"/>
  <c r="J50" i="12" s="1"/>
  <c r="I30" i="12"/>
  <c r="I50" i="12" s="1"/>
  <c r="H30" i="12"/>
  <c r="H50" i="12" s="1"/>
  <c r="F30" i="12"/>
  <c r="F50" i="12" s="1"/>
  <c r="L30" i="12"/>
  <c r="L50" i="12" s="1"/>
  <c r="F20" i="12"/>
  <c r="F23" i="12" s="1"/>
  <c r="G55" i="11"/>
  <c r="G62" i="11" s="1"/>
  <c r="G75" i="11" s="1"/>
  <c r="AB48" i="28" l="1"/>
  <c r="AB49" i="28"/>
  <c r="L10" i="11" s="1"/>
  <c r="L45" i="11"/>
  <c r="AC45" i="28"/>
  <c r="AD45" i="28" s="1"/>
  <c r="AE45" i="28" s="1"/>
  <c r="AE33" i="28"/>
  <c r="J11" i="20" s="1"/>
  <c r="AE44" i="28"/>
  <c r="AD33" i="28"/>
  <c r="I11" i="20" s="1"/>
  <c r="H40" i="11"/>
  <c r="C15" i="20" s="1"/>
  <c r="C70" i="1"/>
  <c r="G44" i="14"/>
  <c r="W41" i="14"/>
  <c r="K41" i="14"/>
  <c r="V41" i="14" s="1"/>
  <c r="F91" i="12"/>
  <c r="F121" i="12" s="1"/>
  <c r="F128" i="12" s="1"/>
  <c r="F25" i="12"/>
  <c r="L91" i="12"/>
  <c r="L121" i="12" s="1"/>
  <c r="L128" i="12" s="1"/>
  <c r="I91" i="12"/>
  <c r="I121" i="12" s="1"/>
  <c r="I128" i="12" s="1"/>
  <c r="K91" i="12"/>
  <c r="K121" i="12" s="1"/>
  <c r="K128" i="12" s="1"/>
  <c r="H91" i="12"/>
  <c r="H121" i="12" s="1"/>
  <c r="H128" i="12" s="1"/>
  <c r="J91" i="12"/>
  <c r="J121" i="12" s="1"/>
  <c r="J128" i="12" s="1"/>
  <c r="G100" i="11"/>
  <c r="AC48" i="28" l="1"/>
  <c r="AD46" i="28"/>
  <c r="AE46" i="28" s="1"/>
  <c r="AE47" i="28"/>
  <c r="AC49" i="28"/>
  <c r="M10" i="11" s="1"/>
  <c r="M45" i="11"/>
  <c r="G47" i="14"/>
  <c r="W44" i="14"/>
  <c r="K44" i="14"/>
  <c r="V44" i="14" s="1"/>
  <c r="F63" i="2"/>
  <c r="F53" i="2"/>
  <c r="F58" i="2"/>
  <c r="F50" i="2"/>
  <c r="F44" i="2"/>
  <c r="F41" i="2"/>
  <c r="F36" i="2"/>
  <c r="F34" i="2"/>
  <c r="F33" i="2"/>
  <c r="F31" i="2"/>
  <c r="F30" i="2"/>
  <c r="F25" i="2"/>
  <c r="F22" i="2"/>
  <c r="F21" i="2"/>
  <c r="F20" i="2"/>
  <c r="F19" i="2"/>
  <c r="F17" i="2"/>
  <c r="F16" i="2"/>
  <c r="F15" i="2"/>
  <c r="F14" i="2"/>
  <c r="F13" i="2"/>
  <c r="F11" i="2"/>
  <c r="F10" i="2"/>
  <c r="F9" i="2"/>
  <c r="F7" i="2"/>
  <c r="F37" i="2" l="1"/>
  <c r="AE48" i="28"/>
  <c r="O45" i="11" s="1"/>
  <c r="AD48" i="28"/>
  <c r="AD49" i="28" s="1"/>
  <c r="N10" i="11" s="1"/>
  <c r="G50" i="14"/>
  <c r="W47" i="14"/>
  <c r="K47" i="14"/>
  <c r="V47" i="14" s="1"/>
  <c r="C83" i="1"/>
  <c r="C90" i="1" s="1"/>
  <c r="H42" i="11" s="1"/>
  <c r="F64" i="2"/>
  <c r="B41" i="15" s="1"/>
  <c r="F54" i="2"/>
  <c r="F26" i="2"/>
  <c r="F46" i="2"/>
  <c r="B39" i="15" s="1"/>
  <c r="L17" i="5"/>
  <c r="N45" i="11" l="1"/>
  <c r="D83" i="1"/>
  <c r="D90" i="1" s="1"/>
  <c r="I42" i="11" s="1"/>
  <c r="AE49" i="28"/>
  <c r="O10" i="11" s="1"/>
  <c r="W34" i="28"/>
  <c r="G53" i="14"/>
  <c r="W50" i="14"/>
  <c r="K50" i="14"/>
  <c r="V50" i="14" s="1"/>
  <c r="W45" i="5"/>
  <c r="C45" i="5"/>
  <c r="AQ45" i="5"/>
  <c r="B38" i="15"/>
  <c r="E83" i="1" l="1"/>
  <c r="W35" i="28"/>
  <c r="G9" i="11"/>
  <c r="X34" i="28"/>
  <c r="C16" i="20"/>
  <c r="B19" i="20"/>
  <c r="G56" i="14"/>
  <c r="W53" i="14"/>
  <c r="K53" i="14"/>
  <c r="V53" i="14" s="1"/>
  <c r="L59" i="12"/>
  <c r="M59" i="12"/>
  <c r="N59" i="12"/>
  <c r="E90" i="1" l="1"/>
  <c r="J42" i="11" s="1"/>
  <c r="F83" i="1"/>
  <c r="H9" i="11"/>
  <c r="Y34" i="28"/>
  <c r="D16" i="20"/>
  <c r="G65" i="12"/>
  <c r="G59" i="14"/>
  <c r="W56" i="14"/>
  <c r="K56" i="14"/>
  <c r="V56" i="14" s="1"/>
  <c r="E16" i="20"/>
  <c r="F90" i="1" l="1"/>
  <c r="K42" i="11" s="1"/>
  <c r="G83" i="1"/>
  <c r="G90" i="1" s="1"/>
  <c r="L42" i="11" s="1"/>
  <c r="Z34" i="28"/>
  <c r="I9" i="11"/>
  <c r="H65" i="12" s="1"/>
  <c r="G62" i="14"/>
  <c r="W59" i="14"/>
  <c r="K59" i="14"/>
  <c r="V59" i="14" s="1"/>
  <c r="F16" i="20"/>
  <c r="H83" i="1" l="1"/>
  <c r="H90" i="1" s="1"/>
  <c r="M42" i="11" s="1"/>
  <c r="AA34" i="28"/>
  <c r="J9" i="11"/>
  <c r="I65" i="12"/>
  <c r="G65" i="14"/>
  <c r="W62" i="14"/>
  <c r="K62" i="14"/>
  <c r="V62" i="14" s="1"/>
  <c r="G16" i="20"/>
  <c r="I83" i="1" l="1"/>
  <c r="I90" i="1" s="1"/>
  <c r="N42" i="11" s="1"/>
  <c r="AB34" i="28"/>
  <c r="K9" i="11"/>
  <c r="J65" i="12" s="1"/>
  <c r="G68" i="14"/>
  <c r="W65" i="14"/>
  <c r="K65" i="14"/>
  <c r="V65" i="14" s="1"/>
  <c r="H16" i="20"/>
  <c r="J83" i="1" l="1"/>
  <c r="J90" i="1" s="1"/>
  <c r="O42" i="11" s="1"/>
  <c r="AC34" i="28"/>
  <c r="L9" i="11"/>
  <c r="K65" i="12" s="1"/>
  <c r="G71" i="14"/>
  <c r="W68" i="14"/>
  <c r="K68" i="14"/>
  <c r="V68" i="14" s="1"/>
  <c r="I16" i="20"/>
  <c r="AD34" i="28" l="1"/>
  <c r="M9" i="11"/>
  <c r="L65" i="12" s="1"/>
  <c r="W71" i="14"/>
  <c r="K71" i="14"/>
  <c r="V71" i="14" s="1"/>
  <c r="J16" i="20"/>
  <c r="AE34" i="28" l="1"/>
  <c r="O9" i="11" s="1"/>
  <c r="N9" i="11"/>
  <c r="M65" i="12" s="1"/>
  <c r="X62" i="14"/>
  <c r="X71" i="14"/>
  <c r="X47" i="14"/>
  <c r="X44" i="14"/>
  <c r="X41" i="14"/>
  <c r="X50" i="14"/>
  <c r="X68" i="14"/>
  <c r="X65" i="14"/>
  <c r="X38" i="14"/>
  <c r="X56" i="14"/>
  <c r="X59" i="14"/>
  <c r="X53" i="14"/>
  <c r="F71" i="2"/>
  <c r="B25" i="20" s="1"/>
  <c r="B31" i="20" s="1"/>
  <c r="N65" i="12" l="1"/>
  <c r="D70" i="1"/>
  <c r="I40" i="11"/>
  <c r="D15" i="20" s="1"/>
  <c r="D9" i="3"/>
  <c r="D16" i="3"/>
  <c r="J59" i="12"/>
  <c r="H59" i="12"/>
  <c r="O27" i="11" l="1"/>
  <c r="N27" i="11"/>
  <c r="H27" i="11"/>
  <c r="G59" i="12"/>
  <c r="K59" i="12"/>
  <c r="I59" i="12"/>
  <c r="G27" i="11"/>
  <c r="D14" i="3"/>
  <c r="E14" i="3" s="1"/>
  <c r="F14" i="3" s="1"/>
  <c r="D15" i="3"/>
  <c r="E15" i="3" s="1"/>
  <c r="F15" i="3" s="1"/>
  <c r="D13" i="3"/>
  <c r="E13" i="3" s="1"/>
  <c r="F13" i="3" s="1"/>
  <c r="D18" i="3"/>
  <c r="I27" i="11"/>
  <c r="L27" i="11"/>
  <c r="M27" i="11"/>
  <c r="K27" i="11"/>
  <c r="J27" i="11"/>
  <c r="D8" i="3"/>
  <c r="D7" i="3"/>
  <c r="G11" i="11"/>
  <c r="Q10" i="11" s="1"/>
  <c r="G16" i="11" l="1"/>
  <c r="G30" i="11"/>
  <c r="Q27" i="11" s="1"/>
  <c r="B5" i="20"/>
  <c r="B1" i="19"/>
  <c r="B1" i="17"/>
  <c r="F26" i="17" s="1"/>
  <c r="G21" i="11"/>
  <c r="G22" i="11" s="1"/>
  <c r="F6" i="19"/>
  <c r="F80" i="17"/>
  <c r="F93" i="17"/>
  <c r="F94" i="17"/>
  <c r="F95" i="17"/>
  <c r="F85" i="17"/>
  <c r="F88" i="17"/>
  <c r="F90" i="17"/>
  <c r="F87" i="17"/>
  <c r="F89" i="17"/>
  <c r="F91" i="17"/>
  <c r="F61" i="17"/>
  <c r="F60" i="17"/>
  <c r="F92" i="17"/>
  <c r="F98" i="17"/>
  <c r="F96" i="17"/>
  <c r="F97" i="17"/>
  <c r="C10" i="13"/>
  <c r="C11" i="13" s="1"/>
  <c r="E10" i="13" s="1"/>
  <c r="B75" i="15"/>
  <c r="C15" i="13"/>
  <c r="C16" i="13" s="1"/>
  <c r="C21" i="13" s="1"/>
  <c r="B74" i="15"/>
  <c r="F130" i="12" l="1"/>
  <c r="I2" i="30"/>
  <c r="F13" i="30"/>
  <c r="F11" i="30"/>
  <c r="F7" i="30"/>
  <c r="F9" i="30"/>
  <c r="F6" i="30"/>
  <c r="F25" i="30"/>
  <c r="F4" i="30"/>
  <c r="F26" i="30"/>
  <c r="F23" i="30"/>
  <c r="F16" i="30"/>
  <c r="F12" i="30"/>
  <c r="F15" i="30"/>
  <c r="F18" i="30"/>
  <c r="F3" i="30"/>
  <c r="F24" i="30"/>
  <c r="F5" i="30"/>
  <c r="F22" i="30"/>
  <c r="F8" i="30"/>
  <c r="F20" i="30"/>
  <c r="F10" i="30"/>
  <c r="F21" i="30"/>
  <c r="F19" i="30"/>
  <c r="F17" i="30"/>
  <c r="F14" i="30"/>
  <c r="F73" i="17"/>
  <c r="F74" i="17"/>
  <c r="F32" i="17"/>
  <c r="F76" i="17"/>
  <c r="F77" i="17"/>
  <c r="F54" i="17"/>
  <c r="F86" i="17"/>
  <c r="F70" i="17"/>
  <c r="F66" i="17"/>
  <c r="F58" i="17"/>
  <c r="F75" i="17"/>
  <c r="F53" i="17"/>
  <c r="F64" i="17"/>
  <c r="F83" i="17"/>
  <c r="F7" i="19"/>
  <c r="F16" i="19"/>
  <c r="F22" i="19"/>
  <c r="F26" i="19"/>
  <c r="F20" i="19"/>
  <c r="F25" i="19"/>
  <c r="F18" i="19"/>
  <c r="F15" i="19"/>
  <c r="F17" i="19"/>
  <c r="F21" i="19"/>
  <c r="F23" i="19"/>
  <c r="F19" i="19"/>
  <c r="F24" i="19"/>
  <c r="F72" i="17"/>
  <c r="F63" i="17"/>
  <c r="F55" i="17"/>
  <c r="F78" i="17"/>
  <c r="F65" i="17"/>
  <c r="F51" i="17"/>
  <c r="F84" i="17"/>
  <c r="F56" i="17"/>
  <c r="F68" i="17"/>
  <c r="F59" i="17"/>
  <c r="F62" i="17"/>
  <c r="F71" i="17"/>
  <c r="F81" i="17"/>
  <c r="F79" i="17"/>
  <c r="F57" i="17"/>
  <c r="F69" i="17"/>
  <c r="F52" i="17"/>
  <c r="F82" i="17"/>
  <c r="F67" i="17"/>
  <c r="F19" i="17"/>
  <c r="F38" i="17"/>
  <c r="F22" i="17"/>
  <c r="F37" i="17"/>
  <c r="F11" i="19"/>
  <c r="F40" i="17"/>
  <c r="F8" i="19"/>
  <c r="F7" i="17"/>
  <c r="F18" i="17"/>
  <c r="F4" i="19"/>
  <c r="F24" i="17"/>
  <c r="F14" i="19"/>
  <c r="F12" i="19"/>
  <c r="F5" i="19"/>
  <c r="F9" i="19"/>
  <c r="F3" i="17"/>
  <c r="F48" i="17"/>
  <c r="F16" i="17"/>
  <c r="F41" i="17"/>
  <c r="F12" i="17"/>
  <c r="F17" i="17"/>
  <c r="F13" i="17"/>
  <c r="F36" i="17"/>
  <c r="F6" i="17"/>
  <c r="G80" i="11"/>
  <c r="F4" i="17"/>
  <c r="F28" i="17"/>
  <c r="F13" i="19"/>
  <c r="F31" i="17"/>
  <c r="F5" i="17"/>
  <c r="F9" i="17"/>
  <c r="F47" i="17"/>
  <c r="F33" i="17"/>
  <c r="F43" i="17"/>
  <c r="F27" i="17"/>
  <c r="F35" i="17"/>
  <c r="F15" i="17"/>
  <c r="F23" i="17"/>
  <c r="F10" i="17"/>
  <c r="F46" i="17"/>
  <c r="F11" i="17"/>
  <c r="F39" i="17"/>
  <c r="F29" i="17"/>
  <c r="F42" i="17"/>
  <c r="F44" i="17"/>
  <c r="F14" i="17"/>
  <c r="F50" i="17"/>
  <c r="F21" i="17"/>
  <c r="F8" i="17"/>
  <c r="F30" i="17"/>
  <c r="F25" i="17"/>
  <c r="F20" i="17"/>
  <c r="F45" i="17"/>
  <c r="F49" i="17"/>
  <c r="F3" i="19"/>
  <c r="I2" i="17"/>
  <c r="F34" i="17"/>
  <c r="F10" i="19"/>
  <c r="I2" i="19"/>
  <c r="F31" i="12"/>
  <c r="G155" i="12"/>
  <c r="G156" i="12" s="1"/>
  <c r="F32" i="12"/>
  <c r="Q29" i="11"/>
  <c r="Q30" i="11"/>
  <c r="Q28" i="11"/>
  <c r="H11" i="11"/>
  <c r="R10" i="11" s="1"/>
  <c r="E15" i="13"/>
  <c r="F15" i="13" s="1"/>
  <c r="F16" i="13" s="1"/>
  <c r="D21" i="13" s="1"/>
  <c r="B76" i="15"/>
  <c r="G19" i="11"/>
  <c r="D32" i="3"/>
  <c r="F10" i="13"/>
  <c r="F11" i="13" s="1"/>
  <c r="D20" i="13" s="1"/>
  <c r="E11" i="13"/>
  <c r="C20" i="13"/>
  <c r="C22" i="13" s="1"/>
  <c r="E20" i="13" s="1"/>
  <c r="J30" i="3" l="1"/>
  <c r="J28" i="3"/>
  <c r="J29" i="3"/>
  <c r="I3" i="30"/>
  <c r="G3" i="30"/>
  <c r="D31" i="3"/>
  <c r="D30" i="3"/>
  <c r="D29" i="3"/>
  <c r="G26" i="3"/>
  <c r="I3" i="17"/>
  <c r="G4" i="17" s="1"/>
  <c r="H4" i="17" s="1"/>
  <c r="E16" i="13"/>
  <c r="G3" i="17"/>
  <c r="H3" i="17" s="1"/>
  <c r="D25" i="3"/>
  <c r="D26" i="3"/>
  <c r="D28" i="3"/>
  <c r="I3" i="19"/>
  <c r="G4" i="19" s="1"/>
  <c r="H4" i="19" s="1"/>
  <c r="G25" i="3"/>
  <c r="D27" i="3"/>
  <c r="G3" i="19"/>
  <c r="H3" i="19" s="1"/>
  <c r="F33" i="12"/>
  <c r="I11" i="11"/>
  <c r="S10" i="11" s="1"/>
  <c r="G24" i="11"/>
  <c r="F123" i="12" s="1"/>
  <c r="E21" i="13"/>
  <c r="F21" i="13" s="1"/>
  <c r="F20" i="13"/>
  <c r="H3" i="30" l="1"/>
  <c r="G4" i="30"/>
  <c r="H4" i="30" s="1"/>
  <c r="I4" i="30"/>
  <c r="I4" i="17"/>
  <c r="G5" i="17" s="1"/>
  <c r="H5" i="17" s="1"/>
  <c r="I4" i="19"/>
  <c r="G5" i="19" s="1"/>
  <c r="J11" i="11"/>
  <c r="T10" i="11" s="1"/>
  <c r="Q16" i="11"/>
  <c r="Q21" i="11"/>
  <c r="Q18" i="11"/>
  <c r="Q24" i="11"/>
  <c r="Q22" i="11"/>
  <c r="Q17" i="11"/>
  <c r="Q19" i="11"/>
  <c r="G87" i="11"/>
  <c r="B6" i="20"/>
  <c r="B9" i="20" s="1"/>
  <c r="G88" i="11"/>
  <c r="F22" i="13"/>
  <c r="E22" i="13"/>
  <c r="G32" i="11"/>
  <c r="I5" i="17" l="1"/>
  <c r="G5" i="30"/>
  <c r="H5" i="30" s="1"/>
  <c r="I5" i="30"/>
  <c r="I5" i="19"/>
  <c r="G6" i="19" s="1"/>
  <c r="H6" i="19" s="1"/>
  <c r="N42" i="12"/>
  <c r="L42" i="12"/>
  <c r="M42" i="12"/>
  <c r="G42" i="12"/>
  <c r="F42" i="12"/>
  <c r="H42" i="12"/>
  <c r="I42" i="12"/>
  <c r="J42" i="12"/>
  <c r="K42" i="12"/>
  <c r="K11" i="11"/>
  <c r="U10" i="11" s="1"/>
  <c r="B20" i="20"/>
  <c r="B21" i="20" s="1"/>
  <c r="I6" i="19"/>
  <c r="H5" i="19"/>
  <c r="G6" i="17"/>
  <c r="I6" i="17"/>
  <c r="F38" i="12"/>
  <c r="F39" i="12"/>
  <c r="F35" i="12"/>
  <c r="G6" i="30" l="1"/>
  <c r="H6" i="30" s="1"/>
  <c r="I6" i="30"/>
  <c r="G4" i="11"/>
  <c r="L11" i="11"/>
  <c r="V10" i="11" s="1"/>
  <c r="I7" i="17"/>
  <c r="G7" i="17"/>
  <c r="H7" i="17" s="1"/>
  <c r="H6" i="17"/>
  <c r="G7" i="19"/>
  <c r="I7" i="19"/>
  <c r="F45" i="12"/>
  <c r="F44" i="12"/>
  <c r="F40" i="12"/>
  <c r="I7" i="30" l="1"/>
  <c r="G7" i="30"/>
  <c r="M11" i="11"/>
  <c r="W10" i="11" s="1"/>
  <c r="I8" i="19"/>
  <c r="G8" i="19"/>
  <c r="H8" i="19" s="1"/>
  <c r="H7" i="19"/>
  <c r="G8" i="17"/>
  <c r="I8" i="17"/>
  <c r="F46" i="12"/>
  <c r="F92" i="12" s="1"/>
  <c r="F93" i="12" s="1"/>
  <c r="H7" i="30" l="1"/>
  <c r="I8" i="30"/>
  <c r="G8" i="30"/>
  <c r="H8" i="30" s="1"/>
  <c r="N11" i="11"/>
  <c r="X10" i="11" s="1"/>
  <c r="O11" i="11"/>
  <c r="Y10" i="11" s="1"/>
  <c r="H8" i="17"/>
  <c r="I9" i="17"/>
  <c r="G9" i="17"/>
  <c r="H9" i="17" s="1"/>
  <c r="G9" i="19"/>
  <c r="I9" i="19"/>
  <c r="G9" i="30" l="1"/>
  <c r="I9" i="30"/>
  <c r="G10" i="19"/>
  <c r="H10" i="19" s="1"/>
  <c r="I10" i="19"/>
  <c r="G10" i="17"/>
  <c r="H10" i="17" s="1"/>
  <c r="I10" i="17"/>
  <c r="H9" i="19"/>
  <c r="H9" i="30" l="1"/>
  <c r="I10" i="30"/>
  <c r="G10" i="30"/>
  <c r="H10" i="30" s="1"/>
  <c r="I11" i="17"/>
  <c r="G11" i="17"/>
  <c r="H11" i="17" s="1"/>
  <c r="I11" i="19"/>
  <c r="G11" i="19"/>
  <c r="H11" i="19" s="1"/>
  <c r="G11" i="30" l="1"/>
  <c r="H11" i="30" s="1"/>
  <c r="I11" i="30"/>
  <c r="G12" i="19"/>
  <c r="H12" i="19" s="1"/>
  <c r="I12" i="19"/>
  <c r="I12" i="17"/>
  <c r="G12" i="17"/>
  <c r="H12" i="17" s="1"/>
  <c r="G12" i="30" l="1"/>
  <c r="H12" i="30" s="1"/>
  <c r="I12" i="30"/>
  <c r="I13" i="17"/>
  <c r="G13" i="17"/>
  <c r="H13" i="17" s="1"/>
  <c r="I13" i="19"/>
  <c r="G13" i="19"/>
  <c r="H13" i="19" s="1"/>
  <c r="I13" i="30" l="1"/>
  <c r="G13" i="30"/>
  <c r="H13" i="30" s="1"/>
  <c r="G14" i="19"/>
  <c r="H25" i="3" s="1"/>
  <c r="I14" i="19"/>
  <c r="I25" i="3" s="1"/>
  <c r="G14" i="17"/>
  <c r="H14" i="17" s="1"/>
  <c r="I14" i="17"/>
  <c r="I14" i="30" l="1"/>
  <c r="L28" i="3" s="1"/>
  <c r="G14" i="30"/>
  <c r="H14" i="30" s="1"/>
  <c r="F25" i="3"/>
  <c r="O25" i="3" s="1"/>
  <c r="H21" i="11" s="1"/>
  <c r="H16" i="11"/>
  <c r="G15" i="19"/>
  <c r="I15" i="19"/>
  <c r="I15" i="17"/>
  <c r="G15" i="17"/>
  <c r="H14" i="19"/>
  <c r="G130" i="12" l="1"/>
  <c r="H22" i="11"/>
  <c r="G15" i="30"/>
  <c r="I15" i="30"/>
  <c r="G31" i="12"/>
  <c r="F108" i="12"/>
  <c r="G16" i="19"/>
  <c r="H16" i="19" s="1"/>
  <c r="I16" i="19"/>
  <c r="H15" i="19"/>
  <c r="H15" i="17"/>
  <c r="G16" i="17"/>
  <c r="H16" i="17" s="1"/>
  <c r="I16" i="17"/>
  <c r="H15" i="30" l="1"/>
  <c r="I16" i="30"/>
  <c r="G16" i="30"/>
  <c r="H16" i="30" s="1"/>
  <c r="G17" i="19"/>
  <c r="I17" i="19"/>
  <c r="G17" i="17"/>
  <c r="I17" i="17"/>
  <c r="I17" i="30" l="1"/>
  <c r="G17" i="30"/>
  <c r="I18" i="19"/>
  <c r="G18" i="19"/>
  <c r="H18" i="19" s="1"/>
  <c r="H17" i="19"/>
  <c r="G18" i="17"/>
  <c r="H18" i="17" s="1"/>
  <c r="I18" i="17"/>
  <c r="H17" i="17"/>
  <c r="H17" i="30" l="1"/>
  <c r="G18" i="30"/>
  <c r="H18" i="30" s="1"/>
  <c r="I18" i="30"/>
  <c r="G19" i="19"/>
  <c r="I19" i="19"/>
  <c r="I19" i="17"/>
  <c r="G19" i="17"/>
  <c r="I19" i="30" l="1"/>
  <c r="G19" i="30"/>
  <c r="I20" i="19"/>
  <c r="G20" i="19"/>
  <c r="H20" i="19" s="1"/>
  <c r="H19" i="19"/>
  <c r="H19" i="17"/>
  <c r="G20" i="17"/>
  <c r="H20" i="17" s="1"/>
  <c r="I20" i="17"/>
  <c r="H19" i="30" l="1"/>
  <c r="G20" i="30"/>
  <c r="H20" i="30" s="1"/>
  <c r="I20" i="30"/>
  <c r="G21" i="19"/>
  <c r="I21" i="19"/>
  <c r="I21" i="17"/>
  <c r="G21" i="17"/>
  <c r="G21" i="30" l="1"/>
  <c r="I21" i="30"/>
  <c r="I22" i="19"/>
  <c r="G22" i="19"/>
  <c r="H22" i="19" s="1"/>
  <c r="H21" i="19"/>
  <c r="H21" i="17"/>
  <c r="I22" i="17"/>
  <c r="G22" i="17"/>
  <c r="H22" i="17" s="1"/>
  <c r="H21" i="30" l="1"/>
  <c r="G22" i="30"/>
  <c r="H22" i="30" s="1"/>
  <c r="I22" i="30"/>
  <c r="G23" i="19"/>
  <c r="I23" i="19"/>
  <c r="I23" i="17"/>
  <c r="G23" i="17"/>
  <c r="I23" i="30" l="1"/>
  <c r="G23" i="30"/>
  <c r="I24" i="19"/>
  <c r="G24" i="19"/>
  <c r="H24" i="19" s="1"/>
  <c r="H23" i="19"/>
  <c r="H23" i="17"/>
  <c r="I24" i="17"/>
  <c r="G24" i="17"/>
  <c r="H24" i="17" s="1"/>
  <c r="H23" i="30" l="1"/>
  <c r="I24" i="30"/>
  <c r="G24" i="30"/>
  <c r="H24" i="30" s="1"/>
  <c r="G25" i="19"/>
  <c r="H25" i="19" s="1"/>
  <c r="I25" i="19"/>
  <c r="I25" i="17"/>
  <c r="G25" i="17"/>
  <c r="H25" i="17" s="1"/>
  <c r="G25" i="30" l="1"/>
  <c r="H25" i="30" s="1"/>
  <c r="I25" i="30"/>
  <c r="G26" i="19"/>
  <c r="I26" i="19"/>
  <c r="I26" i="17"/>
  <c r="G26" i="17"/>
  <c r="H26" i="17" s="1"/>
  <c r="I26" i="3" l="1"/>
  <c r="I16" i="11" s="1"/>
  <c r="I26" i="30"/>
  <c r="L29" i="3" s="1"/>
  <c r="G26" i="30"/>
  <c r="H26" i="30" s="1"/>
  <c r="F26" i="3"/>
  <c r="O26" i="3" s="1"/>
  <c r="I21" i="11" s="1"/>
  <c r="H26" i="19"/>
  <c r="H26" i="3"/>
  <c r="H33" i="3" s="1"/>
  <c r="I27" i="17"/>
  <c r="G27" i="17"/>
  <c r="H130" i="12" l="1"/>
  <c r="I27" i="30"/>
  <c r="G27" i="30"/>
  <c r="I22" i="11"/>
  <c r="H31" i="12"/>
  <c r="H27" i="17"/>
  <c r="I28" i="17"/>
  <c r="G28" i="17"/>
  <c r="H28" i="17" s="1"/>
  <c r="H27" i="30" l="1"/>
  <c r="I28" i="30"/>
  <c r="G28" i="30"/>
  <c r="H28" i="30" s="1"/>
  <c r="G29" i="17"/>
  <c r="I29" i="17"/>
  <c r="I29" i="30" l="1"/>
  <c r="G29" i="30"/>
  <c r="I30" i="17"/>
  <c r="G30" i="17"/>
  <c r="H30" i="17" s="1"/>
  <c r="H29" i="17"/>
  <c r="H29" i="30" l="1"/>
  <c r="G30" i="30"/>
  <c r="H30" i="30" s="1"/>
  <c r="I30" i="30"/>
  <c r="I31" i="17"/>
  <c r="G31" i="17"/>
  <c r="I31" i="30" l="1"/>
  <c r="G31" i="30"/>
  <c r="H31" i="17"/>
  <c r="I32" i="17"/>
  <c r="G32" i="17"/>
  <c r="H32" i="17" s="1"/>
  <c r="H31" i="30" l="1"/>
  <c r="I32" i="30"/>
  <c r="G32" i="30"/>
  <c r="H32" i="30" s="1"/>
  <c r="I33" i="17"/>
  <c r="G33" i="17"/>
  <c r="I33" i="30" l="1"/>
  <c r="G33" i="30"/>
  <c r="H33" i="17"/>
  <c r="G34" i="17"/>
  <c r="H34" i="17" s="1"/>
  <c r="I34" i="17"/>
  <c r="H33" i="30" l="1"/>
  <c r="I34" i="30"/>
  <c r="G34" i="30"/>
  <c r="H34" i="30" s="1"/>
  <c r="I35" i="17"/>
  <c r="G35" i="17"/>
  <c r="I35" i="30" l="1"/>
  <c r="G35" i="30"/>
  <c r="H35" i="17"/>
  <c r="I36" i="17"/>
  <c r="G36" i="17"/>
  <c r="H36" i="17" s="1"/>
  <c r="H35" i="30" l="1"/>
  <c r="I36" i="30"/>
  <c r="G36" i="30"/>
  <c r="H36" i="30" s="1"/>
  <c r="I37" i="17"/>
  <c r="G37" i="17"/>
  <c r="H37" i="17" s="1"/>
  <c r="G37" i="30" l="1"/>
  <c r="H37" i="30" s="1"/>
  <c r="I37" i="30"/>
  <c r="G38" i="17"/>
  <c r="H38" i="17" s="1"/>
  <c r="I38" i="17"/>
  <c r="I38" i="30" l="1"/>
  <c r="L30" i="3" s="1"/>
  <c r="G38" i="30"/>
  <c r="H38" i="30" s="1"/>
  <c r="F27" i="3"/>
  <c r="O27" i="3" s="1"/>
  <c r="J21" i="11" s="1"/>
  <c r="I130" i="12" s="1"/>
  <c r="G39" i="17"/>
  <c r="I39" i="17"/>
  <c r="G39" i="30" l="1"/>
  <c r="I39" i="30"/>
  <c r="J22" i="11"/>
  <c r="I31" i="12"/>
  <c r="G40" i="17"/>
  <c r="H40" i="17" s="1"/>
  <c r="I40" i="17"/>
  <c r="H39" i="17"/>
  <c r="H39" i="30" l="1"/>
  <c r="I40" i="30"/>
  <c r="G40" i="30"/>
  <c r="H40" i="30" s="1"/>
  <c r="G41" i="17"/>
  <c r="I41" i="17"/>
  <c r="I41" i="30" l="1"/>
  <c r="G41" i="30"/>
  <c r="I42" i="17"/>
  <c r="G42" i="17"/>
  <c r="H42" i="17" s="1"/>
  <c r="H41" i="17"/>
  <c r="H41" i="30" l="1"/>
  <c r="I42" i="30"/>
  <c r="G42" i="30"/>
  <c r="H42" i="30" s="1"/>
  <c r="I43" i="17"/>
  <c r="G43" i="17"/>
  <c r="I43" i="30" l="1"/>
  <c r="G43" i="30"/>
  <c r="H43" i="17"/>
  <c r="G44" i="17"/>
  <c r="H44" i="17" s="1"/>
  <c r="I44" i="17"/>
  <c r="H43" i="30" l="1"/>
  <c r="G44" i="30"/>
  <c r="H44" i="30" s="1"/>
  <c r="I44" i="30"/>
  <c r="I45" i="17"/>
  <c r="G45" i="17"/>
  <c r="I45" i="30" l="1"/>
  <c r="G45" i="30"/>
  <c r="H45" i="17"/>
  <c r="I46" i="17"/>
  <c r="G46" i="17"/>
  <c r="H46" i="17" s="1"/>
  <c r="H45" i="30" l="1"/>
  <c r="G46" i="30"/>
  <c r="H46" i="30" s="1"/>
  <c r="I46" i="30"/>
  <c r="G47" i="17"/>
  <c r="I47" i="17"/>
  <c r="I47" i="30" l="1"/>
  <c r="G47" i="30"/>
  <c r="I48" i="17"/>
  <c r="G48" i="17"/>
  <c r="H48" i="17" s="1"/>
  <c r="H47" i="17"/>
  <c r="H47" i="30" l="1"/>
  <c r="I48" i="30"/>
  <c r="G48" i="30"/>
  <c r="H48" i="30" s="1"/>
  <c r="G49" i="17"/>
  <c r="H49" i="17" s="1"/>
  <c r="I49" i="17"/>
  <c r="I49" i="30" l="1"/>
  <c r="G49" i="30"/>
  <c r="H49" i="30" s="1"/>
  <c r="G50" i="17"/>
  <c r="H50" i="17" s="1"/>
  <c r="I50" i="17"/>
  <c r="G50" i="30" l="1"/>
  <c r="H50" i="30" s="1"/>
  <c r="I50" i="30"/>
  <c r="L31" i="3" s="1"/>
  <c r="F28" i="3"/>
  <c r="O28" i="3" s="1"/>
  <c r="K21" i="11" s="1"/>
  <c r="J130" i="12" s="1"/>
  <c r="G51" i="17"/>
  <c r="I51" i="17"/>
  <c r="K22" i="11" l="1"/>
  <c r="I51" i="30"/>
  <c r="G51" i="30"/>
  <c r="I52" i="17"/>
  <c r="G52" i="17"/>
  <c r="H52" i="17" s="1"/>
  <c r="H51" i="17"/>
  <c r="H51" i="30" l="1"/>
  <c r="J31" i="12"/>
  <c r="I52" i="30"/>
  <c r="G52" i="30"/>
  <c r="H52" i="30" s="1"/>
  <c r="I53" i="17"/>
  <c r="G53" i="17"/>
  <c r="I53" i="30" l="1"/>
  <c r="G53" i="30"/>
  <c r="H53" i="17"/>
  <c r="I54" i="17"/>
  <c r="G54" i="17"/>
  <c r="H54" i="17" s="1"/>
  <c r="H53" i="30" l="1"/>
  <c r="G54" i="30"/>
  <c r="H54" i="30" s="1"/>
  <c r="I54" i="30"/>
  <c r="G55" i="17"/>
  <c r="I55" i="17"/>
  <c r="G55" i="30" l="1"/>
  <c r="I55" i="30"/>
  <c r="G56" i="17"/>
  <c r="H56" i="17" s="1"/>
  <c r="I56" i="17"/>
  <c r="H55" i="17"/>
  <c r="H55" i="30" l="1"/>
  <c r="I56" i="30"/>
  <c r="G56" i="30"/>
  <c r="H56" i="30" s="1"/>
  <c r="I57" i="17"/>
  <c r="G57" i="17"/>
  <c r="G57" i="30" l="1"/>
  <c r="I57" i="30"/>
  <c r="H57" i="17"/>
  <c r="G58" i="17"/>
  <c r="H58" i="17" s="1"/>
  <c r="I58" i="17"/>
  <c r="H57" i="30" l="1"/>
  <c r="G58" i="30"/>
  <c r="H58" i="30" s="1"/>
  <c r="I58" i="30"/>
  <c r="I59" i="17"/>
  <c r="G59" i="17"/>
  <c r="I59" i="30" l="1"/>
  <c r="G59" i="30"/>
  <c r="H59" i="17"/>
  <c r="G60" i="17"/>
  <c r="H60" i="17" s="1"/>
  <c r="I60" i="17"/>
  <c r="H59" i="30" l="1"/>
  <c r="I60" i="30"/>
  <c r="G60" i="30"/>
  <c r="H60" i="30" s="1"/>
  <c r="G61" i="17"/>
  <c r="H61" i="17" s="1"/>
  <c r="I61" i="17"/>
  <c r="I61" i="30" l="1"/>
  <c r="G61" i="30"/>
  <c r="H61" i="30" s="1"/>
  <c r="I62" i="17"/>
  <c r="F29" i="3" s="1"/>
  <c r="O29" i="3" s="1"/>
  <c r="L21" i="11" s="1"/>
  <c r="K130" i="12" s="1"/>
  <c r="G62" i="17"/>
  <c r="H62" i="17" s="1"/>
  <c r="I62" i="30" l="1"/>
  <c r="G62" i="30"/>
  <c r="H62" i="30" s="1"/>
  <c r="L22" i="11"/>
  <c r="K31" i="12"/>
  <c r="G63" i="17"/>
  <c r="I63" i="17"/>
  <c r="L32" i="3" l="1"/>
  <c r="O32" i="3" s="1"/>
  <c r="O21" i="11" s="1"/>
  <c r="N130" i="12" s="1"/>
  <c r="I63" i="30"/>
  <c r="G63" i="30"/>
  <c r="H63" i="30" s="1"/>
  <c r="I64" i="17"/>
  <c r="G64" i="17"/>
  <c r="H64" i="17" s="1"/>
  <c r="H63" i="17"/>
  <c r="I64" i="30" l="1"/>
  <c r="G64" i="30"/>
  <c r="H64" i="30" s="1"/>
  <c r="O22" i="11"/>
  <c r="N31" i="12"/>
  <c r="G65" i="17"/>
  <c r="I65" i="17"/>
  <c r="G65" i="30" l="1"/>
  <c r="H65" i="30" s="1"/>
  <c r="I65" i="30"/>
  <c r="G66" i="17"/>
  <c r="H66" i="17" s="1"/>
  <c r="I66" i="17"/>
  <c r="H65" i="17"/>
  <c r="I66" i="30" l="1"/>
  <c r="G66" i="30"/>
  <c r="H66" i="30" s="1"/>
  <c r="I67" i="17"/>
  <c r="G67" i="17"/>
  <c r="G67" i="30" l="1"/>
  <c r="H67" i="30" s="1"/>
  <c r="I67" i="30"/>
  <c r="H67" i="17"/>
  <c r="I68" i="17"/>
  <c r="G68" i="17"/>
  <c r="H68" i="17" s="1"/>
  <c r="I68" i="30" l="1"/>
  <c r="G68" i="30"/>
  <c r="H68" i="30" s="1"/>
  <c r="I69" i="17"/>
  <c r="G69" i="17"/>
  <c r="I69" i="30" l="1"/>
  <c r="G69" i="30"/>
  <c r="H69" i="30" s="1"/>
  <c r="H69" i="17"/>
  <c r="I70" i="17"/>
  <c r="G70" i="17"/>
  <c r="H70" i="17" s="1"/>
  <c r="I70" i="30" l="1"/>
  <c r="G70" i="30"/>
  <c r="H70" i="30" s="1"/>
  <c r="I71" i="17"/>
  <c r="G71" i="17"/>
  <c r="I71" i="30" l="1"/>
  <c r="G71" i="30"/>
  <c r="H71" i="30" s="1"/>
  <c r="H71" i="17"/>
  <c r="I72" i="17"/>
  <c r="G72" i="17"/>
  <c r="H72" i="17" s="1"/>
  <c r="I72" i="30" l="1"/>
  <c r="G72" i="30"/>
  <c r="H72" i="30" s="1"/>
  <c r="G73" i="17"/>
  <c r="H73" i="17" s="1"/>
  <c r="I73" i="17"/>
  <c r="G73" i="30" l="1"/>
  <c r="H73" i="30" s="1"/>
  <c r="I73" i="30"/>
  <c r="I74" i="17"/>
  <c r="F30" i="3" s="1"/>
  <c r="O30" i="3" s="1"/>
  <c r="M21" i="11" s="1"/>
  <c r="L130" i="12" s="1"/>
  <c r="G74" i="17"/>
  <c r="H74" i="17" s="1"/>
  <c r="I74" i="30" l="1"/>
  <c r="G74" i="30"/>
  <c r="M22" i="11"/>
  <c r="L31" i="12"/>
  <c r="G75" i="17"/>
  <c r="I75" i="17"/>
  <c r="G75" i="30" l="1"/>
  <c r="H75" i="30" s="1"/>
  <c r="I75" i="30"/>
  <c r="H74" i="30"/>
  <c r="K28" i="3"/>
  <c r="K29" i="3"/>
  <c r="K30" i="3"/>
  <c r="K31" i="3"/>
  <c r="K32" i="3"/>
  <c r="G76" i="17"/>
  <c r="H76" i="17" s="1"/>
  <c r="I76" i="17"/>
  <c r="H75" i="17"/>
  <c r="I76" i="30" l="1"/>
  <c r="G76" i="30"/>
  <c r="H76" i="30" s="1"/>
  <c r="G77" i="17"/>
  <c r="I77" i="17"/>
  <c r="I77" i="30" l="1"/>
  <c r="G77" i="30"/>
  <c r="H77" i="30" s="1"/>
  <c r="G78" i="17"/>
  <c r="H78" i="17" s="1"/>
  <c r="I78" i="17"/>
  <c r="H77" i="17"/>
  <c r="G78" i="30" l="1"/>
  <c r="H78" i="30" s="1"/>
  <c r="I78" i="30"/>
  <c r="G79" i="17"/>
  <c r="I79" i="17"/>
  <c r="I79" i="30" l="1"/>
  <c r="G79" i="30"/>
  <c r="H79" i="30" s="1"/>
  <c r="G80" i="17"/>
  <c r="H80" i="17" s="1"/>
  <c r="I80" i="17"/>
  <c r="H79" i="17"/>
  <c r="G80" i="30" l="1"/>
  <c r="H80" i="30" s="1"/>
  <c r="I80" i="30"/>
  <c r="I81" i="17"/>
  <c r="G81" i="17"/>
  <c r="I81" i="30" l="1"/>
  <c r="G81" i="30"/>
  <c r="H81" i="30" s="1"/>
  <c r="H81" i="17"/>
  <c r="G82" i="17"/>
  <c r="H82" i="17" s="1"/>
  <c r="I82" i="17"/>
  <c r="I82" i="30" l="1"/>
  <c r="G82" i="30"/>
  <c r="H82" i="30" s="1"/>
  <c r="I83" i="17"/>
  <c r="G83" i="17"/>
  <c r="G83" i="30" l="1"/>
  <c r="H83" i="30" s="1"/>
  <c r="I83" i="30"/>
  <c r="H83" i="17"/>
  <c r="I84" i="17"/>
  <c r="G84" i="17"/>
  <c r="H84" i="17" s="1"/>
  <c r="I84" i="30" l="1"/>
  <c r="G84" i="30"/>
  <c r="H84" i="30" s="1"/>
  <c r="G85" i="17"/>
  <c r="H85" i="17" s="1"/>
  <c r="I85" i="17"/>
  <c r="I85" i="30" l="1"/>
  <c r="G85" i="30"/>
  <c r="H85" i="30" s="1"/>
  <c r="I86" i="17"/>
  <c r="F31" i="3" s="1"/>
  <c r="O31" i="3" s="1"/>
  <c r="N21" i="11" s="1"/>
  <c r="M130" i="12" s="1"/>
  <c r="G86" i="17"/>
  <c r="H86" i="17" s="1"/>
  <c r="I86" i="30" l="1"/>
  <c r="G86" i="30"/>
  <c r="H86" i="30" s="1"/>
  <c r="N22" i="11"/>
  <c r="M31" i="12"/>
  <c r="G87" i="17"/>
  <c r="I87" i="17"/>
  <c r="I87" i="30" l="1"/>
  <c r="G87" i="30"/>
  <c r="H87" i="30" s="1"/>
  <c r="G88" i="17"/>
  <c r="H88" i="17" s="1"/>
  <c r="I88" i="17"/>
  <c r="H87" i="17"/>
  <c r="I88" i="30" l="1"/>
  <c r="G88" i="30"/>
  <c r="H88" i="30" s="1"/>
  <c r="G89" i="17"/>
  <c r="I89" i="17"/>
  <c r="I89" i="30" l="1"/>
  <c r="G89" i="30"/>
  <c r="H89" i="30" s="1"/>
  <c r="G90" i="17"/>
  <c r="H90" i="17" s="1"/>
  <c r="I90" i="17"/>
  <c r="H89" i="17"/>
  <c r="I90" i="30" l="1"/>
  <c r="G90" i="30"/>
  <c r="H90" i="30" s="1"/>
  <c r="I91" i="17"/>
  <c r="G91" i="17"/>
  <c r="I91" i="30" l="1"/>
  <c r="G91" i="30"/>
  <c r="H91" i="30" s="1"/>
  <c r="H91" i="17"/>
  <c r="G92" i="17"/>
  <c r="H92" i="17" s="1"/>
  <c r="I92" i="17"/>
  <c r="G92" i="30" l="1"/>
  <c r="H92" i="30" s="1"/>
  <c r="I92" i="30"/>
  <c r="G93" i="17"/>
  <c r="I93" i="17"/>
  <c r="I93" i="30" l="1"/>
  <c r="G93" i="30"/>
  <c r="H93" i="30" s="1"/>
  <c r="G94" i="17"/>
  <c r="H94" i="17" s="1"/>
  <c r="I94" i="17"/>
  <c r="H93" i="17"/>
  <c r="G94" i="30" l="1"/>
  <c r="H94" i="30" s="1"/>
  <c r="I94" i="30"/>
  <c r="I95" i="17"/>
  <c r="G95" i="17"/>
  <c r="I95" i="30" l="1"/>
  <c r="G95" i="30"/>
  <c r="H95" i="30" s="1"/>
  <c r="H95" i="17"/>
  <c r="G96" i="17"/>
  <c r="H96" i="17" s="1"/>
  <c r="I96" i="17"/>
  <c r="I96" i="30" l="1"/>
  <c r="G96" i="30"/>
  <c r="H96" i="30" s="1"/>
  <c r="G97" i="17"/>
  <c r="H97" i="17" s="1"/>
  <c r="I97" i="17"/>
  <c r="G97" i="30" l="1"/>
  <c r="H97" i="30" s="1"/>
  <c r="I97" i="30"/>
  <c r="G98" i="17"/>
  <c r="I98" i="17"/>
  <c r="I98" i="30" l="1"/>
  <c r="G98" i="30"/>
  <c r="H98" i="30" s="1"/>
  <c r="H98" i="17"/>
  <c r="E25" i="3"/>
  <c r="E26" i="3"/>
  <c r="E27" i="3"/>
  <c r="E28" i="3"/>
  <c r="E29" i="3"/>
  <c r="E30" i="3"/>
  <c r="E31" i="3"/>
  <c r="E32" i="3"/>
  <c r="N29" i="3" l="1"/>
  <c r="L48" i="11" s="1"/>
  <c r="M29" i="3"/>
  <c r="G17" i="20" s="1"/>
  <c r="N27" i="3"/>
  <c r="J48" i="11" s="1"/>
  <c r="M27" i="3"/>
  <c r="E17" i="20" s="1"/>
  <c r="N26" i="3"/>
  <c r="I48" i="11" s="1"/>
  <c r="M26" i="3"/>
  <c r="D17" i="20" s="1"/>
  <c r="N25" i="3"/>
  <c r="H48" i="11" s="1"/>
  <c r="G53" i="12" s="1"/>
  <c r="M25" i="3"/>
  <c r="C17" i="20" s="1"/>
  <c r="N32" i="3"/>
  <c r="O48" i="11" s="1"/>
  <c r="M32" i="3"/>
  <c r="J17" i="20" s="1"/>
  <c r="N31" i="3"/>
  <c r="N48" i="11" s="1"/>
  <c r="M31" i="3"/>
  <c r="I17" i="20" s="1"/>
  <c r="N28" i="3"/>
  <c r="K48" i="11" s="1"/>
  <c r="M28" i="3"/>
  <c r="F17" i="20" s="1"/>
  <c r="M30" i="3"/>
  <c r="H17" i="20" s="1"/>
  <c r="N30" i="3"/>
  <c r="M48" i="11" s="1"/>
  <c r="L53" i="12" s="1"/>
  <c r="I99" i="30"/>
  <c r="G99" i="30"/>
  <c r="H99" i="30" s="1"/>
  <c r="N53" i="12"/>
  <c r="M53" i="12"/>
  <c r="K53" i="12"/>
  <c r="J53" i="12"/>
  <c r="I53" i="12"/>
  <c r="H53" i="12"/>
  <c r="E33" i="3"/>
  <c r="E34" i="3" s="1"/>
  <c r="G100" i="30" l="1"/>
  <c r="H100" i="30" s="1"/>
  <c r="I100" i="30"/>
  <c r="Q48" i="11"/>
  <c r="I101" i="30" l="1"/>
  <c r="G101" i="30"/>
  <c r="H101" i="30" s="1"/>
  <c r="G7" i="11"/>
  <c r="I102" i="30" l="1"/>
  <c r="G102" i="30"/>
  <c r="H102" i="30" s="1"/>
  <c r="G84" i="11"/>
  <c r="G58" i="11"/>
  <c r="G59" i="11" s="1"/>
  <c r="G82" i="11"/>
  <c r="G13" i="11"/>
  <c r="F122" i="12" s="1"/>
  <c r="G83" i="11"/>
  <c r="F124" i="12" l="1"/>
  <c r="F125" i="12" s="1"/>
  <c r="F129" i="12"/>
  <c r="F131" i="12" s="1"/>
  <c r="F132" i="12" s="1"/>
  <c r="I103" i="30"/>
  <c r="G103" i="30"/>
  <c r="H103" i="30" s="1"/>
  <c r="Q9" i="11"/>
  <c r="Q13" i="11"/>
  <c r="Q11" i="11"/>
  <c r="Q6" i="11"/>
  <c r="Q5" i="11"/>
  <c r="Q4" i="11"/>
  <c r="Q7" i="11"/>
  <c r="G56" i="11"/>
  <c r="G60" i="11" s="1"/>
  <c r="G86" i="11"/>
  <c r="G103" i="11"/>
  <c r="G33" i="11"/>
  <c r="G104" i="30" l="1"/>
  <c r="H104" i="30" s="1"/>
  <c r="I104" i="30"/>
  <c r="B40" i="23"/>
  <c r="J40" i="23"/>
  <c r="H40" i="23"/>
  <c r="K40" i="23"/>
  <c r="M40" i="23"/>
  <c r="G40" i="23"/>
  <c r="L40" i="23"/>
  <c r="F40" i="23"/>
  <c r="C40" i="23"/>
  <c r="I40" i="23"/>
  <c r="D40" i="23"/>
  <c r="E40" i="23"/>
  <c r="G105" i="30" l="1"/>
  <c r="H105" i="30" s="1"/>
  <c r="I105" i="30"/>
  <c r="B30" i="23"/>
  <c r="H12" i="23"/>
  <c r="L21" i="23"/>
  <c r="C21" i="23"/>
  <c r="G21" i="23"/>
  <c r="E21" i="23"/>
  <c r="L39" i="23"/>
  <c r="G39" i="23"/>
  <c r="F39" i="23"/>
  <c r="B39" i="23"/>
  <c r="M39" i="23"/>
  <c r="I39" i="23"/>
  <c r="J39" i="23"/>
  <c r="C39" i="23"/>
  <c r="H39" i="23"/>
  <c r="K39" i="23"/>
  <c r="E39" i="23"/>
  <c r="D39" i="23"/>
  <c r="N40" i="23"/>
  <c r="H30" i="23"/>
  <c r="I12" i="23" l="1"/>
  <c r="B12" i="23"/>
  <c r="L30" i="23"/>
  <c r="G30" i="23"/>
  <c r="E30" i="23"/>
  <c r="C30" i="23"/>
  <c r="B31" i="23"/>
  <c r="H13" i="23"/>
  <c r="L12" i="23"/>
  <c r="G12" i="23"/>
  <c r="E12" i="23"/>
  <c r="C12" i="23"/>
  <c r="K12" i="23"/>
  <c r="L22" i="23"/>
  <c r="E22" i="23"/>
  <c r="G22" i="23"/>
  <c r="C22" i="23"/>
  <c r="K21" i="23"/>
  <c r="F21" i="23"/>
  <c r="D21" i="23"/>
  <c r="H31" i="23"/>
  <c r="N39" i="23"/>
  <c r="I13" i="23" l="1"/>
  <c r="B13" i="23"/>
  <c r="J30" i="23"/>
  <c r="K30" i="23"/>
  <c r="M30" i="23"/>
  <c r="F30" i="23"/>
  <c r="J21" i="23"/>
  <c r="D30" i="23"/>
  <c r="J12" i="23"/>
  <c r="M21" i="23"/>
  <c r="F12" i="23"/>
  <c r="D12" i="23"/>
  <c r="M12" i="23"/>
  <c r="L31" i="23"/>
  <c r="G31" i="23"/>
  <c r="E31" i="23"/>
  <c r="C31" i="23"/>
  <c r="L13" i="23"/>
  <c r="G13" i="23"/>
  <c r="E13" i="23"/>
  <c r="C13" i="23"/>
  <c r="K13" i="23"/>
  <c r="K22" i="23"/>
  <c r="D22" i="23"/>
  <c r="F22" i="23"/>
  <c r="N30" i="23" l="1"/>
  <c r="N12" i="23"/>
  <c r="M22" i="23"/>
  <c r="M31" i="23"/>
  <c r="K31" i="23"/>
  <c r="M13" i="23"/>
  <c r="J22" i="23"/>
  <c r="J31" i="23"/>
  <c r="F31" i="23"/>
  <c r="J13" i="23"/>
  <c r="D31" i="23"/>
  <c r="F13" i="23"/>
  <c r="D13" i="23"/>
  <c r="N21" i="23"/>
  <c r="N22" i="23" l="1"/>
  <c r="N31" i="23"/>
  <c r="N13" i="23"/>
  <c r="G92" i="11" l="1"/>
  <c r="G94" i="11"/>
  <c r="G96" i="11" s="1"/>
  <c r="G69" i="11"/>
  <c r="G77" i="11"/>
  <c r="G78" i="11"/>
  <c r="G66" i="11"/>
  <c r="G101" i="11"/>
  <c r="G79" i="11"/>
  <c r="G65" i="11"/>
  <c r="G70" i="11"/>
  <c r="G90" i="11"/>
  <c r="G102" i="11"/>
  <c r="G91" i="11"/>
  <c r="G71" i="11" l="1"/>
  <c r="G104" i="11"/>
  <c r="F54" i="12" l="1"/>
  <c r="F57" i="12" s="1"/>
  <c r="F62" i="12" s="1"/>
  <c r="F68" i="12" s="1"/>
  <c r="F95" i="12" s="1"/>
  <c r="F98" i="12" s="1"/>
  <c r="G157" i="12" l="1"/>
  <c r="J38" i="23"/>
  <c r="D38" i="23" l="1"/>
  <c r="B38" i="23"/>
  <c r="H38" i="23"/>
  <c r="G38" i="23"/>
  <c r="L38" i="23"/>
  <c r="C38" i="23"/>
  <c r="E38" i="23"/>
  <c r="K38" i="23"/>
  <c r="I38" i="23"/>
  <c r="F38" i="23"/>
  <c r="M38" i="23"/>
  <c r="H11" i="23" l="1"/>
  <c r="I29" i="23"/>
  <c r="H20" i="23"/>
  <c r="I20" i="23"/>
  <c r="B20" i="23"/>
  <c r="N38" i="23"/>
  <c r="N44" i="23" s="1"/>
  <c r="B11" i="23" l="1"/>
  <c r="C11" i="23"/>
  <c r="C20" i="23"/>
  <c r="L20" i="23"/>
  <c r="E20" i="23"/>
  <c r="G20" i="23"/>
  <c r="B29" i="23"/>
  <c r="I11" i="23" l="1"/>
  <c r="L11" i="23"/>
  <c r="D20" i="23"/>
  <c r="G29" i="23"/>
  <c r="K20" i="23"/>
  <c r="K11" i="23"/>
  <c r="L29" i="23"/>
  <c r="H29" i="23"/>
  <c r="G11" i="23"/>
  <c r="F20" i="23"/>
  <c r="E29" i="23"/>
  <c r="C29" i="23"/>
  <c r="E11" i="23"/>
  <c r="K29" i="23" l="1"/>
  <c r="F29" i="23"/>
  <c r="J20" i="23"/>
  <c r="F11" i="23"/>
  <c r="M11" i="23"/>
  <c r="M29" i="23"/>
  <c r="J29" i="23"/>
  <c r="D11" i="23"/>
  <c r="M20" i="23"/>
  <c r="J11" i="23"/>
  <c r="D29" i="23"/>
  <c r="N29" i="23" l="1"/>
  <c r="N35" i="23" s="1"/>
  <c r="N20" i="23"/>
  <c r="N26" i="23" s="1"/>
  <c r="N11" i="23"/>
  <c r="N17" i="23" s="1"/>
  <c r="G4" i="21" l="1"/>
  <c r="G19" i="21" s="1"/>
  <c r="L4" i="21"/>
  <c r="L19" i="21" s="1"/>
  <c r="H5" i="21"/>
  <c r="H20" i="21" s="1"/>
  <c r="I5" i="21"/>
  <c r="I20" i="21" s="1"/>
  <c r="E5" i="21"/>
  <c r="C5" i="21"/>
  <c r="C12" i="21" s="1"/>
  <c r="K5" i="21"/>
  <c r="K20" i="21" s="1"/>
  <c r="M4" i="21"/>
  <c r="M19" i="21" s="1"/>
  <c r="M5" i="21"/>
  <c r="M12" i="21" s="1"/>
  <c r="C7" i="21"/>
  <c r="C14" i="21" s="1"/>
  <c r="L8" i="21"/>
  <c r="L15" i="21" s="1"/>
  <c r="K7" i="21"/>
  <c r="K14" i="21" s="1"/>
  <c r="I4" i="21"/>
  <c r="E6" i="21"/>
  <c r="E13" i="21" s="1"/>
  <c r="H8" i="21"/>
  <c r="H15" i="21" s="1"/>
  <c r="G7" i="21"/>
  <c r="G14" i="21" s="1"/>
  <c r="D5" i="21"/>
  <c r="J6" i="21"/>
  <c r="J13" i="21" s="1"/>
  <c r="C8" i="21"/>
  <c r="C15" i="21" s="1"/>
  <c r="B7" i="21"/>
  <c r="J5" i="21"/>
  <c r="J12" i="21" s="1"/>
  <c r="K8" i="21"/>
  <c r="K15" i="21" s="1"/>
  <c r="E8" i="21"/>
  <c r="E15" i="21" s="1"/>
  <c r="F8" i="21"/>
  <c r="F15" i="21" s="1"/>
  <c r="L7" i="21"/>
  <c r="L14" i="21" s="1"/>
  <c r="E7" i="21"/>
  <c r="E14" i="21" s="1"/>
  <c r="K6" i="21"/>
  <c r="K13" i="21" s="1"/>
  <c r="J7" i="21"/>
  <c r="J14" i="21" s="1"/>
  <c r="B8" i="21"/>
  <c r="H3" i="21"/>
  <c r="H4" i="21"/>
  <c r="H11" i="21" s="1"/>
  <c r="K4" i="21"/>
  <c r="K19" i="21" s="1"/>
  <c r="C4" i="21"/>
  <c r="C11" i="21" s="1"/>
  <c r="E4" i="21"/>
  <c r="E11" i="21" s="1"/>
  <c r="G5" i="21"/>
  <c r="G12" i="21" s="1"/>
  <c r="F4" i="21"/>
  <c r="F11" i="21" s="1"/>
  <c r="D4" i="21"/>
  <c r="D11" i="21" s="1"/>
  <c r="J4" i="21"/>
  <c r="J11" i="21" s="1"/>
  <c r="L5" i="21"/>
  <c r="L12" i="21" s="1"/>
  <c r="F5" i="21"/>
  <c r="F20" i="21" s="1"/>
  <c r="C3" i="21"/>
  <c r="H6" i="21"/>
  <c r="H13" i="21" s="1"/>
  <c r="I6" i="21"/>
  <c r="I13" i="21" s="1"/>
  <c r="I7" i="21"/>
  <c r="I14" i="21" s="1"/>
  <c r="L6" i="21"/>
  <c r="L13" i="21" s="1"/>
  <c r="J8" i="21"/>
  <c r="J15" i="21" s="1"/>
  <c r="G6" i="21"/>
  <c r="G13" i="21" s="1"/>
  <c r="F6" i="21"/>
  <c r="F13" i="21" s="1"/>
  <c r="M6" i="21"/>
  <c r="M13" i="21" s="1"/>
  <c r="K3" i="21"/>
  <c r="D3" i="21"/>
  <c r="H7" i="21"/>
  <c r="H14" i="21" s="1"/>
  <c r="C6" i="21"/>
  <c r="C13" i="21" s="1"/>
  <c r="G8" i="21"/>
  <c r="G15" i="21" s="1"/>
  <c r="D8" i="21"/>
  <c r="M8" i="21"/>
  <c r="M15" i="21" s="1"/>
  <c r="I8" i="21"/>
  <c r="I15" i="21" s="1"/>
  <c r="M7" i="21"/>
  <c r="M14" i="21" s="1"/>
  <c r="F7" i="21"/>
  <c r="F14" i="21" s="1"/>
  <c r="D6" i="21"/>
  <c r="D13" i="21" s="1"/>
  <c r="E3" i="21"/>
  <c r="E10" i="21" s="1"/>
  <c r="G3" i="21"/>
  <c r="D7" i="21"/>
  <c r="D14" i="21" s="1"/>
  <c r="B6" i="21"/>
  <c r="L3" i="21"/>
  <c r="M3" i="21"/>
  <c r="F3" i="21"/>
  <c r="B5" i="21"/>
  <c r="J3" i="21"/>
  <c r="I3" i="21"/>
  <c r="B4" i="21"/>
  <c r="B3" i="21"/>
  <c r="B10" i="21" s="1"/>
  <c r="F12" i="21" l="1"/>
  <c r="C19" i="21"/>
  <c r="J19" i="21"/>
  <c r="L3" i="5"/>
  <c r="C18" i="21"/>
  <c r="C9" i="21"/>
  <c r="F19" i="21"/>
  <c r="H19" i="21"/>
  <c r="K10" i="21"/>
  <c r="K9" i="21"/>
  <c r="AF3" i="5"/>
  <c r="I9" i="21"/>
  <c r="G10" i="21"/>
  <c r="G9" i="21"/>
  <c r="H9" i="21"/>
  <c r="J18" i="21"/>
  <c r="J9" i="21"/>
  <c r="L10" i="21"/>
  <c r="L9" i="21"/>
  <c r="E18" i="21"/>
  <c r="E9" i="21"/>
  <c r="E19" i="21"/>
  <c r="D18" i="21"/>
  <c r="D9" i="21"/>
  <c r="B18" i="21"/>
  <c r="F9" i="21"/>
  <c r="M18" i="21"/>
  <c r="M9" i="21"/>
  <c r="N6" i="21"/>
  <c r="D10" i="21"/>
  <c r="K18" i="21"/>
  <c r="K21" i="21" s="1"/>
  <c r="M20" i="21"/>
  <c r="L18" i="21"/>
  <c r="C20" i="21"/>
  <c r="B9" i="21"/>
  <c r="K11" i="21"/>
  <c r="H12" i="21"/>
  <c r="G11" i="21"/>
  <c r="I10" i="21"/>
  <c r="I18" i="21"/>
  <c r="N3" i="21"/>
  <c r="D15" i="21"/>
  <c r="N8" i="21"/>
  <c r="B19" i="21"/>
  <c r="B11" i="21"/>
  <c r="N4" i="21"/>
  <c r="F18" i="21"/>
  <c r="F21" i="21" s="1"/>
  <c r="F10" i="21"/>
  <c r="J10" i="21"/>
  <c r="J16" i="21" s="1"/>
  <c r="M10" i="21"/>
  <c r="DH3" i="5"/>
  <c r="B15" i="21"/>
  <c r="CN3" i="5"/>
  <c r="B14" i="21"/>
  <c r="N14" i="21" s="1"/>
  <c r="N7" i="21"/>
  <c r="AZ3" i="5"/>
  <c r="N5" i="21"/>
  <c r="B12" i="21"/>
  <c r="B20" i="21"/>
  <c r="I11" i="21"/>
  <c r="I19" i="21"/>
  <c r="E20" i="21"/>
  <c r="E12" i="21"/>
  <c r="E16" i="21" s="1"/>
  <c r="G18" i="21"/>
  <c r="M11" i="21"/>
  <c r="H18" i="21"/>
  <c r="J20" i="21"/>
  <c r="D20" i="21"/>
  <c r="L20" i="21"/>
  <c r="D19" i="21"/>
  <c r="G20" i="21"/>
  <c r="C10" i="21"/>
  <c r="C16" i="21" s="1"/>
  <c r="D12" i="21"/>
  <c r="L11" i="21"/>
  <c r="B13" i="21"/>
  <c r="N13" i="21" s="1"/>
  <c r="H10" i="21"/>
  <c r="K12" i="21"/>
  <c r="BT3" i="5"/>
  <c r="I12" i="21"/>
  <c r="K16" i="21" l="1"/>
  <c r="W21" i="5"/>
  <c r="F16" i="21"/>
  <c r="CE38" i="5"/>
  <c r="G16" i="21"/>
  <c r="H16" i="21"/>
  <c r="E21" i="21"/>
  <c r="D16" i="21"/>
  <c r="C21" i="21"/>
  <c r="H21" i="21"/>
  <c r="L21" i="21"/>
  <c r="N15" i="21"/>
  <c r="BK22" i="5"/>
  <c r="D21" i="21"/>
  <c r="J21" i="21"/>
  <c r="C33" i="5"/>
  <c r="M21" i="21"/>
  <c r="BK34" i="5"/>
  <c r="L16" i="21"/>
  <c r="BK33" i="5"/>
  <c r="CE37" i="5"/>
  <c r="M16" i="21"/>
  <c r="C21" i="5"/>
  <c r="G21" i="21"/>
  <c r="CE20" i="5"/>
  <c r="CE36" i="5"/>
  <c r="CY28" i="5"/>
  <c r="N11" i="21"/>
  <c r="B16" i="21"/>
  <c r="CE34" i="5"/>
  <c r="C37" i="5"/>
  <c r="AQ34" i="5"/>
  <c r="CY35" i="5"/>
  <c r="BK36" i="5"/>
  <c r="CE35" i="5"/>
  <c r="BK21" i="5"/>
  <c r="CY39" i="5"/>
  <c r="C36" i="5"/>
  <c r="BK27" i="5"/>
  <c r="W22" i="5"/>
  <c r="N19" i="21"/>
  <c r="N10" i="21"/>
  <c r="CE22" i="5"/>
  <c r="I21" i="21"/>
  <c r="CY36" i="5"/>
  <c r="AQ38" i="5"/>
  <c r="CE33" i="5"/>
  <c r="CY27" i="5"/>
  <c r="C27" i="5"/>
  <c r="W28" i="5"/>
  <c r="C34" i="5"/>
  <c r="W27" i="5"/>
  <c r="BK28" i="5"/>
  <c r="AQ20" i="5"/>
  <c r="CY21" i="5"/>
  <c r="CE39" i="5"/>
  <c r="C20" i="5"/>
  <c r="CE28" i="5"/>
  <c r="AQ39" i="5"/>
  <c r="CY33" i="5"/>
  <c r="BK20" i="5"/>
  <c r="C22" i="5"/>
  <c r="AQ33" i="5"/>
  <c r="W37" i="5"/>
  <c r="W38" i="5"/>
  <c r="I16" i="21"/>
  <c r="CE27" i="5"/>
  <c r="BK37" i="5"/>
  <c r="W36" i="5"/>
  <c r="AQ22" i="5"/>
  <c r="C39" i="5"/>
  <c r="AQ37" i="5"/>
  <c r="W35" i="5"/>
  <c r="AQ27" i="5"/>
  <c r="N18" i="21"/>
  <c r="C38" i="5"/>
  <c r="N20" i="21"/>
  <c r="W33" i="5"/>
  <c r="AQ28" i="5"/>
  <c r="CY20" i="5"/>
  <c r="CY38" i="5"/>
  <c r="AQ21" i="5"/>
  <c r="W34" i="5"/>
  <c r="AQ35" i="5"/>
  <c r="C28" i="5"/>
  <c r="BK38" i="5"/>
  <c r="B21" i="21"/>
  <c r="BK35" i="5"/>
  <c r="N12" i="21"/>
  <c r="W20" i="5"/>
  <c r="C35" i="5"/>
  <c r="CE21" i="5"/>
  <c r="W39" i="5"/>
  <c r="BK39" i="5"/>
  <c r="CY22" i="5"/>
  <c r="CY34" i="5"/>
  <c r="CY37" i="5"/>
  <c r="AQ36" i="5"/>
  <c r="BK23" i="5" l="1"/>
  <c r="BK24" i="5" s="1"/>
  <c r="BK46" i="5" s="1"/>
  <c r="W23" i="5"/>
  <c r="W24" i="5" s="1"/>
  <c r="B23" i="21" s="1"/>
  <c r="N21" i="21"/>
  <c r="CE23" i="5"/>
  <c r="CE24" i="5" s="1"/>
  <c r="CE46" i="5" s="1"/>
  <c r="CE29" i="5"/>
  <c r="CE30" i="5" s="1"/>
  <c r="CE47" i="5" s="1"/>
  <c r="C40" i="5"/>
  <c r="C41" i="5" s="1"/>
  <c r="C49" i="5" s="1"/>
  <c r="C50" i="5" s="1"/>
  <c r="C23" i="5"/>
  <c r="C24" i="5" s="1"/>
  <c r="K24" i="21" s="1"/>
  <c r="BK40" i="5"/>
  <c r="BK41" i="5" s="1"/>
  <c r="BK49" i="5" s="1"/>
  <c r="BK50" i="5" s="1"/>
  <c r="C29" i="5"/>
  <c r="C30" i="5" s="1"/>
  <c r="C47" i="5" s="1"/>
  <c r="CY29" i="5"/>
  <c r="CY30" i="5" s="1"/>
  <c r="CY47" i="5" s="1"/>
  <c r="CY23" i="5"/>
  <c r="AQ40" i="5"/>
  <c r="AQ41" i="5" s="1"/>
  <c r="AQ49" i="5" s="1"/>
  <c r="AQ50" i="5" s="1"/>
  <c r="W40" i="5"/>
  <c r="W41" i="5" s="1"/>
  <c r="W49" i="5" s="1"/>
  <c r="W50" i="5" s="1"/>
  <c r="AQ23" i="5"/>
  <c r="AQ24" i="5" s="1"/>
  <c r="CE40" i="5"/>
  <c r="CE41" i="5" s="1"/>
  <c r="CE49" i="5" s="1"/>
  <c r="CE50" i="5" s="1"/>
  <c r="BK29" i="5"/>
  <c r="BK30" i="5" s="1"/>
  <c r="BK47" i="5" s="1"/>
  <c r="CY40" i="5"/>
  <c r="N16" i="21"/>
  <c r="H38" i="11" s="1"/>
  <c r="E23" i="21"/>
  <c r="W46" i="5"/>
  <c r="L23" i="21"/>
  <c r="W29" i="5"/>
  <c r="W30" i="5" s="1"/>
  <c r="W47" i="5" s="1"/>
  <c r="AQ29" i="5"/>
  <c r="AQ30" i="5" s="1"/>
  <c r="AQ47" i="5" s="1"/>
  <c r="BK48" i="5" l="1"/>
  <c r="BK51" i="5" s="1"/>
  <c r="BK52" i="5" s="1"/>
  <c r="F23" i="21"/>
  <c r="G23" i="21"/>
  <c r="D23" i="21"/>
  <c r="C23" i="21"/>
  <c r="K23" i="21"/>
  <c r="M23" i="21"/>
  <c r="I23" i="21"/>
  <c r="J23" i="21"/>
  <c r="H23" i="21"/>
  <c r="B24" i="21"/>
  <c r="G24" i="21"/>
  <c r="D24" i="21"/>
  <c r="C24" i="21"/>
  <c r="H24" i="21"/>
  <c r="CE48" i="5"/>
  <c r="CE51" i="5" s="1"/>
  <c r="CE52" i="5" s="1"/>
  <c r="J24" i="21"/>
  <c r="I24" i="21"/>
  <c r="F24" i="21"/>
  <c r="C46" i="5"/>
  <c r="C48" i="5" s="1"/>
  <c r="C51" i="5" s="1"/>
  <c r="C52" i="5" s="1"/>
  <c r="L24" i="21"/>
  <c r="E24" i="21"/>
  <c r="M24" i="21"/>
  <c r="W48" i="5"/>
  <c r="W51" i="5" s="1"/>
  <c r="W52" i="5" s="1"/>
  <c r="G25" i="21"/>
  <c r="M25" i="21"/>
  <c r="B25" i="21"/>
  <c r="AQ46" i="5"/>
  <c r="AQ48" i="5" s="1"/>
  <c r="AQ51" i="5" s="1"/>
  <c r="J25" i="21"/>
  <c r="C25" i="21"/>
  <c r="F25" i="21"/>
  <c r="L25" i="21"/>
  <c r="I25" i="21"/>
  <c r="K25" i="21"/>
  <c r="D25" i="21"/>
  <c r="H25" i="21"/>
  <c r="E25" i="21"/>
  <c r="R40" i="11"/>
  <c r="H70" i="11"/>
  <c r="H92" i="11"/>
  <c r="R43" i="11"/>
  <c r="R45" i="11"/>
  <c r="H94" i="11"/>
  <c r="C13" i="25"/>
  <c r="R48" i="11"/>
  <c r="R42" i="11"/>
  <c r="I38" i="11"/>
  <c r="R44" i="11"/>
  <c r="C7" i="20"/>
  <c r="C9" i="20" s="1"/>
  <c r="R38" i="11"/>
  <c r="CY24" i="5"/>
  <c r="CY46" i="5" s="1"/>
  <c r="CY48" i="5" s="1"/>
  <c r="CY41" i="5"/>
  <c r="CY49" i="5" s="1"/>
  <c r="CY50" i="5" s="1"/>
  <c r="K26" i="21" l="1"/>
  <c r="N23" i="21"/>
  <c r="C26" i="21"/>
  <c r="B26" i="21"/>
  <c r="D26" i="21"/>
  <c r="H26" i="21"/>
  <c r="G26" i="21"/>
  <c r="I26" i="21"/>
  <c r="J26" i="21"/>
  <c r="M26" i="21"/>
  <c r="F26" i="21"/>
  <c r="N24" i="21"/>
  <c r="L26" i="21"/>
  <c r="C53" i="5"/>
  <c r="C55" i="5" s="1"/>
  <c r="E26" i="21"/>
  <c r="S42" i="11"/>
  <c r="I92" i="11"/>
  <c r="S40" i="11"/>
  <c r="S44" i="11"/>
  <c r="S43" i="11"/>
  <c r="I70" i="11"/>
  <c r="I94" i="11"/>
  <c r="S48" i="11"/>
  <c r="D7" i="20"/>
  <c r="D9" i="20" s="1"/>
  <c r="S38" i="11"/>
  <c r="S45" i="11"/>
  <c r="D13" i="25"/>
  <c r="J38" i="11"/>
  <c r="K38" i="11" s="1"/>
  <c r="L38" i="11" s="1"/>
  <c r="AQ52" i="5"/>
  <c r="CE53" i="5"/>
  <c r="CE55" i="5" s="1"/>
  <c r="N25" i="21"/>
  <c r="CY51" i="5"/>
  <c r="W53" i="5"/>
  <c r="W55" i="5" s="1"/>
  <c r="BK53" i="5"/>
  <c r="BK55" i="5" s="1"/>
  <c r="N26" i="21" l="1"/>
  <c r="CY52" i="5"/>
  <c r="CY53" i="5" s="1"/>
  <c r="AQ53" i="5"/>
  <c r="AQ55" i="5" s="1"/>
  <c r="T42" i="11"/>
  <c r="T48" i="11"/>
  <c r="J92" i="11"/>
  <c r="T45" i="11"/>
  <c r="E7" i="20"/>
  <c r="E9" i="20" s="1"/>
  <c r="T40" i="11"/>
  <c r="T44" i="11"/>
  <c r="J70" i="11"/>
  <c r="E13" i="25"/>
  <c r="J94" i="11"/>
  <c r="T38" i="11"/>
  <c r="T43" i="11"/>
  <c r="H39" i="11"/>
  <c r="C30" i="21" l="1"/>
  <c r="C4" i="22"/>
  <c r="R39" i="11"/>
  <c r="I39" i="11"/>
  <c r="O21" i="21"/>
  <c r="H41" i="11"/>
  <c r="O26" i="21"/>
  <c r="CY55" i="5"/>
  <c r="U45" i="11"/>
  <c r="U42" i="11"/>
  <c r="U40" i="11"/>
  <c r="K92" i="11"/>
  <c r="U44" i="11"/>
  <c r="U43" i="11"/>
  <c r="K70" i="11"/>
  <c r="U38" i="11"/>
  <c r="U48" i="11"/>
  <c r="F7" i="20"/>
  <c r="F9" i="20" s="1"/>
  <c r="F13" i="25"/>
  <c r="K94" i="11"/>
  <c r="D4" i="22" l="1"/>
  <c r="S39" i="11"/>
  <c r="D30" i="21"/>
  <c r="D31" i="21" s="1"/>
  <c r="D32" i="21" s="1"/>
  <c r="J39" i="11"/>
  <c r="K39" i="11" s="1"/>
  <c r="L39" i="11" s="1"/>
  <c r="I41" i="11"/>
  <c r="C6" i="22"/>
  <c r="C5" i="22"/>
  <c r="C13" i="20" s="1"/>
  <c r="V44" i="11"/>
  <c r="V48" i="11"/>
  <c r="V38" i="11"/>
  <c r="V42" i="11"/>
  <c r="L70" i="11"/>
  <c r="L92" i="11"/>
  <c r="V40" i="11"/>
  <c r="V45" i="11"/>
  <c r="G7" i="20"/>
  <c r="G9" i="20" s="1"/>
  <c r="V43" i="11"/>
  <c r="L94" i="11"/>
  <c r="G13" i="25"/>
  <c r="M38" i="11"/>
  <c r="C31" i="21"/>
  <c r="C32" i="21" s="1"/>
  <c r="R41" i="11"/>
  <c r="H77" i="11"/>
  <c r="H46" i="11"/>
  <c r="D33" i="21" l="1"/>
  <c r="D12" i="20" s="1"/>
  <c r="I6" i="11"/>
  <c r="D6" i="22"/>
  <c r="D5" i="22"/>
  <c r="D13" i="20" s="1"/>
  <c r="C33" i="21"/>
  <c r="C12" i="20" s="1"/>
  <c r="H6" i="11"/>
  <c r="W40" i="11"/>
  <c r="W45" i="11"/>
  <c r="W43" i="11"/>
  <c r="W38" i="11"/>
  <c r="M70" i="11"/>
  <c r="W42" i="11"/>
  <c r="M92" i="11"/>
  <c r="W44" i="11"/>
  <c r="W48" i="11"/>
  <c r="H7" i="20"/>
  <c r="H9" i="20" s="1"/>
  <c r="M94" i="11"/>
  <c r="N38" i="11"/>
  <c r="H13" i="25"/>
  <c r="H78" i="11"/>
  <c r="R46" i="11"/>
  <c r="H64" i="11"/>
  <c r="H50" i="11"/>
  <c r="T39" i="11"/>
  <c r="E4" i="22"/>
  <c r="E30" i="21"/>
  <c r="E31" i="21" s="1"/>
  <c r="E32" i="21" s="1"/>
  <c r="J41" i="11"/>
  <c r="C7" i="22"/>
  <c r="C14" i="20" s="1"/>
  <c r="I77" i="11"/>
  <c r="S41" i="11"/>
  <c r="I46" i="11"/>
  <c r="C19" i="20" l="1"/>
  <c r="C20" i="20" s="1"/>
  <c r="C21" i="20" s="1"/>
  <c r="H66" i="11"/>
  <c r="C12" i="25"/>
  <c r="D7" i="22"/>
  <c r="D8" i="22" s="1"/>
  <c r="U39" i="11"/>
  <c r="F4" i="22"/>
  <c r="F30" i="21"/>
  <c r="F31" i="21" s="1"/>
  <c r="F32" i="21" s="1"/>
  <c r="K41" i="11"/>
  <c r="E33" i="21"/>
  <c r="E12" i="20" s="1"/>
  <c r="J6" i="11"/>
  <c r="S46" i="11"/>
  <c r="I78" i="11"/>
  <c r="I64" i="11"/>
  <c r="I50" i="11"/>
  <c r="I93" i="11"/>
  <c r="I96" i="11" s="1"/>
  <c r="C8" i="22"/>
  <c r="J77" i="11"/>
  <c r="T41" i="11"/>
  <c r="J46" i="11"/>
  <c r="E5" i="22"/>
  <c r="E13" i="20" s="1"/>
  <c r="E6" i="22"/>
  <c r="R50" i="11"/>
  <c r="H51" i="11"/>
  <c r="H52" i="11" s="1"/>
  <c r="X43" i="11"/>
  <c r="X38" i="11"/>
  <c r="X42" i="11"/>
  <c r="N92" i="11"/>
  <c r="X44" i="11"/>
  <c r="X48" i="11"/>
  <c r="X45" i="11"/>
  <c r="X40" i="11"/>
  <c r="N70" i="11"/>
  <c r="I7" i="20"/>
  <c r="I9" i="20" s="1"/>
  <c r="O38" i="11"/>
  <c r="N94" i="11"/>
  <c r="I13" i="25"/>
  <c r="H93" i="11"/>
  <c r="H96" i="11" s="1"/>
  <c r="T46" i="11" l="1"/>
  <c r="J78" i="11"/>
  <c r="J64" i="11"/>
  <c r="J50" i="11"/>
  <c r="U41" i="11"/>
  <c r="K77" i="11"/>
  <c r="K46" i="11"/>
  <c r="D18" i="20"/>
  <c r="G52" i="12"/>
  <c r="H17" i="11"/>
  <c r="R51" i="11"/>
  <c r="H57" i="11"/>
  <c r="S50" i="11"/>
  <c r="I51" i="11"/>
  <c r="I52" i="11" s="1"/>
  <c r="K6" i="11"/>
  <c r="F33" i="21"/>
  <c r="F12" i="20" s="1"/>
  <c r="J93" i="11"/>
  <c r="J96" i="11" s="1"/>
  <c r="G4" i="22"/>
  <c r="G30" i="21"/>
  <c r="G31" i="21" s="1"/>
  <c r="G32" i="21" s="1"/>
  <c r="V39" i="11"/>
  <c r="M39" i="11"/>
  <c r="L41" i="11"/>
  <c r="I18" i="11"/>
  <c r="O92" i="11"/>
  <c r="Y44" i="11"/>
  <c r="Z44" i="11" s="1"/>
  <c r="AB45" i="11" s="1"/>
  <c r="Y40" i="11"/>
  <c r="Z40" i="11" s="1"/>
  <c r="AB41" i="11" s="1"/>
  <c r="Y43" i="11"/>
  <c r="Z43" i="11" s="1"/>
  <c r="AB44" i="11" s="1"/>
  <c r="Y42" i="11"/>
  <c r="Z42" i="11" s="1"/>
  <c r="Y48" i="11"/>
  <c r="Z48" i="11" s="1"/>
  <c r="AB48" i="11" s="1"/>
  <c r="AE48" i="11" s="1"/>
  <c r="Y45" i="11"/>
  <c r="Z45" i="11" s="1"/>
  <c r="AB46" i="11" s="1"/>
  <c r="O70" i="11"/>
  <c r="O94" i="11"/>
  <c r="J7" i="20"/>
  <c r="J9" i="20" s="1"/>
  <c r="J13" i="25"/>
  <c r="Y38" i="11"/>
  <c r="I66" i="11"/>
  <c r="D12" i="25"/>
  <c r="E7" i="22"/>
  <c r="E14" i="20" s="1"/>
  <c r="D14" i="20"/>
  <c r="H18" i="11"/>
  <c r="F6" i="22"/>
  <c r="F5" i="22"/>
  <c r="F13" i="20" s="1"/>
  <c r="H63" i="11"/>
  <c r="H65" i="11" s="1"/>
  <c r="H79" i="11"/>
  <c r="H101" i="11"/>
  <c r="R52" i="11"/>
  <c r="G51" i="12"/>
  <c r="H28" i="11"/>
  <c r="C25" i="20"/>
  <c r="B32" i="20" s="1"/>
  <c r="H4" i="11"/>
  <c r="G54" i="12" l="1"/>
  <c r="D19" i="20"/>
  <c r="D20" i="20" s="1"/>
  <c r="D21" i="20" s="1"/>
  <c r="E8" i="22"/>
  <c r="J18" i="11" s="1"/>
  <c r="W39" i="11"/>
  <c r="H30" i="21"/>
  <c r="H31" i="21" s="1"/>
  <c r="H32" i="21" s="1"/>
  <c r="H4" i="22"/>
  <c r="N39" i="11"/>
  <c r="M41" i="11"/>
  <c r="H19" i="11"/>
  <c r="L77" i="11"/>
  <c r="V41" i="11"/>
  <c r="L46" i="11"/>
  <c r="G33" i="21"/>
  <c r="G12" i="20" s="1"/>
  <c r="L6" i="11"/>
  <c r="J66" i="11"/>
  <c r="E12" i="25"/>
  <c r="G6" i="22"/>
  <c r="G5" i="22"/>
  <c r="G13" i="20" s="1"/>
  <c r="F7" i="22"/>
  <c r="AB42" i="11"/>
  <c r="AH48" i="11" s="1"/>
  <c r="AJ48" i="11" s="1"/>
  <c r="AB43" i="11"/>
  <c r="I95" i="11"/>
  <c r="I67" i="11"/>
  <c r="S52" i="11"/>
  <c r="I63" i="11"/>
  <c r="I65" i="11" s="1"/>
  <c r="I101" i="11"/>
  <c r="H51" i="12"/>
  <c r="I79" i="11"/>
  <c r="I28" i="11"/>
  <c r="U46" i="11"/>
  <c r="K78" i="11"/>
  <c r="K64" i="11"/>
  <c r="K50" i="11"/>
  <c r="K9" i="20"/>
  <c r="T50" i="11"/>
  <c r="J51" i="11"/>
  <c r="J52" i="11" s="1"/>
  <c r="I29" i="11"/>
  <c r="H30" i="11"/>
  <c r="G56" i="12"/>
  <c r="G57" i="12" s="1"/>
  <c r="G62" i="12" s="1"/>
  <c r="AB38" i="11"/>
  <c r="AE38" i="11" s="1"/>
  <c r="AE51" i="11" s="1"/>
  <c r="Z38" i="11"/>
  <c r="AB51" i="11" s="1"/>
  <c r="K93" i="11"/>
  <c r="K96" i="11" s="1"/>
  <c r="H7" i="11"/>
  <c r="H95" i="11"/>
  <c r="H67" i="11"/>
  <c r="I17" i="11"/>
  <c r="H52" i="12"/>
  <c r="E18" i="20"/>
  <c r="E19" i="20" s="1"/>
  <c r="S51" i="11"/>
  <c r="I57" i="11"/>
  <c r="F14" i="20" l="1"/>
  <c r="F8" i="22"/>
  <c r="K18" i="11" s="1"/>
  <c r="E20" i="20"/>
  <c r="E21" i="20" s="1"/>
  <c r="I4" i="22"/>
  <c r="X39" i="11"/>
  <c r="O39" i="11"/>
  <c r="I30" i="21"/>
  <c r="I31" i="21" s="1"/>
  <c r="I32" i="21" s="1"/>
  <c r="N41" i="11"/>
  <c r="L78" i="11"/>
  <c r="V46" i="11"/>
  <c r="L64" i="11"/>
  <c r="L50" i="11"/>
  <c r="G7" i="22"/>
  <c r="G8" i="22" s="1"/>
  <c r="H54" i="12"/>
  <c r="M6" i="11"/>
  <c r="H33" i="21"/>
  <c r="H12" i="20" s="1"/>
  <c r="H6" i="22"/>
  <c r="H5" i="22"/>
  <c r="H13" i="20" s="1"/>
  <c r="D11" i="25"/>
  <c r="I4" i="11"/>
  <c r="D25" i="20"/>
  <c r="B33" i="20" s="1"/>
  <c r="H83" i="11"/>
  <c r="H82" i="11"/>
  <c r="F107" i="12"/>
  <c r="H84" i="11"/>
  <c r="H58" i="11"/>
  <c r="H59" i="11" s="1"/>
  <c r="C7" i="25"/>
  <c r="H13" i="11"/>
  <c r="R7" i="11" s="1"/>
  <c r="H68" i="11"/>
  <c r="G64" i="12" s="1"/>
  <c r="G66" i="12" s="1"/>
  <c r="G68" i="12" s="1"/>
  <c r="G95" i="12" s="1"/>
  <c r="H69" i="11"/>
  <c r="H71" i="11" s="1"/>
  <c r="F106" i="12"/>
  <c r="H24" i="11"/>
  <c r="H87" i="11" s="1"/>
  <c r="W41" i="11"/>
  <c r="M77" i="11"/>
  <c r="M46" i="11"/>
  <c r="J29" i="11"/>
  <c r="I30" i="11"/>
  <c r="S28" i="11" s="1"/>
  <c r="J95" i="11"/>
  <c r="J67" i="11"/>
  <c r="F111" i="12"/>
  <c r="F114" i="12" s="1"/>
  <c r="R30" i="11"/>
  <c r="R29" i="11"/>
  <c r="R27" i="11"/>
  <c r="G32" i="12"/>
  <c r="C10" i="25"/>
  <c r="H90" i="11"/>
  <c r="H80" i="11"/>
  <c r="I19" i="11"/>
  <c r="U50" i="11"/>
  <c r="K51" i="11"/>
  <c r="J79" i="11"/>
  <c r="T52" i="11"/>
  <c r="J63" i="11"/>
  <c r="J65" i="11" s="1"/>
  <c r="J101" i="11"/>
  <c r="J28" i="11"/>
  <c r="I51" i="12"/>
  <c r="F12" i="25"/>
  <c r="K66" i="11"/>
  <c r="L93" i="11"/>
  <c r="L96" i="11" s="1"/>
  <c r="I69" i="11"/>
  <c r="I71" i="11" s="1"/>
  <c r="I68" i="11"/>
  <c r="H64" i="12" s="1"/>
  <c r="H66" i="12" s="1"/>
  <c r="R28" i="11"/>
  <c r="I52" i="12"/>
  <c r="T51" i="11"/>
  <c r="F18" i="20"/>
  <c r="J17" i="11"/>
  <c r="J57" i="11"/>
  <c r="F126" i="12" l="1"/>
  <c r="F133" i="12"/>
  <c r="F19" i="20"/>
  <c r="F20" i="20" s="1"/>
  <c r="F21" i="20" s="1"/>
  <c r="G14" i="20"/>
  <c r="I54" i="12"/>
  <c r="I56" i="12" s="1"/>
  <c r="I57" i="12" s="1"/>
  <c r="I62" i="12" s="1"/>
  <c r="S29" i="11"/>
  <c r="R21" i="11"/>
  <c r="R22" i="11"/>
  <c r="G123" i="12"/>
  <c r="H88" i="11"/>
  <c r="H32" i="11"/>
  <c r="H33" i="11" s="1"/>
  <c r="H86" i="11"/>
  <c r="R16" i="11"/>
  <c r="R24" i="11"/>
  <c r="C9" i="25"/>
  <c r="R18" i="11"/>
  <c r="R17" i="11"/>
  <c r="E25" i="20"/>
  <c r="B34" i="20" s="1"/>
  <c r="J4" i="11"/>
  <c r="I5" i="22"/>
  <c r="I13" i="20" s="1"/>
  <c r="I6" i="22"/>
  <c r="R5" i="11"/>
  <c r="R13" i="11"/>
  <c r="R9" i="11"/>
  <c r="H103" i="11"/>
  <c r="R11" i="11"/>
  <c r="C8" i="25"/>
  <c r="C15" i="25" s="1"/>
  <c r="G122" i="12"/>
  <c r="G129" i="12" s="1"/>
  <c r="G131" i="12" s="1"/>
  <c r="G132" i="12" s="1"/>
  <c r="G133" i="12" s="1"/>
  <c r="H102" i="11"/>
  <c r="H91" i="11"/>
  <c r="R6" i="11"/>
  <c r="H56" i="11"/>
  <c r="H60" i="11" s="1"/>
  <c r="R4" i="11"/>
  <c r="H7" i="22"/>
  <c r="H14" i="20" s="1"/>
  <c r="G12" i="25"/>
  <c r="L66" i="11"/>
  <c r="J30" i="11"/>
  <c r="T29" i="11" s="1"/>
  <c r="K29" i="11"/>
  <c r="U51" i="11"/>
  <c r="J52" i="12"/>
  <c r="G18" i="20"/>
  <c r="K17" i="11"/>
  <c r="K57" i="11"/>
  <c r="G33" i="12"/>
  <c r="G35" i="12" s="1"/>
  <c r="G39" i="12"/>
  <c r="G38" i="12"/>
  <c r="R19" i="11"/>
  <c r="I7" i="11"/>
  <c r="J19" i="11"/>
  <c r="L51" i="11"/>
  <c r="L52" i="11" s="1"/>
  <c r="V50" i="11"/>
  <c r="K52" i="11"/>
  <c r="M93" i="11"/>
  <c r="M96" i="11" s="1"/>
  <c r="J69" i="11"/>
  <c r="J71" i="11" s="1"/>
  <c r="J68" i="11"/>
  <c r="I64" i="12" s="1"/>
  <c r="I66" i="12" s="1"/>
  <c r="S30" i="11"/>
  <c r="S27" i="11"/>
  <c r="D10" i="25"/>
  <c r="H32" i="12"/>
  <c r="I90" i="11"/>
  <c r="I80" i="11"/>
  <c r="E11" i="25"/>
  <c r="H56" i="12"/>
  <c r="H57" i="12" s="1"/>
  <c r="H62" i="12" s="1"/>
  <c r="H68" i="12" s="1"/>
  <c r="H95" i="12" s="1"/>
  <c r="X41" i="11"/>
  <c r="N77" i="11"/>
  <c r="N46" i="11"/>
  <c r="M78" i="11"/>
  <c r="W46" i="11"/>
  <c r="M64" i="11"/>
  <c r="M50" i="11"/>
  <c r="L18" i="11"/>
  <c r="I33" i="21"/>
  <c r="I12" i="20" s="1"/>
  <c r="N6" i="11"/>
  <c r="K95" i="11"/>
  <c r="K67" i="11"/>
  <c r="I24" i="11"/>
  <c r="Y39" i="11"/>
  <c r="Z39" i="11" s="1"/>
  <c r="J30" i="21"/>
  <c r="J31" i="21" s="1"/>
  <c r="J32" i="21" s="1"/>
  <c r="J4" i="22"/>
  <c r="O41" i="11"/>
  <c r="G19" i="20" l="1"/>
  <c r="G20" i="20" s="1"/>
  <c r="H8" i="22"/>
  <c r="M18" i="11" s="1"/>
  <c r="I68" i="12"/>
  <c r="I95" i="12" s="1"/>
  <c r="T28" i="11"/>
  <c r="G124" i="12"/>
  <c r="G125" i="12" s="1"/>
  <c r="G126" i="12" s="1"/>
  <c r="L79" i="11"/>
  <c r="L63" i="11"/>
  <c r="L65" i="11" s="1"/>
  <c r="K51" i="12"/>
  <c r="V52" i="11"/>
  <c r="L101" i="11"/>
  <c r="L28" i="11"/>
  <c r="C16" i="25"/>
  <c r="C19" i="25"/>
  <c r="C17" i="25"/>
  <c r="W50" i="11"/>
  <c r="M51" i="11"/>
  <c r="J24" i="11"/>
  <c r="G40" i="12"/>
  <c r="G44" i="12"/>
  <c r="F11" i="25"/>
  <c r="F25" i="20"/>
  <c r="B35" i="20" s="1"/>
  <c r="K4" i="11"/>
  <c r="G21" i="20"/>
  <c r="K68" i="11"/>
  <c r="J64" i="12" s="1"/>
  <c r="J66" i="12" s="1"/>
  <c r="K69" i="11"/>
  <c r="K71" i="11" s="1"/>
  <c r="I7" i="22"/>
  <c r="I8" i="22" s="1"/>
  <c r="AB40" i="11"/>
  <c r="AB39" i="11"/>
  <c r="G45" i="12"/>
  <c r="T27" i="11"/>
  <c r="T30" i="11"/>
  <c r="E10" i="25"/>
  <c r="I32" i="12"/>
  <c r="J90" i="11"/>
  <c r="J80" i="11"/>
  <c r="K63" i="11"/>
  <c r="K65" i="11" s="1"/>
  <c r="K79" i="11"/>
  <c r="U52" i="11"/>
  <c r="K101" i="11"/>
  <c r="K28" i="11"/>
  <c r="J51" i="12"/>
  <c r="J54" i="12" s="1"/>
  <c r="J7" i="11"/>
  <c r="J5" i="22"/>
  <c r="J13" i="20" s="1"/>
  <c r="J6" i="22"/>
  <c r="H18" i="20"/>
  <c r="H19" i="20" s="1"/>
  <c r="H20" i="20" s="1"/>
  <c r="V51" i="11"/>
  <c r="K52" i="12"/>
  <c r="L17" i="11"/>
  <c r="L57" i="11"/>
  <c r="N93" i="11"/>
  <c r="N96" i="11" s="1"/>
  <c r="S16" i="11"/>
  <c r="H123" i="12"/>
  <c r="I88" i="11"/>
  <c r="S22" i="11"/>
  <c r="I32" i="11"/>
  <c r="S24" i="11"/>
  <c r="D9" i="25"/>
  <c r="S21" i="11"/>
  <c r="S18" i="11"/>
  <c r="S17" i="11"/>
  <c r="C18" i="25"/>
  <c r="I13" i="11"/>
  <c r="S7" i="11" s="1"/>
  <c r="I82" i="11"/>
  <c r="I84" i="11"/>
  <c r="I83" i="11"/>
  <c r="I58" i="11"/>
  <c r="I59" i="11" s="1"/>
  <c r="D7" i="25"/>
  <c r="J33" i="21"/>
  <c r="J12" i="20" s="1"/>
  <c r="O6" i="11"/>
  <c r="M66" i="11"/>
  <c r="H12" i="25"/>
  <c r="X46" i="11"/>
  <c r="N78" i="11"/>
  <c r="N64" i="11"/>
  <c r="N50" i="11"/>
  <c r="I87" i="11"/>
  <c r="K19" i="11"/>
  <c r="Y41" i="11"/>
  <c r="Z41" i="11" s="1"/>
  <c r="O77" i="11"/>
  <c r="O46" i="11"/>
  <c r="S19" i="11"/>
  <c r="L95" i="11"/>
  <c r="L67" i="11"/>
  <c r="H33" i="12"/>
  <c r="H35" i="12" s="1"/>
  <c r="H38" i="12"/>
  <c r="H39" i="12"/>
  <c r="H104" i="11"/>
  <c r="C21" i="25" l="1"/>
  <c r="C22" i="25" s="1"/>
  <c r="I86" i="11"/>
  <c r="I14" i="20"/>
  <c r="K54" i="12"/>
  <c r="K56" i="12" s="1"/>
  <c r="K57" i="12" s="1"/>
  <c r="K62" i="12" s="1"/>
  <c r="H45" i="12"/>
  <c r="N18" i="11"/>
  <c r="D18" i="25"/>
  <c r="G46" i="12"/>
  <c r="G92" i="12" s="1"/>
  <c r="G93" i="12" s="1"/>
  <c r="O93" i="11"/>
  <c r="O96" i="11" s="1"/>
  <c r="X50" i="11"/>
  <c r="N51" i="11"/>
  <c r="N52" i="11" s="1"/>
  <c r="G25" i="20"/>
  <c r="B36" i="20" s="1"/>
  <c r="L4" i="11"/>
  <c r="H21" i="20"/>
  <c r="T16" i="11"/>
  <c r="I123" i="12"/>
  <c r="J32" i="11"/>
  <c r="J88" i="11"/>
  <c r="T21" i="11"/>
  <c r="T22" i="11"/>
  <c r="E9" i="25"/>
  <c r="T24" i="11"/>
  <c r="T18" i="11"/>
  <c r="T17" i="11"/>
  <c r="O78" i="11"/>
  <c r="Y46" i="11"/>
  <c r="Z46" i="11" s="1"/>
  <c r="O64" i="11"/>
  <c r="O50" i="11"/>
  <c r="N66" i="11"/>
  <c r="I12" i="25"/>
  <c r="J84" i="11"/>
  <c r="J82" i="11"/>
  <c r="J83" i="11"/>
  <c r="J58" i="11"/>
  <c r="J59" i="11" s="1"/>
  <c r="E7" i="25"/>
  <c r="J13" i="11"/>
  <c r="J86" i="11" s="1"/>
  <c r="K7" i="11"/>
  <c r="T19" i="11"/>
  <c r="H40" i="12"/>
  <c r="H44" i="12"/>
  <c r="H122" i="12"/>
  <c r="D8" i="25"/>
  <c r="D15" i="25" s="1"/>
  <c r="I33" i="11"/>
  <c r="S9" i="11"/>
  <c r="I103" i="11"/>
  <c r="S5" i="11"/>
  <c r="S11" i="11"/>
  <c r="S13" i="11"/>
  <c r="I91" i="11"/>
  <c r="I102" i="11"/>
  <c r="S6" i="11"/>
  <c r="I56" i="11"/>
  <c r="I60" i="11" s="1"/>
  <c r="S4" i="11"/>
  <c r="I39" i="12"/>
  <c r="I33" i="12"/>
  <c r="I35" i="12" s="1"/>
  <c r="I38" i="12"/>
  <c r="AB47" i="11"/>
  <c r="AH47" i="11"/>
  <c r="AJ47" i="11" s="1"/>
  <c r="J87" i="11"/>
  <c r="J56" i="12"/>
  <c r="J57" i="12" s="1"/>
  <c r="J62" i="12" s="1"/>
  <c r="J68" i="12" s="1"/>
  <c r="J95" i="12" s="1"/>
  <c r="L52" i="12"/>
  <c r="I18" i="20"/>
  <c r="I19" i="20" s="1"/>
  <c r="I20" i="20" s="1"/>
  <c r="W51" i="11"/>
  <c r="M17" i="11"/>
  <c r="M57" i="11"/>
  <c r="J7" i="22"/>
  <c r="J14" i="20" s="1"/>
  <c r="L68" i="11"/>
  <c r="K64" i="12" s="1"/>
  <c r="K66" i="12" s="1"/>
  <c r="L69" i="11"/>
  <c r="L71" i="11" s="1"/>
  <c r="L19" i="11"/>
  <c r="K24" i="11"/>
  <c r="K30" i="11"/>
  <c r="U28" i="11" s="1"/>
  <c r="L29" i="11"/>
  <c r="M29" i="11" s="1"/>
  <c r="M95" i="11"/>
  <c r="M67" i="11"/>
  <c r="M52" i="11"/>
  <c r="H124" i="12" l="1"/>
  <c r="H125" i="12" s="1"/>
  <c r="H126" i="12" s="1"/>
  <c r="H129" i="12"/>
  <c r="H131" i="12" s="1"/>
  <c r="H132" i="12" s="1"/>
  <c r="H133" i="12" s="1"/>
  <c r="C32" i="25"/>
  <c r="L30" i="11"/>
  <c r="V27" i="11" s="1"/>
  <c r="H46" i="12"/>
  <c r="H92" i="12" s="1"/>
  <c r="H93" i="12" s="1"/>
  <c r="K68" i="12"/>
  <c r="K95" i="12" s="1"/>
  <c r="T7" i="11"/>
  <c r="J8" i="22"/>
  <c r="O18" i="11" s="1"/>
  <c r="O67" i="11" s="1"/>
  <c r="O69" i="11" s="1"/>
  <c r="H11" i="25"/>
  <c r="M19" i="11"/>
  <c r="M63" i="11"/>
  <c r="M65" i="11" s="1"/>
  <c r="M79" i="11"/>
  <c r="L51" i="12"/>
  <c r="L54" i="12" s="1"/>
  <c r="M28" i="11"/>
  <c r="M101" i="11"/>
  <c r="W52" i="11"/>
  <c r="J12" i="25"/>
  <c r="O66" i="11"/>
  <c r="D19" i="25"/>
  <c r="D17" i="25"/>
  <c r="D16" i="25"/>
  <c r="X52" i="11"/>
  <c r="N79" i="11"/>
  <c r="M51" i="12"/>
  <c r="N28" i="11"/>
  <c r="N101" i="11"/>
  <c r="N63" i="11"/>
  <c r="N65" i="11" s="1"/>
  <c r="U30" i="11"/>
  <c r="U27" i="11"/>
  <c r="F10" i="25"/>
  <c r="J32" i="12"/>
  <c r="K90" i="11"/>
  <c r="K80" i="11"/>
  <c r="U29" i="11"/>
  <c r="I104" i="11"/>
  <c r="U21" i="11"/>
  <c r="J123" i="12"/>
  <c r="U24" i="11"/>
  <c r="U22" i="11"/>
  <c r="U16" i="11"/>
  <c r="K88" i="11"/>
  <c r="K32" i="11"/>
  <c r="F9" i="25"/>
  <c r="U18" i="11"/>
  <c r="U17" i="11"/>
  <c r="I40" i="12"/>
  <c r="I44" i="12"/>
  <c r="X51" i="11"/>
  <c r="M52" i="12"/>
  <c r="J18" i="20"/>
  <c r="J19" i="20" s="1"/>
  <c r="N17" i="11"/>
  <c r="N57" i="11"/>
  <c r="N95" i="11"/>
  <c r="N67" i="11"/>
  <c r="L24" i="11"/>
  <c r="V19" i="11" s="1"/>
  <c r="L7" i="11"/>
  <c r="K84" i="11"/>
  <c r="K83" i="11"/>
  <c r="K58" i="11"/>
  <c r="K59" i="11" s="1"/>
  <c r="K82" i="11"/>
  <c r="F7" i="25"/>
  <c r="K13" i="11"/>
  <c r="M68" i="11"/>
  <c r="L64" i="12" s="1"/>
  <c r="L66" i="12" s="1"/>
  <c r="M69" i="11"/>
  <c r="M71" i="11" s="1"/>
  <c r="U19" i="11"/>
  <c r="T5" i="11"/>
  <c r="J33" i="11"/>
  <c r="T13" i="11"/>
  <c r="J103" i="11"/>
  <c r="T9" i="11"/>
  <c r="T11" i="11"/>
  <c r="I122" i="12"/>
  <c r="E8" i="25"/>
  <c r="E15" i="25" s="1"/>
  <c r="J91" i="11"/>
  <c r="J102" i="11"/>
  <c r="T6" i="11"/>
  <c r="J56" i="11"/>
  <c r="J60" i="11" s="1"/>
  <c r="T4" i="11"/>
  <c r="K87" i="11"/>
  <c r="E18" i="25"/>
  <c r="I45" i="12"/>
  <c r="V29" i="11"/>
  <c r="G11" i="25"/>
  <c r="Y50" i="11"/>
  <c r="Z50" i="11" s="1"/>
  <c r="O51" i="11"/>
  <c r="M4" i="11"/>
  <c r="H25" i="20"/>
  <c r="B37" i="20" s="1"/>
  <c r="I21" i="20"/>
  <c r="G98" i="12"/>
  <c r="L90" i="11" l="1"/>
  <c r="G10" i="25"/>
  <c r="K32" i="12"/>
  <c r="I124" i="12"/>
  <c r="I125" i="12" s="1"/>
  <c r="I126" i="12" s="1"/>
  <c r="I129" i="12"/>
  <c r="I131" i="12" s="1"/>
  <c r="I132" i="12" s="1"/>
  <c r="I133" i="12" s="1"/>
  <c r="V30" i="11"/>
  <c r="V28" i="11"/>
  <c r="L80" i="11"/>
  <c r="O95" i="11"/>
  <c r="D21" i="25"/>
  <c r="D22" i="25" s="1"/>
  <c r="L87" i="11"/>
  <c r="O71" i="11"/>
  <c r="M54" i="12"/>
  <c r="M56" i="12" s="1"/>
  <c r="M57" i="12" s="1"/>
  <c r="M62" i="12" s="1"/>
  <c r="I46" i="12"/>
  <c r="I92" i="12" s="1"/>
  <c r="I93" i="12" s="1"/>
  <c r="J20" i="20"/>
  <c r="J21" i="20" s="1"/>
  <c r="K19" i="20"/>
  <c r="U5" i="11"/>
  <c r="U11" i="11"/>
  <c r="K33" i="11"/>
  <c r="U13" i="11"/>
  <c r="J122" i="12"/>
  <c r="F8" i="25"/>
  <c r="F15" i="25" s="1"/>
  <c r="U9" i="11"/>
  <c r="K103" i="11"/>
  <c r="K91" i="11"/>
  <c r="K102" i="11"/>
  <c r="U6" i="11"/>
  <c r="K56" i="11"/>
  <c r="K60" i="11" s="1"/>
  <c r="U4" i="11"/>
  <c r="L84" i="11"/>
  <c r="L83" i="11"/>
  <c r="L82" i="11"/>
  <c r="L58" i="11"/>
  <c r="L59" i="11" s="1"/>
  <c r="L13" i="11"/>
  <c r="L86" i="11" s="1"/>
  <c r="G7" i="25"/>
  <c r="K86" i="11"/>
  <c r="J33" i="12"/>
  <c r="J35" i="12" s="1"/>
  <c r="J39" i="12"/>
  <c r="J38" i="12"/>
  <c r="N29" i="11"/>
  <c r="N30" i="11" s="1"/>
  <c r="X28" i="11" s="1"/>
  <c r="M30" i="11"/>
  <c r="N19" i="11"/>
  <c r="F18" i="25"/>
  <c r="L56" i="12"/>
  <c r="L57" i="12" s="1"/>
  <c r="L62" i="12" s="1"/>
  <c r="L68" i="12" s="1"/>
  <c r="L95" i="12" s="1"/>
  <c r="N52" i="12"/>
  <c r="Y51" i="11"/>
  <c r="Z51" i="11" s="1"/>
  <c r="AB49" i="11" s="1"/>
  <c r="O17" i="11"/>
  <c r="O57" i="11"/>
  <c r="U7" i="11"/>
  <c r="J104" i="11"/>
  <c r="K33" i="12"/>
  <c r="K35" i="12" s="1"/>
  <c r="K39" i="12"/>
  <c r="K38" i="12"/>
  <c r="M24" i="11"/>
  <c r="W19" i="11" s="1"/>
  <c r="V24" i="11"/>
  <c r="K123" i="12"/>
  <c r="L32" i="11"/>
  <c r="V16" i="11"/>
  <c r="L88" i="11"/>
  <c r="G9" i="25"/>
  <c r="V21" i="11"/>
  <c r="V22" i="11"/>
  <c r="V18" i="11"/>
  <c r="V17" i="11"/>
  <c r="M7" i="11"/>
  <c r="E19" i="25"/>
  <c r="E17" i="25"/>
  <c r="E16" i="25"/>
  <c r="N69" i="11"/>
  <c r="N71" i="11" s="1"/>
  <c r="N68" i="11"/>
  <c r="M64" i="12" s="1"/>
  <c r="M66" i="12" s="1"/>
  <c r="O68" i="11"/>
  <c r="N64" i="12" s="1"/>
  <c r="N66" i="12" s="1"/>
  <c r="O52" i="11"/>
  <c r="O28" i="11" s="1"/>
  <c r="H98" i="12"/>
  <c r="I25" i="20"/>
  <c r="B38" i="20" s="1"/>
  <c r="N4" i="11"/>
  <c r="J124" i="12" l="1"/>
  <c r="J125" i="12" s="1"/>
  <c r="J126" i="12" s="1"/>
  <c r="J129" i="12"/>
  <c r="J131" i="12" s="1"/>
  <c r="J132" i="12" s="1"/>
  <c r="J133" i="12" s="1"/>
  <c r="O29" i="11"/>
  <c r="D32" i="25"/>
  <c r="K45" i="12"/>
  <c r="J11" i="25"/>
  <c r="M87" i="11"/>
  <c r="E21" i="25"/>
  <c r="E22" i="25" s="1"/>
  <c r="K104" i="11"/>
  <c r="J45" i="12"/>
  <c r="N24" i="11"/>
  <c r="N87" i="11" s="1"/>
  <c r="M68" i="12"/>
  <c r="M95" i="12" s="1"/>
  <c r="L33" i="11"/>
  <c r="G8" i="25"/>
  <c r="G15" i="25" s="1"/>
  <c r="V9" i="11"/>
  <c r="V13" i="11"/>
  <c r="V11" i="11"/>
  <c r="V5" i="11"/>
  <c r="L103" i="11"/>
  <c r="K122" i="12"/>
  <c r="L102" i="11"/>
  <c r="L91" i="11"/>
  <c r="V6" i="11"/>
  <c r="L56" i="11"/>
  <c r="L60" i="11" s="1"/>
  <c r="V4" i="11"/>
  <c r="V7" i="11"/>
  <c r="I98" i="12"/>
  <c r="X27" i="11"/>
  <c r="X30" i="11"/>
  <c r="M32" i="12"/>
  <c r="I10" i="25"/>
  <c r="N90" i="11"/>
  <c r="N80" i="11"/>
  <c r="W22" i="11"/>
  <c r="L123" i="12"/>
  <c r="M88" i="11"/>
  <c r="W16" i="11"/>
  <c r="M32" i="11"/>
  <c r="W21" i="11"/>
  <c r="W24" i="11"/>
  <c r="H9" i="25"/>
  <c r="W18" i="11"/>
  <c r="W17" i="11"/>
  <c r="J40" i="12"/>
  <c r="J44" i="12"/>
  <c r="K40" i="12"/>
  <c r="K44" i="12"/>
  <c r="W30" i="11"/>
  <c r="W27" i="11"/>
  <c r="H10" i="25"/>
  <c r="L32" i="12"/>
  <c r="M90" i="11"/>
  <c r="M80" i="11"/>
  <c r="W29" i="11"/>
  <c r="G18" i="25"/>
  <c r="Y52" i="11"/>
  <c r="Z52" i="11" s="1"/>
  <c r="O79" i="11"/>
  <c r="O101" i="11"/>
  <c r="O63" i="11"/>
  <c r="O65" i="11" s="1"/>
  <c r="N51" i="12"/>
  <c r="N54" i="12" s="1"/>
  <c r="I11" i="25"/>
  <c r="X29" i="11"/>
  <c r="J25" i="20"/>
  <c r="B39" i="20" s="1"/>
  <c r="B42" i="20" s="1"/>
  <c r="O4" i="11"/>
  <c r="O19" i="11"/>
  <c r="W28" i="11"/>
  <c r="F19" i="25"/>
  <c r="F17" i="25"/>
  <c r="F16" i="25"/>
  <c r="N7" i="11"/>
  <c r="M13" i="11"/>
  <c r="M86" i="11" s="1"/>
  <c r="M83" i="11"/>
  <c r="M82" i="11"/>
  <c r="H7" i="25"/>
  <c r="M58" i="11"/>
  <c r="M59" i="11" s="1"/>
  <c r="M84" i="11"/>
  <c r="AE49" i="11"/>
  <c r="AE50" i="11" s="1"/>
  <c r="AE52" i="11" s="1"/>
  <c r="AB50" i="11"/>
  <c r="AB52" i="11" s="1"/>
  <c r="K124" i="12" l="1"/>
  <c r="K125" i="12" s="1"/>
  <c r="K126" i="12" s="1"/>
  <c r="K129" i="12"/>
  <c r="K131" i="12" s="1"/>
  <c r="K132" i="12" s="1"/>
  <c r="K133" i="12" s="1"/>
  <c r="K46" i="12"/>
  <c r="K92" i="12" s="1"/>
  <c r="E32" i="25"/>
  <c r="J46" i="12"/>
  <c r="F21" i="25"/>
  <c r="F32" i="25" s="1"/>
  <c r="O30" i="11"/>
  <c r="N32" i="11"/>
  <c r="X21" i="11"/>
  <c r="N88" i="11"/>
  <c r="X16" i="11"/>
  <c r="I9" i="25"/>
  <c r="M123" i="12"/>
  <c r="X24" i="11"/>
  <c r="X22" i="11"/>
  <c r="X18" i="11"/>
  <c r="X17" i="11"/>
  <c r="X19" i="11"/>
  <c r="O7" i="11"/>
  <c r="W13" i="11"/>
  <c r="L122" i="12"/>
  <c r="W11" i="11"/>
  <c r="M33" i="11"/>
  <c r="H8" i="25"/>
  <c r="W5" i="11"/>
  <c r="W9" i="11"/>
  <c r="M103" i="11"/>
  <c r="M91" i="11"/>
  <c r="M102" i="11"/>
  <c r="W6" i="11"/>
  <c r="M56" i="11"/>
  <c r="M60" i="11" s="1"/>
  <c r="W4" i="11"/>
  <c r="O24" i="11"/>
  <c r="Y19" i="11" s="1"/>
  <c r="L33" i="12"/>
  <c r="L35" i="12" s="1"/>
  <c r="L39" i="12"/>
  <c r="L38" i="12"/>
  <c r="G19" i="25"/>
  <c r="G17" i="25"/>
  <c r="G16" i="25"/>
  <c r="M39" i="12"/>
  <c r="M38" i="12"/>
  <c r="M33" i="12"/>
  <c r="M35" i="12" s="1"/>
  <c r="N56" i="12"/>
  <c r="N57" i="12" s="1"/>
  <c r="N62" i="12" s="1"/>
  <c r="N68" i="12" s="1"/>
  <c r="L104" i="11"/>
  <c r="N84" i="11"/>
  <c r="N58" i="11"/>
  <c r="N59" i="11" s="1"/>
  <c r="N13" i="11"/>
  <c r="X7" i="11" s="1"/>
  <c r="N82" i="11"/>
  <c r="I7" i="25"/>
  <c r="N83" i="11"/>
  <c r="H18" i="25"/>
  <c r="W7" i="11"/>
  <c r="L124" i="12" l="1"/>
  <c r="L125" i="12" s="1"/>
  <c r="L126" i="12" s="1"/>
  <c r="L129" i="12"/>
  <c r="L131" i="12" s="1"/>
  <c r="L132" i="12" s="1"/>
  <c r="L133" i="12" s="1"/>
  <c r="J92" i="12"/>
  <c r="J93" i="12" s="1"/>
  <c r="K93" i="12" s="1"/>
  <c r="F22" i="25"/>
  <c r="I18" i="25"/>
  <c r="G21" i="25"/>
  <c r="G22" i="25" s="1"/>
  <c r="O87" i="11"/>
  <c r="Y27" i="11"/>
  <c r="Y30" i="11"/>
  <c r="J10" i="25"/>
  <c r="N32" i="12"/>
  <c r="O90" i="11"/>
  <c r="Y29" i="11"/>
  <c r="O80" i="11"/>
  <c r="X11" i="11"/>
  <c r="N33" i="11"/>
  <c r="X9" i="11"/>
  <c r="I8" i="25"/>
  <c r="M122" i="12"/>
  <c r="X5" i="11"/>
  <c r="X13" i="11"/>
  <c r="N103" i="11"/>
  <c r="N91" i="11"/>
  <c r="N102" i="11"/>
  <c r="X6" i="11"/>
  <c r="N56" i="11"/>
  <c r="N60" i="11" s="1"/>
  <c r="X4" i="11"/>
  <c r="Y21" i="11"/>
  <c r="O32" i="11"/>
  <c r="Y16" i="11"/>
  <c r="Y22" i="11"/>
  <c r="Y24" i="11"/>
  <c r="N123" i="12"/>
  <c r="O88" i="11"/>
  <c r="J9" i="25"/>
  <c r="Y18" i="11"/>
  <c r="Y17" i="11"/>
  <c r="O82" i="11"/>
  <c r="O84" i="11"/>
  <c r="O83" i="11"/>
  <c r="O58" i="11"/>
  <c r="O59" i="11" s="1"/>
  <c r="O13" i="11"/>
  <c r="J7" i="25"/>
  <c r="Y28" i="11"/>
  <c r="L40" i="12"/>
  <c r="L44" i="12"/>
  <c r="H19" i="25"/>
  <c r="H17" i="25"/>
  <c r="H16" i="25"/>
  <c r="H15" i="25"/>
  <c r="M40" i="12"/>
  <c r="M44" i="12"/>
  <c r="L45" i="12"/>
  <c r="K98" i="12"/>
  <c r="M45" i="12"/>
  <c r="N95" i="12"/>
  <c r="J75" i="12"/>
  <c r="M104" i="11"/>
  <c r="N86" i="11"/>
  <c r="M124" i="12" l="1"/>
  <c r="M125" i="12" s="1"/>
  <c r="M126" i="12" s="1"/>
  <c r="M129" i="12"/>
  <c r="M131" i="12" s="1"/>
  <c r="M132" i="12" s="1"/>
  <c r="M133" i="12" s="1"/>
  <c r="J98" i="12"/>
  <c r="G32" i="25"/>
  <c r="N104" i="11"/>
  <c r="M46" i="12"/>
  <c r="M92" i="12" s="1"/>
  <c r="H21" i="25"/>
  <c r="H32" i="25" s="1"/>
  <c r="I19" i="25"/>
  <c r="I17" i="25"/>
  <c r="I16" i="25"/>
  <c r="J18" i="25"/>
  <c r="J80" i="12"/>
  <c r="J85" i="12"/>
  <c r="N39" i="12"/>
  <c r="N33" i="12"/>
  <c r="N35" i="12" s="1"/>
  <c r="N38" i="12"/>
  <c r="O103" i="11"/>
  <c r="Y13" i="11"/>
  <c r="Y5" i="11"/>
  <c r="J8" i="25"/>
  <c r="J15" i="25" s="1"/>
  <c r="Y9" i="11"/>
  <c r="Y11" i="11"/>
  <c r="O33" i="11"/>
  <c r="N122" i="12"/>
  <c r="O102" i="11"/>
  <c r="O91" i="11"/>
  <c r="Y6" i="11"/>
  <c r="O56" i="11"/>
  <c r="O60" i="11" s="1"/>
  <c r="Y4" i="11"/>
  <c r="O86" i="11"/>
  <c r="I15" i="25"/>
  <c r="L46" i="12"/>
  <c r="Y7" i="11"/>
  <c r="N124" i="12" l="1"/>
  <c r="N129" i="12"/>
  <c r="N131" i="12" s="1"/>
  <c r="L92" i="12"/>
  <c r="L93" i="12" s="1"/>
  <c r="M93" i="12" s="1"/>
  <c r="H22" i="25"/>
  <c r="O104" i="11"/>
  <c r="I21" i="25"/>
  <c r="I32" i="25" s="1"/>
  <c r="L98" i="12"/>
  <c r="N40" i="12"/>
  <c r="N44" i="12"/>
  <c r="J19" i="25"/>
  <c r="J17" i="25"/>
  <c r="J16" i="25"/>
  <c r="N45" i="12"/>
  <c r="N125" i="12"/>
  <c r="N126" i="12" s="1"/>
  <c r="F155" i="12"/>
  <c r="N132" i="12" l="1"/>
  <c r="N133" i="12" s="1"/>
  <c r="F156" i="12"/>
  <c r="H156" i="12" s="1"/>
  <c r="J156" i="12" s="1"/>
  <c r="I22" i="25"/>
  <c r="J21" i="25"/>
  <c r="J22" i="25" s="1"/>
  <c r="H155" i="12"/>
  <c r="J155" i="12" s="1"/>
  <c r="N46" i="12"/>
  <c r="B28" i="20" s="1"/>
  <c r="M98" i="12"/>
  <c r="B43" i="20" l="1"/>
  <c r="B41" i="20"/>
  <c r="J32" i="25"/>
  <c r="J76" i="12"/>
  <c r="N92" i="12"/>
  <c r="N93" i="12" s="1"/>
  <c r="N98" i="12" s="1"/>
  <c r="F101" i="12" s="1"/>
  <c r="J81" i="12" l="1"/>
  <c r="J82" i="12" s="1"/>
  <c r="J86" i="12"/>
  <c r="J88" i="12" l="1"/>
  <c r="N96" i="12" s="1"/>
  <c r="N99" i="12" s="1"/>
  <c r="F102" i="12" s="1"/>
  <c r="F103" i="12" s="1"/>
  <c r="F105" i="12" s="1"/>
  <c r="F109" i="12" s="1"/>
  <c r="F157" i="12" s="1"/>
  <c r="F115" i="12" l="1"/>
  <c r="F116" i="12" s="1"/>
  <c r="H157" i="12"/>
  <c r="J157" i="12" s="1"/>
  <c r="N155" i="12"/>
  <c r="N153" i="12"/>
  <c r="N154" i="12" l="1"/>
  <c r="L157" i="12" s="1"/>
  <c r="L159" i="12" l="1"/>
  <c r="G165" i="12"/>
  <c r="G167" i="12"/>
  <c r="N157" i="12"/>
  <c r="G166" i="12"/>
  <c r="J167" i="12" l="1"/>
  <c r="J165" i="12"/>
  <c r="J166" i="12"/>
  <c r="G69" i="12" l="1"/>
  <c r="H69" i="12" l="1"/>
  <c r="I69" i="12" l="1"/>
  <c r="J69" i="12" l="1"/>
  <c r="K69" i="12" l="1"/>
  <c r="L69" i="12" l="1"/>
  <c r="M69" i="12" l="1"/>
  <c r="N69" i="12" l="1"/>
  <c r="F166" i="12" l="1"/>
  <c r="H166" i="12" s="1"/>
  <c r="F167" i="12"/>
  <c r="H167" i="12" s="1"/>
  <c r="F165" i="12"/>
  <c r="H165" i="12" s="1"/>
</calcChain>
</file>

<file path=xl/sharedStrings.xml><?xml version="1.0" encoding="utf-8"?>
<sst xmlns="http://schemas.openxmlformats.org/spreadsheetml/2006/main" count="2564" uniqueCount="787">
  <si>
    <t>EMPRENDIMIENTO</t>
  </si>
  <si>
    <t>Materias Primas</t>
  </si>
  <si>
    <t>Harina</t>
  </si>
  <si>
    <t>Producto</t>
  </si>
  <si>
    <t>Proveedor</t>
  </si>
  <si>
    <t>Presentación</t>
  </si>
  <si>
    <t>Total</t>
  </si>
  <si>
    <t>Peso Total Gramos</t>
  </si>
  <si>
    <t>Precio Total</t>
  </si>
  <si>
    <t>Agua</t>
  </si>
  <si>
    <t>Galón</t>
  </si>
  <si>
    <t>Carne Molida</t>
  </si>
  <si>
    <t>Pollo</t>
  </si>
  <si>
    <t>Paquete</t>
  </si>
  <si>
    <t>COSTOS DE FABRICACIÓN</t>
  </si>
  <si>
    <t xml:space="preserve">Gas </t>
  </si>
  <si>
    <t xml:space="preserve">Energía </t>
  </si>
  <si>
    <t>Mano de Obra</t>
  </si>
  <si>
    <t>Concepto</t>
  </si>
  <si>
    <t>Cargo</t>
  </si>
  <si>
    <t>Gastos Administrativos</t>
  </si>
  <si>
    <t>Arriendo Local</t>
  </si>
  <si>
    <t>Internet y Telefonía</t>
  </si>
  <si>
    <t>Gastos de Ventas y Marketing</t>
  </si>
  <si>
    <t>Unidad</t>
  </si>
  <si>
    <t>Cocina</t>
  </si>
  <si>
    <t>Precio Unitario</t>
  </si>
  <si>
    <t>Unidades</t>
  </si>
  <si>
    <t>Lava platos Industrial</t>
  </si>
  <si>
    <t>Mesa de trabajo 2 mt</t>
  </si>
  <si>
    <t>Juego Cuchillos</t>
  </si>
  <si>
    <t>Gramera Digital</t>
  </si>
  <si>
    <t>Tasas Termoselladas</t>
  </si>
  <si>
    <t>Juego Vasos Jugo</t>
  </si>
  <si>
    <t>Plato Blanco Individual</t>
  </si>
  <si>
    <t>Bandejas de servicio</t>
  </si>
  <si>
    <t>Nevera Industrial Doble</t>
  </si>
  <si>
    <t>Congelador Vertical</t>
  </si>
  <si>
    <t>Salón de Mesas</t>
  </si>
  <si>
    <t>Luces Led</t>
  </si>
  <si>
    <t>Led decorativo</t>
  </si>
  <si>
    <t>Aviso Externo</t>
  </si>
  <si>
    <t>Canecas de Basura</t>
  </si>
  <si>
    <t>Otras Inversiones Locativas</t>
  </si>
  <si>
    <t>Tecnología</t>
  </si>
  <si>
    <t>Licencias y Permisos</t>
  </si>
  <si>
    <t>Computador Punto de Pago</t>
  </si>
  <si>
    <t>Sistema Facturación</t>
  </si>
  <si>
    <t>FINANCIEROS</t>
  </si>
  <si>
    <t>Crédito Banco 1</t>
  </si>
  <si>
    <t>Monto</t>
  </si>
  <si>
    <t>Plazo</t>
  </si>
  <si>
    <t>Tasa EA</t>
  </si>
  <si>
    <t>Crédito Banco 2</t>
  </si>
  <si>
    <t>APORTE SOCIOS</t>
  </si>
  <si>
    <t>Socio 1</t>
  </si>
  <si>
    <t>Socio 2</t>
  </si>
  <si>
    <t>Socio 3</t>
  </si>
  <si>
    <t>Participación</t>
  </si>
  <si>
    <t>Producto 1</t>
  </si>
  <si>
    <t>Insumos de Producción</t>
  </si>
  <si>
    <t>Gramos</t>
  </si>
  <si>
    <t>Costo Por Gramo</t>
  </si>
  <si>
    <t>Costo Total</t>
  </si>
  <si>
    <t>Número de Unidades Punto de Equilibrio</t>
  </si>
  <si>
    <t>Costo Materias Primas</t>
  </si>
  <si>
    <t>Costo Insumos</t>
  </si>
  <si>
    <t>Costo Mano De Obra</t>
  </si>
  <si>
    <t>Total Costos x Unidad</t>
  </si>
  <si>
    <t>Total Gastos x Unidad</t>
  </si>
  <si>
    <t>Margen</t>
  </si>
  <si>
    <t>Margen de Utilidad</t>
  </si>
  <si>
    <t>Precio de Venta Por Unidad</t>
  </si>
  <si>
    <t>Total Costo y Gastos x Unidad PE</t>
  </si>
  <si>
    <t>Rentabilidad Estructural</t>
  </si>
  <si>
    <t>Efectivo y equivalentes de efectivo</t>
  </si>
  <si>
    <t>Deudores comerciales y otros</t>
  </si>
  <si>
    <t>Inventarios</t>
  </si>
  <si>
    <t>TOTAL ACTIVO CORRIENTE</t>
  </si>
  <si>
    <t>Propiedades, planta y equipo</t>
  </si>
  <si>
    <t>Activo Corriente</t>
  </si>
  <si>
    <t>Activo No Corriente</t>
  </si>
  <si>
    <t>TOTAL ACTIVO NO CORRIENTE</t>
  </si>
  <si>
    <t>Pasivo Corriente</t>
  </si>
  <si>
    <t>Obligaciones financieras</t>
  </si>
  <si>
    <t>Proveedores</t>
  </si>
  <si>
    <t>TOTAL PASIVO CORRIENTE</t>
  </si>
  <si>
    <t>Pasivo No Corriente</t>
  </si>
  <si>
    <t>TOTAL PASIVO NO CORRIENTE</t>
  </si>
  <si>
    <t>Patrimonio</t>
  </si>
  <si>
    <t>Resultados del Ejercicio</t>
  </si>
  <si>
    <t>TOTAL PASIVO Y PATRIMONIO</t>
  </si>
  <si>
    <t>TOTAL ACTIVO</t>
  </si>
  <si>
    <t>TOTAL PATRIMONIO</t>
  </si>
  <si>
    <t>ACTIVO</t>
  </si>
  <si>
    <t xml:space="preserve">CUENTAS DE RESULTADO </t>
  </si>
  <si>
    <t>Operacional</t>
  </si>
  <si>
    <t>Ventas, Ingresos de actividades ordinarias</t>
  </si>
  <si>
    <t>UTILIDAD BRUTA</t>
  </si>
  <si>
    <t>Gastos de ventas y distribución</t>
  </si>
  <si>
    <t>UTILIDAD OPERACIONAL</t>
  </si>
  <si>
    <t>No Operacional</t>
  </si>
  <si>
    <t>Gasto Financiero</t>
  </si>
  <si>
    <t>Resultados Netos</t>
  </si>
  <si>
    <t>UTILIDAD ANTES DE IMPUESTOS</t>
  </si>
  <si>
    <t>Gasto por impuesto</t>
  </si>
  <si>
    <t>UTILIDAD NETA</t>
  </si>
  <si>
    <t>ESTADO DE SITUACIÓN FINANCIERA - BALANCE GENERAL PROYECTADO EMPRENDIMIENTO</t>
  </si>
  <si>
    <t>ESTADO DE RESULTADOS PROYECTADO EMPRENDIMIENTO</t>
  </si>
  <si>
    <t>TOTAL COCINA</t>
  </si>
  <si>
    <t>TOTAL SALÓN</t>
  </si>
  <si>
    <t>TOTAL TECNOLOGÍA</t>
  </si>
  <si>
    <t>TOTAL LICENCIAS</t>
  </si>
  <si>
    <t>Depreciación</t>
  </si>
  <si>
    <t>Años</t>
  </si>
  <si>
    <t>TOTAL PASIVO</t>
  </si>
  <si>
    <t>Depreciaciones y Amortizaciones</t>
  </si>
  <si>
    <t>Cuadre Balance</t>
  </si>
  <si>
    <t>Inductores de Rentabilidad</t>
  </si>
  <si>
    <t>ROA</t>
  </si>
  <si>
    <t>UODI</t>
  </si>
  <si>
    <t>Activos Netos de Operación</t>
  </si>
  <si>
    <t>RAN</t>
  </si>
  <si>
    <t>Distancia Rentabilidad</t>
  </si>
  <si>
    <t>Inductores de Operativos y Financieros</t>
  </si>
  <si>
    <t>EBITDA Modelo General</t>
  </si>
  <si>
    <t>EBITDA Operacional</t>
  </si>
  <si>
    <t>Margen EBITDA Modelo General</t>
  </si>
  <si>
    <t>Margen EBITDA Operacional</t>
  </si>
  <si>
    <t>KTNO</t>
  </si>
  <si>
    <t>Variación de KTNO</t>
  </si>
  <si>
    <t>Productividad del Capital de trabajo PKT</t>
  </si>
  <si>
    <t>Productividad del Activo Fijo PAF</t>
  </si>
  <si>
    <t>Palanca de Crecimiento PDC</t>
  </si>
  <si>
    <t>UTILIDAD DEL EJERCICIO</t>
  </si>
  <si>
    <t>(+) Impuestos CAUSADOS</t>
  </si>
  <si>
    <t>(+) Gastos financiero</t>
  </si>
  <si>
    <t>EBIT</t>
  </si>
  <si>
    <t>(-) Impuestos AJUSTADOS
Impuestos operacionales</t>
  </si>
  <si>
    <t>UODI   RODI   NOPAT  NOPLAT   EBIT (1 - tx)</t>
  </si>
  <si>
    <t>(+) Depreciación</t>
  </si>
  <si>
    <t>(+) Amortizacion</t>
  </si>
  <si>
    <t>(+) Provisiones</t>
  </si>
  <si>
    <t>1 Flujo operativo o flujo bruto</t>
  </si>
  <si>
    <t>(-) Variación del capital de trabajo</t>
  </si>
  <si>
    <t>(-) Inversión en activos</t>
  </si>
  <si>
    <t>2 Financiación de inversiones</t>
  </si>
  <si>
    <t>(1 - 2) FCLO</t>
  </si>
  <si>
    <t>RAZONES FINANCIERAS</t>
  </si>
  <si>
    <t>Rentabilidad</t>
  </si>
  <si>
    <t>Liquidez</t>
  </si>
  <si>
    <t>Endeudamiento</t>
  </si>
  <si>
    <t>Actividad</t>
  </si>
  <si>
    <t>Rotacion del Patrimonio</t>
  </si>
  <si>
    <t>Rotacion del Activo</t>
  </si>
  <si>
    <t>Rotacion de Cartera</t>
  </si>
  <si>
    <t>Rotacion de Inventarios</t>
  </si>
  <si>
    <t>Periodo de Cobro</t>
  </si>
  <si>
    <t>Periodo de Pago a Proveedores</t>
  </si>
  <si>
    <t>Ciclo Operacional</t>
  </si>
  <si>
    <t>DUPONT</t>
  </si>
  <si>
    <t>Rentabilidad del patrimonio (ROE)</t>
  </si>
  <si>
    <t>Ventas / Patrimonio</t>
  </si>
  <si>
    <t>Ventas / Activo Total</t>
  </si>
  <si>
    <t>Ventas / Cuentas Por Cobrar Clientes</t>
  </si>
  <si>
    <t>(Inventarios / Costo de Ventas) * 365</t>
  </si>
  <si>
    <t>(Cuentas Por Cobrar Clientes / Ventas ) * 365</t>
  </si>
  <si>
    <t>(Cuentas por pagar Proveedores / Costo de Ventas) * 365</t>
  </si>
  <si>
    <t>Periodo de Cobro +  Rotacion de Inventarios</t>
  </si>
  <si>
    <t>MODELOS DE VALORACIÓN</t>
  </si>
  <si>
    <t>VALORACIÓN</t>
  </si>
  <si>
    <t xml:space="preserve"> Pesos Colombianos</t>
  </si>
  <si>
    <t>a 31 de Diciembre</t>
  </si>
  <si>
    <t>COSTO DE CAPITAL</t>
  </si>
  <si>
    <t>CALCULO DEL COSTO DE LOS RECURSOS PROPIOS</t>
  </si>
  <si>
    <t>TASAS HISTORICAS</t>
  </si>
  <si>
    <t>CONCEPTO</t>
  </si>
  <si>
    <t>Rentabilidad acciones USA S&amp;P</t>
  </si>
  <si>
    <t>Rentabilidad Bonos del Tesoro USA</t>
  </si>
  <si>
    <t>Inflación USA</t>
  </si>
  <si>
    <t>Inflación Colombia</t>
  </si>
  <si>
    <t>RIESGO PAÍS</t>
  </si>
  <si>
    <t>Kl</t>
  </si>
  <si>
    <t>Inflación en USA</t>
  </si>
  <si>
    <t>Inflación COLOMBIA</t>
  </si>
  <si>
    <t>Riesgo país Colombia</t>
  </si>
  <si>
    <t>RP</t>
  </si>
  <si>
    <t>Km</t>
  </si>
  <si>
    <t xml:space="preserve">Beta Desapalancada BU Sectorial </t>
  </si>
  <si>
    <t xml:space="preserve"> Fuente: Damodaran</t>
  </si>
  <si>
    <t>MODELO CRECIMIENTO CONSTANTE</t>
  </si>
  <si>
    <t>COSTO DE CAPITAL - WACC</t>
  </si>
  <si>
    <t>FLUJO DE CAJA PROYECTADO</t>
  </si>
  <si>
    <t>MODELO ANUALIDAD PERPETUA</t>
  </si>
  <si>
    <t>MÉTODO FLUJO DE CAJA DESCONTADO FCLD</t>
  </si>
  <si>
    <r>
      <t>FCLO</t>
    </r>
    <r>
      <rPr>
        <b/>
        <vertAlign val="subscript"/>
        <sz val="9"/>
        <color theme="1"/>
        <rFont val="Arial"/>
        <family val="2"/>
      </rPr>
      <t>n</t>
    </r>
  </si>
  <si>
    <t>Ultimo FCLO conocido</t>
  </si>
  <si>
    <r>
      <t xml:space="preserve">WACC </t>
    </r>
    <r>
      <rPr>
        <b/>
        <vertAlign val="subscript"/>
        <sz val="9"/>
        <color theme="1"/>
        <rFont val="Arial"/>
        <family val="2"/>
      </rPr>
      <t>n</t>
    </r>
  </si>
  <si>
    <t>Ultimo costo de capital conocido</t>
  </si>
  <si>
    <t>g</t>
  </si>
  <si>
    <t>Gradiente a perpetuidad</t>
  </si>
  <si>
    <t>Elegir Modelo de Perpetuidad</t>
  </si>
  <si>
    <t>M1</t>
  </si>
  <si>
    <t>FCLO (último valor conocido)</t>
  </si>
  <si>
    <t>Representa una serie de pagos Futuros Constantes y perpetuos</t>
  </si>
  <si>
    <t>WACC (último valor conocido)</t>
  </si>
  <si>
    <t>M2</t>
  </si>
  <si>
    <t>Representa pagos perpetuos con un grado de crecimiento constante</t>
  </si>
  <si>
    <t>Tasa de crecimiento - perpetuidad  g</t>
  </si>
  <si>
    <t>VALOR PRESENTE FLUJOS DE CAJA PROYECTADOS</t>
  </si>
  <si>
    <t>MÉTODO FLUJO DE CAJA LIBRE DESCONTADO</t>
  </si>
  <si>
    <t>Costo de Capital</t>
  </si>
  <si>
    <t>Tasa Acumulada</t>
  </si>
  <si>
    <t>FCL</t>
  </si>
  <si>
    <t>Valor Terminal</t>
  </si>
  <si>
    <t>Valor presente Flujos de caja Proyectados</t>
  </si>
  <si>
    <t>(+) VALOR PRESENTE DE LOS FLUJOS</t>
  </si>
  <si>
    <t>(+) VALOR PRESENTE DEL VALOR TERMINAL</t>
  </si>
  <si>
    <t>(=)VALOR DE LAS OPERACIONES O DE MERCADO (EV)</t>
  </si>
  <si>
    <t>Valor de mercado de la empresa</t>
  </si>
  <si>
    <r>
      <t xml:space="preserve">(Menos) Deuda operacional </t>
    </r>
    <r>
      <rPr>
        <sz val="9"/>
        <rFont val="Calibri"/>
        <family val="2"/>
        <scheme val="minor"/>
      </rPr>
      <t>(Pasivo Corriente - Oblig.Finan CP)</t>
    </r>
  </si>
  <si>
    <t>(Más) Activo corriente</t>
  </si>
  <si>
    <t>(Menos) Deuda financiera CP + LP</t>
  </si>
  <si>
    <t>VALOR DE MERCADO DEL PATRIMONIO</t>
  </si>
  <si>
    <t>Patrimonio contable</t>
  </si>
  <si>
    <t>Numero de Acciones</t>
  </si>
  <si>
    <t>Valor en Libros por acción</t>
  </si>
  <si>
    <t>Valor de Mercado de la Acción</t>
  </si>
  <si>
    <t>P/BV</t>
  </si>
  <si>
    <t>MÉTODOS CONTABLES O DE BALANCE</t>
  </si>
  <si>
    <t>VALOR PATRIMONIAL O VALOR EN LIBROS</t>
  </si>
  <si>
    <t>MÉTODOS CONTABLES O DEL BALANCE</t>
  </si>
  <si>
    <t>Activos Totales</t>
  </si>
  <si>
    <t>Pasivos Totales</t>
  </si>
  <si>
    <r>
      <t xml:space="preserve">Patrimonio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A - P = Pat</t>
    </r>
  </si>
  <si>
    <t>Valor en Libros Acción</t>
  </si>
  <si>
    <t>RESUMEN RESULTADOS DE VALORACIÓN</t>
  </si>
  <si>
    <t>Niveles</t>
  </si>
  <si>
    <t>Valor</t>
  </si>
  <si>
    <t>Nivel Alto</t>
  </si>
  <si>
    <t>Método</t>
  </si>
  <si>
    <t>Ultimo Patrimonio 
Real</t>
  </si>
  <si>
    <t>Diferencia</t>
  </si>
  <si>
    <t>Nivel Medio</t>
  </si>
  <si>
    <t>Patrimonial</t>
  </si>
  <si>
    <t>Nivel Bajo</t>
  </si>
  <si>
    <t>FCLD</t>
  </si>
  <si>
    <t xml:space="preserve">Valor Medio </t>
  </si>
  <si>
    <t>Precio Por Acción</t>
  </si>
  <si>
    <t>MÚLTIPLOS RESULTANTES DE LA VALORACIÓN</t>
  </si>
  <si>
    <t>MULTIPLOS RESULTANTES</t>
  </si>
  <si>
    <t>VME / EBITDA</t>
  </si>
  <si>
    <t>VME / VENTAS</t>
  </si>
  <si>
    <t>VME / VALOR EN LIBROS</t>
  </si>
  <si>
    <t>Calculadora Costo de Deuda</t>
  </si>
  <si>
    <t>Obligaciones Financieras de Corto Plazo</t>
  </si>
  <si>
    <t>Acreedor</t>
  </si>
  <si>
    <t>Tasa E.A.</t>
  </si>
  <si>
    <t>Promedio Ponderado</t>
  </si>
  <si>
    <t>Costo de Deuda de Corto Plazo</t>
  </si>
  <si>
    <t>Obligaciones Financieras de Largo Plazo</t>
  </si>
  <si>
    <t>Costo de Deuda de Largo Plazo</t>
  </si>
  <si>
    <t>Corto Plazo</t>
  </si>
  <si>
    <t>Largo Plazo</t>
  </si>
  <si>
    <t>Costo Efectivo de Financiación (Costo total financiación)</t>
  </si>
  <si>
    <t>Acciones</t>
  </si>
  <si>
    <t>Distribución 
de Acciones</t>
  </si>
  <si>
    <t>Salón de onces</t>
  </si>
  <si>
    <t>Frutos Rojos</t>
  </si>
  <si>
    <t>Frutos Amarillos</t>
  </si>
  <si>
    <t>Bronie</t>
  </si>
  <si>
    <t>Oreo</t>
  </si>
  <si>
    <t>Nutella</t>
  </si>
  <si>
    <t>Arequipe</t>
  </si>
  <si>
    <t>Chocolate</t>
  </si>
  <si>
    <t>Amaretto</t>
  </si>
  <si>
    <t>Baylis</t>
  </si>
  <si>
    <t>Melocoton</t>
  </si>
  <si>
    <t>Fresa</t>
  </si>
  <si>
    <t>Kiwi</t>
  </si>
  <si>
    <t>Mora</t>
  </si>
  <si>
    <t>Mango</t>
  </si>
  <si>
    <t>Coco</t>
  </si>
  <si>
    <t>Mantecada</t>
  </si>
  <si>
    <t>Fruta</t>
  </si>
  <si>
    <t>Granola</t>
  </si>
  <si>
    <t>Adobo</t>
  </si>
  <si>
    <t>Yogurt Gourmet</t>
  </si>
  <si>
    <t>Base Yogurt</t>
  </si>
  <si>
    <t>Frutos Verdes</t>
  </si>
  <si>
    <t>Frutos Tropicales</t>
  </si>
  <si>
    <t>Frutos Exoticos</t>
  </si>
  <si>
    <t>Helado De Chicle</t>
  </si>
  <si>
    <t>Helado De Mani</t>
  </si>
  <si>
    <t>Ron Con Pasas</t>
  </si>
  <si>
    <t>Piña Colada</t>
  </si>
  <si>
    <t>Barquillo</t>
  </si>
  <si>
    <t>Galleta</t>
  </si>
  <si>
    <t xml:space="preserve">Chispitas </t>
  </si>
  <si>
    <t>Salsas de sal</t>
  </si>
  <si>
    <t>Salsas de dulce</t>
  </si>
  <si>
    <t>Servilletas</t>
  </si>
  <si>
    <t>Yuca</t>
  </si>
  <si>
    <t>Papas en Cascos</t>
  </si>
  <si>
    <t>Papa criolla</t>
  </si>
  <si>
    <t>Carne Lomo</t>
  </si>
  <si>
    <t>Creep</t>
  </si>
  <si>
    <t>Pan</t>
  </si>
  <si>
    <t>Zafran</t>
  </si>
  <si>
    <t>Algemix</t>
  </si>
  <si>
    <t>Frigorifico Guadalupe</t>
  </si>
  <si>
    <t>Papas a la Francesa</t>
  </si>
  <si>
    <t>Quipitos</t>
  </si>
  <si>
    <t>Barra Fria</t>
  </si>
  <si>
    <t>Juego Cubiertos Completo</t>
  </si>
  <si>
    <t>Máquina Creeps</t>
  </si>
  <si>
    <t>Máquina Ice Roll´S</t>
  </si>
  <si>
    <t>Señalización</t>
  </si>
  <si>
    <t>Extintores</t>
  </si>
  <si>
    <t>Compras De Implementos De Aseo</t>
  </si>
  <si>
    <t>Uniformes y Dotación</t>
  </si>
  <si>
    <t>Publicidad</t>
  </si>
  <si>
    <t>Pintura 2 Antifluidos</t>
  </si>
  <si>
    <t>Capital de Trabajo</t>
  </si>
  <si>
    <t>Disponible</t>
  </si>
  <si>
    <t>TOTAL INVERSION INICIAL</t>
  </si>
  <si>
    <t>TOTAL INVERSIONES LOCATIVAS</t>
  </si>
  <si>
    <t>TV 43"</t>
  </si>
  <si>
    <t>Papel de Colgadura</t>
  </si>
  <si>
    <t>Manipulación De Alimentos</t>
  </si>
  <si>
    <t>Plan De Evacuación</t>
  </si>
  <si>
    <t>Plan De Desinfección</t>
  </si>
  <si>
    <t>Bomberos</t>
  </si>
  <si>
    <t>Cámara De Comercio</t>
  </si>
  <si>
    <t>TOTAL FINANCIACION</t>
  </si>
  <si>
    <t>% Participación</t>
  </si>
  <si>
    <t>TOTAL CAPITAL DE TRABAJO</t>
  </si>
  <si>
    <t>AÑO</t>
  </si>
  <si>
    <t>PERIODO</t>
  </si>
  <si>
    <t>CARGO</t>
  </si>
  <si>
    <t>AREA</t>
  </si>
  <si>
    <t>TURNOS</t>
  </si>
  <si>
    <t>PERSONAS</t>
  </si>
  <si>
    <t>SALARIO BASE</t>
  </si>
  <si>
    <t>AUX TRANS</t>
  </si>
  <si>
    <t>SALARIO NOMINA</t>
  </si>
  <si>
    <t>EPS</t>
  </si>
  <si>
    <t>PENSION</t>
  </si>
  <si>
    <t>ARL</t>
  </si>
  <si>
    <t>VACACIONES</t>
  </si>
  <si>
    <t>PRIMA</t>
  </si>
  <si>
    <t>CESANTIAS</t>
  </si>
  <si>
    <t>INT</t>
  </si>
  <si>
    <t>TOTAL</t>
  </si>
  <si>
    <t>DOTACIÓN</t>
  </si>
  <si>
    <t>MES 1 2023</t>
  </si>
  <si>
    <t>MES 2 2023</t>
  </si>
  <si>
    <t>MES 3 2023</t>
  </si>
  <si>
    <t>MES 4 2023</t>
  </si>
  <si>
    <t>MES 5 2023</t>
  </si>
  <si>
    <t>MES 6 2023</t>
  </si>
  <si>
    <t>MES 10 2023</t>
  </si>
  <si>
    <t>MES 11 2023</t>
  </si>
  <si>
    <t>MES 12 2023</t>
  </si>
  <si>
    <t>MES 7 2023</t>
  </si>
  <si>
    <t>MES 8 2023</t>
  </si>
  <si>
    <t>MES 9 2023</t>
  </si>
  <si>
    <t>MES 1 2024</t>
  </si>
  <si>
    <t>Aux cocina</t>
  </si>
  <si>
    <t>OPERACIÓN</t>
  </si>
  <si>
    <t>Administrador</t>
  </si>
  <si>
    <t>ADMON</t>
  </si>
  <si>
    <t>Cajero</t>
  </si>
  <si>
    <t>MES 10 2024</t>
  </si>
  <si>
    <t>MES 11 2024</t>
  </si>
  <si>
    <t>MES 12 2024</t>
  </si>
  <si>
    <t>MES 2 2024</t>
  </si>
  <si>
    <t>MES 3 2024</t>
  </si>
  <si>
    <t>MES 4 2024</t>
  </si>
  <si>
    <t>MES 5 2024</t>
  </si>
  <si>
    <t>MES 6 2024</t>
  </si>
  <si>
    <t>MES 7 2024</t>
  </si>
  <si>
    <t>MES 8 2024</t>
  </si>
  <si>
    <t>MES 9 2024</t>
  </si>
  <si>
    <t>MES 1 2025</t>
  </si>
  <si>
    <t>MES 10 2025</t>
  </si>
  <si>
    <t>MES 11 2025</t>
  </si>
  <si>
    <t>MES 12 2025</t>
  </si>
  <si>
    <t>MES 2 2025</t>
  </si>
  <si>
    <t>MES 3 2025</t>
  </si>
  <si>
    <t>MES 4 2025</t>
  </si>
  <si>
    <t>MES 5 2025</t>
  </si>
  <si>
    <t>MES 6 2025</t>
  </si>
  <si>
    <t>MES 7 2025</t>
  </si>
  <si>
    <t>MES 8 2025</t>
  </si>
  <si>
    <t>MES 9 2025</t>
  </si>
  <si>
    <t>MES 1 2026</t>
  </si>
  <si>
    <t>MES 10 2026</t>
  </si>
  <si>
    <t>MES 11 2026</t>
  </si>
  <si>
    <t>MES 12 2026</t>
  </si>
  <si>
    <t>MES 2 2026</t>
  </si>
  <si>
    <t>MES 3 2026</t>
  </si>
  <si>
    <t>MES 4 2026</t>
  </si>
  <si>
    <t>MES 5 2026</t>
  </si>
  <si>
    <t>MES 6 2026</t>
  </si>
  <si>
    <t>MES 7 2026</t>
  </si>
  <si>
    <t>MES 8 2026</t>
  </si>
  <si>
    <t>MES 9 2026</t>
  </si>
  <si>
    <t>MES 1 2027</t>
  </si>
  <si>
    <t>MES 10 2027</t>
  </si>
  <si>
    <t>MES 11 2027</t>
  </si>
  <si>
    <t>MES 12 2027</t>
  </si>
  <si>
    <t>MES 2 2027</t>
  </si>
  <si>
    <t>MES 3 2027</t>
  </si>
  <si>
    <t>MES 4 2027</t>
  </si>
  <si>
    <t>MES 5 2027</t>
  </si>
  <si>
    <t>MES 6 2027</t>
  </si>
  <si>
    <t>MES 7 2027</t>
  </si>
  <si>
    <t>MES 8 2027</t>
  </si>
  <si>
    <t>MES 9 2027</t>
  </si>
  <si>
    <t>Gasto Mes Año 1</t>
  </si>
  <si>
    <t>Honorarios</t>
  </si>
  <si>
    <t>1 AÑO</t>
  </si>
  <si>
    <t>CADA 6 MESES</t>
  </si>
  <si>
    <t>Dotación y uniformes</t>
  </si>
  <si>
    <t>Implementos De Aseo</t>
  </si>
  <si>
    <t>Compra De Extintores</t>
  </si>
  <si>
    <t>valor uniforme</t>
  </si>
  <si>
    <t>Bateria Ollas granito</t>
  </si>
  <si>
    <t>Olla express 25l</t>
  </si>
  <si>
    <t>Estufa de inducción 1 puesto</t>
  </si>
  <si>
    <t>Mesas y 4 sillas</t>
  </si>
  <si>
    <t>Largo plazo</t>
  </si>
  <si>
    <t>Corto plazo</t>
  </si>
  <si>
    <t>Resumen obligaciones Financieras</t>
  </si>
  <si>
    <t>MES 1 2028</t>
  </si>
  <si>
    <t>SALÓN DE ONCES</t>
  </si>
  <si>
    <t>LÍNEA TRADICIONAL</t>
  </si>
  <si>
    <t>Yogurt 100% natural con los siguientes acompañamientos: Granola, fruta (melón, banano, papaya, kiwi y fresa) o Torta artesanal</t>
  </si>
  <si>
    <t>LÍNEA GOURMET</t>
  </si>
  <si>
    <t>* Viene acompañado de papas a la francesa, yuca, cascos o criollitas</t>
  </si>
  <si>
    <t>SANDWICH</t>
  </si>
  <si>
    <t>CARNE STROGANOFF</t>
  </si>
  <si>
    <t>CREEP</t>
  </si>
  <si>
    <t>POLLO TERIYAKY</t>
  </si>
  <si>
    <t>LÍNEA ICE ROLL'S</t>
  </si>
  <si>
    <t>* Viene acompañado de Barquillo,galleta,chispitas o quipitos y salsas</t>
  </si>
  <si>
    <t>HELADO SABORES SURTIDOS (Frutos rojos, amarillos, verdes, tropicales, exoticos,brownie,oreo,chocolate,arequipe, nutella,ron con pasas,amaretto o frutas tradicionales</t>
  </si>
  <si>
    <t>Horizonte de Proyección</t>
  </si>
  <si>
    <t>años</t>
  </si>
  <si>
    <t>Sector: Villa del Río - Bogotá</t>
  </si>
  <si>
    <t>ARRIENDO LOCAL MES</t>
  </si>
  <si>
    <t>SERVICIOS PÚBLICOS MES</t>
  </si>
  <si>
    <t>PROPIEDADES PLANTA Y EQUIPO</t>
  </si>
  <si>
    <t>TOTAL PERMISOS Y LICENCIAS</t>
  </si>
  <si>
    <t>Ventas de contado</t>
  </si>
  <si>
    <t>Ventas a crédito</t>
  </si>
  <si>
    <t>días</t>
  </si>
  <si>
    <t>Incremento % Salario</t>
  </si>
  <si>
    <t>FINANCIACION INVERSION INICIAL</t>
  </si>
  <si>
    <t>VALOR</t>
  </si>
  <si>
    <t>Inversionistas</t>
  </si>
  <si>
    <t>NOMINA</t>
  </si>
  <si>
    <t>Q</t>
  </si>
  <si>
    <t>MES 2 2028</t>
  </si>
  <si>
    <t>MES 3 2028</t>
  </si>
  <si>
    <t>MES 4 2028</t>
  </si>
  <si>
    <t>MES 5 2028</t>
  </si>
  <si>
    <t>MES 6 2028</t>
  </si>
  <si>
    <t>MES 7 2028</t>
  </si>
  <si>
    <t>MES 8 2028</t>
  </si>
  <si>
    <t>MES 9 2028</t>
  </si>
  <si>
    <t>MES 10 2028</t>
  </si>
  <si>
    <t>MES 11 2028</t>
  </si>
  <si>
    <t>MES 12 2028</t>
  </si>
  <si>
    <t>MES 1 2029</t>
  </si>
  <si>
    <t>MES 2 2029</t>
  </si>
  <si>
    <t>MES 3 2029</t>
  </si>
  <si>
    <t>MES 4 2029</t>
  </si>
  <si>
    <t>MES 5 2029</t>
  </si>
  <si>
    <t>MES 6 2029</t>
  </si>
  <si>
    <t>MES 7 2029</t>
  </si>
  <si>
    <t>MES 8 2029</t>
  </si>
  <si>
    <t>MES 9 2029</t>
  </si>
  <si>
    <t>MES 10 2029</t>
  </si>
  <si>
    <t>MES 11 2029</t>
  </si>
  <si>
    <t>MES 12 2029</t>
  </si>
  <si>
    <t>MES 1 2030</t>
  </si>
  <si>
    <t>MES 2 2030</t>
  </si>
  <si>
    <t>MES 3 2030</t>
  </si>
  <si>
    <t>MES 4 2030</t>
  </si>
  <si>
    <t>MES 5 2030</t>
  </si>
  <si>
    <t>MES 6 2030</t>
  </si>
  <si>
    <t>MES 7 2030</t>
  </si>
  <si>
    <t>MES 8 2030</t>
  </si>
  <si>
    <t>MES 9 2030</t>
  </si>
  <si>
    <t>MES 10 2030</t>
  </si>
  <si>
    <t>MES 11 2030</t>
  </si>
  <si>
    <t>MES 12 2030</t>
  </si>
  <si>
    <t>AUX TRANSPORTE</t>
  </si>
  <si>
    <t>Juego Vasos Tipo Malteada</t>
  </si>
  <si>
    <t>https://www.alkosto.com/computador-all-in-one-hp-238-pulgadas-dd0504la-amd-athlon-silver-ram-4gb-disco-ssd-128-gb-negro/p/196188305409?fuente=google&amp;medio=cpc&amp;campaign=AK_COL_MAX_PEF_CPC_AON_COMP_AMD_Feb21_EXP_FEB&amp;keyword=&amp;gclid=EAIaIQobChMIy8i209iw_AIVhbKGCh2RagG5EAYYCCABEgIbH_D_BwE</t>
  </si>
  <si>
    <t>Alkosto</t>
  </si>
  <si>
    <t>https://www.alkosto.com/tv-challenger-43-pulgadas-108-cm-43lo68bt-t2-android-fhd-led-plano-smart-tv-android/p/7705191042282?fuente=google&amp;medio=cpc&amp;campaign=AK_COL_MAX_PEF_CPC_AON_TV_TLP_Televisores-Brand-AON_PAC&amp;keyword=&amp;gclid=EAIaIQobChMIqarl6tiw_AIVzYZaBR2pmAKqEAQYASABEgI5xvD_BwE</t>
  </si>
  <si>
    <t>VALOR DEL CRÉDITO</t>
  </si>
  <si>
    <t>Mes</t>
  </si>
  <si>
    <t>Capital</t>
  </si>
  <si>
    <t>Intereses</t>
  </si>
  <si>
    <t>Cuota</t>
  </si>
  <si>
    <t>Saldo</t>
  </si>
  <si>
    <t>Año</t>
  </si>
  <si>
    <t>NO PERIODOS</t>
  </si>
  <si>
    <t xml:space="preserve">TASA DE INTERÉS </t>
  </si>
  <si>
    <t>PERIODOS DE GRACIA</t>
  </si>
  <si>
    <t>TIPO DE CRÉDITO</t>
  </si>
  <si>
    <t/>
  </si>
  <si>
    <t>https://www.bbva.com.co/personas/productos/tarjetas/credito/visa/aqua.html?cid=sem::gsa:00000080-sem_tdc_aqua_search_brd-tar-tarjeta_online:interes_tarjeta-perf-lead:::tarjeta%20aqua%20bbva%20intereses:b:::text:::&amp;gclid=EAIaIQobChMI4pqC0t-w_AIVjsCGCh1a1AKwEAAYASAAEgL3JPD_BwE</t>
  </si>
  <si>
    <t>https://www.lulobank.com/features/pide-tu-credito?utm_source=google&amp;utm_medium=cpc&amp;utm_campaign=waiting-list_product-credito&amp;utm_content=product-credito&amp;utm_term=cr%C3%A9dito%20libre%20destino&amp;gclid=EAIaIQobChMI0J6YoeGw_AIVxsWGCh0-_A1_EAAYAiAAEgI4-_D_BwE</t>
  </si>
  <si>
    <t>Enlace</t>
  </si>
  <si>
    <t>Proteina</t>
  </si>
  <si>
    <t>Acompañante 1</t>
  </si>
  <si>
    <t>Acompañante 2</t>
  </si>
  <si>
    <t>Sabor</t>
  </si>
  <si>
    <t>Total x und</t>
  </si>
  <si>
    <t>Saldo final</t>
  </si>
  <si>
    <t>INICIAL</t>
  </si>
  <si>
    <t>CAPITAL SOCIAL</t>
  </si>
  <si>
    <t>EFECTIVO</t>
  </si>
  <si>
    <t>INGRESOS MENOS EGRESOS</t>
  </si>
  <si>
    <t>TOTAL EGRESOS</t>
  </si>
  <si>
    <t>IMPUESTO</t>
  </si>
  <si>
    <t>PAGO CUOTA DE CRÉDITOS</t>
  </si>
  <si>
    <t>GASTO FIJO ANUAL</t>
  </si>
  <si>
    <t>COMPRA ACTIVOS FIJOS</t>
  </si>
  <si>
    <t>EGRESOS</t>
  </si>
  <si>
    <t>TOTAL INGRESOS</t>
  </si>
  <si>
    <t>RECAUDO CARTERA</t>
  </si>
  <si>
    <t>VENTAS CONTADO</t>
  </si>
  <si>
    <t>PRÉSTAMOS</t>
  </si>
  <si>
    <t>INGRESOS</t>
  </si>
  <si>
    <t>VP</t>
  </si>
  <si>
    <t>FLUJO DE EFECTIVO ANUAL</t>
  </si>
  <si>
    <t>VENTAS</t>
  </si>
  <si>
    <t>FRACCIÓN COBRO</t>
  </si>
  <si>
    <t>DIAS AÑO</t>
  </si>
  <si>
    <t>TOTAL 2023</t>
  </si>
  <si>
    <t>Línea Gourmet</t>
  </si>
  <si>
    <t>Línea Tradicional</t>
  </si>
  <si>
    <t>Línea Ice Roll'S</t>
  </si>
  <si>
    <t>MATERIAS PRIMAS</t>
  </si>
  <si>
    <t>INSUMOS DE PRODUCCIÓN</t>
  </si>
  <si>
    <t>Costos Fijos (MO)</t>
  </si>
  <si>
    <t>Costos Variables (MP, Insumos de producción)</t>
  </si>
  <si>
    <t>Total Gastos Administrativos Mensuales</t>
  </si>
  <si>
    <t>Total Gastos de Ventas y Marketing</t>
  </si>
  <si>
    <t xml:space="preserve">Gastos Administrativos </t>
  </si>
  <si>
    <t>Mano de Obra (+ prestaciones)</t>
  </si>
  <si>
    <t>Nómina Administrativa (+ prestaciones)</t>
  </si>
  <si>
    <t>total intereses</t>
  </si>
  <si>
    <t>Crecimiento Sector</t>
  </si>
  <si>
    <t>Rentabilidad Esperada X Inversión</t>
  </si>
  <si>
    <t>Impoconsumo</t>
  </si>
  <si>
    <t>Gasto Por Impuesto</t>
  </si>
  <si>
    <t>Inflación (IPC)</t>
  </si>
  <si>
    <t>Crecimiento Ventas</t>
  </si>
  <si>
    <t>Tablero Precios</t>
  </si>
  <si>
    <t>https://tecnologiaplus.com/localizadores-de-clientes/</t>
  </si>
  <si>
    <t>Localizadores pedidos clientes</t>
  </si>
  <si>
    <t>Tecnologia plus</t>
  </si>
  <si>
    <t>https://www.oohrd.com/index.php/es/nosotros</t>
  </si>
  <si>
    <t>http://www.uniformescomercia.com/uniformes-chef-cocina</t>
  </si>
  <si>
    <t xml:space="preserve">MES 4 </t>
  </si>
  <si>
    <t>MES 12</t>
  </si>
  <si>
    <t xml:space="preserve">MES 8 </t>
  </si>
  <si>
    <t>Gastos Administrativos (Nómina)</t>
  </si>
  <si>
    <t>Compras de contado Proveedores</t>
  </si>
  <si>
    <t>Compras a crédito Proveedores</t>
  </si>
  <si>
    <t>CONTADO</t>
  </si>
  <si>
    <t>PROVEEDORES</t>
  </si>
  <si>
    <t>Costos Variables PAGO CONTADO PROVEEDORES</t>
  </si>
  <si>
    <t>Costos Variables PAGO CREDITO PROVEEDORES</t>
  </si>
  <si>
    <t>COSTO FIJO ANUAL (MO)</t>
  </si>
  <si>
    <t>Depreciación Acumulada</t>
  </si>
  <si>
    <t>COMPRA CONTADO</t>
  </si>
  <si>
    <t>COMPRA CREDITO</t>
  </si>
  <si>
    <t>CUENTA X PAGAR</t>
  </si>
  <si>
    <t>COMPRAS</t>
  </si>
  <si>
    <t>PAGO COMPRA CRÉDITO</t>
  </si>
  <si>
    <t>Impuestos Por Pagar</t>
  </si>
  <si>
    <t>Utilidades Acumuladas</t>
  </si>
  <si>
    <t>Capital Social</t>
  </si>
  <si>
    <r>
      <t xml:space="preserve">Rentabilidad Bruta                             </t>
    </r>
    <r>
      <rPr>
        <b/>
        <sz val="11"/>
        <color theme="1"/>
        <rFont val="Calibri"/>
        <family val="2"/>
        <scheme val="minor"/>
      </rPr>
      <t>Utilidad Bruta / Ventas</t>
    </r>
  </si>
  <si>
    <r>
      <t xml:space="preserve">Rentabilidad Operacional             </t>
    </r>
    <r>
      <rPr>
        <b/>
        <sz val="11"/>
        <color theme="1"/>
        <rFont val="Calibri"/>
        <family val="2"/>
        <scheme val="minor"/>
      </rPr>
      <t>Utilidad Operacional / Ventas</t>
    </r>
  </si>
  <si>
    <r>
      <t xml:space="preserve">Rentabilidad Neta                             </t>
    </r>
    <r>
      <rPr>
        <b/>
        <sz val="11"/>
        <color theme="1"/>
        <rFont val="Calibri"/>
        <family val="2"/>
        <scheme val="minor"/>
      </rPr>
      <t xml:space="preserve">    Utilidad Neta / Ventas</t>
    </r>
  </si>
  <si>
    <r>
      <t xml:space="preserve">ROE                                                        </t>
    </r>
    <r>
      <rPr>
        <b/>
        <sz val="11"/>
        <color theme="1"/>
        <rFont val="Calibri"/>
        <family val="2"/>
        <scheme val="minor"/>
      </rPr>
      <t>Utilidad Neta / Patrimonio</t>
    </r>
  </si>
  <si>
    <r>
      <t xml:space="preserve">Capital de Trabajo                    </t>
    </r>
    <r>
      <rPr>
        <b/>
        <sz val="11"/>
        <color theme="1"/>
        <rFont val="Calibri"/>
        <family val="2"/>
        <scheme val="minor"/>
      </rPr>
      <t>Activo Corriente - Pasivo Corriente</t>
    </r>
  </si>
  <si>
    <r>
      <t xml:space="preserve">Razon Corriente                       </t>
    </r>
    <r>
      <rPr>
        <b/>
        <sz val="11"/>
        <color theme="1"/>
        <rFont val="Calibri"/>
        <family val="2"/>
        <scheme val="minor"/>
      </rPr>
      <t>Activo Corriente / Pasivo Corriente</t>
    </r>
  </si>
  <si>
    <r>
      <t xml:space="preserve">Prueba Acida                    </t>
    </r>
    <r>
      <rPr>
        <b/>
        <sz val="11"/>
        <color theme="1"/>
        <rFont val="Calibri"/>
        <family val="2"/>
        <scheme val="minor"/>
      </rPr>
      <t>(Activo Corriente - Inventarios) / Pasivo Corriente</t>
    </r>
  </si>
  <si>
    <r>
      <t xml:space="preserve">Nivel de Endeudamiento              </t>
    </r>
    <r>
      <rPr>
        <b/>
        <sz val="11"/>
        <color theme="1"/>
        <rFont val="Calibri"/>
        <family val="2"/>
        <scheme val="minor"/>
      </rPr>
      <t xml:space="preserve"> Total Pasivo / Total Activo</t>
    </r>
  </si>
  <si>
    <r>
      <t xml:space="preserve">Concentracion CP        </t>
    </r>
    <r>
      <rPr>
        <b/>
        <sz val="11"/>
        <color theme="1"/>
        <rFont val="Calibri"/>
        <family val="2"/>
        <scheme val="minor"/>
      </rPr>
      <t xml:space="preserve">                      Pasivo Corriente / Pasivo Total</t>
    </r>
  </si>
  <si>
    <r>
      <t xml:space="preserve">Concentracion LP                   </t>
    </r>
    <r>
      <rPr>
        <b/>
        <sz val="11"/>
        <color theme="1"/>
        <rFont val="Calibri"/>
        <family val="2"/>
        <scheme val="minor"/>
      </rPr>
      <t xml:space="preserve">       Pasivo No Corriente / Pasivo Total</t>
    </r>
  </si>
  <si>
    <r>
      <t xml:space="preserve">Utilidad / ventas      </t>
    </r>
    <r>
      <rPr>
        <b/>
        <sz val="11"/>
        <color theme="1"/>
        <rFont val="Calibri"/>
        <family val="2"/>
        <scheme val="minor"/>
      </rPr>
      <t xml:space="preserve"> MARGEN</t>
    </r>
  </si>
  <si>
    <r>
      <t xml:space="preserve">Ventas / activo        </t>
    </r>
    <r>
      <rPr>
        <b/>
        <sz val="11"/>
        <color theme="1"/>
        <rFont val="Calibri"/>
        <family val="2"/>
        <scheme val="minor"/>
      </rPr>
      <t>ROTACIÓN</t>
    </r>
  </si>
  <si>
    <r>
      <t xml:space="preserve">Activo / patrimonio   </t>
    </r>
    <r>
      <rPr>
        <b/>
        <sz val="11"/>
        <color theme="1"/>
        <rFont val="Calibri"/>
        <family val="2"/>
        <scheme val="minor"/>
      </rPr>
      <t>ENDEUDAMIENTO</t>
    </r>
  </si>
  <si>
    <t>EVALUACIÓN FINANCIERA DEL EMPRENDIMIENTO</t>
  </si>
  <si>
    <t>Flujo</t>
  </si>
  <si>
    <t>Tasa WACC Promedio</t>
  </si>
  <si>
    <t>Periodo</t>
  </si>
  <si>
    <t>Flujos De Efectivo Neto</t>
  </si>
  <si>
    <t>Valor Presente De los Flujos Actualizados</t>
  </si>
  <si>
    <t>TIR</t>
  </si>
  <si>
    <t>Razón Beneficio Costo</t>
  </si>
  <si>
    <t>Inventarios (MP)</t>
  </si>
  <si>
    <t>COMPRA INVENTARIOS</t>
  </si>
  <si>
    <t>% MP</t>
  </si>
  <si>
    <t>de MP</t>
  </si>
  <si>
    <t>BUENO</t>
  </si>
  <si>
    <t>PROM</t>
  </si>
  <si>
    <t>MALO</t>
  </si>
  <si>
    <t>NORMAL</t>
  </si>
  <si>
    <t>PESIMISTA</t>
  </si>
  <si>
    <t>OPTIMISTA</t>
  </si>
  <si>
    <t>P EQUILIBRIO</t>
  </si>
  <si>
    <t>Dias en operación al mes</t>
  </si>
  <si>
    <t>para los escenarios es necesario proyectar los % (PIB, CRECIMIENTO SECTOR, MO ETC ETC) ESTAN LAS VENTAS</t>
  </si>
  <si>
    <t>PARTE II (Información financiera y Diagnóstico Financiero) a cual escenario????? (pesimista, normal, optimista, PE)</t>
  </si>
  <si>
    <t>ANÁLISIS ESTRUCTURAL</t>
  </si>
  <si>
    <t>ANÁLISIS ESTRUCTURAL CON BASE EN VENTAS</t>
  </si>
  <si>
    <t>Promedio</t>
  </si>
  <si>
    <t>Estructura Promedio</t>
  </si>
  <si>
    <t>COSTO</t>
  </si>
  <si>
    <t>Fijo</t>
  </si>
  <si>
    <t>Variable</t>
  </si>
  <si>
    <t>GASTO</t>
  </si>
  <si>
    <t>Ventas</t>
  </si>
  <si>
    <t>TOTAL SALIDAS OPERATIVAS</t>
  </si>
  <si>
    <t>SALIDAS NO OPERATIVAS</t>
  </si>
  <si>
    <t>IMPUESTOS</t>
  </si>
  <si>
    <t>TOTAL SALIDAS EMPRESA</t>
  </si>
  <si>
    <t xml:space="preserve">INGRESOS </t>
  </si>
  <si>
    <t>RENTABILIDAD ESTRUCTURAL</t>
  </si>
  <si>
    <t>Gasto ventas</t>
  </si>
  <si>
    <t>depreciacion</t>
  </si>
  <si>
    <t>SIMULACIÓN ESTRUCTURAL</t>
  </si>
  <si>
    <t>Rangos Estructurales</t>
  </si>
  <si>
    <t>Mínimo</t>
  </si>
  <si>
    <t>Central</t>
  </si>
  <si>
    <t>Máximo</t>
  </si>
  <si>
    <t>Manufactura</t>
  </si>
  <si>
    <t>Costos</t>
  </si>
  <si>
    <t>Gastos</t>
  </si>
  <si>
    <t>Gestión Costos y Gastos</t>
  </si>
  <si>
    <t>Rango Objetivo</t>
  </si>
  <si>
    <t>Gestión</t>
  </si>
  <si>
    <t>Situación normal</t>
  </si>
  <si>
    <t>Zona Gris</t>
  </si>
  <si>
    <t>Peligro de quiebra</t>
  </si>
  <si>
    <t>X4= Patrimonio / pasivo total</t>
  </si>
  <si>
    <t>X4</t>
  </si>
  <si>
    <t>X3= EBITDA/ Total activos</t>
  </si>
  <si>
    <t>X3</t>
  </si>
  <si>
    <t>X2= Beneficios no distribuidos / Total activos</t>
  </si>
  <si>
    <t>X2</t>
  </si>
  <si>
    <t>X1= Activos Circulantes / Total activos</t>
  </si>
  <si>
    <t>X1</t>
  </si>
  <si>
    <t>Factores</t>
  </si>
  <si>
    <t>EBITDA</t>
  </si>
  <si>
    <t>Beneficios No Distribuidos</t>
  </si>
  <si>
    <t>Total Pasivos</t>
  </si>
  <si>
    <t>Total Activos</t>
  </si>
  <si>
    <t>Indicador de Altman</t>
  </si>
  <si>
    <t>SECTOR SERVICIOS</t>
  </si>
  <si>
    <t>X5= Ventas / Total activos</t>
  </si>
  <si>
    <t>X5</t>
  </si>
  <si>
    <t>Z= 1,2X1+1,4X2+3,3X3+ 0,6X4+ X5</t>
  </si>
  <si>
    <t>(Ventas Totales , (Ventas Totales - Cuentas por cobrar Clientes)</t>
  </si>
  <si>
    <t>Alternativas de estudio para la variable Ventas</t>
  </si>
  <si>
    <t>(EBITDA, UODI (Tener en cuenta las diferentes transformaciones financieras))</t>
  </si>
  <si>
    <t>Alternativas de estudio para la variable EBITDA</t>
  </si>
  <si>
    <t>(Reservas Contables, Reservas Contables + Utilidades no distribuidas, Recursos Reservados y/o Provisionados Reales)</t>
  </si>
  <si>
    <t>Alternativas de estudio para la variable Reservas</t>
  </si>
  <si>
    <t>(Patromonio contable, Valor Empresa)</t>
  </si>
  <si>
    <t>Alternativas de estudio para la variable Patrimonio</t>
  </si>
  <si>
    <t>(Pasivos Totales, Pasivos de Operación)</t>
  </si>
  <si>
    <t>Alternativas de estudio para la variable Total Pasivos</t>
  </si>
  <si>
    <t>(Activos Totales, Activos de Operación)</t>
  </si>
  <si>
    <t>Alternativas de estudio para la variable Total Activos</t>
  </si>
  <si>
    <t>(Activos Corrientes , Capital de trabajo, KTNO)</t>
  </si>
  <si>
    <t>Alternativas de estudio para la variable Activos Corrientes</t>
  </si>
  <si>
    <t>Activo corriente</t>
  </si>
  <si>
    <t>ALTERNATIVAS DE CÁLCULO DE LAS VARIABLES DE Z-SCORE DE ALTMAN</t>
  </si>
  <si>
    <t>SECTOR MANUFACTURERO</t>
  </si>
  <si>
    <t>INDICADOR DE ALTMAN</t>
  </si>
  <si>
    <t>Predictores de Quiebra</t>
  </si>
  <si>
    <t>Rentabilidad del Mercado en $COL</t>
  </si>
  <si>
    <r>
      <t xml:space="preserve">Costo Despues de Impuestos (Escudo Fiscal)  </t>
    </r>
    <r>
      <rPr>
        <b/>
        <sz val="9"/>
        <color theme="1"/>
        <rFont val="Arial"/>
        <family val="2"/>
      </rPr>
      <t>Kd*(1- tx)</t>
    </r>
  </si>
  <si>
    <r>
      <t xml:space="preserve">Aporte Costo de la Deuda    </t>
    </r>
    <r>
      <rPr>
        <b/>
        <sz val="9"/>
        <color theme="1"/>
        <rFont val="Arial"/>
        <family val="2"/>
      </rPr>
      <t>Estructura deuda * Costo</t>
    </r>
  </si>
  <si>
    <r>
      <t xml:space="preserve">Aporte Costo Patrimonio     </t>
    </r>
    <r>
      <rPr>
        <b/>
        <sz val="9"/>
        <color theme="1"/>
        <rFont val="Arial"/>
        <family val="2"/>
      </rPr>
      <t>Estructura Patromonio * Costo</t>
    </r>
  </si>
  <si>
    <r>
      <t xml:space="preserve">Tasa libre de riesgo </t>
    </r>
    <r>
      <rPr>
        <b/>
        <u/>
        <sz val="9"/>
        <rFont val="Arial"/>
        <family val="2"/>
      </rPr>
      <t>nominal</t>
    </r>
    <r>
      <rPr>
        <sz val="9"/>
        <rFont val="Arial"/>
        <family val="2"/>
      </rPr>
      <t xml:space="preserve"> en dólares      KL</t>
    </r>
    <r>
      <rPr>
        <b/>
        <vertAlign val="subscript"/>
        <sz val="9"/>
        <rFont val="Arial"/>
        <family val="2"/>
      </rPr>
      <t xml:space="preserve">  USA</t>
    </r>
  </si>
  <si>
    <r>
      <t xml:space="preserve">Tasa libre de riesgo </t>
    </r>
    <r>
      <rPr>
        <b/>
        <u/>
        <sz val="9"/>
        <rFont val="Arial"/>
        <family val="2"/>
      </rPr>
      <t>real</t>
    </r>
    <r>
      <rPr>
        <sz val="9"/>
        <rFont val="Arial"/>
        <family val="2"/>
      </rPr>
      <t xml:space="preserve"> en dólares</t>
    </r>
  </si>
  <si>
    <r>
      <t xml:space="preserve">Tasa libre de riesgo  </t>
    </r>
    <r>
      <rPr>
        <b/>
        <u/>
        <sz val="9"/>
        <rFont val="Arial"/>
        <family val="2"/>
      </rPr>
      <t>nominal</t>
    </r>
    <r>
      <rPr>
        <sz val="9"/>
        <rFont val="Arial"/>
        <family val="2"/>
      </rPr>
      <t xml:space="preserve"> en $COL</t>
    </r>
  </si>
  <si>
    <r>
      <t xml:space="preserve">Rentabilidad Mercado en dólares               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K</t>
    </r>
    <r>
      <rPr>
        <b/>
        <vertAlign val="subscript"/>
        <sz val="9"/>
        <color theme="1"/>
        <rFont val="Arial"/>
        <family val="2"/>
      </rPr>
      <t>m</t>
    </r>
    <r>
      <rPr>
        <b/>
        <sz val="9"/>
        <color theme="1"/>
        <rFont val="Arial"/>
        <family val="2"/>
      </rPr>
      <t xml:space="preserve"> USA</t>
    </r>
  </si>
  <si>
    <r>
      <t xml:space="preserve">Rentabilidad del Mercado </t>
    </r>
    <r>
      <rPr>
        <b/>
        <u/>
        <sz val="9"/>
        <rFont val="Arial"/>
        <family val="2"/>
      </rPr>
      <t>real</t>
    </r>
    <r>
      <rPr>
        <sz val="9"/>
        <rFont val="Arial"/>
        <family val="2"/>
      </rPr>
      <t xml:space="preserve"> en dólares  </t>
    </r>
    <r>
      <rPr>
        <b/>
        <sz val="9"/>
        <rFont val="Arial"/>
        <family val="2"/>
      </rPr>
      <t>Km USA</t>
    </r>
  </si>
  <si>
    <r>
      <t xml:space="preserve">Prima de riesgo del mercado                </t>
    </r>
    <r>
      <rPr>
        <b/>
        <sz val="9"/>
        <rFont val="Arial"/>
        <family val="2"/>
      </rPr>
      <t>(K</t>
    </r>
    <r>
      <rPr>
        <b/>
        <vertAlign val="subscript"/>
        <sz val="9"/>
        <rFont val="Arial"/>
        <family val="2"/>
      </rPr>
      <t>m</t>
    </r>
    <r>
      <rPr>
        <b/>
        <sz val="9"/>
        <rFont val="Arial"/>
        <family val="2"/>
      </rPr>
      <t xml:space="preserve"> - KL)</t>
    </r>
  </si>
  <si>
    <r>
      <t xml:space="preserve">Deuda     </t>
    </r>
    <r>
      <rPr>
        <b/>
        <sz val="9"/>
        <color theme="1"/>
        <rFont val="Arial"/>
        <family val="2"/>
      </rPr>
      <t>D</t>
    </r>
  </si>
  <si>
    <r>
      <t xml:space="preserve">Patrimonio       </t>
    </r>
    <r>
      <rPr>
        <b/>
        <sz val="9"/>
        <color theme="1"/>
        <rFont val="Arial"/>
        <family val="2"/>
      </rPr>
      <t>K</t>
    </r>
  </si>
  <si>
    <r>
      <t xml:space="preserve">Beta Apalancada     </t>
    </r>
    <r>
      <rPr>
        <b/>
        <sz val="9"/>
        <color theme="1"/>
        <rFont val="Arial"/>
        <family val="2"/>
      </rPr>
      <t>BL = BU * ( 1 + (1-t) * D/P)</t>
    </r>
  </si>
  <si>
    <r>
      <t xml:space="preserve">Costo del Patrimonio   </t>
    </r>
    <r>
      <rPr>
        <b/>
        <sz val="9"/>
        <rFont val="Arial"/>
        <family val="2"/>
      </rPr>
      <t xml:space="preserve"> Ke =         Kl +    (K</t>
    </r>
    <r>
      <rPr>
        <b/>
        <vertAlign val="subscript"/>
        <sz val="9"/>
        <rFont val="Arial"/>
        <family val="2"/>
      </rPr>
      <t>m</t>
    </r>
    <r>
      <rPr>
        <b/>
        <sz val="9"/>
        <rFont val="Arial"/>
        <family val="2"/>
      </rPr>
      <t xml:space="preserve"> - KL)*B + RP</t>
    </r>
  </si>
  <si>
    <r>
      <t xml:space="preserve">Estructura Deuda       </t>
    </r>
    <r>
      <rPr>
        <b/>
        <sz val="9"/>
        <color theme="1"/>
        <rFont val="Arial"/>
        <family val="2"/>
      </rPr>
      <t>D/(D+ K)</t>
    </r>
  </si>
  <si>
    <r>
      <t xml:space="preserve">Estructura Patrimonio      </t>
    </r>
    <r>
      <rPr>
        <b/>
        <sz val="9"/>
        <color theme="1"/>
        <rFont val="Arial"/>
        <family val="2"/>
      </rPr>
      <t>K/(D+ K)</t>
    </r>
  </si>
  <si>
    <r>
      <rPr>
        <sz val="9"/>
        <color theme="1"/>
        <rFont val="Arial"/>
        <family val="2"/>
      </rPr>
      <t>Total Estructura de Capital</t>
    </r>
    <r>
      <rPr>
        <b/>
        <sz val="9"/>
        <color theme="1"/>
        <rFont val="Arial"/>
        <family val="2"/>
      </rPr>
      <t xml:space="preserve">   D+K</t>
    </r>
  </si>
  <si>
    <t>VALOR TERMINAL      (FCLO / WACC)</t>
  </si>
  <si>
    <t>DANE</t>
  </si>
  <si>
    <t>SI</t>
  </si>
  <si>
    <t>REPLICAR CICLO EN ESCENARIOS</t>
  </si>
  <si>
    <t>GASTOS MARKETING MES (1,5 FACE-INSTAGRAM + GOOGLE ADS 2M) +- (4AÑOS)</t>
  </si>
  <si>
    <t>COMPRAS AL POR MAYOR (MP) MAS COSTO AL PRINCIPIO</t>
  </si>
  <si>
    <t>escenarios de distribucion de utilidades (FONDO DE MANIOBRA FIC LA POLITICA VA EN EL TRABAJO ESCRITO)</t>
  </si>
  <si>
    <t>1 ETAPA</t>
  </si>
  <si>
    <t>EVALUACION</t>
  </si>
  <si>
    <t>2 ETAPA</t>
  </si>
  <si>
    <t>MEJORA A LA ESTRUCTURA</t>
  </si>
  <si>
    <t>OTRO PUNTO</t>
  </si>
  <si>
    <t>MAS VENTAS</t>
  </si>
  <si>
    <t>INNOVACION</t>
  </si>
  <si>
    <t>EMPRESARIAL</t>
  </si>
  <si>
    <t>…...</t>
  </si>
  <si>
    <t>Tasa de crecimiento, perpetuidad  g</t>
  </si>
  <si>
    <t>Publicidad ( facebook+Instagram)</t>
  </si>
  <si>
    <t>Gastos Mantenimiento ( Reparaciones locativas)</t>
  </si>
  <si>
    <t>Impresiones,decoraciones fechas especiales</t>
  </si>
  <si>
    <t>Licuadoras</t>
  </si>
  <si>
    <t>DEPRECIACION ACUMULADA</t>
  </si>
  <si>
    <t>COMPRAS DE ACTIVOS DE CRECIMIENTO</t>
  </si>
  <si>
    <t>periodos de reinversion (GASTOS DE MTTO, COMPRAS DE ACTIVOS DE MMTO)</t>
  </si>
  <si>
    <t>PESIMO</t>
  </si>
  <si>
    <t>LAS BEBIDAS????</t>
  </si>
  <si>
    <t>Clasificación</t>
  </si>
  <si>
    <t>AÑOS DEPRECIACIÓN</t>
  </si>
  <si>
    <t>DEPRECIACION MENSUAL</t>
  </si>
  <si>
    <t>% disminución costo por estrategias de compras</t>
  </si>
  <si>
    <t>MP x und</t>
  </si>
  <si>
    <t>BEBIDAS NATURALES EN AGUA</t>
  </si>
  <si>
    <t>BEBIDAS NATURALES EN LECHE</t>
  </si>
  <si>
    <t>MALTEADAS</t>
  </si>
  <si>
    <t>Bebidas Naturales En Agua</t>
  </si>
  <si>
    <t>Bebidas Naturales En Leche</t>
  </si>
  <si>
    <t>Malteadas</t>
  </si>
  <si>
    <t>Dotación y uniformes AD</t>
  </si>
  <si>
    <t>Dotación y uniformes OP</t>
  </si>
  <si>
    <t>Azúcar</t>
  </si>
  <si>
    <t>Leche</t>
  </si>
  <si>
    <t>Helado</t>
  </si>
  <si>
    <t>VARIABLES DE ENTRADA NORMAL</t>
  </si>
  <si>
    <t>VARIABLES DE ENTRADA PESIMISTA</t>
  </si>
  <si>
    <t>VARIABLES DE ENTRADA OPTIMISTA</t>
  </si>
  <si>
    <t>SENA</t>
  </si>
  <si>
    <t>ICBF</t>
  </si>
  <si>
    <t>CCF</t>
  </si>
  <si>
    <t>MP ( 50%)</t>
  </si>
  <si>
    <t>Total x dias laborados</t>
  </si>
  <si>
    <t>Google ADS</t>
  </si>
  <si>
    <t>Valor Empresa Ultimo Conocido</t>
  </si>
  <si>
    <t>Ultimo Patrimonio Real</t>
  </si>
  <si>
    <t>Crédito 3</t>
  </si>
  <si>
    <t>Crédito 2</t>
  </si>
  <si>
    <t>Crédito 1</t>
  </si>
  <si>
    <t>TA Crédito 1</t>
  </si>
  <si>
    <t>TA Crédito 2</t>
  </si>
  <si>
    <t>TA Crédito 3</t>
  </si>
  <si>
    <t>VARIABLE</t>
  </si>
  <si>
    <t>NOA</t>
  </si>
  <si>
    <t>INTERESES</t>
  </si>
  <si>
    <t>SALDOS LP</t>
  </si>
  <si>
    <t>VALOR TERMINAL FCLO*(1+g) / (WAAC - g)</t>
  </si>
  <si>
    <t>Sector*</t>
  </si>
  <si>
    <t>Variación</t>
  </si>
  <si>
    <t>SIN ESTRATEGIAS</t>
  </si>
  <si>
    <t>CON ESTRATEGIAS</t>
  </si>
  <si>
    <t xml:space="preserve">P/BV Sector 
</t>
  </si>
  <si>
    <t>*(Damodaran)</t>
  </si>
  <si>
    <t>valor sustancial neto</t>
  </si>
  <si>
    <t>Pasivo exigible deudas</t>
  </si>
  <si>
    <t>INDUCTORES CON ESTRATEGIA</t>
  </si>
  <si>
    <t xml:space="preserve">Concentracion CP                             </t>
  </si>
  <si>
    <t xml:space="preserve">Concentracion LP                </t>
  </si>
  <si>
    <t>Anualidad Perpetua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</si>
</sst>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0.0%"/>
    <numFmt numFmtId="167" formatCode="_-* #,##0.000_-;\-* #,##0.000_-;_-* &quot;-&quot;??_-;_-@_-"/>
    <numFmt numFmtId="168" formatCode="0\ &quot;p&quot;"/>
    <numFmt numFmtId="169" formatCode="_-&quot;$&quot;* #,##0.00_-;\-&quot;$&quot;* #,##0.00_-;_-&quot;$&quot;* &quot;-&quot;??_-;_-@_-"/>
    <numFmt numFmtId="170" formatCode="_(&quot;$&quot;* #,##0_);_(&quot;$&quot;* \(#,##0\);_(&quot;$&quot;* &quot;-&quot;??_);_(@_)"/>
    <numFmt numFmtId="171" formatCode="0.00%\ ;\(0.00%\)"/>
    <numFmt numFmtId="172" formatCode="&quot;PIB = &quot;0.00%"/>
    <numFmt numFmtId="173" formatCode="&quot;Inflación = &quot;0.00%"/>
    <numFmt numFmtId="174" formatCode="#,##0.00%_ ;\(#,##0.00%\)"/>
    <numFmt numFmtId="175" formatCode="_(&quot;$&quot;\ * #,##0_);_(&quot;$&quot;\ * \(#,##0\);_(&quot;$&quot;\ * &quot;-&quot;??_);_(@_)"/>
    <numFmt numFmtId="176" formatCode="_(* #,##0_);_(* \(#,##0\);_(* &quot;-&quot;??_);_(@_)"/>
    <numFmt numFmtId="177" formatCode="_-* #,##0.00_-;\-* #,##0.00_-;_-* &quot;-&quot;_-;_-@_-"/>
    <numFmt numFmtId="178" formatCode="_(&quot;$&quot;\ * #,##0.00_);_(&quot;$&quot;\ * \(#,##0.00\);_(&quot;$&quot;\ * &quot;-&quot;??_);_(@_)"/>
    <numFmt numFmtId="179" formatCode="0.00\ \X"/>
    <numFmt numFmtId="180" formatCode="_-&quot;$&quot;* #,##0_-;\-&quot;$&quot;* #,##0_-;_-&quot;$&quot;* &quot;-&quot;??_-;_-@_-"/>
    <numFmt numFmtId="181" formatCode="_-* #,##0\ _€_-;\-* #,##0\ _€_-;_-* &quot;-&quot;??\ _€_-;_-@_-"/>
    <numFmt numFmtId="182" formatCode="#,##0_ ;[Red]\-#,##0\ "/>
    <numFmt numFmtId="183" formatCode="_(* #,##0_);_(* \(#,##0\);_(* &quot;-&quot;_);_(@_)"/>
    <numFmt numFmtId="184" formatCode="_-* #,##0.0_-;\-* #,##0.0_-;_-* &quot;-&quot;?_-;_-@_-"/>
    <numFmt numFmtId="185" formatCode="_(* #,##0.00_);_(* \(#,##0.00\);_(* &quot;-&quot;??_);_(@_)"/>
    <numFmt numFmtId="186" formatCode="_-* #,##0.0000_-;\-* #,##0.0000_-;_-* &quot;-&quot;??_-;_-@_-"/>
    <numFmt numFmtId="187" formatCode="#,##0.00_ ;[Red]\-#,##0.00\ 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name val="Amasis MT Pro"/>
      <family val="1"/>
    </font>
    <font>
      <b/>
      <sz val="22"/>
      <color theme="0"/>
      <name val="Agency FB"/>
      <family val="2"/>
    </font>
    <font>
      <b/>
      <sz val="16"/>
      <color theme="0"/>
      <name val="Agency FB"/>
      <family val="2"/>
    </font>
    <font>
      <b/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0"/>
      <name val="Agency FB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  <font>
      <sz val="11"/>
      <name val="Arial"/>
      <family val="2"/>
    </font>
    <font>
      <b/>
      <vertAlign val="subscript"/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4"/>
      <color rgb="FF00B050"/>
      <name val="Calibri"/>
      <family val="2"/>
      <scheme val="minor"/>
    </font>
    <font>
      <b/>
      <sz val="14"/>
      <color theme="0"/>
      <name val="Agency FB"/>
      <family val="2"/>
    </font>
    <font>
      <sz val="10"/>
      <color theme="1"/>
      <name val="Arial"/>
      <family val="2"/>
    </font>
    <font>
      <b/>
      <sz val="11"/>
      <color theme="0"/>
      <name val="Agency FB"/>
      <family val="2"/>
    </font>
    <font>
      <b/>
      <sz val="11"/>
      <color theme="0"/>
      <name val="Arial"/>
      <family val="2"/>
    </font>
    <font>
      <b/>
      <sz val="20"/>
      <color theme="1"/>
      <name val="Agency FB"/>
      <family val="2"/>
    </font>
    <font>
      <b/>
      <sz val="12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8"/>
      <color theme="1"/>
      <name val="Agency FB"/>
      <family val="2"/>
    </font>
    <font>
      <sz val="11"/>
      <color theme="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6"/>
      <color theme="1"/>
      <name val="Times New Roman"/>
      <family val="1"/>
    </font>
    <font>
      <b/>
      <i/>
      <u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gency FB"/>
      <family val="2"/>
    </font>
    <font>
      <sz val="9"/>
      <name val="Arial"/>
      <family val="2"/>
    </font>
    <font>
      <b/>
      <u/>
      <sz val="9"/>
      <name val="Arial"/>
      <family val="2"/>
    </font>
    <font>
      <b/>
      <vertAlign val="subscript"/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0"/>
      <name val="Agency FB"/>
      <family val="2"/>
    </font>
    <font>
      <sz val="9"/>
      <color theme="0"/>
      <name val="Arial"/>
      <family val="2"/>
    </font>
    <font>
      <b/>
      <sz val="22"/>
      <color theme="0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gency FB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3" fillId="0" borderId="0"/>
    <xf numFmtId="183" fontId="6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164" fontId="0" fillId="2" borderId="0" xfId="1" applyNumberFormat="1" applyFont="1" applyFill="1"/>
    <xf numFmtId="0" fontId="2" fillId="2" borderId="1" xfId="0" applyFont="1" applyFill="1" applyBorder="1"/>
    <xf numFmtId="0" fontId="0" fillId="2" borderId="1" xfId="0" applyFill="1" applyBorder="1"/>
    <xf numFmtId="164" fontId="0" fillId="2" borderId="1" xfId="1" applyNumberFormat="1" applyFont="1" applyFill="1" applyBorder="1"/>
    <xf numFmtId="2" fontId="0" fillId="2" borderId="1" xfId="0" applyNumberFormat="1" applyFill="1" applyBorder="1"/>
    <xf numFmtId="164" fontId="0" fillId="2" borderId="0" xfId="1" applyNumberFormat="1" applyFont="1" applyFill="1" applyBorder="1"/>
    <xf numFmtId="2" fontId="0" fillId="2" borderId="0" xfId="0" applyNumberFormat="1" applyFill="1"/>
    <xf numFmtId="0" fontId="4" fillId="2" borderId="0" xfId="0" applyFont="1" applyFill="1"/>
    <xf numFmtId="164" fontId="0" fillId="2" borderId="0" xfId="0" applyNumberFormat="1" applyFill="1"/>
    <xf numFmtId="164" fontId="0" fillId="2" borderId="1" xfId="0" applyNumberFormat="1" applyFill="1" applyBorder="1"/>
    <xf numFmtId="9" fontId="0" fillId="2" borderId="1" xfId="0" applyNumberFormat="1" applyFill="1" applyBorder="1"/>
    <xf numFmtId="0" fontId="0" fillId="2" borderId="2" xfId="0" applyFill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4" fontId="2" fillId="2" borderId="0" xfId="0" applyNumberFormat="1" applyFont="1" applyFill="1"/>
    <xf numFmtId="9" fontId="0" fillId="2" borderId="1" xfId="2" applyFon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6" fillId="2" borderId="0" xfId="0" applyFont="1" applyFill="1"/>
    <xf numFmtId="44" fontId="0" fillId="2" borderId="0" xfId="4" applyFont="1" applyFill="1"/>
    <xf numFmtId="165" fontId="0" fillId="2" borderId="0" xfId="4" applyNumberFormat="1" applyFont="1" applyFill="1"/>
    <xf numFmtId="9" fontId="0" fillId="2" borderId="0" xfId="2" applyFont="1" applyFill="1"/>
    <xf numFmtId="10" fontId="0" fillId="2" borderId="0" xfId="2" applyNumberFormat="1" applyFont="1" applyFill="1"/>
    <xf numFmtId="0" fontId="2" fillId="2" borderId="15" xfId="0" applyFont="1" applyFill="1" applyBorder="1"/>
    <xf numFmtId="0" fontId="2" fillId="2" borderId="18" xfId="0" applyFont="1" applyFill="1" applyBorder="1"/>
    <xf numFmtId="0" fontId="2" fillId="2" borderId="5" xfId="0" applyFont="1" applyFill="1" applyBorder="1"/>
    <xf numFmtId="10" fontId="0" fillId="2" borderId="1" xfId="2" applyNumberFormat="1" applyFont="1" applyFill="1" applyBorder="1"/>
    <xf numFmtId="10" fontId="2" fillId="2" borderId="1" xfId="2" applyNumberFormat="1" applyFont="1" applyFill="1" applyBorder="1"/>
    <xf numFmtId="10" fontId="0" fillId="2" borderId="6" xfId="2" applyNumberFormat="1" applyFont="1" applyFill="1" applyBorder="1"/>
    <xf numFmtId="164" fontId="2" fillId="2" borderId="1" xfId="0" applyNumberFormat="1" applyFont="1" applyFill="1" applyBorder="1"/>
    <xf numFmtId="0" fontId="2" fillId="2" borderId="6" xfId="0" applyFont="1" applyFill="1" applyBorder="1"/>
    <xf numFmtId="0" fontId="2" fillId="2" borderId="0" xfId="0" applyFont="1" applyFill="1" applyAlignment="1">
      <alignment horizontal="left"/>
    </xf>
    <xf numFmtId="10" fontId="0" fillId="2" borderId="1" xfId="0" applyNumberFormat="1" applyFill="1" applyBorder="1"/>
    <xf numFmtId="43" fontId="0" fillId="2" borderId="0" xfId="0" applyNumberFormat="1" applyFill="1"/>
    <xf numFmtId="0" fontId="2" fillId="2" borderId="19" xfId="0" applyFont="1" applyFill="1" applyBorder="1"/>
    <xf numFmtId="0" fontId="2" fillId="2" borderId="20" xfId="0" applyFont="1" applyFill="1" applyBorder="1"/>
    <xf numFmtId="43" fontId="0" fillId="2" borderId="1" xfId="0" applyNumberFormat="1" applyFill="1" applyBorder="1"/>
    <xf numFmtId="10" fontId="0" fillId="2" borderId="6" xfId="0" applyNumberFormat="1" applyFill="1" applyBorder="1"/>
    <xf numFmtId="41" fontId="0" fillId="2" borderId="1" xfId="0" applyNumberFormat="1" applyFill="1" applyBorder="1"/>
    <xf numFmtId="0" fontId="14" fillId="7" borderId="0" xfId="0" quotePrefix="1" applyFont="1" applyFill="1" applyAlignment="1">
      <alignment vertical="center"/>
    </xf>
    <xf numFmtId="2" fontId="0" fillId="2" borderId="12" xfId="0" applyNumberFormat="1" applyFill="1" applyBorder="1"/>
    <xf numFmtId="2" fontId="0" fillId="2" borderId="17" xfId="0" applyNumberFormat="1" applyFill="1" applyBorder="1"/>
    <xf numFmtId="41" fontId="0" fillId="2" borderId="11" xfId="0" applyNumberFormat="1" applyFill="1" applyBorder="1"/>
    <xf numFmtId="0" fontId="7" fillId="5" borderId="1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0" fontId="19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0" fillId="2" borderId="1" xfId="0" applyFont="1" applyFill="1" applyBorder="1"/>
    <xf numFmtId="10" fontId="19" fillId="2" borderId="1" xfId="2" applyNumberFormat="1" applyFont="1" applyFill="1" applyBorder="1"/>
    <xf numFmtId="166" fontId="19" fillId="2" borderId="0" xfId="2" applyNumberFormat="1" applyFont="1" applyFill="1" applyBorder="1"/>
    <xf numFmtId="10" fontId="0" fillId="2" borderId="0" xfId="0" applyNumberFormat="1" applyFill="1"/>
    <xf numFmtId="10" fontId="19" fillId="2" borderId="2" xfId="2" applyNumberFormat="1" applyFont="1" applyFill="1" applyBorder="1" applyAlignment="1">
      <alignment horizontal="center"/>
    </xf>
    <xf numFmtId="10" fontId="20" fillId="2" borderId="2" xfId="2" applyNumberFormat="1" applyFont="1" applyFill="1" applyBorder="1" applyAlignment="1">
      <alignment horizontal="center"/>
    </xf>
    <xf numFmtId="166" fontId="19" fillId="2" borderId="1" xfId="0" applyNumberFormat="1" applyFont="1" applyFill="1" applyBorder="1" applyAlignment="1">
      <alignment horizontal="center"/>
    </xf>
    <xf numFmtId="166" fontId="20" fillId="2" borderId="1" xfId="0" applyNumberFormat="1" applyFont="1" applyFill="1" applyBorder="1" applyAlignment="1">
      <alignment horizontal="center"/>
    </xf>
    <xf numFmtId="0" fontId="21" fillId="2" borderId="0" xfId="0" applyFont="1" applyFill="1"/>
    <xf numFmtId="2" fontId="2" fillId="2" borderId="1" xfId="0" applyNumberFormat="1" applyFont="1" applyFill="1" applyBorder="1"/>
    <xf numFmtId="10" fontId="2" fillId="2" borderId="1" xfId="0" applyNumberFormat="1" applyFont="1" applyFill="1" applyBorder="1"/>
    <xf numFmtId="10" fontId="2" fillId="2" borderId="0" xfId="2" applyNumberFormat="1" applyFont="1" applyFill="1" applyBorder="1"/>
    <xf numFmtId="0" fontId="7" fillId="2" borderId="0" xfId="0" applyFont="1" applyFill="1"/>
    <xf numFmtId="0" fontId="15" fillId="2" borderId="0" xfId="0" applyFont="1" applyFill="1" applyAlignment="1">
      <alignment vertical="center"/>
    </xf>
    <xf numFmtId="0" fontId="25" fillId="13" borderId="51" xfId="0" applyFont="1" applyFill="1" applyBorder="1" applyAlignment="1">
      <alignment vertical="center"/>
    </xf>
    <xf numFmtId="0" fontId="23" fillId="13" borderId="51" xfId="0" applyFont="1" applyFill="1" applyBorder="1" applyAlignment="1">
      <alignment horizontal="center" vertical="center"/>
    </xf>
    <xf numFmtId="170" fontId="30" fillId="2" borderId="0" xfId="5" applyNumberFormat="1" applyFont="1" applyFill="1" applyBorder="1" applyAlignment="1">
      <alignment vertical="center"/>
    </xf>
    <xf numFmtId="0" fontId="27" fillId="2" borderId="0" xfId="0" applyFont="1" applyFill="1"/>
    <xf numFmtId="170" fontId="31" fillId="2" borderId="0" xfId="5" applyNumberFormat="1" applyFont="1" applyFill="1" applyBorder="1" applyAlignment="1">
      <alignment vertical="center"/>
    </xf>
    <xf numFmtId="168" fontId="32" fillId="5" borderId="1" xfId="0" applyNumberFormat="1" applyFont="1" applyFill="1" applyBorder="1" applyAlignment="1">
      <alignment horizontal="right" vertical="center" wrapText="1"/>
    </xf>
    <xf numFmtId="0" fontId="30" fillId="14" borderId="1" xfId="6" quotePrefix="1" applyFont="1" applyFill="1" applyBorder="1" applyAlignment="1">
      <alignment horizontal="center" vertical="center"/>
    </xf>
    <xf numFmtId="170" fontId="35" fillId="14" borderId="1" xfId="5" applyNumberFormat="1" applyFont="1" applyFill="1" applyBorder="1" applyAlignment="1">
      <alignment vertical="center"/>
    </xf>
    <xf numFmtId="171" fontId="35" fillId="14" borderId="1" xfId="0" applyNumberFormat="1" applyFont="1" applyFill="1" applyBorder="1" applyAlignment="1">
      <alignment vertical="center"/>
    </xf>
    <xf numFmtId="0" fontId="30" fillId="14" borderId="1" xfId="6" applyFont="1" applyFill="1" applyBorder="1" applyAlignment="1">
      <alignment horizontal="center" vertical="center"/>
    </xf>
    <xf numFmtId="0" fontId="30" fillId="14" borderId="2" xfId="6" quotePrefix="1" applyFont="1" applyFill="1" applyBorder="1" applyAlignment="1">
      <alignment vertical="center"/>
    </xf>
    <xf numFmtId="174" fontId="38" fillId="14" borderId="1" xfId="0" applyNumberFormat="1" applyFont="1" applyFill="1" applyBorder="1" applyAlignment="1">
      <alignment vertical="center"/>
    </xf>
    <xf numFmtId="0" fontId="37" fillId="15" borderId="5" xfId="0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37" fillId="16" borderId="5" xfId="0" applyFont="1" applyFill="1" applyBorder="1" applyAlignment="1">
      <alignment horizontal="center" vertical="center"/>
    </xf>
    <xf numFmtId="170" fontId="35" fillId="16" borderId="2" xfId="5" applyNumberFormat="1" applyFont="1" applyFill="1" applyBorder="1" applyAlignment="1">
      <alignment vertical="center"/>
    </xf>
    <xf numFmtId="174" fontId="35" fillId="16" borderId="2" xfId="0" applyNumberFormat="1" applyFont="1" applyFill="1" applyBorder="1" applyAlignment="1">
      <alignment vertical="center"/>
    </xf>
    <xf numFmtId="168" fontId="43" fillId="5" borderId="1" xfId="0" applyNumberFormat="1" applyFont="1" applyFill="1" applyBorder="1" applyAlignment="1">
      <alignment horizontal="right" vertical="center" wrapText="1"/>
    </xf>
    <xf numFmtId="10" fontId="0" fillId="2" borderId="2" xfId="0" applyNumberFormat="1" applyFill="1" applyBorder="1"/>
    <xf numFmtId="10" fontId="0" fillId="2" borderId="27" xfId="0" applyNumberFormat="1" applyFill="1" applyBorder="1"/>
    <xf numFmtId="10" fontId="0" fillId="2" borderId="43" xfId="0" applyNumberFormat="1" applyFill="1" applyBorder="1"/>
    <xf numFmtId="0" fontId="2" fillId="6" borderId="28" xfId="0" applyFont="1" applyFill="1" applyBorder="1"/>
    <xf numFmtId="170" fontId="2" fillId="2" borderId="6" xfId="0" applyNumberFormat="1" applyFont="1" applyFill="1" applyBorder="1"/>
    <xf numFmtId="170" fontId="2" fillId="2" borderId="31" xfId="0" applyNumberFormat="1" applyFont="1" applyFill="1" applyBorder="1"/>
    <xf numFmtId="0" fontId="0" fillId="6" borderId="2" xfId="0" applyFill="1" applyBorder="1"/>
    <xf numFmtId="0" fontId="0" fillId="6" borderId="28" xfId="0" applyFill="1" applyBorder="1"/>
    <xf numFmtId="0" fontId="0" fillId="6" borderId="22" xfId="0" applyFill="1" applyBorder="1"/>
    <xf numFmtId="170" fontId="2" fillId="2" borderId="43" xfId="0" applyNumberFormat="1" applyFont="1" applyFill="1" applyBorder="1"/>
    <xf numFmtId="170" fontId="2" fillId="2" borderId="41" xfId="0" applyNumberFormat="1" applyFont="1" applyFill="1" applyBorder="1"/>
    <xf numFmtId="41" fontId="2" fillId="2" borderId="55" xfId="3" applyFont="1" applyFill="1" applyBorder="1"/>
    <xf numFmtId="0" fontId="0" fillId="6" borderId="4" xfId="0" applyFill="1" applyBorder="1"/>
    <xf numFmtId="175" fontId="0" fillId="2" borderId="1" xfId="0" applyNumberFormat="1" applyFill="1" applyBorder="1"/>
    <xf numFmtId="176" fontId="45" fillId="5" borderId="1" xfId="0" applyNumberFormat="1" applyFont="1" applyFill="1" applyBorder="1" applyAlignment="1">
      <alignment horizontal="center"/>
    </xf>
    <xf numFmtId="176" fontId="2" fillId="2" borderId="1" xfId="0" applyNumberFormat="1" applyFont="1" applyFill="1" applyBorder="1"/>
    <xf numFmtId="177" fontId="0" fillId="2" borderId="0" xfId="3" applyNumberFormat="1" applyFont="1" applyFill="1"/>
    <xf numFmtId="176" fontId="0" fillId="2" borderId="0" xfId="0" applyNumberFormat="1" applyFill="1"/>
    <xf numFmtId="41" fontId="0" fillId="2" borderId="1" xfId="3" applyFont="1" applyFill="1" applyBorder="1"/>
    <xf numFmtId="178" fontId="0" fillId="2" borderId="1" xfId="5" applyNumberFormat="1" applyFont="1" applyFill="1" applyBorder="1"/>
    <xf numFmtId="179" fontId="45" fillId="5" borderId="1" xfId="0" applyNumberFormat="1" applyFont="1" applyFill="1" applyBorder="1" applyAlignment="1">
      <alignment horizontal="right"/>
    </xf>
    <xf numFmtId="41" fontId="2" fillId="2" borderId="1" xfId="3" applyFont="1" applyFill="1" applyBorder="1"/>
    <xf numFmtId="177" fontId="2" fillId="2" borderId="1" xfId="3" applyNumberFormat="1" applyFont="1" applyFill="1" applyBorder="1"/>
    <xf numFmtId="0" fontId="47" fillId="5" borderId="18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 wrapText="1"/>
    </xf>
    <xf numFmtId="0" fontId="2" fillId="2" borderId="38" xfId="0" applyFont="1" applyFill="1" applyBorder="1"/>
    <xf numFmtId="176" fontId="0" fillId="2" borderId="39" xfId="0" applyNumberFormat="1" applyFill="1" applyBorder="1"/>
    <xf numFmtId="0" fontId="2" fillId="2" borderId="13" xfId="0" applyFont="1" applyFill="1" applyBorder="1" applyAlignment="1">
      <alignment vertical="center"/>
    </xf>
    <xf numFmtId="41" fontId="0" fillId="2" borderId="14" xfId="0" applyNumberFormat="1" applyFill="1" applyBorder="1" applyAlignment="1">
      <alignment vertical="center"/>
    </xf>
    <xf numFmtId="0" fontId="49" fillId="2" borderId="0" xfId="0" applyFont="1" applyFill="1" applyAlignment="1">
      <alignment horizontal="center" vertical="center" wrapText="1"/>
    </xf>
    <xf numFmtId="179" fontId="2" fillId="2" borderId="11" xfId="0" applyNumberFormat="1" applyFont="1" applyFill="1" applyBorder="1"/>
    <xf numFmtId="41" fontId="0" fillId="2" borderId="17" xfId="0" applyNumberFormat="1" applyFill="1" applyBorder="1"/>
    <xf numFmtId="180" fontId="50" fillId="6" borderId="49" xfId="5" applyNumberFormat="1" applyFont="1" applyFill="1" applyBorder="1" applyAlignment="1">
      <alignment vertical="center"/>
    </xf>
    <xf numFmtId="179" fontId="26" fillId="6" borderId="5" xfId="0" applyNumberFormat="1" applyFont="1" applyFill="1" applyBorder="1"/>
    <xf numFmtId="41" fontId="0" fillId="2" borderId="16" xfId="0" applyNumberFormat="1" applyFill="1" applyBorder="1"/>
    <xf numFmtId="179" fontId="2" fillId="2" borderId="16" xfId="0" applyNumberFormat="1" applyFont="1" applyFill="1" applyBorder="1"/>
    <xf numFmtId="180" fontId="50" fillId="6" borderId="50" xfId="5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horizontal="center"/>
    </xf>
    <xf numFmtId="169" fontId="50" fillId="6" borderId="49" xfId="5" applyFont="1" applyFill="1" applyBorder="1" applyAlignment="1">
      <alignment vertical="center"/>
    </xf>
    <xf numFmtId="169" fontId="50" fillId="6" borderId="40" xfId="5" applyFont="1" applyFill="1" applyBorder="1" applyAlignment="1">
      <alignment vertical="center"/>
    </xf>
    <xf numFmtId="169" fontId="50" fillId="6" borderId="50" xfId="5" applyFont="1" applyFill="1" applyBorder="1" applyAlignment="1">
      <alignment vertical="center"/>
    </xf>
    <xf numFmtId="181" fontId="0" fillId="2" borderId="6" xfId="1" applyNumberFormat="1" applyFont="1" applyFill="1" applyBorder="1"/>
    <xf numFmtId="181" fontId="0" fillId="2" borderId="1" xfId="1" applyNumberFormat="1" applyFont="1" applyFill="1" applyBorder="1"/>
    <xf numFmtId="181" fontId="2" fillId="2" borderId="1" xfId="1" applyNumberFormat="1" applyFont="1" applyFill="1" applyBorder="1"/>
    <xf numFmtId="9" fontId="2" fillId="2" borderId="1" xfId="2" applyFont="1" applyFill="1" applyBorder="1"/>
    <xf numFmtId="10" fontId="51" fillId="2" borderId="1" xfId="2" applyNumberFormat="1" applyFont="1" applyFill="1" applyBorder="1"/>
    <xf numFmtId="10" fontId="52" fillId="2" borderId="1" xfId="2" applyNumberFormat="1" applyFont="1" applyFill="1" applyBorder="1"/>
    <xf numFmtId="10" fontId="53" fillId="2" borderId="1" xfId="2" applyNumberFormat="1" applyFont="1" applyFill="1" applyBorder="1"/>
    <xf numFmtId="0" fontId="7" fillId="5" borderId="4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75" fontId="0" fillId="2" borderId="1" xfId="5" applyNumberFormat="1" applyFont="1" applyFill="1" applyBorder="1"/>
    <xf numFmtId="0" fontId="2" fillId="5" borderId="2" xfId="0" applyFont="1" applyFill="1" applyBorder="1" applyAlignment="1">
      <alignment horizontal="left"/>
    </xf>
    <xf numFmtId="0" fontId="2" fillId="5" borderId="28" xfId="0" applyFont="1" applyFill="1" applyBorder="1" applyAlignment="1">
      <alignment horizontal="left"/>
    </xf>
    <xf numFmtId="0" fontId="2" fillId="17" borderId="34" xfId="0" applyFont="1" applyFill="1" applyBorder="1" applyAlignment="1">
      <alignment horizontal="center" vertical="center"/>
    </xf>
    <xf numFmtId="168" fontId="7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" fontId="0" fillId="2" borderId="0" xfId="0" applyNumberFormat="1" applyFill="1"/>
    <xf numFmtId="0" fontId="7" fillId="20" borderId="0" xfId="0" applyFont="1" applyFill="1" applyAlignment="1">
      <alignment horizontal="center"/>
    </xf>
    <xf numFmtId="0" fontId="7" fillId="20" borderId="0" xfId="0" applyFont="1" applyFill="1" applyAlignment="1">
      <alignment horizontal="center" vertical="center"/>
    </xf>
    <xf numFmtId="165" fontId="7" fillId="20" borderId="0" xfId="4" applyNumberFormat="1" applyFont="1" applyFill="1" applyAlignment="1">
      <alignment horizontal="center"/>
    </xf>
    <xf numFmtId="165" fontId="7" fillId="21" borderId="0" xfId="4" applyNumberFormat="1" applyFont="1" applyFill="1" applyAlignment="1">
      <alignment horizontal="center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horizontal="center" vertical="center"/>
    </xf>
    <xf numFmtId="165" fontId="0" fillId="0" borderId="0" xfId="4" applyNumberFormat="1" applyFont="1"/>
    <xf numFmtId="0" fontId="0" fillId="0" borderId="1" xfId="0" applyBorder="1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18" borderId="8" xfId="0" applyFill="1" applyBorder="1" applyAlignment="1">
      <alignment vertical="center"/>
    </xf>
    <xf numFmtId="4" fontId="2" fillId="18" borderId="9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0" fontId="2" fillId="18" borderId="7" xfId="0" applyFont="1" applyFill="1" applyBorder="1" applyAlignment="1">
      <alignment vertical="center"/>
    </xf>
    <xf numFmtId="0" fontId="2" fillId="18" borderId="8" xfId="0" applyFont="1" applyFill="1" applyBorder="1" applyAlignment="1">
      <alignment vertical="center"/>
    </xf>
    <xf numFmtId="0" fontId="6" fillId="0" borderId="51" xfId="0" applyFont="1" applyBorder="1" applyAlignment="1">
      <alignment vertical="center"/>
    </xf>
    <xf numFmtId="4" fontId="0" fillId="0" borderId="52" xfId="0" applyNumberFormat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7" xfId="0" applyBorder="1" applyAlignment="1">
      <alignment vertical="center"/>
    </xf>
    <xf numFmtId="4" fontId="0" fillId="0" borderId="50" xfId="0" applyNumberFormat="1" applyBorder="1" applyAlignment="1">
      <alignment vertical="center"/>
    </xf>
    <xf numFmtId="0" fontId="26" fillId="22" borderId="7" xfId="0" applyFont="1" applyFill="1" applyBorder="1"/>
    <xf numFmtId="0" fontId="26" fillId="22" borderId="8" xfId="0" applyFont="1" applyFill="1" applyBorder="1"/>
    <xf numFmtId="0" fontId="26" fillId="22" borderId="8" xfId="0" applyFont="1" applyFill="1" applyBorder="1" applyAlignment="1">
      <alignment horizontal="center" vertical="center"/>
    </xf>
    <xf numFmtId="0" fontId="26" fillId="22" borderId="9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18" borderId="9" xfId="0" applyFill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9" fontId="0" fillId="0" borderId="1" xfId="2" applyFont="1" applyBorder="1" applyAlignment="1">
      <alignment vertical="center"/>
    </xf>
    <xf numFmtId="0" fontId="2" fillId="22" borderId="18" xfId="0" applyFont="1" applyFill="1" applyBorder="1" applyAlignment="1">
      <alignment vertical="center"/>
    </xf>
    <xf numFmtId="164" fontId="2" fillId="0" borderId="19" xfId="1" applyNumberFormat="1" applyFont="1" applyBorder="1" applyAlignment="1">
      <alignment vertical="center"/>
    </xf>
    <xf numFmtId="164" fontId="2" fillId="0" borderId="20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0" fontId="0" fillId="0" borderId="1" xfId="2" applyNumberFormat="1" applyFont="1" applyFill="1" applyBorder="1" applyAlignment="1">
      <alignment vertical="center"/>
    </xf>
    <xf numFmtId="0" fontId="27" fillId="0" borderId="1" xfId="0" applyFont="1" applyBorder="1"/>
    <xf numFmtId="3" fontId="0" fillId="0" borderId="1" xfId="0" applyNumberFormat="1" applyBorder="1" applyAlignment="1">
      <alignment vertical="center"/>
    </xf>
    <xf numFmtId="9" fontId="0" fillId="0" borderId="1" xfId="2" applyFont="1" applyFill="1" applyBorder="1" applyAlignment="1">
      <alignment vertical="center"/>
    </xf>
    <xf numFmtId="0" fontId="2" fillId="22" borderId="2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0" borderId="1" xfId="0" applyFont="1" applyBorder="1"/>
    <xf numFmtId="165" fontId="0" fillId="0" borderId="1" xfId="4" applyNumberFormat="1" applyFont="1" applyFill="1" applyBorder="1"/>
    <xf numFmtId="10" fontId="0" fillId="0" borderId="1" xfId="2" applyNumberFormat="1" applyFont="1" applyBorder="1"/>
    <xf numFmtId="0" fontId="0" fillId="0" borderId="1" xfId="0" applyBorder="1" applyAlignment="1">
      <alignment horizontal="center" vertical="center"/>
    </xf>
    <xf numFmtId="44" fontId="0" fillId="0" borderId="1" xfId="4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2" fillId="22" borderId="43" xfId="0" applyFont="1" applyFill="1" applyBorder="1" applyAlignment="1">
      <alignment horizontal="center" vertical="center"/>
    </xf>
    <xf numFmtId="0" fontId="2" fillId="22" borderId="55" xfId="0" applyFont="1" applyFill="1" applyBorder="1" applyAlignment="1">
      <alignment horizontal="center" vertical="center"/>
    </xf>
    <xf numFmtId="9" fontId="2" fillId="22" borderId="55" xfId="0" applyNumberFormat="1" applyFont="1" applyFill="1" applyBorder="1" applyAlignment="1">
      <alignment horizontal="center" vertical="center"/>
    </xf>
    <xf numFmtId="0" fontId="2" fillId="22" borderId="27" xfId="0" applyFont="1" applyFill="1" applyBorder="1" applyAlignment="1">
      <alignment horizontal="center" vertical="center"/>
    </xf>
    <xf numFmtId="0" fontId="2" fillId="22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9" fontId="2" fillId="0" borderId="55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0" borderId="1" xfId="1" applyNumberFormat="1" applyFont="1" applyBorder="1"/>
    <xf numFmtId="0" fontId="7" fillId="20" borderId="0" xfId="0" applyFont="1" applyFill="1"/>
    <xf numFmtId="164" fontId="7" fillId="20" borderId="0" xfId="0" applyNumberFormat="1" applyFont="1" applyFill="1"/>
    <xf numFmtId="43" fontId="0" fillId="0" borderId="0" xfId="1" applyFont="1" applyAlignment="1">
      <alignment vertical="center"/>
    </xf>
    <xf numFmtId="0" fontId="55" fillId="0" borderId="0" xfId="0" applyFont="1"/>
    <xf numFmtId="0" fontId="56" fillId="0" borderId="1" xfId="0" applyFont="1" applyBorder="1" applyAlignment="1">
      <alignment horizontal="center" vertical="center"/>
    </xf>
    <xf numFmtId="165" fontId="56" fillId="0" borderId="1" xfId="4" applyNumberFormat="1" applyFont="1" applyBorder="1" applyAlignment="1">
      <alignment horizontal="center" vertical="center" wrapText="1"/>
    </xf>
    <xf numFmtId="165" fontId="56" fillId="0" borderId="1" xfId="4" applyNumberFormat="1" applyFont="1" applyBorder="1" applyAlignment="1">
      <alignment horizontal="center" vertical="center"/>
    </xf>
    <xf numFmtId="0" fontId="56" fillId="0" borderId="1" xfId="0" applyFont="1" applyBorder="1" applyAlignment="1">
      <alignment horizontal="center"/>
    </xf>
    <xf numFmtId="165" fontId="57" fillId="0" borderId="1" xfId="4" applyNumberFormat="1" applyFont="1" applyBorder="1"/>
    <xf numFmtId="165" fontId="0" fillId="0" borderId="1" xfId="4" applyNumberFormat="1" applyFont="1" applyBorder="1"/>
    <xf numFmtId="10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2" borderId="0" xfId="0" applyFill="1" applyAlignment="1">
      <alignment horizontal="center"/>
    </xf>
    <xf numFmtId="10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165" fontId="20" fillId="0" borderId="1" xfId="4" applyNumberFormat="1" applyFont="1" applyBorder="1" applyAlignment="1">
      <alignment horizontal="center" vertical="center" wrapText="1"/>
    </xf>
    <xf numFmtId="165" fontId="20" fillId="0" borderId="1" xfId="4" applyNumberFormat="1" applyFont="1" applyBorder="1" applyAlignment="1">
      <alignment horizontal="center" vertical="center"/>
    </xf>
    <xf numFmtId="4" fontId="0" fillId="2" borderId="0" xfId="2" applyNumberFormat="1" applyFont="1" applyFill="1"/>
    <xf numFmtId="0" fontId="2" fillId="2" borderId="2" xfId="0" applyFont="1" applyFill="1" applyBorder="1"/>
    <xf numFmtId="0" fontId="2" fillId="2" borderId="28" xfId="0" applyFont="1" applyFill="1" applyBorder="1"/>
    <xf numFmtId="0" fontId="2" fillId="2" borderId="22" xfId="0" applyFont="1" applyFill="1" applyBorder="1"/>
    <xf numFmtId="0" fontId="0" fillId="24" borderId="1" xfId="0" applyFill="1" applyBorder="1"/>
    <xf numFmtId="0" fontId="0" fillId="11" borderId="1" xfId="0" applyFill="1" applyBorder="1"/>
    <xf numFmtId="4" fontId="2" fillId="23" borderId="0" xfId="0" applyNumberFormat="1" applyFont="1" applyFill="1" applyAlignment="1">
      <alignment vertical="center"/>
    </xf>
    <xf numFmtId="0" fontId="0" fillId="23" borderId="0" xfId="0" applyFill="1" applyAlignment="1">
      <alignment horizontal="center" vertical="center"/>
    </xf>
    <xf numFmtId="3" fontId="0" fillId="0" borderId="1" xfId="0" applyNumberFormat="1" applyBorder="1"/>
    <xf numFmtId="165" fontId="0" fillId="0" borderId="1" xfId="4" applyNumberFormat="1" applyFont="1" applyBorder="1" applyAlignment="1">
      <alignment horizontal="left" vertical="center"/>
    </xf>
    <xf numFmtId="4" fontId="0" fillId="2" borderId="0" xfId="1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2" borderId="55" xfId="0" applyFill="1" applyBorder="1"/>
    <xf numFmtId="4" fontId="0" fillId="2" borderId="55" xfId="1" applyNumberFormat="1" applyFont="1" applyFill="1" applyBorder="1"/>
    <xf numFmtId="165" fontId="0" fillId="2" borderId="0" xfId="0" applyNumberFormat="1" applyFill="1"/>
    <xf numFmtId="0" fontId="0" fillId="23" borderId="0" xfId="0" applyFill="1"/>
    <xf numFmtId="9" fontId="0" fillId="0" borderId="0" xfId="2" applyFont="1" applyFill="1" applyBorder="1" applyAlignment="1">
      <alignment vertical="center"/>
    </xf>
    <xf numFmtId="0" fontId="19" fillId="2" borderId="0" xfId="0" applyFont="1" applyFill="1"/>
    <xf numFmtId="9" fontId="0" fillId="23" borderId="1" xfId="2" applyFont="1" applyFill="1" applyBorder="1" applyAlignment="1">
      <alignment vertical="center"/>
    </xf>
    <xf numFmtId="0" fontId="0" fillId="23" borderId="6" xfId="0" applyFill="1" applyBorder="1" applyAlignment="1">
      <alignment vertical="center"/>
    </xf>
    <xf numFmtId="10" fontId="0" fillId="23" borderId="1" xfId="2" applyNumberFormat="1" applyFont="1" applyFill="1" applyBorder="1" applyAlignment="1">
      <alignment vertical="center"/>
    </xf>
    <xf numFmtId="9" fontId="0" fillId="0" borderId="2" xfId="2" applyFont="1" applyFill="1" applyBorder="1" applyAlignment="1">
      <alignment vertical="center"/>
    </xf>
    <xf numFmtId="9" fontId="0" fillId="0" borderId="0" xfId="0" applyNumberFormat="1" applyAlignment="1">
      <alignment vertical="center"/>
    </xf>
    <xf numFmtId="0" fontId="7" fillId="5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 applyAlignment="1">
      <alignment horizontal="right"/>
    </xf>
    <xf numFmtId="0" fontId="7" fillId="5" borderId="25" xfId="0" applyFont="1" applyFill="1" applyBorder="1" applyAlignment="1">
      <alignment horizontal="center"/>
    </xf>
    <xf numFmtId="9" fontId="0" fillId="0" borderId="1" xfId="2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2" fillId="3" borderId="0" xfId="0" applyFont="1" applyFill="1" applyAlignment="1">
      <alignment vertical="center"/>
    </xf>
    <xf numFmtId="165" fontId="2" fillId="3" borderId="1" xfId="4" applyNumberFormat="1" applyFont="1" applyFill="1" applyBorder="1"/>
    <xf numFmtId="165" fontId="0" fillId="3" borderId="1" xfId="4" applyNumberFormat="1" applyFont="1" applyFill="1" applyBorder="1"/>
    <xf numFmtId="3" fontId="0" fillId="3" borderId="1" xfId="0" applyNumberFormat="1" applyFill="1" applyBorder="1"/>
    <xf numFmtId="9" fontId="0" fillId="0" borderId="0" xfId="2" applyFon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23" borderId="0" xfId="0" applyFill="1" applyAlignment="1">
      <alignment vertical="center"/>
    </xf>
    <xf numFmtId="182" fontId="0" fillId="2" borderId="1" xfId="1" applyNumberFormat="1" applyFont="1" applyFill="1" applyBorder="1"/>
    <xf numFmtId="182" fontId="0" fillId="0" borderId="0" xfId="0" applyNumberFormat="1" applyAlignment="1">
      <alignment vertical="center"/>
    </xf>
    <xf numFmtId="182" fontId="2" fillId="3" borderId="0" xfId="0" applyNumberFormat="1" applyFont="1" applyFill="1" applyAlignment="1">
      <alignment vertical="center"/>
    </xf>
    <xf numFmtId="182" fontId="0" fillId="2" borderId="18" xfId="1" applyNumberFormat="1" applyFont="1" applyFill="1" applyBorder="1"/>
    <xf numFmtId="182" fontId="0" fillId="2" borderId="19" xfId="0" applyNumberFormat="1" applyFill="1" applyBorder="1"/>
    <xf numFmtId="6" fontId="0" fillId="2" borderId="1" xfId="0" applyNumberFormat="1" applyFill="1" applyBorder="1"/>
    <xf numFmtId="182" fontId="2" fillId="2" borderId="1" xfId="0" applyNumberFormat="1" applyFont="1" applyFill="1" applyBorder="1" applyAlignment="1">
      <alignment vertical="center"/>
    </xf>
    <xf numFmtId="182" fontId="2" fillId="2" borderId="1" xfId="1" applyNumberFormat="1" applyFont="1" applyFill="1" applyBorder="1" applyAlignment="1">
      <alignment vertical="center"/>
    </xf>
    <xf numFmtId="182" fontId="0" fillId="2" borderId="1" xfId="4" applyNumberFormat="1" applyFont="1" applyFill="1" applyBorder="1"/>
    <xf numFmtId="9" fontId="0" fillId="0" borderId="1" xfId="2" applyFont="1" applyBorder="1" applyAlignment="1">
      <alignment horizontal="center"/>
    </xf>
    <xf numFmtId="0" fontId="2" fillId="4" borderId="48" xfId="0" applyFont="1" applyFill="1" applyBorder="1" applyAlignment="1">
      <alignment horizontal="centerContinuous"/>
    </xf>
    <xf numFmtId="0" fontId="7" fillId="4" borderId="47" xfId="0" applyFont="1" applyFill="1" applyBorder="1" applyAlignment="1">
      <alignment horizontal="centerContinuous"/>
    </xf>
    <xf numFmtId="164" fontId="47" fillId="25" borderId="5" xfId="1" applyNumberFormat="1" applyFont="1" applyFill="1" applyBorder="1" applyAlignment="1">
      <alignment horizontal="center" vertical="center"/>
    </xf>
    <xf numFmtId="164" fontId="47" fillId="5" borderId="5" xfId="1" applyNumberFormat="1" applyFont="1" applyFill="1" applyBorder="1" applyAlignment="1">
      <alignment horizontal="center" vertical="center"/>
    </xf>
    <xf numFmtId="0" fontId="27" fillId="0" borderId="0" xfId="0" applyFont="1"/>
    <xf numFmtId="164" fontId="64" fillId="2" borderId="1" xfId="8" applyNumberFormat="1" applyFont="1" applyFill="1" applyBorder="1"/>
    <xf numFmtId="2" fontId="27" fillId="2" borderId="0" xfId="0" applyNumberFormat="1" applyFont="1" applyFill="1"/>
    <xf numFmtId="185" fontId="27" fillId="2" borderId="0" xfId="0" applyNumberFormat="1" applyFont="1" applyFill="1"/>
    <xf numFmtId="0" fontId="66" fillId="5" borderId="1" xfId="0" applyFont="1" applyFill="1" applyBorder="1"/>
    <xf numFmtId="2" fontId="66" fillId="5" borderId="1" xfId="0" applyNumberFormat="1" applyFont="1" applyFill="1" applyBorder="1"/>
    <xf numFmtId="0" fontId="27" fillId="27" borderId="1" xfId="0" applyFont="1" applyFill="1" applyBorder="1"/>
    <xf numFmtId="2" fontId="27" fillId="27" borderId="1" xfId="0" applyNumberFormat="1" applyFont="1" applyFill="1" applyBorder="1"/>
    <xf numFmtId="0" fontId="66" fillId="24" borderId="1" xfId="0" applyFont="1" applyFill="1" applyBorder="1"/>
    <xf numFmtId="2" fontId="66" fillId="24" borderId="1" xfId="3" applyNumberFormat="1" applyFont="1" applyFill="1" applyBorder="1"/>
    <xf numFmtId="2" fontId="26" fillId="2" borderId="1" xfId="0" applyNumberFormat="1" applyFont="1" applyFill="1" applyBorder="1"/>
    <xf numFmtId="0" fontId="26" fillId="0" borderId="0" xfId="0" applyFont="1"/>
    <xf numFmtId="0" fontId="27" fillId="2" borderId="1" xfId="0" applyFont="1" applyFill="1" applyBorder="1"/>
    <xf numFmtId="186" fontId="64" fillId="2" borderId="1" xfId="8" applyNumberFormat="1" applyFont="1" applyFill="1" applyBorder="1"/>
    <xf numFmtId="0" fontId="26" fillId="2" borderId="0" xfId="0" applyFont="1" applyFill="1"/>
    <xf numFmtId="0" fontId="45" fillId="20" borderId="6" xfId="0" applyFont="1" applyFill="1" applyBorder="1"/>
    <xf numFmtId="0" fontId="45" fillId="24" borderId="6" xfId="0" applyFont="1" applyFill="1" applyBorder="1"/>
    <xf numFmtId="0" fontId="27" fillId="20" borderId="0" xfId="0" applyFont="1" applyFill="1"/>
    <xf numFmtId="0" fontId="47" fillId="20" borderId="1" xfId="0" applyFont="1" applyFill="1" applyBorder="1"/>
    <xf numFmtId="0" fontId="64" fillId="0" borderId="0" xfId="0" applyFont="1"/>
    <xf numFmtId="0" fontId="68" fillId="0" borderId="0" xfId="0" applyFont="1"/>
    <xf numFmtId="0" fontId="69" fillId="2" borderId="0" xfId="0" applyFont="1" applyFill="1"/>
    <xf numFmtId="0" fontId="47" fillId="0" borderId="0" xfId="0" applyFont="1"/>
    <xf numFmtId="164" fontId="64" fillId="0" borderId="0" xfId="8" applyNumberFormat="1" applyFont="1" applyFill="1" applyBorder="1"/>
    <xf numFmtId="186" fontId="64" fillId="0" borderId="0" xfId="8" applyNumberFormat="1" applyFont="1" applyFill="1" applyBorder="1"/>
    <xf numFmtId="2" fontId="26" fillId="0" borderId="0" xfId="0" applyNumberFormat="1" applyFont="1"/>
    <xf numFmtId="0" fontId="26" fillId="0" borderId="0" xfId="0" applyFont="1" applyAlignment="1">
      <alignment horizontal="center"/>
    </xf>
    <xf numFmtId="185" fontId="27" fillId="0" borderId="0" xfId="0" applyNumberFormat="1" applyFont="1"/>
    <xf numFmtId="2" fontId="27" fillId="0" borderId="0" xfId="0" applyNumberFormat="1" applyFont="1"/>
    <xf numFmtId="0" fontId="0" fillId="11" borderId="28" xfId="0" applyFill="1" applyBorder="1" applyAlignment="1">
      <alignment horizontal="left"/>
    </xf>
    <xf numFmtId="0" fontId="0" fillId="11" borderId="22" xfId="0" applyFill="1" applyBorder="1" applyAlignment="1">
      <alignment horizontal="left"/>
    </xf>
    <xf numFmtId="0" fontId="2" fillId="11" borderId="28" xfId="0" applyFont="1" applyFill="1" applyBorder="1" applyAlignment="1">
      <alignment horizontal="left"/>
    </xf>
    <xf numFmtId="0" fontId="2" fillId="11" borderId="22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2" fillId="17" borderId="2" xfId="0" applyFont="1" applyFill="1" applyBorder="1" applyAlignment="1">
      <alignment horizontal="left"/>
    </xf>
    <xf numFmtId="0" fontId="2" fillId="17" borderId="43" xfId="0" applyFont="1" applyFill="1" applyBorder="1" applyAlignment="1">
      <alignment horizontal="left"/>
    </xf>
    <xf numFmtId="0" fontId="15" fillId="5" borderId="48" xfId="0" applyFont="1" applyFill="1" applyBorder="1" applyAlignment="1">
      <alignment horizontal="centerContinuous" vertical="center"/>
    </xf>
    <xf numFmtId="0" fontId="15" fillId="5" borderId="49" xfId="0" applyFont="1" applyFill="1" applyBorder="1" applyAlignment="1">
      <alignment horizontal="centerContinuous" vertical="center"/>
    </xf>
    <xf numFmtId="0" fontId="2" fillId="2" borderId="51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2" fillId="2" borderId="52" xfId="0" applyFont="1" applyFill="1" applyBorder="1" applyAlignment="1">
      <alignment horizontal="centerContinuous"/>
    </xf>
    <xf numFmtId="0" fontId="9" fillId="2" borderId="40" xfId="0" applyFont="1" applyFill="1" applyBorder="1" applyAlignment="1">
      <alignment horizontal="centerContinuous"/>
    </xf>
    <xf numFmtId="0" fontId="9" fillId="2" borderId="37" xfId="0" applyFont="1" applyFill="1" applyBorder="1" applyAlignment="1">
      <alignment horizontal="centerContinuous"/>
    </xf>
    <xf numFmtId="0" fontId="9" fillId="2" borderId="50" xfId="0" applyFont="1" applyFill="1" applyBorder="1" applyAlignment="1">
      <alignment horizontal="centerContinuous"/>
    </xf>
    <xf numFmtId="0" fontId="16" fillId="5" borderId="47" xfId="0" applyFont="1" applyFill="1" applyBorder="1" applyAlignment="1">
      <alignment horizontal="centerContinuous"/>
    </xf>
    <xf numFmtId="0" fontId="16" fillId="5" borderId="48" xfId="0" applyFont="1" applyFill="1" applyBorder="1" applyAlignment="1">
      <alignment horizontal="centerContinuous"/>
    </xf>
    <xf numFmtId="0" fontId="16" fillId="5" borderId="49" xfId="0" applyFont="1" applyFill="1" applyBorder="1" applyAlignment="1">
      <alignment horizontal="centerContinuous"/>
    </xf>
    <xf numFmtId="0" fontId="16" fillId="5" borderId="31" xfId="0" applyFont="1" applyFill="1" applyBorder="1" applyAlignment="1">
      <alignment horizontal="centerContinuous" vertical="center"/>
    </xf>
    <xf numFmtId="0" fontId="16" fillId="5" borderId="4" xfId="0" applyFont="1" applyFill="1" applyBorder="1" applyAlignment="1">
      <alignment horizontal="centerContinuous" vertical="center"/>
    </xf>
    <xf numFmtId="0" fontId="16" fillId="5" borderId="53" xfId="0" applyFont="1" applyFill="1" applyBorder="1" applyAlignment="1">
      <alignment horizontal="centerContinuous" vertic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1" borderId="2" xfId="0" applyFont="1" applyFill="1" applyBorder="1" applyAlignment="1">
      <alignment horizontal="center"/>
    </xf>
    <xf numFmtId="0" fontId="19" fillId="10" borderId="28" xfId="0" quotePrefix="1" applyFont="1" applyFill="1" applyBorder="1" applyAlignment="1">
      <alignment horizontal="center"/>
    </xf>
    <xf numFmtId="0" fontId="19" fillId="10" borderId="22" xfId="0" quotePrefix="1" applyFont="1" applyFill="1" applyBorder="1" applyAlignment="1">
      <alignment horizontal="center"/>
    </xf>
    <xf numFmtId="0" fontId="19" fillId="10" borderId="28" xfId="0" applyFont="1" applyFill="1" applyBorder="1" applyAlignment="1">
      <alignment horizontal="center"/>
    </xf>
    <xf numFmtId="0" fontId="19" fillId="10" borderId="22" xfId="0" applyFont="1" applyFill="1" applyBorder="1" applyAlignment="1">
      <alignment horizontal="center"/>
    </xf>
    <xf numFmtId="0" fontId="19" fillId="11" borderId="28" xfId="0" applyFont="1" applyFill="1" applyBorder="1" applyAlignment="1">
      <alignment horizontal="center"/>
    </xf>
    <xf numFmtId="0" fontId="19" fillId="11" borderId="22" xfId="0" applyFont="1" applyFill="1" applyBorder="1" applyAlignment="1">
      <alignment horizontal="center"/>
    </xf>
    <xf numFmtId="0" fontId="20" fillId="11" borderId="28" xfId="0" quotePrefix="1" applyFont="1" applyFill="1" applyBorder="1" applyAlignment="1">
      <alignment horizontal="centerContinuous"/>
    </xf>
    <xf numFmtId="0" fontId="20" fillId="11" borderId="22" xfId="0" quotePrefix="1" applyFont="1" applyFill="1" applyBorder="1" applyAlignment="1">
      <alignment horizontal="centerContinuous"/>
    </xf>
    <xf numFmtId="0" fontId="19" fillId="12" borderId="28" xfId="0" quotePrefix="1" applyFont="1" applyFill="1" applyBorder="1" applyAlignment="1">
      <alignment horizontal="left" vertical="center"/>
    </xf>
    <xf numFmtId="0" fontId="19" fillId="12" borderId="22" xfId="0" quotePrefix="1" applyFont="1" applyFill="1" applyBorder="1" applyAlignment="1">
      <alignment horizontal="left" vertical="center"/>
    </xf>
    <xf numFmtId="0" fontId="19" fillId="12" borderId="28" xfId="0" applyFont="1" applyFill="1" applyBorder="1" applyAlignment="1">
      <alignment horizontal="left"/>
    </xf>
    <xf numFmtId="0" fontId="19" fillId="12" borderId="22" xfId="0" applyFont="1" applyFill="1" applyBorder="1" applyAlignment="1">
      <alignment horizontal="left"/>
    </xf>
    <xf numFmtId="0" fontId="19" fillId="12" borderId="28" xfId="0" quotePrefix="1" applyFont="1" applyFill="1" applyBorder="1" applyAlignment="1">
      <alignment horizontal="left"/>
    </xf>
    <xf numFmtId="0" fontId="19" fillId="12" borderId="22" xfId="0" quotePrefix="1" applyFont="1" applyFill="1" applyBorder="1" applyAlignment="1">
      <alignment horizontal="left"/>
    </xf>
    <xf numFmtId="0" fontId="19" fillId="2" borderId="28" xfId="0" quotePrefix="1" applyFont="1" applyFill="1" applyBorder="1" applyAlignment="1">
      <alignment horizontal="left"/>
    </xf>
    <xf numFmtId="0" fontId="19" fillId="2" borderId="22" xfId="0" quotePrefix="1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19" fillId="11" borderId="28" xfId="0" quotePrefix="1" applyFont="1" applyFill="1" applyBorder="1" applyAlignment="1">
      <alignment horizontal="left"/>
    </xf>
    <xf numFmtId="0" fontId="19" fillId="11" borderId="22" xfId="0" quotePrefix="1" applyFont="1" applyFill="1" applyBorder="1" applyAlignment="1">
      <alignment horizontal="left"/>
    </xf>
    <xf numFmtId="0" fontId="15" fillId="5" borderId="7" xfId="0" applyFont="1" applyFill="1" applyBorder="1" applyAlignment="1">
      <alignment horizontal="centerContinuous" vertical="center"/>
    </xf>
    <xf numFmtId="0" fontId="15" fillId="5" borderId="8" xfId="0" applyFont="1" applyFill="1" applyBorder="1" applyAlignment="1">
      <alignment horizontal="centerContinuous" vertical="center"/>
    </xf>
    <xf numFmtId="0" fontId="15" fillId="5" borderId="9" xfId="0" applyFont="1" applyFill="1" applyBorder="1" applyAlignment="1">
      <alignment horizontal="centerContinuous" vertical="center"/>
    </xf>
    <xf numFmtId="0" fontId="30" fillId="14" borderId="28" xfId="6" applyFont="1" applyFill="1" applyBorder="1" applyAlignment="1">
      <alignment vertical="center"/>
    </xf>
    <xf numFmtId="0" fontId="30" fillId="14" borderId="22" xfId="6" applyFont="1" applyFill="1" applyBorder="1" applyAlignment="1">
      <alignment vertical="center"/>
    </xf>
    <xf numFmtId="0" fontId="36" fillId="14" borderId="28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left"/>
    </xf>
    <xf numFmtId="0" fontId="2" fillId="6" borderId="28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28" xfId="0" applyFill="1" applyBorder="1" applyAlignment="1">
      <alignment horizontal="left"/>
    </xf>
    <xf numFmtId="0" fontId="42" fillId="5" borderId="2" xfId="0" applyFont="1" applyFill="1" applyBorder="1" applyAlignment="1">
      <alignment horizontal="left"/>
    </xf>
    <xf numFmtId="0" fontId="42" fillId="5" borderId="28" xfId="0" applyFont="1" applyFill="1" applyBorder="1" applyAlignment="1">
      <alignment horizontal="left"/>
    </xf>
    <xf numFmtId="0" fontId="42" fillId="5" borderId="22" xfId="0" applyFont="1" applyFill="1" applyBorder="1" applyAlignment="1">
      <alignment horizontal="left"/>
    </xf>
    <xf numFmtId="0" fontId="2" fillId="17" borderId="28" xfId="0" applyFont="1" applyFill="1" applyBorder="1" applyAlignment="1">
      <alignment horizontal="left"/>
    </xf>
    <xf numFmtId="0" fontId="2" fillId="17" borderId="22" xfId="0" applyFont="1" applyFill="1" applyBorder="1" applyAlignment="1">
      <alignment horizontal="left"/>
    </xf>
    <xf numFmtId="0" fontId="2" fillId="17" borderId="55" xfId="0" applyFont="1" applyFill="1" applyBorder="1" applyAlignment="1">
      <alignment horizontal="left"/>
    </xf>
    <xf numFmtId="0" fontId="2" fillId="17" borderId="56" xfId="0" applyFont="1" applyFill="1" applyBorder="1" applyAlignment="1">
      <alignment horizontal="left"/>
    </xf>
    <xf numFmtId="0" fontId="2" fillId="17" borderId="31" xfId="0" applyFont="1" applyFill="1" applyBorder="1" applyAlignment="1">
      <alignment horizontal="left"/>
    </xf>
    <xf numFmtId="0" fontId="2" fillId="17" borderId="4" xfId="0" applyFont="1" applyFill="1" applyBorder="1" applyAlignment="1">
      <alignment horizontal="left"/>
    </xf>
    <xf numFmtId="0" fontId="2" fillId="17" borderId="53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0" fontId="18" fillId="5" borderId="28" xfId="0" applyFont="1" applyFill="1" applyBorder="1" applyAlignment="1">
      <alignment horizontal="left"/>
    </xf>
    <xf numFmtId="0" fontId="18" fillId="5" borderId="22" xfId="0" applyFont="1" applyFill="1" applyBorder="1" applyAlignment="1">
      <alignment horizontal="left"/>
    </xf>
    <xf numFmtId="0" fontId="0" fillId="17" borderId="2" xfId="0" applyFill="1" applyBorder="1" applyAlignment="1">
      <alignment horizontal="left"/>
    </xf>
    <xf numFmtId="0" fontId="0" fillId="17" borderId="28" xfId="0" applyFill="1" applyBorder="1" applyAlignment="1">
      <alignment horizontal="left"/>
    </xf>
    <xf numFmtId="0" fontId="0" fillId="17" borderId="22" xfId="0" applyFill="1" applyBorder="1" applyAlignment="1">
      <alignment horizontal="left"/>
    </xf>
    <xf numFmtId="0" fontId="7" fillId="5" borderId="2" xfId="0" applyFont="1" applyFill="1" applyBorder="1" applyAlignment="1">
      <alignment horizontal="left"/>
    </xf>
    <xf numFmtId="0" fontId="7" fillId="5" borderId="28" xfId="0" applyFont="1" applyFill="1" applyBorder="1" applyAlignment="1">
      <alignment horizontal="left"/>
    </xf>
    <xf numFmtId="0" fontId="7" fillId="5" borderId="22" xfId="0" applyFont="1" applyFill="1" applyBorder="1" applyAlignment="1">
      <alignment horizontal="left"/>
    </xf>
    <xf numFmtId="0" fontId="45" fillId="5" borderId="2" xfId="0" applyFont="1" applyFill="1" applyBorder="1" applyAlignment="1">
      <alignment horizontal="left"/>
    </xf>
    <xf numFmtId="0" fontId="45" fillId="5" borderId="28" xfId="0" applyFont="1" applyFill="1" applyBorder="1" applyAlignment="1">
      <alignment horizontal="left"/>
    </xf>
    <xf numFmtId="0" fontId="45" fillId="5" borderId="22" xfId="0" applyFont="1" applyFill="1" applyBorder="1" applyAlignment="1">
      <alignment horizontal="left"/>
    </xf>
    <xf numFmtId="0" fontId="17" fillId="2" borderId="51" xfId="0" applyFont="1" applyFill="1" applyBorder="1" applyAlignment="1">
      <alignment horizontal="centerContinuous" vertical="center"/>
    </xf>
    <xf numFmtId="0" fontId="17" fillId="2" borderId="0" xfId="0" applyFont="1" applyFill="1" applyAlignment="1">
      <alignment horizontal="centerContinuous" vertical="center"/>
    </xf>
    <xf numFmtId="0" fontId="17" fillId="2" borderId="52" xfId="0" applyFont="1" applyFill="1" applyBorder="1" applyAlignment="1">
      <alignment horizontal="centerContinuous" vertical="center"/>
    </xf>
    <xf numFmtId="182" fontId="0" fillId="2" borderId="0" xfId="0" applyNumberFormat="1" applyFill="1" applyAlignment="1">
      <alignment vertical="center"/>
    </xf>
    <xf numFmtId="0" fontId="72" fillId="12" borderId="2" xfId="0" quotePrefix="1" applyFont="1" applyFill="1" applyBorder="1" applyAlignment="1">
      <alignment horizontal="left" vertical="center"/>
    </xf>
    <xf numFmtId="0" fontId="72" fillId="10" borderId="1" xfId="0" quotePrefix="1" applyFont="1" applyFill="1" applyBorder="1" applyAlignment="1">
      <alignment horizontal="left" vertical="center"/>
    </xf>
    <xf numFmtId="0" fontId="72" fillId="10" borderId="1" xfId="0" applyFont="1" applyFill="1" applyBorder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72" fillId="11" borderId="1" xfId="0" applyFont="1" applyFill="1" applyBorder="1" applyAlignment="1">
      <alignment horizontal="left" vertical="center"/>
    </xf>
    <xf numFmtId="0" fontId="75" fillId="11" borderId="2" xfId="0" quotePrefix="1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72" fillId="12" borderId="2" xfId="0" applyFont="1" applyFill="1" applyBorder="1" applyAlignment="1">
      <alignment horizontal="left" vertical="center"/>
    </xf>
    <xf numFmtId="0" fontId="36" fillId="2" borderId="42" xfId="0" applyFont="1" applyFill="1" applyBorder="1" applyAlignment="1">
      <alignment vertical="center"/>
    </xf>
    <xf numFmtId="0" fontId="72" fillId="2" borderId="2" xfId="0" quotePrefix="1" applyFont="1" applyFill="1" applyBorder="1" applyAlignment="1">
      <alignment horizontal="left" vertical="center"/>
    </xf>
    <xf numFmtId="0" fontId="30" fillId="2" borderId="2" xfId="0" applyFont="1" applyFill="1" applyBorder="1" applyAlignment="1">
      <alignment horizontal="left" vertical="center"/>
    </xf>
    <xf numFmtId="0" fontId="36" fillId="11" borderId="2" xfId="0" applyFont="1" applyFill="1" applyBorder="1" applyAlignment="1">
      <alignment horizontal="left" vertical="center"/>
    </xf>
    <xf numFmtId="0" fontId="72" fillId="11" borderId="2" xfId="0" quotePrefix="1" applyFont="1" applyFill="1" applyBorder="1" applyAlignment="1">
      <alignment horizontal="left" vertical="center"/>
    </xf>
    <xf numFmtId="0" fontId="30" fillId="11" borderId="2" xfId="0" applyFont="1" applyFill="1" applyBorder="1" applyAlignment="1">
      <alignment horizontal="left" vertical="center"/>
    </xf>
    <xf numFmtId="172" fontId="30" fillId="14" borderId="1" xfId="0" applyNumberFormat="1" applyFont="1" applyFill="1" applyBorder="1" applyAlignment="1">
      <alignment vertical="center"/>
    </xf>
    <xf numFmtId="173" fontId="30" fillId="14" borderId="1" xfId="0" applyNumberFormat="1" applyFont="1" applyFill="1" applyBorder="1" applyAlignment="1">
      <alignment horizontal="left" vertical="center"/>
    </xf>
    <xf numFmtId="0" fontId="76" fillId="2" borderId="0" xfId="0" applyFont="1" applyFill="1"/>
    <xf numFmtId="0" fontId="36" fillId="16" borderId="31" xfId="0" quotePrefix="1" applyFont="1" applyFill="1" applyBorder="1" applyAlignment="1">
      <alignment vertical="center"/>
    </xf>
    <xf numFmtId="0" fontId="36" fillId="16" borderId="29" xfId="0" quotePrefix="1" applyFont="1" applyFill="1" applyBorder="1" applyAlignment="1">
      <alignment vertical="center"/>
    </xf>
    <xf numFmtId="0" fontId="36" fillId="16" borderId="66" xfId="0" quotePrefix="1" applyFont="1" applyFill="1" applyBorder="1" applyAlignment="1">
      <alignment vertical="center"/>
    </xf>
    <xf numFmtId="0" fontId="36" fillId="16" borderId="2" xfId="0" quotePrefix="1" applyFont="1" applyFill="1" applyBorder="1" applyAlignment="1">
      <alignment vertical="center"/>
    </xf>
    <xf numFmtId="0" fontId="36" fillId="16" borderId="28" xfId="0" quotePrefix="1" applyFont="1" applyFill="1" applyBorder="1" applyAlignment="1">
      <alignment vertical="center"/>
    </xf>
    <xf numFmtId="0" fontId="36" fillId="16" borderId="22" xfId="0" quotePrefix="1" applyFont="1" applyFill="1" applyBorder="1" applyAlignment="1">
      <alignment vertical="center"/>
    </xf>
    <xf numFmtId="0" fontId="22" fillId="5" borderId="1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/>
    </xf>
    <xf numFmtId="0" fontId="22" fillId="5" borderId="28" xfId="0" applyFont="1" applyFill="1" applyBorder="1" applyAlignment="1">
      <alignment horizontal="left"/>
    </xf>
    <xf numFmtId="0" fontId="22" fillId="5" borderId="22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165" fontId="50" fillId="6" borderId="47" xfId="4" applyNumberFormat="1" applyFont="1" applyFill="1" applyBorder="1" applyAlignment="1">
      <alignment vertical="center"/>
    </xf>
    <xf numFmtId="165" fontId="50" fillId="6" borderId="40" xfId="4" applyNumberFormat="1" applyFont="1" applyFill="1" applyBorder="1" applyAlignment="1">
      <alignment vertical="center"/>
    </xf>
    <xf numFmtId="165" fontId="50" fillId="6" borderId="47" xfId="4" applyNumberFormat="1" applyFont="1" applyFill="1" applyBorder="1" applyAlignment="1">
      <alignment horizontal="left" vertical="center"/>
    </xf>
    <xf numFmtId="0" fontId="70" fillId="5" borderId="0" xfId="0" applyFont="1" applyFill="1"/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2" borderId="0" xfId="0" applyFill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0" fillId="2" borderId="51" xfId="0" applyFill="1" applyBorder="1" applyAlignment="1">
      <alignment vertical="center"/>
    </xf>
    <xf numFmtId="0" fontId="0" fillId="2" borderId="52" xfId="0" applyFill="1" applyBorder="1" applyAlignment="1">
      <alignment vertical="center"/>
    </xf>
    <xf numFmtId="182" fontId="0" fillId="0" borderId="13" xfId="1" applyNumberFormat="1" applyFont="1" applyFill="1" applyBorder="1" applyAlignment="1">
      <alignment vertical="center"/>
    </xf>
    <xf numFmtId="182" fontId="0" fillId="0" borderId="1" xfId="1" applyNumberFormat="1" applyFont="1" applyFill="1" applyBorder="1" applyAlignment="1">
      <alignment vertical="center"/>
    </xf>
    <xf numFmtId="182" fontId="0" fillId="0" borderId="2" xfId="1" applyNumberFormat="1" applyFont="1" applyFill="1" applyBorder="1" applyAlignment="1">
      <alignment vertical="center"/>
    </xf>
    <xf numFmtId="9" fontId="0" fillId="0" borderId="51" xfId="2" applyFont="1" applyFill="1" applyBorder="1" applyAlignment="1">
      <alignment vertical="center"/>
    </xf>
    <xf numFmtId="9" fontId="0" fillId="0" borderId="52" xfId="2" applyFont="1" applyFill="1" applyBorder="1" applyAlignment="1">
      <alignment vertical="center"/>
    </xf>
    <xf numFmtId="182" fontId="2" fillId="2" borderId="15" xfId="0" applyNumberFormat="1" applyFont="1" applyFill="1" applyBorder="1" applyAlignment="1">
      <alignment vertical="center"/>
    </xf>
    <xf numFmtId="182" fontId="2" fillId="2" borderId="16" xfId="0" applyNumberFormat="1" applyFont="1" applyFill="1" applyBorder="1" applyAlignment="1">
      <alignment vertical="center"/>
    </xf>
    <xf numFmtId="182" fontId="2" fillId="2" borderId="32" xfId="0" applyNumberFormat="1" applyFont="1" applyFill="1" applyBorder="1" applyAlignment="1">
      <alignment vertical="center"/>
    </xf>
    <xf numFmtId="9" fontId="2" fillId="2" borderId="51" xfId="2" applyFont="1" applyFill="1" applyBorder="1" applyAlignment="1">
      <alignment vertical="center"/>
    </xf>
    <xf numFmtId="9" fontId="2" fillId="2" borderId="0" xfId="2" applyFont="1" applyFill="1" applyBorder="1" applyAlignment="1">
      <alignment vertical="center"/>
    </xf>
    <xf numFmtId="9" fontId="2" fillId="2" borderId="52" xfId="2" applyFont="1" applyFill="1" applyBorder="1" applyAlignment="1">
      <alignment vertical="center"/>
    </xf>
    <xf numFmtId="182" fontId="0" fillId="3" borderId="24" xfId="0" applyNumberFormat="1" applyFill="1" applyBorder="1" applyAlignment="1">
      <alignment vertical="center"/>
    </xf>
    <xf numFmtId="182" fontId="0" fillId="3" borderId="29" xfId="0" applyNumberFormat="1" applyFill="1" applyBorder="1" applyAlignment="1">
      <alignment vertical="center"/>
    </xf>
    <xf numFmtId="182" fontId="0" fillId="2" borderId="13" xfId="1" applyNumberFormat="1" applyFont="1" applyFill="1" applyBorder="1" applyAlignment="1">
      <alignment vertical="center"/>
    </xf>
    <xf numFmtId="182" fontId="0" fillId="2" borderId="1" xfId="1" applyNumberFormat="1" applyFont="1" applyFill="1" applyBorder="1" applyAlignment="1">
      <alignment vertical="center"/>
    </xf>
    <xf numFmtId="182" fontId="0" fillId="2" borderId="2" xfId="1" applyNumberFormat="1" applyFont="1" applyFill="1" applyBorder="1" applyAlignment="1">
      <alignment vertical="center"/>
    </xf>
    <xf numFmtId="9" fontId="0" fillId="2" borderId="51" xfId="2" applyFont="1" applyFill="1" applyBorder="1" applyAlignment="1">
      <alignment vertical="center"/>
    </xf>
    <xf numFmtId="9" fontId="0" fillId="2" borderId="0" xfId="2" applyFont="1" applyFill="1" applyBorder="1" applyAlignment="1">
      <alignment vertical="center"/>
    </xf>
    <xf numFmtId="9" fontId="0" fillId="2" borderId="52" xfId="2" applyFont="1" applyFill="1" applyBorder="1" applyAlignment="1">
      <alignment vertical="center"/>
    </xf>
    <xf numFmtId="182" fontId="2" fillId="2" borderId="5" xfId="0" applyNumberFormat="1" applyFont="1" applyFill="1" applyBorder="1" applyAlignment="1">
      <alignment vertical="center"/>
    </xf>
    <xf numFmtId="182" fontId="2" fillId="2" borderId="7" xfId="0" applyNumberFormat="1" applyFont="1" applyFill="1" applyBorder="1" applyAlignment="1">
      <alignment vertical="center"/>
    </xf>
    <xf numFmtId="182" fontId="0" fillId="2" borderId="10" xfId="1" applyNumberFormat="1" applyFont="1" applyFill="1" applyBorder="1" applyAlignment="1">
      <alignment vertical="center"/>
    </xf>
    <xf numFmtId="182" fontId="0" fillId="2" borderId="11" xfId="1" applyNumberFormat="1" applyFont="1" applyFill="1" applyBorder="1" applyAlignment="1">
      <alignment vertical="center"/>
    </xf>
    <xf numFmtId="182" fontId="0" fillId="2" borderId="60" xfId="1" applyNumberFormat="1" applyFont="1" applyFill="1" applyBorder="1" applyAlignment="1">
      <alignment vertical="center"/>
    </xf>
    <xf numFmtId="0" fontId="0" fillId="2" borderId="26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182" fontId="2" fillId="2" borderId="15" xfId="1" applyNumberFormat="1" applyFont="1" applyFill="1" applyBorder="1" applyAlignment="1">
      <alignment vertical="center"/>
    </xf>
    <xf numFmtId="182" fontId="2" fillId="2" borderId="16" xfId="1" applyNumberFormat="1" applyFont="1" applyFill="1" applyBorder="1" applyAlignment="1">
      <alignment vertical="center"/>
    </xf>
    <xf numFmtId="182" fontId="2" fillId="2" borderId="32" xfId="1" applyNumberFormat="1" applyFont="1" applyFill="1" applyBorder="1" applyAlignment="1">
      <alignment vertical="center"/>
    </xf>
    <xf numFmtId="182" fontId="0" fillId="3" borderId="0" xfId="0" applyNumberFormat="1" applyFill="1" applyAlignment="1">
      <alignment vertical="center"/>
    </xf>
    <xf numFmtId="182" fontId="0" fillId="3" borderId="8" xfId="0" applyNumberForma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182" fontId="2" fillId="2" borderId="18" xfId="0" applyNumberFormat="1" applyFont="1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58" fillId="2" borderId="0" xfId="0" applyFont="1" applyFill="1" applyAlignment="1">
      <alignment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9" fontId="47" fillId="5" borderId="5" xfId="1" applyNumberFormat="1" applyFont="1" applyFill="1" applyBorder="1" applyAlignment="1">
      <alignment horizontal="center" vertical="center"/>
    </xf>
    <xf numFmtId="182" fontId="0" fillId="2" borderId="14" xfId="1" applyNumberFormat="1" applyFont="1" applyFill="1" applyBorder="1" applyAlignment="1">
      <alignment vertical="center"/>
    </xf>
    <xf numFmtId="166" fontId="2" fillId="2" borderId="0" xfId="2" applyNumberFormat="1" applyFont="1" applyFill="1" applyBorder="1" applyAlignment="1">
      <alignment vertical="center"/>
    </xf>
    <xf numFmtId="166" fontId="2" fillId="2" borderId="52" xfId="2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2" fillId="2" borderId="25" xfId="0" applyFont="1" applyFill="1" applyBorder="1" applyAlignment="1">
      <alignment horizontal="left" vertical="center"/>
    </xf>
    <xf numFmtId="166" fontId="59" fillId="2" borderId="64" xfId="0" applyNumberFormat="1" applyFont="1" applyFill="1" applyBorder="1" applyAlignment="1">
      <alignment vertical="center"/>
    </xf>
    <xf numFmtId="166" fontId="59" fillId="2" borderId="61" xfId="0" applyNumberFormat="1" applyFon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0" fontId="55" fillId="2" borderId="0" xfId="0" applyFont="1" applyFill="1" applyAlignment="1">
      <alignment vertical="center"/>
    </xf>
    <xf numFmtId="166" fontId="0" fillId="2" borderId="0" xfId="2" applyNumberFormat="1" applyFont="1" applyFill="1" applyBorder="1" applyAlignment="1">
      <alignment vertical="center"/>
    </xf>
    <xf numFmtId="166" fontId="0" fillId="2" borderId="52" xfId="2" applyNumberFormat="1" applyFont="1" applyFill="1" applyBorder="1" applyAlignment="1">
      <alignment vertical="center"/>
    </xf>
    <xf numFmtId="183" fontId="61" fillId="2" borderId="62" xfId="7" applyFont="1" applyFill="1" applyBorder="1" applyAlignment="1">
      <alignment horizontal="left" vertical="center"/>
    </xf>
    <xf numFmtId="10" fontId="63" fillId="2" borderId="62" xfId="0" applyNumberFormat="1" applyFont="1" applyFill="1" applyBorder="1" applyAlignment="1">
      <alignment vertical="center"/>
    </xf>
    <xf numFmtId="166" fontId="59" fillId="2" borderId="63" xfId="0" applyNumberFormat="1" applyFont="1" applyFill="1" applyBorder="1" applyAlignment="1">
      <alignment vertical="center"/>
    </xf>
    <xf numFmtId="184" fontId="0" fillId="2" borderId="0" xfId="0" applyNumberFormat="1" applyFill="1" applyAlignment="1">
      <alignment vertical="center"/>
    </xf>
    <xf numFmtId="4" fontId="55" fillId="0" borderId="0" xfId="0" applyNumberFormat="1" applyFont="1" applyAlignment="1">
      <alignment vertical="center"/>
    </xf>
    <xf numFmtId="182" fontId="0" fillId="0" borderId="14" xfId="1" applyNumberFormat="1" applyFont="1" applyFill="1" applyBorder="1" applyAlignment="1">
      <alignment vertical="center"/>
    </xf>
    <xf numFmtId="166" fontId="0" fillId="0" borderId="0" xfId="2" applyNumberFormat="1" applyFont="1" applyBorder="1" applyAlignment="1">
      <alignment vertical="center"/>
    </xf>
    <xf numFmtId="166" fontId="0" fillId="0" borderId="52" xfId="2" applyNumberFormat="1" applyFont="1" applyBorder="1" applyAlignment="1">
      <alignment vertical="center"/>
    </xf>
    <xf numFmtId="183" fontId="62" fillId="2" borderId="63" xfId="7" applyFont="1" applyFill="1" applyBorder="1" applyAlignment="1">
      <alignment horizontal="left" vertical="center"/>
    </xf>
    <xf numFmtId="166" fontId="6" fillId="2" borderId="63" xfId="0" applyNumberFormat="1" applyFont="1" applyFill="1" applyBorder="1" applyAlignment="1">
      <alignment vertical="center"/>
    </xf>
    <xf numFmtId="183" fontId="62" fillId="2" borderId="54" xfId="7" applyFont="1" applyFill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59" fillId="2" borderId="0" xfId="0" applyFont="1" applyFill="1" applyAlignment="1">
      <alignment vertical="center"/>
    </xf>
    <xf numFmtId="182" fontId="2" fillId="2" borderId="13" xfId="0" applyNumberFormat="1" applyFont="1" applyFill="1" applyBorder="1" applyAlignment="1">
      <alignment vertical="center"/>
    </xf>
    <xf numFmtId="182" fontId="2" fillId="2" borderId="14" xfId="0" applyNumberFormat="1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6" fillId="2" borderId="61" xfId="0" applyFont="1" applyFill="1" applyBorder="1" applyAlignment="1">
      <alignment horizontal="left" vertical="center"/>
    </xf>
    <xf numFmtId="166" fontId="6" fillId="2" borderId="45" xfId="2" applyNumberFormat="1" applyFont="1" applyFill="1" applyBorder="1" applyAlignment="1">
      <alignment vertical="center"/>
    </xf>
    <xf numFmtId="0" fontId="6" fillId="2" borderId="30" xfId="0" applyFont="1" applyFill="1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47" fillId="5" borderId="1" xfId="0" applyFont="1" applyFill="1" applyBorder="1" applyAlignment="1">
      <alignment horizontal="center" vertical="center"/>
    </xf>
    <xf numFmtId="0" fontId="63" fillId="26" borderId="1" xfId="0" applyFont="1" applyFill="1" applyBorder="1" applyAlignment="1">
      <alignment horizontal="center" vertical="center"/>
    </xf>
    <xf numFmtId="0" fontId="47" fillId="24" borderId="1" xfId="0" applyFont="1" applyFill="1" applyBorder="1" applyAlignment="1">
      <alignment horizontal="center" vertical="center"/>
    </xf>
    <xf numFmtId="0" fontId="47" fillId="20" borderId="1" xfId="0" applyFont="1" applyFill="1" applyBorder="1" applyAlignment="1">
      <alignment horizontal="center" vertical="center"/>
    </xf>
    <xf numFmtId="183" fontId="61" fillId="2" borderId="63" xfId="7" applyFont="1" applyFill="1" applyBorder="1" applyAlignment="1">
      <alignment horizontal="left" vertical="center"/>
    </xf>
    <xf numFmtId="10" fontId="2" fillId="0" borderId="63" xfId="0" applyNumberFormat="1" applyFont="1" applyBorder="1" applyAlignment="1">
      <alignment vertical="center"/>
    </xf>
    <xf numFmtId="183" fontId="61" fillId="2" borderId="54" xfId="7" applyFont="1" applyFill="1" applyBorder="1" applyAlignment="1">
      <alignment horizontal="left" vertical="center"/>
    </xf>
    <xf numFmtId="0" fontId="63" fillId="2" borderId="1" xfId="0" applyFont="1" applyFill="1" applyBorder="1" applyAlignment="1">
      <alignment vertical="center"/>
    </xf>
    <xf numFmtId="9" fontId="59" fillId="2" borderId="1" xfId="0" applyNumberFormat="1" applyFont="1" applyFill="1" applyBorder="1" applyAlignment="1">
      <alignment horizontal="center" vertical="center"/>
    </xf>
    <xf numFmtId="183" fontId="62" fillId="2" borderId="45" xfId="7" applyFont="1" applyFill="1" applyBorder="1" applyAlignment="1">
      <alignment horizontal="left" vertical="center"/>
    </xf>
    <xf numFmtId="166" fontId="6" fillId="2" borderId="45" xfId="0" applyNumberFormat="1" applyFont="1" applyFill="1" applyBorder="1" applyAlignment="1">
      <alignment vertical="center"/>
    </xf>
    <xf numFmtId="183" fontId="62" fillId="2" borderId="52" xfId="7" applyFont="1" applyFill="1" applyBorder="1" applyAlignment="1">
      <alignment horizontal="left" vertical="center"/>
    </xf>
    <xf numFmtId="183" fontId="62" fillId="2" borderId="51" xfId="7" applyFont="1" applyFill="1" applyBorder="1" applyAlignment="1">
      <alignment horizontal="left" vertical="center"/>
    </xf>
    <xf numFmtId="0" fontId="59" fillId="2" borderId="0" xfId="0" applyFont="1" applyFill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182" fontId="2" fillId="2" borderId="17" xfId="0" applyNumberFormat="1" applyFont="1" applyFill="1" applyBorder="1" applyAlignment="1">
      <alignment vertical="center"/>
    </xf>
    <xf numFmtId="183" fontId="62" fillId="2" borderId="61" xfId="7" applyFont="1" applyFill="1" applyBorder="1" applyAlignment="1">
      <alignment horizontal="left" vertical="center"/>
    </xf>
    <xf numFmtId="166" fontId="6" fillId="2" borderId="61" xfId="0" applyNumberFormat="1" applyFont="1" applyFill="1" applyBorder="1" applyAlignment="1">
      <alignment vertical="center"/>
    </xf>
    <xf numFmtId="183" fontId="62" fillId="2" borderId="30" xfId="7" applyFont="1" applyFill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47" fillId="19" borderId="1" xfId="0" applyFont="1" applyFill="1" applyBorder="1" applyAlignment="1">
      <alignment horizontal="center" vertical="center"/>
    </xf>
    <xf numFmtId="182" fontId="0" fillId="2" borderId="10" xfId="0" applyNumberFormat="1" applyFill="1" applyBorder="1" applyAlignment="1">
      <alignment vertical="center"/>
    </xf>
    <xf numFmtId="182" fontId="0" fillId="2" borderId="11" xfId="0" applyNumberFormat="1" applyFill="1" applyBorder="1" applyAlignment="1">
      <alignment vertical="center"/>
    </xf>
    <xf numFmtId="182" fontId="0" fillId="2" borderId="12" xfId="0" applyNumberFormat="1" applyFill="1" applyBorder="1" applyAlignment="1">
      <alignment vertical="center"/>
    </xf>
    <xf numFmtId="166" fontId="0" fillId="2" borderId="0" xfId="0" applyNumberFormat="1" applyFill="1" applyAlignment="1">
      <alignment vertical="center"/>
    </xf>
    <xf numFmtId="166" fontId="0" fillId="2" borderId="52" xfId="0" applyNumberForma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10" fontId="2" fillId="0" borderId="62" xfId="0" applyNumberFormat="1" applyFont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6" fontId="0" fillId="0" borderId="61" xfId="0" applyNumberFormat="1" applyBorder="1" applyAlignment="1">
      <alignment vertical="center"/>
    </xf>
    <xf numFmtId="0" fontId="63" fillId="2" borderId="2" xfId="0" applyFont="1" applyFill="1" applyBorder="1" applyAlignment="1">
      <alignment vertical="center"/>
    </xf>
    <xf numFmtId="10" fontId="59" fillId="2" borderId="1" xfId="0" applyNumberFormat="1" applyFont="1" applyFill="1" applyBorder="1" applyAlignment="1">
      <alignment horizontal="center" vertical="center"/>
    </xf>
    <xf numFmtId="10" fontId="63" fillId="2" borderId="1" xfId="0" applyNumberFormat="1" applyFont="1" applyFill="1" applyBorder="1" applyAlignment="1">
      <alignment horizontal="center" vertical="center"/>
    </xf>
    <xf numFmtId="164" fontId="59" fillId="2" borderId="0" xfId="1" applyNumberFormat="1" applyFont="1" applyFill="1" applyBorder="1" applyAlignment="1">
      <alignment horizontal="center" vertical="center"/>
    </xf>
    <xf numFmtId="182" fontId="0" fillId="2" borderId="15" xfId="1" applyNumberFormat="1" applyFont="1" applyFill="1" applyBorder="1" applyAlignment="1">
      <alignment vertical="center"/>
    </xf>
    <xf numFmtId="182" fontId="0" fillId="2" borderId="16" xfId="1" applyNumberFormat="1" applyFont="1" applyFill="1" applyBorder="1" applyAlignment="1">
      <alignment vertical="center"/>
    </xf>
    <xf numFmtId="182" fontId="0" fillId="2" borderId="17" xfId="1" applyNumberFormat="1" applyFont="1" applyFill="1" applyBorder="1" applyAlignment="1">
      <alignment vertical="center"/>
    </xf>
    <xf numFmtId="164" fontId="0" fillId="23" borderId="51" xfId="0" applyNumberFormat="1" applyFill="1" applyBorder="1" applyAlignment="1">
      <alignment vertical="center"/>
    </xf>
    <xf numFmtId="166" fontId="0" fillId="0" borderId="62" xfId="0" applyNumberFormat="1" applyBorder="1" applyAlignment="1">
      <alignment vertical="center"/>
    </xf>
    <xf numFmtId="182" fontId="0" fillId="2" borderId="13" xfId="0" applyNumberFormat="1" applyFill="1" applyBorder="1" applyAlignment="1">
      <alignment vertical="center"/>
    </xf>
    <xf numFmtId="182" fontId="0" fillId="2" borderId="1" xfId="0" applyNumberFormat="1" applyFill="1" applyBorder="1" applyAlignment="1">
      <alignment vertical="center"/>
    </xf>
    <xf numFmtId="182" fontId="0" fillId="2" borderId="14" xfId="0" applyNumberFormat="1" applyFill="1" applyBorder="1" applyAlignment="1">
      <alignment vertical="center"/>
    </xf>
    <xf numFmtId="10" fontId="0" fillId="2" borderId="0" xfId="2" applyNumberFormat="1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7" fillId="5" borderId="3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0" fontId="0" fillId="2" borderId="10" xfId="2" applyNumberFormat="1" applyFont="1" applyFill="1" applyBorder="1" applyAlignment="1">
      <alignment vertical="center"/>
    </xf>
    <xf numFmtId="10" fontId="0" fillId="2" borderId="11" xfId="2" applyNumberFormat="1" applyFont="1" applyFill="1" applyBorder="1" applyAlignment="1">
      <alignment vertical="center"/>
    </xf>
    <xf numFmtId="10" fontId="0" fillId="2" borderId="12" xfId="2" applyNumberFormat="1" applyFont="1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41" fontId="0" fillId="2" borderId="1" xfId="0" applyNumberFormat="1" applyFill="1" applyBorder="1" applyAlignment="1">
      <alignment vertical="center"/>
    </xf>
    <xf numFmtId="41" fontId="0" fillId="2" borderId="13" xfId="0" applyNumberFormat="1" applyFill="1" applyBorder="1" applyAlignment="1">
      <alignment vertical="center"/>
    </xf>
    <xf numFmtId="10" fontId="0" fillId="2" borderId="1" xfId="2" applyNumberFormat="1" applyFont="1" applyFill="1" applyBorder="1" applyAlignment="1">
      <alignment vertical="center"/>
    </xf>
    <xf numFmtId="10" fontId="0" fillId="2" borderId="14" xfId="2" applyNumberFormat="1" applyFont="1" applyFill="1" applyBorder="1" applyAlignment="1">
      <alignment vertical="center"/>
    </xf>
    <xf numFmtId="10" fontId="0" fillId="2" borderId="16" xfId="0" applyNumberFormat="1" applyFill="1" applyBorder="1" applyAlignment="1">
      <alignment vertical="center"/>
    </xf>
    <xf numFmtId="10" fontId="0" fillId="2" borderId="17" xfId="0" applyNumberFormat="1" applyFill="1" applyBorder="1" applyAlignment="1">
      <alignment vertical="center"/>
    </xf>
    <xf numFmtId="0" fontId="0" fillId="6" borderId="0" xfId="0" applyFill="1" applyAlignment="1">
      <alignment vertical="center"/>
    </xf>
    <xf numFmtId="0" fontId="7" fillId="5" borderId="18" xfId="0" applyFont="1" applyFill="1" applyBorder="1" applyAlignment="1">
      <alignment horizontal="center" vertical="center"/>
    </xf>
    <xf numFmtId="41" fontId="0" fillId="2" borderId="10" xfId="0" applyNumberFormat="1" applyFill="1" applyBorder="1" applyAlignment="1">
      <alignment vertical="center"/>
    </xf>
    <xf numFmtId="41" fontId="0" fillId="2" borderId="11" xfId="0" applyNumberFormat="1" applyFill="1" applyBorder="1" applyAlignment="1">
      <alignment vertical="center"/>
    </xf>
    <xf numFmtId="41" fontId="0" fillId="2" borderId="12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10" fontId="0" fillId="2" borderId="13" xfId="2" applyNumberFormat="1" applyFont="1" applyFill="1" applyBorder="1" applyAlignment="1">
      <alignment vertical="center"/>
    </xf>
    <xf numFmtId="167" fontId="0" fillId="2" borderId="13" xfId="1" applyNumberFormat="1" applyFont="1" applyFill="1" applyBorder="1" applyAlignment="1">
      <alignment vertical="center"/>
    </xf>
    <xf numFmtId="167" fontId="0" fillId="2" borderId="1" xfId="1" applyNumberFormat="1" applyFont="1" applyFill="1" applyBorder="1" applyAlignment="1">
      <alignment vertical="center"/>
    </xf>
    <xf numFmtId="167" fontId="0" fillId="2" borderId="14" xfId="1" applyNumberFormat="1" applyFont="1" applyFill="1" applyBorder="1" applyAlignment="1">
      <alignment vertical="center"/>
    </xf>
    <xf numFmtId="2" fontId="0" fillId="2" borderId="13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2" fontId="0" fillId="2" borderId="14" xfId="0" applyNumberFormat="1" applyFill="1" applyBorder="1" applyAlignment="1">
      <alignment vertical="center"/>
    </xf>
    <xf numFmtId="0" fontId="2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10" fontId="0" fillId="2" borderId="15" xfId="2" applyNumberFormat="1" applyFont="1" applyFill="1" applyBorder="1" applyAlignment="1">
      <alignment vertical="center"/>
    </xf>
    <xf numFmtId="10" fontId="0" fillId="2" borderId="16" xfId="2" applyNumberFormat="1" applyFont="1" applyFill="1" applyBorder="1" applyAlignment="1">
      <alignment vertical="center"/>
    </xf>
    <xf numFmtId="10" fontId="0" fillId="2" borderId="17" xfId="2" applyNumberFormat="1" applyFon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164" fontId="0" fillId="2" borderId="11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43" fontId="0" fillId="2" borderId="13" xfId="0" applyNumberFormat="1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43" fontId="0" fillId="2" borderId="14" xfId="0" applyNumberFormat="1" applyFill="1" applyBorder="1" applyAlignment="1">
      <alignment vertical="center"/>
    </xf>
    <xf numFmtId="43" fontId="0" fillId="2" borderId="15" xfId="0" applyNumberFormat="1" applyFill="1" applyBorder="1" applyAlignment="1">
      <alignment vertical="center"/>
    </xf>
    <xf numFmtId="43" fontId="0" fillId="2" borderId="16" xfId="0" applyNumberFormat="1" applyFill="1" applyBorder="1" applyAlignment="1">
      <alignment vertical="center"/>
    </xf>
    <xf numFmtId="43" fontId="0" fillId="2" borderId="17" xfId="0" applyNumberForma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2" fontId="0" fillId="2" borderId="10" xfId="0" applyNumberFormat="1" applyFill="1" applyBorder="1" applyAlignment="1">
      <alignment vertical="center"/>
    </xf>
    <xf numFmtId="2" fontId="0" fillId="2" borderId="11" xfId="0" applyNumberForma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2" fontId="0" fillId="2" borderId="15" xfId="0" applyNumberFormat="1" applyFill="1" applyBorder="1" applyAlignment="1">
      <alignment vertical="center"/>
    </xf>
    <xf numFmtId="2" fontId="0" fillId="2" borderId="16" xfId="0" applyNumberFormat="1" applyFill="1" applyBorder="1" applyAlignment="1">
      <alignment vertical="center"/>
    </xf>
    <xf numFmtId="2" fontId="0" fillId="2" borderId="17" xfId="0" applyNumberFormat="1" applyFill="1" applyBorder="1" applyAlignment="1">
      <alignment vertical="center"/>
    </xf>
    <xf numFmtId="0" fontId="20" fillId="2" borderId="44" xfId="0" applyFont="1" applyFill="1" applyBorder="1" applyAlignment="1">
      <alignment vertical="center"/>
    </xf>
    <xf numFmtId="43" fontId="0" fillId="2" borderId="13" xfId="1" applyFont="1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43" fontId="0" fillId="2" borderId="14" xfId="1" applyFont="1" applyFill="1" applyBorder="1" applyAlignment="1">
      <alignment vertical="center"/>
    </xf>
    <xf numFmtId="10" fontId="2" fillId="8" borderId="15" xfId="2" applyNumberFormat="1" applyFont="1" applyFill="1" applyBorder="1" applyAlignment="1">
      <alignment vertical="center"/>
    </xf>
    <xf numFmtId="10" fontId="2" fillId="8" borderId="16" xfId="2" applyNumberFormat="1" applyFont="1" applyFill="1" applyBorder="1" applyAlignment="1">
      <alignment vertical="center"/>
    </xf>
    <xf numFmtId="10" fontId="2" fillId="8" borderId="17" xfId="2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82" fontId="0" fillId="2" borderId="1" xfId="0" applyNumberFormat="1" applyFill="1" applyBorder="1"/>
    <xf numFmtId="0" fontId="19" fillId="2" borderId="1" xfId="0" applyFont="1" applyFill="1" applyBorder="1"/>
    <xf numFmtId="182" fontId="19" fillId="2" borderId="1" xfId="1" applyNumberFormat="1" applyFont="1" applyFill="1" applyBorder="1"/>
    <xf numFmtId="0" fontId="0" fillId="11" borderId="0" xfId="0" applyFill="1"/>
    <xf numFmtId="182" fontId="0" fillId="0" borderId="10" xfId="1" applyNumberFormat="1" applyFont="1" applyFill="1" applyBorder="1" applyAlignment="1">
      <alignment vertical="center"/>
    </xf>
    <xf numFmtId="182" fontId="0" fillId="0" borderId="11" xfId="1" applyNumberFormat="1" applyFont="1" applyFill="1" applyBorder="1" applyAlignment="1">
      <alignment vertical="center"/>
    </xf>
    <xf numFmtId="182" fontId="0" fillId="0" borderId="60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5" fillId="24" borderId="0" xfId="0" applyFont="1" applyFill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18" fillId="24" borderId="47" xfId="0" applyFont="1" applyFill="1" applyBorder="1" applyAlignment="1">
      <alignment horizontal="centerContinuous" vertical="center"/>
    </xf>
    <xf numFmtId="182" fontId="1" fillId="2" borderId="1" xfId="1" applyNumberFormat="1" applyFont="1" applyFill="1" applyBorder="1"/>
    <xf numFmtId="0" fontId="3" fillId="0" borderId="0" xfId="0" applyFont="1"/>
    <xf numFmtId="164" fontId="0" fillId="0" borderId="1" xfId="1" applyNumberFormat="1" applyFont="1" applyFill="1" applyBorder="1"/>
    <xf numFmtId="164" fontId="0" fillId="0" borderId="1" xfId="0" applyNumberFormat="1" applyBorder="1"/>
    <xf numFmtId="164" fontId="1" fillId="0" borderId="1" xfId="1" applyNumberFormat="1" applyFont="1" applyFill="1" applyBorder="1"/>
    <xf numFmtId="164" fontId="2" fillId="0" borderId="1" xfId="0" applyNumberFormat="1" applyFont="1" applyBorder="1"/>
    <xf numFmtId="0" fontId="10" fillId="0" borderId="1" xfId="0" applyFont="1" applyBorder="1"/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/>
    </xf>
    <xf numFmtId="0" fontId="2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182" fontId="0" fillId="0" borderId="1" xfId="4" applyNumberFormat="1" applyFont="1" applyFill="1" applyBorder="1" applyAlignment="1">
      <alignment vertical="center"/>
    </xf>
    <xf numFmtId="182" fontId="1" fillId="0" borderId="1" xfId="4" applyNumberFormat="1" applyFont="1" applyFill="1" applyBorder="1" applyAlignment="1">
      <alignment vertical="center"/>
    </xf>
    <xf numFmtId="182" fontId="0" fillId="0" borderId="0" xfId="4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64" fontId="0" fillId="8" borderId="1" xfId="1" applyNumberFormat="1" applyFont="1" applyFill="1" applyBorder="1" applyAlignment="1">
      <alignment horizontal="center" vertical="center"/>
    </xf>
    <xf numFmtId="164" fontId="1" fillId="8" borderId="1" xfId="1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 wrapText="1"/>
    </xf>
    <xf numFmtId="182" fontId="0" fillId="0" borderId="1" xfId="0" applyNumberFormat="1" applyBorder="1" applyAlignment="1">
      <alignment vertical="center"/>
    </xf>
    <xf numFmtId="0" fontId="3" fillId="23" borderId="0" xfId="0" applyFont="1" applyFill="1" applyAlignment="1">
      <alignment horizontal="center" vertical="center"/>
    </xf>
    <xf numFmtId="182" fontId="2" fillId="0" borderId="1" xfId="0" applyNumberFormat="1" applyFont="1" applyBorder="1" applyAlignment="1">
      <alignment vertical="center"/>
    </xf>
    <xf numFmtId="182" fontId="2" fillId="0" borderId="0" xfId="4" applyNumberFormat="1" applyFont="1" applyFill="1" applyBorder="1" applyAlignment="1">
      <alignment vertical="center"/>
    </xf>
    <xf numFmtId="164" fontId="2" fillId="8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82" fontId="2" fillId="0" borderId="0" xfId="0" applyNumberFormat="1" applyFont="1" applyAlignment="1">
      <alignment vertical="center"/>
    </xf>
    <xf numFmtId="0" fontId="2" fillId="8" borderId="0" xfId="0" applyFont="1" applyFill="1" applyAlignment="1">
      <alignment horizontal="right" vertical="center"/>
    </xf>
    <xf numFmtId="182" fontId="0" fillId="0" borderId="0" xfId="1" applyNumberFormat="1" applyFont="1" applyFill="1" applyBorder="1" applyAlignment="1">
      <alignment vertical="center"/>
    </xf>
    <xf numFmtId="182" fontId="2" fillId="2" borderId="0" xfId="0" applyNumberFormat="1" applyFont="1" applyFill="1" applyAlignment="1">
      <alignment vertical="center"/>
    </xf>
    <xf numFmtId="182" fontId="0" fillId="0" borderId="51" xfId="1" applyNumberFormat="1" applyFont="1" applyFill="1" applyBorder="1" applyAlignment="1">
      <alignment vertical="center"/>
    </xf>
    <xf numFmtId="182" fontId="2" fillId="2" borderId="51" xfId="0" applyNumberFormat="1" applyFont="1" applyFill="1" applyBorder="1" applyAlignment="1">
      <alignment vertical="center"/>
    </xf>
    <xf numFmtId="182" fontId="0" fillId="2" borderId="0" xfId="1" applyNumberFormat="1" applyFont="1" applyFill="1" applyBorder="1" applyAlignment="1">
      <alignment vertical="center"/>
    </xf>
    <xf numFmtId="182" fontId="2" fillId="2" borderId="0" xfId="1" applyNumberFormat="1" applyFont="1" applyFill="1" applyBorder="1" applyAlignment="1">
      <alignment vertical="center"/>
    </xf>
    <xf numFmtId="182" fontId="2" fillId="2" borderId="40" xfId="0" applyNumberFormat="1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/>
    </xf>
    <xf numFmtId="10" fontId="0" fillId="2" borderId="0" xfId="2" applyNumberFormat="1" applyFont="1" applyFill="1" applyBorder="1" applyAlignment="1">
      <alignment vertical="center"/>
    </xf>
    <xf numFmtId="41" fontId="0" fillId="2" borderId="0" xfId="0" applyNumberFormat="1" applyFill="1" applyAlignment="1">
      <alignment vertical="center"/>
    </xf>
    <xf numFmtId="10" fontId="0" fillId="2" borderId="0" xfId="0" applyNumberFormat="1" applyFill="1" applyAlignment="1">
      <alignment vertical="center"/>
    </xf>
    <xf numFmtId="167" fontId="0" fillId="2" borderId="0" xfId="1" applyNumberFormat="1" applyFont="1" applyFill="1" applyBorder="1" applyAlignment="1">
      <alignment vertical="center"/>
    </xf>
    <xf numFmtId="2" fontId="0" fillId="2" borderId="0" xfId="0" applyNumberFormat="1" applyFill="1" applyAlignment="1">
      <alignment vertical="center"/>
    </xf>
    <xf numFmtId="43" fontId="0" fillId="2" borderId="0" xfId="1" applyFont="1" applyFill="1" applyBorder="1" applyAlignment="1">
      <alignment vertical="center"/>
    </xf>
    <xf numFmtId="43" fontId="0" fillId="2" borderId="0" xfId="0" applyNumberFormat="1" applyFill="1" applyAlignment="1">
      <alignment vertical="center"/>
    </xf>
    <xf numFmtId="10" fontId="2" fillId="8" borderId="0" xfId="2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164" fontId="55" fillId="20" borderId="0" xfId="0" applyNumberFormat="1" applyFont="1" applyFill="1"/>
    <xf numFmtId="0" fontId="55" fillId="20" borderId="0" xfId="0" applyFont="1" applyFill="1"/>
    <xf numFmtId="0" fontId="2" fillId="0" borderId="1" xfId="0" applyFont="1" applyBorder="1" applyAlignment="1">
      <alignment horizontal="center"/>
    </xf>
    <xf numFmtId="9" fontId="0" fillId="0" borderId="0" xfId="2" applyFont="1" applyAlignment="1">
      <alignment horizontal="center"/>
    </xf>
    <xf numFmtId="0" fontId="0" fillId="0" borderId="0" xfId="0" applyAlignment="1">
      <alignment horizontal="left"/>
    </xf>
    <xf numFmtId="165" fontId="2" fillId="3" borderId="1" xfId="4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3" xfId="1" applyNumberFormat="1" applyFont="1" applyFill="1" applyBorder="1"/>
    <xf numFmtId="9" fontId="0" fillId="2" borderId="3" xfId="2" applyFont="1" applyFill="1" applyBorder="1"/>
    <xf numFmtId="0" fontId="2" fillId="2" borderId="1" xfId="0" applyFont="1" applyFill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"/>
    </xf>
    <xf numFmtId="2" fontId="2" fillId="2" borderId="22" xfId="0" applyNumberFormat="1" applyFont="1" applyFill="1" applyBorder="1"/>
    <xf numFmtId="2" fontId="0" fillId="2" borderId="1" xfId="1" applyNumberFormat="1" applyFont="1" applyFill="1" applyBorder="1"/>
    <xf numFmtId="2" fontId="0" fillId="2" borderId="3" xfId="1" applyNumberFormat="1" applyFont="1" applyFill="1" applyBorder="1"/>
    <xf numFmtId="2" fontId="0" fillId="2" borderId="3" xfId="2" applyNumberFormat="1" applyFont="1" applyFill="1" applyBorder="1"/>
    <xf numFmtId="2" fontId="2" fillId="2" borderId="1" xfId="1" applyNumberFormat="1" applyFont="1" applyFill="1" applyBorder="1"/>
    <xf numFmtId="2" fontId="0" fillId="2" borderId="0" xfId="2" applyNumberFormat="1" applyFont="1" applyFill="1"/>
    <xf numFmtId="9" fontId="0" fillId="0" borderId="0" xfId="2" applyFont="1" applyFill="1" applyAlignment="1">
      <alignment horizontal="right"/>
    </xf>
    <xf numFmtId="9" fontId="0" fillId="0" borderId="0" xfId="2" applyFont="1" applyFill="1"/>
    <xf numFmtId="182" fontId="0" fillId="0" borderId="1" xfId="4" applyNumberFormat="1" applyFont="1" applyFill="1" applyBorder="1"/>
    <xf numFmtId="187" fontId="0" fillId="0" borderId="1" xfId="4" applyNumberFormat="1" applyFont="1" applyFill="1" applyBorder="1"/>
    <xf numFmtId="187" fontId="0" fillId="0" borderId="2" xfId="4" applyNumberFormat="1" applyFont="1" applyFill="1" applyBorder="1"/>
    <xf numFmtId="0" fontId="27" fillId="0" borderId="3" xfId="0" applyFont="1" applyBorder="1"/>
    <xf numFmtId="10" fontId="0" fillId="0" borderId="41" xfId="2" applyNumberFormat="1" applyFont="1" applyFill="1" applyBorder="1" applyAlignment="1">
      <alignment vertical="center"/>
    </xf>
    <xf numFmtId="10" fontId="0" fillId="0" borderId="42" xfId="2" applyNumberFormat="1" applyFont="1" applyFill="1" applyBorder="1" applyAlignment="1">
      <alignment vertical="center"/>
    </xf>
    <xf numFmtId="182" fontId="2" fillId="23" borderId="15" xfId="0" applyNumberFormat="1" applyFont="1" applyFill="1" applyBorder="1" applyAlignment="1">
      <alignment vertical="center"/>
    </xf>
    <xf numFmtId="182" fontId="2" fillId="23" borderId="16" xfId="0" applyNumberFormat="1" applyFont="1" applyFill="1" applyBorder="1" applyAlignment="1">
      <alignment vertical="center"/>
    </xf>
    <xf numFmtId="182" fontId="2" fillId="23" borderId="17" xfId="0" applyNumberFormat="1" applyFont="1" applyFill="1" applyBorder="1" applyAlignment="1">
      <alignment vertical="center"/>
    </xf>
    <xf numFmtId="182" fontId="2" fillId="23" borderId="37" xfId="0" applyNumberFormat="1" applyFont="1" applyFill="1" applyBorder="1" applyAlignment="1">
      <alignment vertical="center"/>
    </xf>
    <xf numFmtId="164" fontId="0" fillId="23" borderId="40" xfId="0" applyNumberFormat="1" applyFill="1" applyBorder="1" applyAlignment="1">
      <alignment vertical="center"/>
    </xf>
    <xf numFmtId="166" fontId="2" fillId="23" borderId="37" xfId="2" applyNumberFormat="1" applyFont="1" applyFill="1" applyBorder="1" applyAlignment="1">
      <alignment vertical="center"/>
    </xf>
    <xf numFmtId="166" fontId="2" fillId="23" borderId="50" xfId="2" applyNumberFormat="1" applyFont="1" applyFill="1" applyBorder="1" applyAlignment="1">
      <alignment vertical="center"/>
    </xf>
    <xf numFmtId="166" fontId="2" fillId="23" borderId="0" xfId="0" applyNumberFormat="1" applyFont="1" applyFill="1" applyAlignment="1">
      <alignment vertical="center"/>
    </xf>
    <xf numFmtId="0" fontId="2" fillId="23" borderId="5" xfId="0" applyFont="1" applyFill="1" applyBorder="1" applyAlignment="1">
      <alignment horizontal="left" vertical="center"/>
    </xf>
    <xf numFmtId="10" fontId="2" fillId="23" borderId="65" xfId="0" applyNumberFormat="1" applyFont="1" applyFill="1" applyBorder="1" applyAlignment="1">
      <alignment vertical="center"/>
    </xf>
    <xf numFmtId="0" fontId="2" fillId="23" borderId="7" xfId="0" applyFont="1" applyFill="1" applyBorder="1" applyAlignment="1">
      <alignment horizontal="left" vertical="center"/>
    </xf>
    <xf numFmtId="166" fontId="2" fillId="23" borderId="65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65" fontId="2" fillId="0" borderId="1" xfId="4" applyNumberFormat="1" applyFont="1" applyBorder="1"/>
    <xf numFmtId="165" fontId="2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5" fontId="2" fillId="3" borderId="27" xfId="4" applyNumberFormat="1" applyFont="1" applyFill="1" applyBorder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43" fontId="0" fillId="0" borderId="0" xfId="1" applyFont="1" applyFill="1" applyBorder="1" applyAlignment="1">
      <alignment vertical="center"/>
    </xf>
    <xf numFmtId="165" fontId="0" fillId="0" borderId="0" xfId="4" applyNumberFormat="1" applyFont="1" applyFill="1" applyBorder="1"/>
    <xf numFmtId="164" fontId="0" fillId="0" borderId="0" xfId="1" applyNumberFormat="1" applyFont="1" applyBorder="1"/>
    <xf numFmtId="10" fontId="0" fillId="0" borderId="0" xfId="2" applyNumberFormat="1" applyFont="1" applyBorder="1"/>
    <xf numFmtId="0" fontId="2" fillId="3" borderId="2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2" borderId="0" xfId="0" applyFont="1" applyFill="1" applyAlignment="1">
      <alignment wrapText="1"/>
    </xf>
    <xf numFmtId="0" fontId="55" fillId="2" borderId="11" xfId="0" applyFont="1" applyFill="1" applyBorder="1" applyAlignment="1">
      <alignment horizontal="center" vertical="center"/>
    </xf>
    <xf numFmtId="0" fontId="13" fillId="0" borderId="0" xfId="0" applyFont="1"/>
    <xf numFmtId="179" fontId="2" fillId="0" borderId="0" xfId="0" applyNumberFormat="1" applyFont="1"/>
    <xf numFmtId="164" fontId="0" fillId="2" borderId="2" xfId="1" applyNumberFormat="1" applyFont="1" applyFill="1" applyBorder="1"/>
    <xf numFmtId="0" fontId="0" fillId="2" borderId="28" xfId="0" applyFill="1" applyBorder="1"/>
    <xf numFmtId="10" fontId="0" fillId="2" borderId="22" xfId="0" applyNumberFormat="1" applyFill="1" applyBorder="1" applyAlignment="1">
      <alignment horizontal="center"/>
    </xf>
    <xf numFmtId="9" fontId="0" fillId="2" borderId="31" xfId="0" applyNumberFormat="1" applyFill="1" applyBorder="1" applyAlignment="1">
      <alignment horizontal="center"/>
    </xf>
    <xf numFmtId="0" fontId="0" fillId="24" borderId="1" xfId="0" applyFill="1" applyBorder="1" applyAlignment="1">
      <alignment horizontal="center" vertical="center"/>
    </xf>
    <xf numFmtId="0" fontId="55" fillId="2" borderId="11" xfId="0" applyFont="1" applyFill="1" applyBorder="1" applyAlignment="1">
      <alignment vertical="center"/>
    </xf>
    <xf numFmtId="10" fontId="0" fillId="0" borderId="0" xfId="2" applyNumberFormat="1" applyFont="1" applyFill="1"/>
    <xf numFmtId="0" fontId="32" fillId="19" borderId="2" xfId="0" applyFont="1" applyFill="1" applyBorder="1" applyAlignment="1">
      <alignment horizontal="left" vertical="center"/>
    </xf>
    <xf numFmtId="0" fontId="7" fillId="19" borderId="28" xfId="0" applyFont="1" applyFill="1" applyBorder="1" applyAlignment="1">
      <alignment horizontal="left"/>
    </xf>
    <xf numFmtId="0" fontId="7" fillId="19" borderId="22" xfId="0" applyFont="1" applyFill="1" applyBorder="1" applyAlignment="1">
      <alignment horizontal="left"/>
    </xf>
    <xf numFmtId="0" fontId="78" fillId="29" borderId="0" xfId="0" applyFont="1" applyFill="1" applyAlignment="1">
      <alignment vertical="center"/>
    </xf>
    <xf numFmtId="0" fontId="55" fillId="29" borderId="0" xfId="0" applyFont="1" applyFill="1"/>
    <xf numFmtId="0" fontId="7" fillId="29" borderId="41" xfId="0" applyFont="1" applyFill="1" applyBorder="1" applyAlignment="1">
      <alignment horizontal="center"/>
    </xf>
    <xf numFmtId="168" fontId="24" fillId="29" borderId="1" xfId="0" applyNumberFormat="1" applyFont="1" applyFill="1" applyBorder="1" applyAlignment="1">
      <alignment horizontal="center" vertical="center" wrapText="1"/>
    </xf>
    <xf numFmtId="182" fontId="2" fillId="0" borderId="22" xfId="0" applyNumberFormat="1" applyFont="1" applyBorder="1" applyAlignment="1">
      <alignment horizontal="right" vertical="center" wrapText="1"/>
    </xf>
    <xf numFmtId="182" fontId="0" fillId="0" borderId="23" xfId="5" applyNumberFormat="1" applyFont="1" applyFill="1" applyBorder="1" applyAlignment="1">
      <alignment vertical="center"/>
    </xf>
    <xf numFmtId="182" fontId="2" fillId="0" borderId="53" xfId="5" applyNumberFormat="1" applyFont="1" applyFill="1" applyBorder="1" applyAlignment="1">
      <alignment vertical="center"/>
    </xf>
    <xf numFmtId="182" fontId="0" fillId="0" borderId="0" xfId="0" applyNumberFormat="1"/>
    <xf numFmtId="182" fontId="0" fillId="0" borderId="23" xfId="1" applyNumberFormat="1" applyFont="1" applyFill="1" applyBorder="1" applyAlignment="1">
      <alignment vertical="center"/>
    </xf>
    <xf numFmtId="182" fontId="2" fillId="0" borderId="22" xfId="5" applyNumberFormat="1" applyFont="1" applyFill="1" applyBorder="1" applyAlignment="1">
      <alignment vertical="center"/>
    </xf>
    <xf numFmtId="182" fontId="2" fillId="0" borderId="1" xfId="5" applyNumberFormat="1" applyFont="1" applyFill="1" applyBorder="1" applyAlignment="1">
      <alignment vertical="center"/>
    </xf>
    <xf numFmtId="182" fontId="0" fillId="0" borderId="22" xfId="5" applyNumberFormat="1" applyFont="1" applyFill="1" applyBorder="1" applyAlignment="1">
      <alignment vertical="center"/>
    </xf>
    <xf numFmtId="182" fontId="0" fillId="0" borderId="1" xfId="5" applyNumberFormat="1" applyFont="1" applyFill="1" applyBorder="1" applyAlignment="1">
      <alignment vertical="center"/>
    </xf>
    <xf numFmtId="182" fontId="2" fillId="0" borderId="21" xfId="5" applyNumberFormat="1" applyFont="1" applyFill="1" applyBorder="1" applyAlignment="1">
      <alignment vertical="center"/>
    </xf>
    <xf numFmtId="182" fontId="2" fillId="0" borderId="19" xfId="5" applyNumberFormat="1" applyFont="1" applyFill="1" applyBorder="1" applyAlignment="1">
      <alignment vertical="center"/>
    </xf>
    <xf numFmtId="0" fontId="25" fillId="0" borderId="0" xfId="0" quotePrefix="1" applyFont="1" applyAlignment="1">
      <alignment vertical="center"/>
    </xf>
    <xf numFmtId="0" fontId="25" fillId="0" borderId="3" xfId="0" quotePrefix="1" applyFont="1" applyBorder="1" applyAlignment="1">
      <alignment vertical="center"/>
    </xf>
    <xf numFmtId="0" fontId="23" fillId="0" borderId="4" xfId="0" quotePrefix="1" applyFont="1" applyBorder="1" applyAlignment="1">
      <alignment vertical="center" wrapText="1"/>
    </xf>
    <xf numFmtId="0" fontId="23" fillId="0" borderId="53" xfId="0" quotePrefix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55" xfId="0" quotePrefix="1" applyFont="1" applyBorder="1" applyAlignment="1">
      <alignment vertical="center" wrapText="1"/>
    </xf>
    <xf numFmtId="0" fontId="25" fillId="0" borderId="56" xfId="0" quotePrefix="1" applyFont="1" applyBorder="1" applyAlignment="1">
      <alignment vertical="center" wrapText="1"/>
    </xf>
    <xf numFmtId="0" fontId="23" fillId="0" borderId="4" xfId="0" quotePrefix="1" applyFont="1" applyBorder="1" applyAlignment="1">
      <alignment vertical="center"/>
    </xf>
    <xf numFmtId="0" fontId="23" fillId="0" borderId="53" xfId="0" quotePrefix="1" applyFont="1" applyBorder="1" applyAlignment="1">
      <alignment vertical="center"/>
    </xf>
    <xf numFmtId="0" fontId="25" fillId="0" borderId="55" xfId="0" quotePrefix="1" applyFont="1" applyBorder="1" applyAlignment="1">
      <alignment vertical="center"/>
    </xf>
    <xf numFmtId="0" fontId="25" fillId="0" borderId="56" xfId="0" quotePrefix="1" applyFont="1" applyBorder="1" applyAlignment="1">
      <alignment vertical="center"/>
    </xf>
    <xf numFmtId="0" fontId="36" fillId="0" borderId="43" xfId="0" quotePrefix="1" applyFont="1" applyBorder="1" applyAlignment="1">
      <alignment vertical="center"/>
    </xf>
    <xf numFmtId="0" fontId="36" fillId="0" borderId="42" xfId="0" quotePrefix="1" applyFont="1" applyBorder="1" applyAlignment="1">
      <alignment vertical="center"/>
    </xf>
    <xf numFmtId="0" fontId="30" fillId="0" borderId="31" xfId="0" quotePrefix="1" applyFont="1" applyBorder="1" applyAlignment="1">
      <alignment vertical="center"/>
    </xf>
    <xf numFmtId="0" fontId="28" fillId="0" borderId="0" xfId="0" applyFont="1" applyAlignment="1">
      <alignment vertical="center"/>
    </xf>
    <xf numFmtId="0" fontId="30" fillId="0" borderId="28" xfId="0" quotePrefix="1" applyFont="1" applyBorder="1" applyAlignment="1">
      <alignment vertical="center"/>
    </xf>
    <xf numFmtId="0" fontId="30" fillId="0" borderId="22" xfId="0" quotePrefix="1" applyFont="1" applyBorder="1" applyAlignment="1">
      <alignment vertical="center"/>
    </xf>
    <xf numFmtId="0" fontId="23" fillId="13" borderId="47" xfId="0" quotePrefix="1" applyFont="1" applyFill="1" applyBorder="1" applyAlignment="1">
      <alignment horizontal="right" vertical="center"/>
    </xf>
    <xf numFmtId="0" fontId="15" fillId="29" borderId="1" xfId="0" applyFont="1" applyFill="1" applyBorder="1" applyAlignment="1">
      <alignment horizontal="centerContinuous" vertical="center"/>
    </xf>
    <xf numFmtId="0" fontId="0" fillId="29" borderId="1" xfId="0" applyFill="1" applyBorder="1" applyAlignment="1">
      <alignment horizontal="centerContinuous"/>
    </xf>
    <xf numFmtId="0" fontId="23" fillId="13" borderId="51" xfId="0" quotePrefix="1" applyFont="1" applyFill="1" applyBorder="1" applyAlignment="1">
      <alignment horizontal="right" vertical="center"/>
    </xf>
    <xf numFmtId="0" fontId="30" fillId="0" borderId="31" xfId="0" quotePrefix="1" applyFont="1" applyBorder="1" applyAlignment="1">
      <alignment vertical="center" wrapText="1"/>
    </xf>
    <xf numFmtId="0" fontId="29" fillId="13" borderId="40" xfId="0" applyFont="1" applyFill="1" applyBorder="1" applyAlignment="1">
      <alignment horizontal="center" vertical="center"/>
    </xf>
    <xf numFmtId="0" fontId="30" fillId="0" borderId="2" xfId="0" quotePrefix="1" applyFont="1" applyBorder="1" applyAlignment="1">
      <alignment vertical="center"/>
    </xf>
    <xf numFmtId="0" fontId="28" fillId="13" borderId="51" xfId="0" applyFont="1" applyFill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77" fillId="29" borderId="7" xfId="0" quotePrefix="1" applyFont="1" applyFill="1" applyBorder="1" applyAlignment="1">
      <alignment horizontal="centerContinuous" vertical="center"/>
    </xf>
    <xf numFmtId="0" fontId="77" fillId="29" borderId="8" xfId="0" quotePrefix="1" applyFont="1" applyFill="1" applyBorder="1" applyAlignment="1">
      <alignment horizontal="centerContinuous" vertical="center"/>
    </xf>
    <xf numFmtId="0" fontId="77" fillId="29" borderId="9" xfId="0" quotePrefix="1" applyFont="1" applyFill="1" applyBorder="1" applyAlignment="1">
      <alignment horizontal="centerContinuous" vertical="center"/>
    </xf>
    <xf numFmtId="0" fontId="32" fillId="19" borderId="1" xfId="0" quotePrefix="1" applyFont="1" applyFill="1" applyBorder="1" applyAlignment="1">
      <alignment vertical="center"/>
    </xf>
    <xf numFmtId="0" fontId="32" fillId="19" borderId="2" xfId="0" quotePrefix="1" applyFont="1" applyFill="1" applyBorder="1" applyAlignment="1">
      <alignment vertical="center"/>
    </xf>
    <xf numFmtId="0" fontId="32" fillId="19" borderId="28" xfId="0" quotePrefix="1" applyFont="1" applyFill="1" applyBorder="1" applyAlignment="1">
      <alignment vertical="center"/>
    </xf>
    <xf numFmtId="0" fontId="32" fillId="19" borderId="22" xfId="0" quotePrefix="1" applyFont="1" applyFill="1" applyBorder="1" applyAlignment="1">
      <alignment vertical="center"/>
    </xf>
    <xf numFmtId="170" fontId="43" fillId="19" borderId="2" xfId="5" applyNumberFormat="1" applyFont="1" applyFill="1" applyBorder="1" applyAlignment="1">
      <alignment vertical="center"/>
    </xf>
    <xf numFmtId="0" fontId="7" fillId="29" borderId="34" xfId="0" applyFont="1" applyFill="1" applyBorder="1" applyAlignment="1">
      <alignment horizontal="center" vertical="center" wrapText="1"/>
    </xf>
    <xf numFmtId="0" fontId="7" fillId="29" borderId="34" xfId="0" applyFont="1" applyFill="1" applyBorder="1" applyAlignment="1">
      <alignment horizontal="center" vertical="center"/>
    </xf>
    <xf numFmtId="0" fontId="7" fillId="29" borderId="35" xfId="0" applyFont="1" applyFill="1" applyBorder="1" applyAlignment="1">
      <alignment horizontal="center" vertical="center" wrapText="1"/>
    </xf>
    <xf numFmtId="0" fontId="20" fillId="0" borderId="24" xfId="0" applyFont="1" applyBorder="1"/>
    <xf numFmtId="0" fontId="20" fillId="0" borderId="29" xfId="0" applyFont="1" applyBorder="1"/>
    <xf numFmtId="0" fontId="20" fillId="0" borderId="67" xfId="0" applyFont="1" applyBorder="1"/>
    <xf numFmtId="0" fontId="20" fillId="0" borderId="68" xfId="0" applyFont="1" applyBorder="1"/>
    <xf numFmtId="168" fontId="43" fillId="29" borderId="1" xfId="0" applyNumberFormat="1" applyFont="1" applyFill="1" applyBorder="1" applyAlignment="1">
      <alignment horizontal="center" vertical="center" wrapText="1"/>
    </xf>
    <xf numFmtId="179" fontId="38" fillId="0" borderId="1" xfId="0" applyNumberFormat="1" applyFont="1" applyBorder="1"/>
    <xf numFmtId="179" fontId="35" fillId="0" borderId="1" xfId="0" applyNumberFormat="1" applyFont="1" applyBorder="1"/>
    <xf numFmtId="0" fontId="79" fillId="29" borderId="48" xfId="0" applyFont="1" applyFill="1" applyBorder="1" applyAlignment="1">
      <alignment vertical="center"/>
    </xf>
    <xf numFmtId="0" fontId="79" fillId="29" borderId="37" xfId="0" applyFont="1" applyFill="1" applyBorder="1" applyAlignment="1">
      <alignment vertical="center"/>
    </xf>
    <xf numFmtId="4" fontId="27" fillId="2" borderId="0" xfId="0" applyNumberFormat="1" applyFont="1" applyFill="1"/>
    <xf numFmtId="0" fontId="7" fillId="29" borderId="1" xfId="0" applyFont="1" applyFill="1" applyBorder="1" applyAlignment="1">
      <alignment horizontal="center"/>
    </xf>
    <xf numFmtId="182" fontId="7" fillId="29" borderId="1" xfId="1" applyNumberFormat="1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179" fontId="45" fillId="0" borderId="0" xfId="0" applyNumberFormat="1" applyFont="1" applyAlignment="1">
      <alignment horizontal="right"/>
    </xf>
    <xf numFmtId="0" fontId="54" fillId="0" borderId="0" xfId="0" applyFont="1" applyAlignment="1">
      <alignment horizontal="center" vertical="center" textRotation="180"/>
    </xf>
    <xf numFmtId="168" fontId="7" fillId="5" borderId="2" xfId="0" applyNumberFormat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168" fontId="7" fillId="0" borderId="0" xfId="0" applyNumberFormat="1" applyFont="1" applyAlignment="1">
      <alignment horizontal="center"/>
    </xf>
    <xf numFmtId="41" fontId="0" fillId="2" borderId="50" xfId="0" applyNumberFormat="1" applyFill="1" applyBorder="1"/>
    <xf numFmtId="0" fontId="20" fillId="0" borderId="28" xfId="0" applyFont="1" applyBorder="1"/>
    <xf numFmtId="179" fontId="2" fillId="2" borderId="1" xfId="0" applyNumberFormat="1" applyFont="1" applyFill="1" applyBorder="1"/>
    <xf numFmtId="2" fontId="0" fillId="2" borderId="14" xfId="0" applyNumberFormat="1" applyFill="1" applyBorder="1"/>
    <xf numFmtId="41" fontId="0" fillId="2" borderId="66" xfId="0" applyNumberFormat="1" applyFill="1" applyBorder="1"/>
    <xf numFmtId="41" fontId="0" fillId="2" borderId="22" xfId="0" applyNumberFormat="1" applyFill="1" applyBorder="1"/>
    <xf numFmtId="176" fontId="0" fillId="2" borderId="23" xfId="0" applyNumberFormat="1" applyFill="1" applyBorder="1"/>
    <xf numFmtId="0" fontId="20" fillId="0" borderId="57" xfId="0" applyFont="1" applyBorder="1"/>
    <xf numFmtId="0" fontId="20" fillId="0" borderId="26" xfId="0" applyFont="1" applyBorder="1"/>
    <xf numFmtId="0" fontId="20" fillId="0" borderId="58" xfId="0" applyFont="1" applyBorder="1"/>
    <xf numFmtId="0" fontId="20" fillId="0" borderId="69" xfId="0" applyFont="1" applyBorder="1"/>
    <xf numFmtId="0" fontId="0" fillId="30" borderId="0" xfId="0" applyFill="1" applyAlignment="1">
      <alignment vertical="center"/>
    </xf>
    <xf numFmtId="0" fontId="2" fillId="30" borderId="0" xfId="0" applyFont="1" applyFill="1" applyAlignment="1">
      <alignment vertical="center"/>
    </xf>
    <xf numFmtId="10" fontId="0" fillId="30" borderId="10" xfId="2" applyNumberFormat="1" applyFont="1" applyFill="1" applyBorder="1" applyAlignment="1">
      <alignment vertical="center"/>
    </xf>
    <xf numFmtId="10" fontId="0" fillId="30" borderId="11" xfId="2" applyNumberFormat="1" applyFont="1" applyFill="1" applyBorder="1" applyAlignment="1">
      <alignment vertical="center"/>
    </xf>
    <xf numFmtId="10" fontId="0" fillId="30" borderId="12" xfId="2" applyNumberFormat="1" applyFont="1" applyFill="1" applyBorder="1" applyAlignment="1">
      <alignment vertical="center"/>
    </xf>
    <xf numFmtId="10" fontId="0" fillId="30" borderId="0" xfId="2" applyNumberFormat="1" applyFont="1" applyFill="1" applyBorder="1" applyAlignment="1">
      <alignment vertical="center"/>
    </xf>
    <xf numFmtId="10" fontId="0" fillId="30" borderId="13" xfId="2" applyNumberFormat="1" applyFont="1" applyFill="1" applyBorder="1" applyAlignment="1">
      <alignment vertical="center"/>
    </xf>
    <xf numFmtId="10" fontId="0" fillId="30" borderId="1" xfId="2" applyNumberFormat="1" applyFont="1" applyFill="1" applyBorder="1" applyAlignment="1">
      <alignment vertical="center"/>
    </xf>
    <xf numFmtId="10" fontId="0" fillId="30" borderId="14" xfId="2" applyNumberFormat="1" applyFont="1" applyFill="1" applyBorder="1" applyAlignment="1">
      <alignment vertical="center"/>
    </xf>
    <xf numFmtId="0" fontId="0" fillId="30" borderId="15" xfId="1" applyNumberFormat="1" applyFont="1" applyFill="1" applyBorder="1" applyAlignment="1">
      <alignment vertical="center"/>
    </xf>
    <xf numFmtId="43" fontId="0" fillId="30" borderId="16" xfId="1" applyFont="1" applyFill="1" applyBorder="1" applyAlignment="1">
      <alignment vertical="center"/>
    </xf>
    <xf numFmtId="43" fontId="0" fillId="30" borderId="17" xfId="1" applyFont="1" applyFill="1" applyBorder="1" applyAlignment="1">
      <alignment vertical="center"/>
    </xf>
    <xf numFmtId="43" fontId="0" fillId="30" borderId="0" xfId="1" applyFont="1" applyFill="1" applyBorder="1" applyAlignment="1">
      <alignment vertical="center"/>
    </xf>
    <xf numFmtId="10" fontId="0" fillId="30" borderId="15" xfId="2" applyNumberFormat="1" applyFont="1" applyFill="1" applyBorder="1" applyAlignment="1">
      <alignment vertical="center"/>
    </xf>
    <xf numFmtId="10" fontId="0" fillId="30" borderId="16" xfId="2" applyNumberFormat="1" applyFont="1" applyFill="1" applyBorder="1" applyAlignment="1">
      <alignment vertical="center"/>
    </xf>
    <xf numFmtId="10" fontId="0" fillId="30" borderId="17" xfId="2" applyNumberFormat="1" applyFont="1" applyFill="1" applyBorder="1" applyAlignment="1">
      <alignment vertical="center"/>
    </xf>
    <xf numFmtId="0" fontId="0" fillId="30" borderId="13" xfId="0" applyFill="1" applyBorder="1" applyAlignment="1">
      <alignment vertical="center"/>
    </xf>
    <xf numFmtId="10" fontId="0" fillId="0" borderId="0" xfId="2" applyNumberFormat="1" applyFont="1" applyFill="1" applyBorder="1" applyAlignment="1">
      <alignment vertical="center"/>
    </xf>
    <xf numFmtId="10" fontId="0" fillId="0" borderId="5" xfId="0" applyNumberFormat="1" applyBorder="1"/>
    <xf numFmtId="10" fontId="0" fillId="0" borderId="46" xfId="2" applyNumberFormat="1" applyFont="1" applyFill="1" applyBorder="1" applyAlignment="1">
      <alignment vertical="center"/>
    </xf>
    <xf numFmtId="10" fontId="2" fillId="0" borderId="5" xfId="2" applyNumberFormat="1" applyFont="1" applyFill="1" applyBorder="1" applyAlignment="1">
      <alignment vertical="center"/>
    </xf>
    <xf numFmtId="43" fontId="2" fillId="0" borderId="5" xfId="2" applyNumberFormat="1" applyFont="1" applyFill="1" applyBorder="1" applyAlignment="1">
      <alignment vertical="center"/>
    </xf>
    <xf numFmtId="10" fontId="0" fillId="0" borderId="5" xfId="2" applyNumberFormat="1" applyFont="1" applyBorder="1"/>
    <xf numFmtId="43" fontId="0" fillId="0" borderId="5" xfId="2" applyNumberFormat="1" applyFont="1" applyBorder="1"/>
    <xf numFmtId="9" fontId="2" fillId="0" borderId="5" xfId="2" applyFont="1" applyFill="1" applyBorder="1" applyAlignment="1">
      <alignment vertical="center"/>
    </xf>
    <xf numFmtId="0" fontId="7" fillId="20" borderId="33" xfId="0" applyFont="1" applyFill="1" applyBorder="1" applyAlignment="1">
      <alignment horizontal="center" vertical="center"/>
    </xf>
    <xf numFmtId="0" fontId="36" fillId="0" borderId="31" xfId="0" quotePrefix="1" applyFont="1" applyBorder="1" applyAlignment="1">
      <alignment vertical="center"/>
    </xf>
    <xf numFmtId="0" fontId="36" fillId="0" borderId="29" xfId="0" quotePrefix="1" applyFont="1" applyBorder="1" applyAlignment="1">
      <alignment vertical="center"/>
    </xf>
    <xf numFmtId="0" fontId="36" fillId="0" borderId="66" xfId="0" quotePrefix="1" applyFont="1" applyBorder="1" applyAlignment="1">
      <alignment vertical="center"/>
    </xf>
    <xf numFmtId="170" fontId="35" fillId="0" borderId="2" xfId="5" applyNumberFormat="1" applyFont="1" applyFill="1" applyBorder="1" applyAlignment="1">
      <alignment vertical="center"/>
    </xf>
    <xf numFmtId="0" fontId="36" fillId="0" borderId="2" xfId="0" quotePrefix="1" applyFont="1" applyBorder="1" applyAlignment="1">
      <alignment vertical="center"/>
    </xf>
    <xf numFmtId="0" fontId="36" fillId="0" borderId="28" xfId="0" quotePrefix="1" applyFont="1" applyBorder="1" applyAlignment="1">
      <alignment vertical="center"/>
    </xf>
    <xf numFmtId="0" fontId="36" fillId="0" borderId="22" xfId="0" quotePrefix="1" applyFont="1" applyBorder="1" applyAlignment="1">
      <alignment vertical="center"/>
    </xf>
    <xf numFmtId="174" fontId="35" fillId="0" borderId="2" xfId="0" applyNumberFormat="1" applyFont="1" applyBorder="1" applyAlignment="1">
      <alignment vertical="center"/>
    </xf>
    <xf numFmtId="0" fontId="65" fillId="28" borderId="1" xfId="0" applyFont="1" applyFill="1" applyBorder="1" applyAlignment="1">
      <alignment horizontal="center"/>
    </xf>
    <xf numFmtId="0" fontId="12" fillId="0" borderId="5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2" fillId="22" borderId="7" xfId="0" applyFont="1" applyFill="1" applyBorder="1" applyAlignment="1">
      <alignment horizontal="center" vertical="center"/>
    </xf>
    <xf numFmtId="0" fontId="2" fillId="22" borderId="8" xfId="0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23" borderId="15" xfId="0" applyFont="1" applyFill="1" applyBorder="1" applyAlignment="1">
      <alignment horizontal="left" vertical="center"/>
    </xf>
    <xf numFmtId="0" fontId="2" fillId="23" borderId="16" xfId="0" applyFont="1" applyFill="1" applyBorder="1" applyAlignment="1">
      <alignment horizontal="left" vertical="center"/>
    </xf>
    <xf numFmtId="0" fontId="2" fillId="23" borderId="17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7" fillId="3" borderId="3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9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0" fontId="7" fillId="3" borderId="57" xfId="0" applyFont="1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58" xfId="0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63" fillId="2" borderId="1" xfId="0" applyFont="1" applyFill="1" applyBorder="1" applyAlignment="1">
      <alignment horizontal="center" vertical="center"/>
    </xf>
    <xf numFmtId="0" fontId="47" fillId="4" borderId="7" xfId="0" applyFont="1" applyFill="1" applyBorder="1" applyAlignment="1">
      <alignment horizontal="center" vertical="center"/>
    </xf>
    <xf numFmtId="0" fontId="47" fillId="4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4" borderId="47" xfId="0" applyFont="1" applyFill="1" applyBorder="1" applyAlignment="1">
      <alignment horizontal="center"/>
    </xf>
    <xf numFmtId="0" fontId="2" fillId="4" borderId="48" xfId="0" applyFont="1" applyFill="1" applyBorder="1" applyAlignment="1">
      <alignment horizontal="center"/>
    </xf>
    <xf numFmtId="0" fontId="38" fillId="0" borderId="1" xfId="0" applyFont="1" applyBorder="1" applyAlignment="1">
      <alignment horizontal="left"/>
    </xf>
    <xf numFmtId="0" fontId="15" fillId="29" borderId="47" xfId="0" applyFont="1" applyFill="1" applyBorder="1" applyAlignment="1">
      <alignment horizontal="center" vertical="center"/>
    </xf>
    <xf numFmtId="0" fontId="15" fillId="29" borderId="48" xfId="0" applyFont="1" applyFill="1" applyBorder="1" applyAlignment="1">
      <alignment horizontal="center" vertical="center"/>
    </xf>
    <xf numFmtId="0" fontId="15" fillId="29" borderId="49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vertical="center"/>
    </xf>
    <xf numFmtId="0" fontId="15" fillId="29" borderId="37" xfId="0" applyFont="1" applyFill="1" applyBorder="1" applyAlignment="1">
      <alignment horizontal="center" vertical="center"/>
    </xf>
    <xf numFmtId="0" fontId="15" fillId="29" borderId="50" xfId="0" applyFont="1" applyFill="1" applyBorder="1" applyAlignment="1">
      <alignment horizontal="center" vertical="center"/>
    </xf>
    <xf numFmtId="0" fontId="48" fillId="29" borderId="33" xfId="0" applyFont="1" applyFill="1" applyBorder="1" applyAlignment="1">
      <alignment horizontal="center" vertical="center"/>
    </xf>
    <xf numFmtId="0" fontId="48" fillId="29" borderId="34" xfId="0" applyFont="1" applyFill="1" applyBorder="1" applyAlignment="1">
      <alignment horizontal="center" vertical="center"/>
    </xf>
    <xf numFmtId="0" fontId="79" fillId="29" borderId="47" xfId="0" applyFont="1" applyFill="1" applyBorder="1" applyAlignment="1">
      <alignment horizontal="center" vertical="center"/>
    </xf>
    <xf numFmtId="0" fontId="79" fillId="29" borderId="48" xfId="0" applyFont="1" applyFill="1" applyBorder="1" applyAlignment="1">
      <alignment horizontal="center" vertical="center"/>
    </xf>
    <xf numFmtId="0" fontId="79" fillId="29" borderId="40" xfId="0" applyFont="1" applyFill="1" applyBorder="1" applyAlignment="1">
      <alignment horizontal="center" vertical="center"/>
    </xf>
    <xf numFmtId="0" fontId="79" fillId="29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9" fillId="2" borderId="7" xfId="0" applyFont="1" applyFill="1" applyBorder="1" applyAlignment="1">
      <alignment horizontal="center"/>
    </xf>
    <xf numFmtId="0" fontId="39" fillId="2" borderId="8" xfId="0" applyFont="1" applyFill="1" applyBorder="1" applyAlignment="1">
      <alignment horizontal="center"/>
    </xf>
    <xf numFmtId="0" fontId="39" fillId="2" borderId="9" xfId="0" applyFont="1" applyFill="1" applyBorder="1" applyAlignment="1">
      <alignment horizontal="center"/>
    </xf>
    <xf numFmtId="0" fontId="80" fillId="29" borderId="1" xfId="0" applyFont="1" applyFill="1" applyBorder="1" applyAlignment="1">
      <alignment horizontal="center" vertical="center"/>
    </xf>
    <xf numFmtId="0" fontId="71" fillId="15" borderId="51" xfId="0" applyFont="1" applyFill="1" applyBorder="1" applyAlignment="1">
      <alignment horizontal="center" vertical="center" wrapText="1"/>
    </xf>
    <xf numFmtId="0" fontId="71" fillId="15" borderId="0" xfId="0" applyFont="1" applyFill="1" applyAlignment="1">
      <alignment horizontal="center" vertical="center" wrapText="1"/>
    </xf>
    <xf numFmtId="0" fontId="81" fillId="16" borderId="51" xfId="0" applyFont="1" applyFill="1" applyBorder="1" applyAlignment="1">
      <alignment horizontal="center" vertical="center" wrapText="1"/>
    </xf>
    <xf numFmtId="0" fontId="81" fillId="16" borderId="0" xfId="0" applyFont="1" applyFill="1" applyAlignment="1">
      <alignment horizontal="center" vertical="center" wrapText="1"/>
    </xf>
    <xf numFmtId="0" fontId="22" fillId="5" borderId="7" xfId="0" quotePrefix="1" applyFont="1" applyFill="1" applyBorder="1" applyAlignment="1">
      <alignment horizontal="center" vertical="center"/>
    </xf>
    <xf numFmtId="0" fontId="22" fillId="5" borderId="8" xfId="0" quotePrefix="1" applyFont="1" applyFill="1" applyBorder="1" applyAlignment="1">
      <alignment horizontal="center" vertical="center"/>
    </xf>
    <xf numFmtId="0" fontId="22" fillId="5" borderId="9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3" fillId="29" borderId="1" xfId="0" applyFont="1" applyFill="1" applyBorder="1" applyAlignment="1">
      <alignment horizontal="center" vertical="center"/>
    </xf>
    <xf numFmtId="0" fontId="30" fillId="2" borderId="0" xfId="0" quotePrefix="1" applyFont="1" applyFill="1" applyAlignment="1">
      <alignment horizontal="right" vertical="center"/>
    </xf>
    <xf numFmtId="0" fontId="54" fillId="18" borderId="25" xfId="0" applyFont="1" applyFill="1" applyBorder="1" applyAlignment="1">
      <alignment horizontal="center" vertical="center" textRotation="180"/>
    </xf>
    <xf numFmtId="0" fontId="54" fillId="18" borderId="45" xfId="0" applyFont="1" applyFill="1" applyBorder="1" applyAlignment="1">
      <alignment horizontal="center" vertical="center" textRotation="180"/>
    </xf>
    <xf numFmtId="0" fontId="54" fillId="18" borderId="46" xfId="0" applyFont="1" applyFill="1" applyBorder="1" applyAlignment="1">
      <alignment horizontal="center" vertical="center" textRotation="180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4" fillId="17" borderId="25" xfId="0" applyFont="1" applyFill="1" applyBorder="1" applyAlignment="1">
      <alignment horizontal="center" vertical="center" textRotation="180"/>
    </xf>
    <xf numFmtId="0" fontId="44" fillId="17" borderId="45" xfId="0" applyFont="1" applyFill="1" applyBorder="1" applyAlignment="1">
      <alignment horizontal="center" vertical="center" textRotation="180"/>
    </xf>
    <xf numFmtId="0" fontId="44" fillId="17" borderId="46" xfId="0" applyFont="1" applyFill="1" applyBorder="1" applyAlignment="1">
      <alignment horizontal="center" vertical="center" textRotation="180"/>
    </xf>
    <xf numFmtId="0" fontId="2" fillId="2" borderId="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6" fillId="19" borderId="47" xfId="0" applyFont="1" applyFill="1" applyBorder="1" applyAlignment="1">
      <alignment horizontal="center"/>
    </xf>
    <xf numFmtId="0" fontId="16" fillId="19" borderId="48" xfId="0" applyFont="1" applyFill="1" applyBorder="1" applyAlignment="1">
      <alignment horizontal="center"/>
    </xf>
    <xf numFmtId="0" fontId="16" fillId="19" borderId="49" xfId="0" applyFont="1" applyFill="1" applyBorder="1" applyAlignment="1">
      <alignment horizontal="center"/>
    </xf>
    <xf numFmtId="0" fontId="40" fillId="19" borderId="40" xfId="0" applyFont="1" applyFill="1" applyBorder="1" applyAlignment="1">
      <alignment horizontal="center"/>
    </xf>
    <xf numFmtId="0" fontId="40" fillId="19" borderId="37" xfId="0" applyFont="1" applyFill="1" applyBorder="1" applyAlignment="1">
      <alignment horizontal="center"/>
    </xf>
    <xf numFmtId="0" fontId="40" fillId="19" borderId="5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7" fillId="24" borderId="1" xfId="0" applyFont="1" applyFill="1" applyBorder="1" applyAlignment="1">
      <alignment horizontal="left"/>
    </xf>
    <xf numFmtId="0" fontId="26" fillId="2" borderId="13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/>
    </xf>
    <xf numFmtId="0" fontId="27" fillId="2" borderId="14" xfId="0" applyFont="1" applyFill="1" applyBorder="1" applyAlignment="1">
      <alignment horizontal="left"/>
    </xf>
    <xf numFmtId="0" fontId="47" fillId="20" borderId="1" xfId="0" applyFont="1" applyFill="1" applyBorder="1" applyAlignment="1">
      <alignment horizontal="center"/>
    </xf>
    <xf numFmtId="0" fontId="45" fillId="20" borderId="1" xfId="0" applyFont="1" applyFill="1" applyBorder="1" applyAlignment="1">
      <alignment horizontal="center"/>
    </xf>
    <xf numFmtId="0" fontId="45" fillId="20" borderId="7" xfId="0" applyFont="1" applyFill="1" applyBorder="1" applyAlignment="1">
      <alignment horizontal="center"/>
    </xf>
    <xf numFmtId="0" fontId="45" fillId="20" borderId="8" xfId="0" applyFont="1" applyFill="1" applyBorder="1" applyAlignment="1">
      <alignment horizontal="center"/>
    </xf>
    <xf numFmtId="0" fontId="45" fillId="20" borderId="9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left"/>
    </xf>
    <xf numFmtId="0" fontId="26" fillId="2" borderId="11" xfId="0" applyFont="1" applyFill="1" applyBorder="1" applyAlignment="1">
      <alignment horizontal="left"/>
    </xf>
    <xf numFmtId="0" fontId="27" fillId="2" borderId="11" xfId="0" applyFont="1" applyFill="1" applyBorder="1" applyAlignment="1">
      <alignment horizontal="left"/>
    </xf>
    <xf numFmtId="0" fontId="27" fillId="2" borderId="12" xfId="0" applyFont="1" applyFill="1" applyBorder="1" applyAlignment="1">
      <alignment horizontal="left"/>
    </xf>
    <xf numFmtId="0" fontId="27" fillId="2" borderId="16" xfId="0" applyFont="1" applyFill="1" applyBorder="1" applyAlignment="1">
      <alignment horizontal="left"/>
    </xf>
    <xf numFmtId="0" fontId="27" fillId="2" borderId="17" xfId="0" applyFont="1" applyFill="1" applyBorder="1" applyAlignment="1">
      <alignment horizontal="left"/>
    </xf>
    <xf numFmtId="0" fontId="45" fillId="20" borderId="2" xfId="0" applyFont="1" applyFill="1" applyBorder="1" applyAlignment="1">
      <alignment horizontal="center"/>
    </xf>
    <xf numFmtId="0" fontId="45" fillId="20" borderId="22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left"/>
    </xf>
    <xf numFmtId="0" fontId="26" fillId="2" borderId="16" xfId="0" applyFont="1" applyFill="1" applyBorder="1" applyAlignment="1">
      <alignment horizontal="left"/>
    </xf>
    <xf numFmtId="182" fontId="0" fillId="18" borderId="0" xfId="0" applyNumberFormat="1" applyFill="1" applyAlignment="1">
      <alignment vertical="center"/>
    </xf>
  </cellXfs>
  <cellStyles count="9">
    <cellStyle name="Millares" xfId="1" builtinId="3"/>
    <cellStyle name="Millares [0]" xfId="3" builtinId="6"/>
    <cellStyle name="Millares [0] 2" xfId="7" xr:uid="{C7BCE05A-CE27-44EA-8E9D-77FFFB324C6B}"/>
    <cellStyle name="Millares 2 2" xfId="8" xr:uid="{A1C46DE8-A882-4BD5-AA23-2091B6EEB0EB}"/>
    <cellStyle name="Moneda" xfId="4" builtinId="4"/>
    <cellStyle name="Moneda 2" xfId="5" xr:uid="{B36FABF7-3C07-40D0-AA24-0F18B9A389FC}"/>
    <cellStyle name="Normal" xfId="0" builtinId="0"/>
    <cellStyle name="Normal_TALLER No 7 MODELOS VT_FCLO" xfId="6" xr:uid="{7E64D011-B27F-4C38-AB2B-BEB33D48AFA2}"/>
    <cellStyle name="Porcentaje" xfId="2" builtinId="5"/>
  </cellStyles>
  <dxfs count="6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'Flujo de Caja'!$A$31:$A$39</c:f>
              <c:numCache>
                <c:formatCode>General</c:formatCode>
                <c:ptCount val="9"/>
                <c:pt idx="0">
                  <c:v>0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</c:numCache>
            </c:numRef>
          </c:cat>
          <c:val>
            <c:numRef>
              <c:f>'Flujo de Caja'!$B$31:$B$39</c:f>
              <c:numCache>
                <c:formatCode>"$"#,##0_);[Red]\("$"#,##0\)</c:formatCode>
                <c:ptCount val="9"/>
                <c:pt idx="0">
                  <c:v>-119598180</c:v>
                </c:pt>
                <c:pt idx="1">
                  <c:v>42904656.239216506</c:v>
                </c:pt>
                <c:pt idx="2">
                  <c:v>22772715.216826677</c:v>
                </c:pt>
                <c:pt idx="3">
                  <c:v>19563431.006000817</c:v>
                </c:pt>
                <c:pt idx="4">
                  <c:v>66084794.867447913</c:v>
                </c:pt>
                <c:pt idx="5">
                  <c:v>5229779.8359647393</c:v>
                </c:pt>
                <c:pt idx="6">
                  <c:v>25018196.343080223</c:v>
                </c:pt>
                <c:pt idx="7">
                  <c:v>36535506.855656803</c:v>
                </c:pt>
                <c:pt idx="8">
                  <c:v>115796261.4172948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D-400F-AF0F-EDC5E0E05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39419760"/>
        <c:axId val="639420176"/>
      </c:barChart>
      <c:catAx>
        <c:axId val="63941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9420176"/>
        <c:crosses val="autoZero"/>
        <c:auto val="1"/>
        <c:lblAlgn val="ctr"/>
        <c:lblOffset val="100"/>
        <c:noMultiLvlLbl val="0"/>
      </c:catAx>
      <c:valAx>
        <c:axId val="639420176"/>
        <c:scaling>
          <c:orientation val="minMax"/>
        </c:scaling>
        <c:delete val="0"/>
        <c:axPos val="l"/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9419760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VALORACIÓN COMPARADA MERCADO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"/>
              <c:layout>
                <c:manualLayout>
                  <c:x val="-1.7395459452436424E-2"/>
                  <c:y val="1.4084512248904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19-464F-8E80-801E98619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'Valoración Proyecto'!$A$155:$A$157</c:f>
              <c:strCache>
                <c:ptCount val="3"/>
                <c:pt idx="0">
                  <c:v>Patrimonial</c:v>
                </c:pt>
                <c:pt idx="1">
                  <c:v>valor sustancial neto</c:v>
                </c:pt>
                <c:pt idx="2">
                  <c:v>FCLD</c:v>
                </c:pt>
              </c:strCache>
            </c:strRef>
          </c:cat>
          <c:val>
            <c:numRef>
              <c:f>'Valoración Proyecto'!$H$155:$H$157</c:f>
              <c:numCache>
                <c:formatCode>0.00\ \X</c:formatCode>
                <c:ptCount val="3"/>
                <c:pt idx="0">
                  <c:v>1.9974423082477004</c:v>
                </c:pt>
                <c:pt idx="1">
                  <c:v>2.578178725509138</c:v>
                </c:pt>
                <c:pt idx="2">
                  <c:v>1.5315264288885813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B5-4AA4-AE7F-7F454770B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6597151"/>
        <c:axId val="1126602559"/>
      </c:barChart>
      <c:lineChart>
        <c:grouping val="standard"/>
        <c:varyColors val="0"/>
        <c:ser>
          <c:idx val="1"/>
          <c:order val="1"/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5-4AA4-AE7F-7F454770B8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'Valoración Proyecto'!$A$155:$A$157</c:f>
              <c:strCache>
                <c:ptCount val="3"/>
                <c:pt idx="0">
                  <c:v>Patrimonial</c:v>
                </c:pt>
                <c:pt idx="1">
                  <c:v>valor sustancial neto</c:v>
                </c:pt>
                <c:pt idx="2">
                  <c:v>FCLD</c:v>
                </c:pt>
              </c:strCache>
            </c:strRef>
          </c:cat>
          <c:val>
            <c:numRef>
              <c:f>'Valoración Proyecto'!$I$155:$I$157</c:f>
              <c:numCache>
                <c:formatCode>0.00\ \X</c:formatCode>
                <c:ptCount val="3"/>
                <c:pt idx="0">
                  <c:v>6.54</c:v>
                </c:pt>
                <c:pt idx="1">
                  <c:v>6.54</c:v>
                </c:pt>
                <c:pt idx="2">
                  <c:v>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5-4AA4-AE7F-7F454770B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6597151"/>
        <c:axId val="1126602559"/>
      </c:lineChart>
      <c:catAx>
        <c:axId val="1126597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6602559"/>
        <c:crosses val="autoZero"/>
        <c:auto val="1"/>
        <c:lblAlgn val="ctr"/>
        <c:lblOffset val="100"/>
        <c:noMultiLvlLbl val="0"/>
      </c:catAx>
      <c:valAx>
        <c:axId val="112660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6597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GESTIÓN DE VALOR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'Valoración Proyecto'!$F$164:$G$164</c:f>
              <c:strCache>
                <c:ptCount val="2"/>
                <c:pt idx="0">
                  <c:v>SIN ESTRATEGIAS</c:v>
                </c:pt>
                <c:pt idx="1">
                  <c:v>CON ESTRATEGIAS</c:v>
                </c:pt>
              </c:strCache>
            </c:strRef>
          </c:cat>
          <c:val>
            <c:numRef>
              <c:f>'Valoración Proyecto'!$F$167:$G$167</c:f>
              <c:numCache>
                <c:formatCode>0.00\ \X</c:formatCode>
                <c:ptCount val="2"/>
                <c:pt idx="0">
                  <c:v>1.8822990233713099</c:v>
                </c:pt>
                <c:pt idx="1">
                  <c:v>2.0548525771988593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2-4030-B9FA-7DED97186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6597151"/>
        <c:axId val="1126602559"/>
      </c:barChart>
      <c:catAx>
        <c:axId val="1126597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6602559"/>
        <c:crosses val="autoZero"/>
        <c:auto val="1"/>
        <c:lblAlgn val="ctr"/>
        <c:lblOffset val="100"/>
        <c:noMultiLvlLbl val="0"/>
      </c:catAx>
      <c:valAx>
        <c:axId val="112660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\ \X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6597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ALTMAN</a:t>
            </a:r>
            <a:r>
              <a:rPr lang="es-CO" baseline="0"/>
              <a:t> INDEX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'Predictor de Quiebra Altman'!$C$6:$J$6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'Predictor de Quiebra Altman'!$C$29:$J$29</c:f>
              <c:numCache>
                <c:formatCode>_(* #,##0.00_);_(* \(#,##0.00\);_(* "-"??_);_(@_)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4-4EEC-9D66-2E0A3AA55681}"/>
            </c:ext>
          </c:extLst>
        </c:ser>
        <c:ser>
          <c:idx val="1"/>
          <c:order val="1"/>
          <c:spPr>
            <a:ln w="34925" cap="rnd">
              <a:solidFill>
                <a:schemeClr val="bg1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7.0471949049693755E-2"/>
                  <c:y val="4.5418636446703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F4-4EEC-9D66-2E0A3AA55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9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'Predictor de Quiebra Altman'!$C$6:$J$6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'Predictor de Quiebra Altman'!$C$30:$J$30</c:f>
              <c:numCache>
                <c:formatCode>0.00</c:formatCode>
                <c:ptCount val="8"/>
                <c:pt idx="0">
                  <c:v>1.81</c:v>
                </c:pt>
                <c:pt idx="1">
                  <c:v>1.81</c:v>
                </c:pt>
                <c:pt idx="2">
                  <c:v>1.81</c:v>
                </c:pt>
                <c:pt idx="3">
                  <c:v>1.81</c:v>
                </c:pt>
                <c:pt idx="4">
                  <c:v>1.81</c:v>
                </c:pt>
                <c:pt idx="5">
                  <c:v>1.81</c:v>
                </c:pt>
                <c:pt idx="6">
                  <c:v>1.81</c:v>
                </c:pt>
                <c:pt idx="7">
                  <c:v>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4-4EEC-9D66-2E0A3AA55681}"/>
            </c:ext>
          </c:extLst>
        </c:ser>
        <c:ser>
          <c:idx val="2"/>
          <c:order val="2"/>
          <c:spPr>
            <a:ln w="34925" cap="rnd">
              <a:solidFill>
                <a:srgbClr val="92D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2732886790223783E-2"/>
                  <c:y val="-2.7251181868022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4-4EEC-9D66-2E0A3AA55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6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'Predictor de Quiebra Altman'!$C$6:$J$6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'Predictor de Quiebra Altman'!$C$31:$J$31</c:f>
              <c:numCache>
                <c:formatCode>0.00</c:formatCode>
                <c:ptCount val="8"/>
                <c:pt idx="0">
                  <c:v>2.99</c:v>
                </c:pt>
                <c:pt idx="1">
                  <c:v>2.99</c:v>
                </c:pt>
                <c:pt idx="2">
                  <c:v>2.99</c:v>
                </c:pt>
                <c:pt idx="3">
                  <c:v>2.99</c:v>
                </c:pt>
                <c:pt idx="4">
                  <c:v>2.99</c:v>
                </c:pt>
                <c:pt idx="5">
                  <c:v>2.99</c:v>
                </c:pt>
                <c:pt idx="6">
                  <c:v>2.99</c:v>
                </c:pt>
                <c:pt idx="7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F4-4EEC-9D66-2E0A3AA55681}"/>
            </c:ext>
          </c:extLst>
        </c:ser>
        <c:ser>
          <c:idx val="3"/>
          <c:order val="3"/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3.6334909157362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4-4EEC-9D66-2E0A3AA55681}"/>
                </c:ext>
              </c:extLst>
            </c:dLbl>
            <c:dLbl>
              <c:idx val="1"/>
              <c:layout>
                <c:manualLayout>
                  <c:x val="-2.2732886790223825E-2"/>
                  <c:y val="-4.5418636446703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4-4EEC-9D66-2E0A3AA55681}"/>
                </c:ext>
              </c:extLst>
            </c:dLbl>
            <c:dLbl>
              <c:idx val="2"/>
              <c:layout>
                <c:manualLayout>
                  <c:x val="-3.1826041506313379E-2"/>
                  <c:y val="-4.9960500091373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F4-4EEC-9D66-2E0A3AA55681}"/>
                </c:ext>
              </c:extLst>
            </c:dLbl>
            <c:dLbl>
              <c:idx val="3"/>
              <c:layout>
                <c:manualLayout>
                  <c:x val="-4.5465773580447566E-3"/>
                  <c:y val="-3.1793045512692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4-4EEC-9D66-2E0A3AA55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4">
                        <a:lumMod val="60000"/>
                        <a:lumOff val="4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'Predictor de Quiebra Altman'!$C$6:$J$6</c:f>
              <c:numCache>
                <c:formatCode>General</c:formatCode>
                <c:ptCount val="8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</c:numCache>
            </c:numRef>
          </c:cat>
          <c:val>
            <c:numRef>
              <c:f>'Predictor de Quiebra Altman'!$C$32:$J$32</c:f>
              <c:numCache>
                <c:formatCode>0.00</c:formatCode>
                <c:ptCount val="8"/>
                <c:pt idx="0">
                  <c:v>4.4224645136364211</c:v>
                </c:pt>
                <c:pt idx="1">
                  <c:v>5.5810746426765778</c:v>
                </c:pt>
                <c:pt idx="2">
                  <c:v>7.647256571949586</c:v>
                </c:pt>
                <c:pt idx="3">
                  <c:v>8.3503273375895546</c:v>
                </c:pt>
                <c:pt idx="4">
                  <c:v>8.4635896009770928</c:v>
                </c:pt>
                <c:pt idx="5">
                  <c:v>9.9308934731259555</c:v>
                </c:pt>
                <c:pt idx="6">
                  <c:v>11.164347495756584</c:v>
                </c:pt>
                <c:pt idx="7">
                  <c:v>10.18351086721408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F4-4EEC-9D66-2E0A3AA55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2106704"/>
        <c:axId val="836340496"/>
      </c:lineChart>
      <c:catAx>
        <c:axId val="95210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6340496"/>
        <c:crosses val="autoZero"/>
        <c:auto val="1"/>
        <c:lblAlgn val="ctr"/>
        <c:lblOffset val="100"/>
        <c:noMultiLvlLbl val="0"/>
      </c:catAx>
      <c:valAx>
        <c:axId val="83634049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5210670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1294278</xdr:colOff>
      <xdr:row>27</xdr:row>
      <xdr:rowOff>1120</xdr:rowOff>
    </xdr:from>
    <xdr:to>
      <xdr:col>8</xdr:col>
      <xdr:colOff>11206</xdr:colOff>
      <xdr:row>43</xdr:row>
      <xdr:rowOff>11206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BE1BD7-7522-FD6F-10C0-DCEC05CDF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428625</xdr:colOff>
      <xdr:row>48</xdr:row>
      <xdr:rowOff>71437</xdr:rowOff>
    </xdr:from>
    <xdr:to>
      <xdr:col>17</xdr:col>
      <xdr:colOff>428625</xdr:colOff>
      <xdr:row>49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24B52DB-CCDC-492B-BB7A-AB10CA85D043}"/>
            </a:ext>
          </a:extLst>
        </xdr:cNvPr>
        <xdr:cNvCxnSpPr/>
      </xdr:nvCxnSpPr>
      <xdr:spPr>
        <a:xfrm flipV="1">
          <a:off x="13925550" y="10348912"/>
          <a:ext cx="0" cy="4302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642937</xdr:colOff>
      <xdr:row>47</xdr:row>
      <xdr:rowOff>134938</xdr:rowOff>
    </xdr:from>
    <xdr:to>
      <xdr:col>17</xdr:col>
      <xdr:colOff>652463</xdr:colOff>
      <xdr:row>49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01B9FEA-6011-4354-967B-EA56465ADD98}"/>
            </a:ext>
          </a:extLst>
        </xdr:cNvPr>
        <xdr:cNvCxnSpPr/>
      </xdr:nvCxnSpPr>
      <xdr:spPr>
        <a:xfrm flipH="1" flipV="1">
          <a:off x="14139862" y="10212388"/>
          <a:ext cx="9526" cy="568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63500</xdr:colOff>
      <xdr:row>48</xdr:row>
      <xdr:rowOff>79375</xdr:rowOff>
    </xdr:from>
    <xdr:to>
      <xdr:col>18</xdr:col>
      <xdr:colOff>66676</xdr:colOff>
      <xdr:row>49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3A2A0A-8BAF-4D9D-944A-C76D40A8061E}"/>
            </a:ext>
          </a:extLst>
        </xdr:cNvPr>
        <xdr:cNvCxnSpPr/>
      </xdr:nvCxnSpPr>
      <xdr:spPr>
        <a:xfrm flipH="1" flipV="1">
          <a:off x="14770100" y="10356850"/>
          <a:ext cx="3176" cy="4333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322263</xdr:colOff>
      <xdr:row>47</xdr:row>
      <xdr:rowOff>7938</xdr:rowOff>
    </xdr:from>
    <xdr:to>
      <xdr:col>18</xdr:col>
      <xdr:colOff>325437</xdr:colOff>
      <xdr:row>49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C6CF16FB-84B7-4BDF-B5CB-ABFE8D537C0E}"/>
            </a:ext>
          </a:extLst>
        </xdr:cNvPr>
        <xdr:cNvCxnSpPr/>
      </xdr:nvCxnSpPr>
      <xdr:spPr>
        <a:xfrm flipV="1">
          <a:off x="15028863" y="10085388"/>
          <a:ext cx="3174" cy="6985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601663</xdr:colOff>
      <xdr:row>47</xdr:row>
      <xdr:rowOff>119063</xdr:rowOff>
    </xdr:from>
    <xdr:to>
      <xdr:col>18</xdr:col>
      <xdr:colOff>603250</xdr:colOff>
      <xdr:row>49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EDA3BE43-2627-4A35-B03C-0C1A15980215}"/>
            </a:ext>
          </a:extLst>
        </xdr:cNvPr>
        <xdr:cNvCxnSpPr/>
      </xdr:nvCxnSpPr>
      <xdr:spPr>
        <a:xfrm flipV="1">
          <a:off x="15308263" y="10196513"/>
          <a:ext cx="1587" cy="5889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150813</xdr:colOff>
      <xdr:row>47</xdr:row>
      <xdr:rowOff>112713</xdr:rowOff>
    </xdr:from>
    <xdr:to>
      <xdr:col>19</xdr:col>
      <xdr:colOff>152400</xdr:colOff>
      <xdr:row>49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A74A13A6-E9F5-466E-8E8F-D485285347CE}"/>
            </a:ext>
          </a:extLst>
        </xdr:cNvPr>
        <xdr:cNvCxnSpPr/>
      </xdr:nvCxnSpPr>
      <xdr:spPr>
        <a:xfrm flipV="1">
          <a:off x="15619413" y="10190163"/>
          <a:ext cx="1587" cy="5889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404812</xdr:colOff>
      <xdr:row>47</xdr:row>
      <xdr:rowOff>39688</xdr:rowOff>
    </xdr:from>
    <xdr:to>
      <xdr:col>19</xdr:col>
      <xdr:colOff>406401</xdr:colOff>
      <xdr:row>49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887285-8286-49C8-A611-CB80725C6726}"/>
            </a:ext>
          </a:extLst>
        </xdr:cNvPr>
        <xdr:cNvCxnSpPr/>
      </xdr:nvCxnSpPr>
      <xdr:spPr>
        <a:xfrm flipH="1" flipV="1">
          <a:off x="15873412" y="10117138"/>
          <a:ext cx="1589" cy="6635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677865</xdr:colOff>
      <xdr:row>46</xdr:row>
      <xdr:rowOff>127000</xdr:rowOff>
    </xdr:from>
    <xdr:to>
      <xdr:col>19</xdr:col>
      <xdr:colOff>682625</xdr:colOff>
      <xdr:row>49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C833F71E-C4A3-49F7-8A6F-2140EEBD7E58}"/>
            </a:ext>
          </a:extLst>
        </xdr:cNvPr>
        <xdr:cNvCxnSpPr/>
      </xdr:nvCxnSpPr>
      <xdr:spPr>
        <a:xfrm flipV="1">
          <a:off x="16146465" y="10013950"/>
          <a:ext cx="4760" cy="7683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195265</xdr:colOff>
      <xdr:row>46</xdr:row>
      <xdr:rowOff>47625</xdr:rowOff>
    </xdr:from>
    <xdr:to>
      <xdr:col>20</xdr:col>
      <xdr:colOff>198437</xdr:colOff>
      <xdr:row>49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94BFCEED-471A-471F-BD54-F88C272A7616}"/>
            </a:ext>
          </a:extLst>
        </xdr:cNvPr>
        <xdr:cNvCxnSpPr/>
      </xdr:nvCxnSpPr>
      <xdr:spPr>
        <a:xfrm flipV="1">
          <a:off x="16597315" y="9934575"/>
          <a:ext cx="3172" cy="833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450853</xdr:colOff>
      <xdr:row>45</xdr:row>
      <xdr:rowOff>150813</xdr:rowOff>
    </xdr:from>
    <xdr:to>
      <xdr:col>20</xdr:col>
      <xdr:colOff>452437</xdr:colOff>
      <xdr:row>49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BF831624-D3E4-490E-8FD8-91B98BF3E10E}"/>
            </a:ext>
          </a:extLst>
        </xdr:cNvPr>
        <xdr:cNvCxnSpPr/>
      </xdr:nvCxnSpPr>
      <xdr:spPr>
        <a:xfrm flipV="1">
          <a:off x="16852903" y="9847263"/>
          <a:ext cx="1584" cy="9302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682628</xdr:colOff>
      <xdr:row>46</xdr:row>
      <xdr:rowOff>63500</xdr:rowOff>
    </xdr:from>
    <xdr:to>
      <xdr:col>22</xdr:col>
      <xdr:colOff>166687</xdr:colOff>
      <xdr:row>48</xdr:row>
      <xdr:rowOff>95259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2F902FEA-0A21-4AE8-A649-90ADB104120A}"/>
            </a:ext>
          </a:extLst>
        </xdr:cNvPr>
        <xdr:cNvCxnSpPr/>
      </xdr:nvCxnSpPr>
      <xdr:spPr>
        <a:xfrm flipV="1">
          <a:off x="17084678" y="9950450"/>
          <a:ext cx="1008059" cy="4222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309562</xdr:colOff>
      <xdr:row>49</xdr:row>
      <xdr:rowOff>0</xdr:rowOff>
    </xdr:from>
    <xdr:to>
      <xdr:col>17</xdr:col>
      <xdr:colOff>507999</xdr:colOff>
      <xdr:row>49</xdr:row>
      <xdr:rowOff>142874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DD43B9B5-2BB0-4F28-828B-7F39AA3B6163}"/>
            </a:ext>
          </a:extLst>
        </xdr:cNvPr>
        <xdr:cNvSpPr/>
      </xdr:nvSpPr>
      <xdr:spPr>
        <a:xfrm>
          <a:off x="13806487" y="10802937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</a:t>
          </a:r>
        </a:p>
      </xdr:txBody>
    </xdr:sp>
    <xdr:clientData/>
  </xdr:twoCellAnchor>
  <xdr:twoCellAnchor>
    <xdr:from>
      <xdr:col>17</xdr:col>
      <xdr:colOff>541337</xdr:colOff>
      <xdr:row>49</xdr:row>
      <xdr:rowOff>0</xdr:rowOff>
    </xdr:from>
    <xdr:to>
      <xdr:col>17</xdr:col>
      <xdr:colOff>739774</xdr:colOff>
      <xdr:row>49</xdr:row>
      <xdr:rowOff>152399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1706DCDC-0BBA-4898-B141-E82904DA23F3}"/>
            </a:ext>
          </a:extLst>
        </xdr:cNvPr>
        <xdr:cNvSpPr/>
      </xdr:nvSpPr>
      <xdr:spPr>
        <a:xfrm>
          <a:off x="14038262" y="10812462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</a:t>
          </a:r>
        </a:p>
      </xdr:txBody>
    </xdr:sp>
    <xdr:clientData/>
  </xdr:twoCellAnchor>
  <xdr:twoCellAnchor>
    <xdr:from>
      <xdr:col>17</xdr:col>
      <xdr:colOff>773112</xdr:colOff>
      <xdr:row>49</xdr:row>
      <xdr:rowOff>0</xdr:rowOff>
    </xdr:from>
    <xdr:to>
      <xdr:col>18</xdr:col>
      <xdr:colOff>146049</xdr:colOff>
      <xdr:row>49</xdr:row>
      <xdr:rowOff>146049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F76B480B-21C6-4CF2-A198-CE434A3EAFC9}"/>
            </a:ext>
          </a:extLst>
        </xdr:cNvPr>
        <xdr:cNvSpPr/>
      </xdr:nvSpPr>
      <xdr:spPr>
        <a:xfrm>
          <a:off x="14270037" y="10806112"/>
          <a:ext cx="582612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3</a:t>
          </a:r>
        </a:p>
      </xdr:txBody>
    </xdr:sp>
    <xdr:clientData/>
  </xdr:twoCellAnchor>
  <xdr:twoCellAnchor>
    <xdr:from>
      <xdr:col>18</xdr:col>
      <xdr:colOff>203199</xdr:colOff>
      <xdr:row>49</xdr:row>
      <xdr:rowOff>0</xdr:rowOff>
    </xdr:from>
    <xdr:to>
      <xdr:col>18</xdr:col>
      <xdr:colOff>401636</xdr:colOff>
      <xdr:row>49</xdr:row>
      <xdr:rowOff>163511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3C367E83-2D7B-454B-AE0E-9711E4985939}"/>
            </a:ext>
          </a:extLst>
        </xdr:cNvPr>
        <xdr:cNvSpPr/>
      </xdr:nvSpPr>
      <xdr:spPr>
        <a:xfrm>
          <a:off x="14909799" y="1082357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4</a:t>
          </a:r>
        </a:p>
      </xdr:txBody>
    </xdr:sp>
    <xdr:clientData/>
  </xdr:twoCellAnchor>
  <xdr:twoCellAnchor>
    <xdr:from>
      <xdr:col>18</xdr:col>
      <xdr:colOff>482599</xdr:colOff>
      <xdr:row>49</xdr:row>
      <xdr:rowOff>0</xdr:rowOff>
    </xdr:from>
    <xdr:to>
      <xdr:col>18</xdr:col>
      <xdr:colOff>681036</xdr:colOff>
      <xdr:row>49</xdr:row>
      <xdr:rowOff>157161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81C4E570-07ED-4127-BB7A-D1067321519D}"/>
            </a:ext>
          </a:extLst>
        </xdr:cNvPr>
        <xdr:cNvSpPr/>
      </xdr:nvSpPr>
      <xdr:spPr>
        <a:xfrm>
          <a:off x="15189199" y="1081722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19</xdr:col>
      <xdr:colOff>31749</xdr:colOff>
      <xdr:row>49</xdr:row>
      <xdr:rowOff>0</xdr:rowOff>
    </xdr:from>
    <xdr:to>
      <xdr:col>19</xdr:col>
      <xdr:colOff>230186</xdr:colOff>
      <xdr:row>49</xdr:row>
      <xdr:rowOff>174623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10427FD6-9172-4FE8-9873-B5D7140FAC45}"/>
            </a:ext>
          </a:extLst>
        </xdr:cNvPr>
        <xdr:cNvSpPr/>
      </xdr:nvSpPr>
      <xdr:spPr>
        <a:xfrm>
          <a:off x="15500349" y="10834686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6</a:t>
          </a:r>
        </a:p>
      </xdr:txBody>
    </xdr:sp>
    <xdr:clientData/>
  </xdr:twoCellAnchor>
  <xdr:twoCellAnchor>
    <xdr:from>
      <xdr:col>19</xdr:col>
      <xdr:colOff>287336</xdr:colOff>
      <xdr:row>49</xdr:row>
      <xdr:rowOff>0</xdr:rowOff>
    </xdr:from>
    <xdr:to>
      <xdr:col>19</xdr:col>
      <xdr:colOff>485773</xdr:colOff>
      <xdr:row>49</xdr:row>
      <xdr:rowOff>176211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C1344B9A-2B74-4B13-A884-69E4AC660371}"/>
            </a:ext>
          </a:extLst>
        </xdr:cNvPr>
        <xdr:cNvSpPr/>
      </xdr:nvSpPr>
      <xdr:spPr>
        <a:xfrm>
          <a:off x="15755936" y="1083627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7</a:t>
          </a:r>
        </a:p>
      </xdr:txBody>
    </xdr:sp>
    <xdr:clientData/>
  </xdr:twoCellAnchor>
  <xdr:twoCellAnchor>
    <xdr:from>
      <xdr:col>19</xdr:col>
      <xdr:colOff>534986</xdr:colOff>
      <xdr:row>49</xdr:row>
      <xdr:rowOff>0</xdr:rowOff>
    </xdr:from>
    <xdr:to>
      <xdr:col>19</xdr:col>
      <xdr:colOff>733423</xdr:colOff>
      <xdr:row>49</xdr:row>
      <xdr:rowOff>169861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5E4CFB32-689E-4EF9-91E4-495F9773666C}"/>
            </a:ext>
          </a:extLst>
        </xdr:cNvPr>
        <xdr:cNvSpPr/>
      </xdr:nvSpPr>
      <xdr:spPr>
        <a:xfrm>
          <a:off x="16003586" y="1082992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8</a:t>
          </a:r>
        </a:p>
      </xdr:txBody>
    </xdr:sp>
    <xdr:clientData/>
  </xdr:twoCellAnchor>
  <xdr:twoCellAnchor>
    <xdr:from>
      <xdr:col>20</xdr:col>
      <xdr:colOff>76199</xdr:colOff>
      <xdr:row>49</xdr:row>
      <xdr:rowOff>0</xdr:rowOff>
    </xdr:from>
    <xdr:to>
      <xdr:col>20</xdr:col>
      <xdr:colOff>274636</xdr:colOff>
      <xdr:row>49</xdr:row>
      <xdr:rowOff>171448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6FDA913E-577C-48EB-AF78-6EDCBD2164C7}"/>
            </a:ext>
          </a:extLst>
        </xdr:cNvPr>
        <xdr:cNvSpPr/>
      </xdr:nvSpPr>
      <xdr:spPr>
        <a:xfrm>
          <a:off x="16478249" y="10831511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9</a:t>
          </a:r>
        </a:p>
      </xdr:txBody>
    </xdr:sp>
    <xdr:clientData/>
  </xdr:twoCellAnchor>
  <xdr:twoCellAnchor>
    <xdr:from>
      <xdr:col>20</xdr:col>
      <xdr:colOff>300036</xdr:colOff>
      <xdr:row>49</xdr:row>
      <xdr:rowOff>0</xdr:rowOff>
    </xdr:from>
    <xdr:to>
      <xdr:col>20</xdr:col>
      <xdr:colOff>635000</xdr:colOff>
      <xdr:row>49</xdr:row>
      <xdr:rowOff>180973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6EFB8BD4-40D0-4D41-957C-F758914068F1}"/>
            </a:ext>
          </a:extLst>
        </xdr:cNvPr>
        <xdr:cNvSpPr/>
      </xdr:nvSpPr>
      <xdr:spPr>
        <a:xfrm>
          <a:off x="16702086" y="10841036"/>
          <a:ext cx="334964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10</a:t>
          </a:r>
        </a:p>
      </xdr:txBody>
    </xdr:sp>
    <xdr:clientData/>
  </xdr:twoCellAnchor>
  <xdr:twoCellAnchor>
    <xdr:from>
      <xdr:col>20</xdr:col>
      <xdr:colOff>684213</xdr:colOff>
      <xdr:row>48</xdr:row>
      <xdr:rowOff>88900</xdr:rowOff>
    </xdr:from>
    <xdr:to>
      <xdr:col>20</xdr:col>
      <xdr:colOff>690562</xdr:colOff>
      <xdr:row>49</xdr:row>
      <xdr:rowOff>0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B6EB6EA0-422F-456B-B17C-B2B51871DF84}"/>
            </a:ext>
          </a:extLst>
        </xdr:cNvPr>
        <xdr:cNvCxnSpPr/>
      </xdr:nvCxnSpPr>
      <xdr:spPr>
        <a:xfrm flipH="1" flipV="1">
          <a:off x="17086263" y="10366375"/>
          <a:ext cx="6349" cy="396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355599</xdr:colOff>
      <xdr:row>47</xdr:row>
      <xdr:rowOff>173036</xdr:rowOff>
    </xdr:from>
    <xdr:to>
      <xdr:col>21</xdr:col>
      <xdr:colOff>611187</xdr:colOff>
      <xdr:row>49</xdr:row>
      <xdr:rowOff>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B66B84DA-305C-4CC9-80CA-7B4343D5B80B}"/>
            </a:ext>
          </a:extLst>
        </xdr:cNvPr>
        <xdr:cNvSpPr/>
      </xdr:nvSpPr>
      <xdr:spPr>
        <a:xfrm>
          <a:off x="17519649" y="10250486"/>
          <a:ext cx="255588" cy="24130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g</a:t>
          </a:r>
        </a:p>
      </xdr:txBody>
    </xdr:sp>
    <xdr:clientData/>
  </xdr:twoCellAnchor>
  <xdr:twoCellAnchor>
    <xdr:from>
      <xdr:col>22</xdr:col>
      <xdr:colOff>155573</xdr:colOff>
      <xdr:row>46</xdr:row>
      <xdr:rowOff>63500</xdr:rowOff>
    </xdr:from>
    <xdr:to>
      <xdr:col>22</xdr:col>
      <xdr:colOff>158750</xdr:colOff>
      <xdr:row>49</xdr:row>
      <xdr:rowOff>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EE8CAD32-B39E-4C97-9FD7-BE3CCA33169D}"/>
            </a:ext>
          </a:extLst>
        </xdr:cNvPr>
        <xdr:cNvCxnSpPr/>
      </xdr:nvCxnSpPr>
      <xdr:spPr>
        <a:xfrm flipH="1" flipV="1">
          <a:off x="18081623" y="9950450"/>
          <a:ext cx="3177" cy="82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424655</xdr:colOff>
      <xdr:row>50</xdr:row>
      <xdr:rowOff>19843</xdr:rowOff>
    </xdr:from>
    <xdr:to>
      <xdr:col>18</xdr:col>
      <xdr:colOff>607218</xdr:colOff>
      <xdr:row>52</xdr:row>
      <xdr:rowOff>99218</xdr:rowOff>
    </xdr:to>
    <xdr:sp macro="" textlink="">
      <xdr:nvSpPr>
        <xdr:cNvPr id="27" name="Abrir llave 26">
          <a:extLst>
            <a:ext uri="{FF2B5EF4-FFF2-40B4-BE49-F238E27FC236}">
              <a16:creationId xmlns:a16="http://schemas.microsoft.com/office/drawing/2014/main" id="{8CA4E5CD-FC06-4C8C-BC10-51FCFFF76E11}"/>
            </a:ext>
          </a:extLst>
        </xdr:cNvPr>
        <xdr:cNvSpPr/>
      </xdr:nvSpPr>
      <xdr:spPr>
        <a:xfrm rot="16200000">
          <a:off x="14377986" y="10621962"/>
          <a:ext cx="479425" cy="139223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164305</xdr:colOff>
      <xdr:row>50</xdr:row>
      <xdr:rowOff>37305</xdr:rowOff>
    </xdr:from>
    <xdr:to>
      <xdr:col>20</xdr:col>
      <xdr:colOff>492125</xdr:colOff>
      <xdr:row>52</xdr:row>
      <xdr:rowOff>116680</xdr:rowOff>
    </xdr:to>
    <xdr:sp macro="" textlink="">
      <xdr:nvSpPr>
        <xdr:cNvPr id="28" name="Abrir llave 27">
          <a:extLst>
            <a:ext uri="{FF2B5EF4-FFF2-40B4-BE49-F238E27FC236}">
              <a16:creationId xmlns:a16="http://schemas.microsoft.com/office/drawing/2014/main" id="{040B5CC7-DA2A-455E-A691-77FB1793F1E2}"/>
            </a:ext>
          </a:extLst>
        </xdr:cNvPr>
        <xdr:cNvSpPr/>
      </xdr:nvSpPr>
      <xdr:spPr>
        <a:xfrm rot="16200000">
          <a:off x="16023827" y="10704908"/>
          <a:ext cx="479425" cy="126127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673893</xdr:colOff>
      <xdr:row>50</xdr:row>
      <xdr:rowOff>23018</xdr:rowOff>
    </xdr:from>
    <xdr:to>
      <xdr:col>22</xdr:col>
      <xdr:colOff>157956</xdr:colOff>
      <xdr:row>52</xdr:row>
      <xdr:rowOff>102393</xdr:rowOff>
    </xdr:to>
    <xdr:sp macro="" textlink="">
      <xdr:nvSpPr>
        <xdr:cNvPr id="29" name="Abrir llave 28">
          <a:extLst>
            <a:ext uri="{FF2B5EF4-FFF2-40B4-BE49-F238E27FC236}">
              <a16:creationId xmlns:a16="http://schemas.microsoft.com/office/drawing/2014/main" id="{FC0CC130-E591-4AB9-A4ED-A7B08C678137}"/>
            </a:ext>
          </a:extLst>
        </xdr:cNvPr>
        <xdr:cNvSpPr/>
      </xdr:nvSpPr>
      <xdr:spPr>
        <a:xfrm rot="16200000">
          <a:off x="17340262" y="10817224"/>
          <a:ext cx="479425" cy="1008063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596900</xdr:colOff>
      <xdr:row>45</xdr:row>
      <xdr:rowOff>152400</xdr:rowOff>
    </xdr:from>
    <xdr:to>
      <xdr:col>20</xdr:col>
      <xdr:colOff>600076</xdr:colOff>
      <xdr:row>48</xdr:row>
      <xdr:rowOff>4764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6133DE30-39DF-4058-BE2E-B8618F69FB56}"/>
            </a:ext>
          </a:extLst>
        </xdr:cNvPr>
        <xdr:cNvCxnSpPr/>
      </xdr:nvCxnSpPr>
      <xdr:spPr>
        <a:xfrm flipH="1" flipV="1">
          <a:off x="16998950" y="9848850"/>
          <a:ext cx="3176" cy="4333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458789</xdr:colOff>
      <xdr:row>48</xdr:row>
      <xdr:rowOff>6351</xdr:rowOff>
    </xdr:from>
    <xdr:to>
      <xdr:col>20</xdr:col>
      <xdr:colOff>603250</xdr:colOff>
      <xdr:row>48</xdr:row>
      <xdr:rowOff>7937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9BF4676B-FF28-4B94-A783-21383406E3D8}"/>
            </a:ext>
          </a:extLst>
        </xdr:cNvPr>
        <xdr:cNvCxnSpPr/>
      </xdr:nvCxnSpPr>
      <xdr:spPr>
        <a:xfrm>
          <a:off x="16860839" y="10283826"/>
          <a:ext cx="144461" cy="15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655925</xdr:colOff>
      <xdr:row>45</xdr:row>
      <xdr:rowOff>39687</xdr:rowOff>
    </xdr:from>
    <xdr:to>
      <xdr:col>22</xdr:col>
      <xdr:colOff>571500</xdr:colOff>
      <xdr:row>46</xdr:row>
      <xdr:rowOff>77931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E963B5FB-9391-4D91-BFE4-6F319E31570A}"/>
            </a:ext>
          </a:extLst>
        </xdr:cNvPr>
        <xdr:cNvSpPr/>
      </xdr:nvSpPr>
      <xdr:spPr>
        <a:xfrm>
          <a:off x="17057975" y="9736137"/>
          <a:ext cx="1439575" cy="22874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Valor</a:t>
          </a:r>
          <a:r>
            <a:rPr lang="es-CO" sz="1100" baseline="0"/>
            <a:t> de continuidad</a:t>
          </a:r>
          <a:endParaRPr lang="es-CO" sz="1100"/>
        </a:p>
      </xdr:txBody>
    </xdr:sp>
    <xdr:clientData/>
  </xdr:twoCellAnchor>
  <xdr:twoCellAnchor>
    <xdr:from>
      <xdr:col>20</xdr:col>
      <xdr:colOff>739774</xdr:colOff>
      <xdr:row>49</xdr:row>
      <xdr:rowOff>160336</xdr:rowOff>
    </xdr:from>
    <xdr:to>
      <xdr:col>22</xdr:col>
      <xdr:colOff>127000</xdr:colOff>
      <xdr:row>51</xdr:row>
      <xdr:rowOff>19050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6016FAC1-30BF-4AAA-806E-9023204335D7}"/>
            </a:ext>
          </a:extLst>
        </xdr:cNvPr>
        <xdr:cNvSpPr/>
      </xdr:nvSpPr>
      <xdr:spPr>
        <a:xfrm>
          <a:off x="17141824" y="11028361"/>
          <a:ext cx="911226" cy="24923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Perpetuidad</a:t>
          </a:r>
        </a:p>
      </xdr:txBody>
    </xdr:sp>
    <xdr:clientData/>
  </xdr:twoCellAnchor>
  <xdr:twoCellAnchor>
    <xdr:from>
      <xdr:col>19</xdr:col>
      <xdr:colOff>249237</xdr:colOff>
      <xdr:row>49</xdr:row>
      <xdr:rowOff>177798</xdr:rowOff>
    </xdr:from>
    <xdr:to>
      <xdr:col>20</xdr:col>
      <xdr:colOff>398463</xdr:colOff>
      <xdr:row>51</xdr:row>
      <xdr:rowOff>36512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33E80DFE-4AE0-4E6D-87F5-8EAC236DB7CE}"/>
            </a:ext>
          </a:extLst>
        </xdr:cNvPr>
        <xdr:cNvSpPr/>
      </xdr:nvSpPr>
      <xdr:spPr>
        <a:xfrm>
          <a:off x="15717837" y="11045823"/>
          <a:ext cx="1082676" cy="24923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Proyectado</a:t>
          </a:r>
        </a:p>
      </xdr:txBody>
    </xdr:sp>
    <xdr:clientData/>
  </xdr:twoCellAnchor>
  <xdr:twoCellAnchor>
    <xdr:from>
      <xdr:col>17</xdr:col>
      <xdr:colOff>592136</xdr:colOff>
      <xdr:row>49</xdr:row>
      <xdr:rowOff>179385</xdr:rowOff>
    </xdr:from>
    <xdr:to>
      <xdr:col>18</xdr:col>
      <xdr:colOff>492124</xdr:colOff>
      <xdr:row>51</xdr:row>
      <xdr:rowOff>38099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5E79FF51-D1D1-4E00-A51F-D13C3124E309}"/>
            </a:ext>
          </a:extLst>
        </xdr:cNvPr>
        <xdr:cNvSpPr/>
      </xdr:nvSpPr>
      <xdr:spPr>
        <a:xfrm>
          <a:off x="14089061" y="11047410"/>
          <a:ext cx="1109663" cy="24923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Histórico</a:t>
          </a:r>
        </a:p>
      </xdr:txBody>
    </xdr:sp>
    <xdr:clientData/>
  </xdr:twoCellAnchor>
  <xdr:twoCellAnchor>
    <xdr:from>
      <xdr:col>22</xdr:col>
      <xdr:colOff>192086</xdr:colOff>
      <xdr:row>47</xdr:row>
      <xdr:rowOff>17460</xdr:rowOff>
    </xdr:from>
    <xdr:to>
      <xdr:col>23</xdr:col>
      <xdr:colOff>357187</xdr:colOff>
      <xdr:row>49</xdr:row>
      <xdr:rowOff>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8DC2639E-2E1A-4DC4-A60E-8EE9F8AF2420}"/>
            </a:ext>
          </a:extLst>
        </xdr:cNvPr>
        <xdr:cNvSpPr/>
      </xdr:nvSpPr>
      <xdr:spPr>
        <a:xfrm>
          <a:off x="18118136" y="10094910"/>
          <a:ext cx="927101" cy="45243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Crecimiento Constante</a:t>
          </a:r>
        </a:p>
      </xdr:txBody>
    </xdr:sp>
    <xdr:clientData/>
  </xdr:twoCellAnchor>
  <xdr:twoCellAnchor>
    <xdr:from>
      <xdr:col>17</xdr:col>
      <xdr:colOff>206375</xdr:colOff>
      <xdr:row>60</xdr:row>
      <xdr:rowOff>103188</xdr:rowOff>
    </xdr:from>
    <xdr:to>
      <xdr:col>22</xdr:col>
      <xdr:colOff>190500</xdr:colOff>
      <xdr:row>60</xdr:row>
      <xdr:rowOff>111126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85F4BF7E-A412-4A8A-97EB-E720406F072C}"/>
            </a:ext>
          </a:extLst>
        </xdr:cNvPr>
        <xdr:cNvCxnSpPr/>
      </xdr:nvCxnSpPr>
      <xdr:spPr>
        <a:xfrm flipV="1">
          <a:off x="13703300" y="13381038"/>
          <a:ext cx="4413250" cy="79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428625</xdr:colOff>
      <xdr:row>58</xdr:row>
      <xdr:rowOff>71437</xdr:rowOff>
    </xdr:from>
    <xdr:to>
      <xdr:col>17</xdr:col>
      <xdr:colOff>428625</xdr:colOff>
      <xdr:row>60</xdr:row>
      <xdr:rowOff>111126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11E82DAB-72E1-432F-8CE4-A0F58EFEAEA2}"/>
            </a:ext>
          </a:extLst>
        </xdr:cNvPr>
        <xdr:cNvCxnSpPr/>
      </xdr:nvCxnSpPr>
      <xdr:spPr>
        <a:xfrm flipV="1">
          <a:off x="13925550" y="12853987"/>
          <a:ext cx="0" cy="5349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642937</xdr:colOff>
      <xdr:row>57</xdr:row>
      <xdr:rowOff>134938</xdr:rowOff>
    </xdr:from>
    <xdr:to>
      <xdr:col>17</xdr:col>
      <xdr:colOff>652463</xdr:colOff>
      <xdr:row>60</xdr:row>
      <xdr:rowOff>112714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3E11409-AA51-4CF0-A0A5-340D9BFABC53}"/>
            </a:ext>
          </a:extLst>
        </xdr:cNvPr>
        <xdr:cNvCxnSpPr/>
      </xdr:nvCxnSpPr>
      <xdr:spPr>
        <a:xfrm flipH="1" flipV="1">
          <a:off x="14139862" y="12717463"/>
          <a:ext cx="9526" cy="6731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63500</xdr:colOff>
      <xdr:row>58</xdr:row>
      <xdr:rowOff>79375</xdr:rowOff>
    </xdr:from>
    <xdr:to>
      <xdr:col>18</xdr:col>
      <xdr:colOff>66676</xdr:colOff>
      <xdr:row>60</xdr:row>
      <xdr:rowOff>122240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E8AB6C96-A705-4654-A69A-E6585464995B}"/>
            </a:ext>
          </a:extLst>
        </xdr:cNvPr>
        <xdr:cNvCxnSpPr/>
      </xdr:nvCxnSpPr>
      <xdr:spPr>
        <a:xfrm flipH="1" flipV="1">
          <a:off x="14770100" y="12861925"/>
          <a:ext cx="3176" cy="5381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322263</xdr:colOff>
      <xdr:row>57</xdr:row>
      <xdr:rowOff>7938</xdr:rowOff>
    </xdr:from>
    <xdr:to>
      <xdr:col>18</xdr:col>
      <xdr:colOff>325437</xdr:colOff>
      <xdr:row>60</xdr:row>
      <xdr:rowOff>115890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2D10BE0F-AC9B-4E1C-B96D-9B03C9CF14AB}"/>
            </a:ext>
          </a:extLst>
        </xdr:cNvPr>
        <xdr:cNvCxnSpPr/>
      </xdr:nvCxnSpPr>
      <xdr:spPr>
        <a:xfrm flipV="1">
          <a:off x="15028863" y="12590463"/>
          <a:ext cx="3174" cy="8032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601663</xdr:colOff>
      <xdr:row>57</xdr:row>
      <xdr:rowOff>119063</xdr:rowOff>
    </xdr:from>
    <xdr:to>
      <xdr:col>18</xdr:col>
      <xdr:colOff>603250</xdr:colOff>
      <xdr:row>60</xdr:row>
      <xdr:rowOff>117478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6B768461-573F-4BCF-A92B-BAD202FE421D}"/>
            </a:ext>
          </a:extLst>
        </xdr:cNvPr>
        <xdr:cNvCxnSpPr/>
      </xdr:nvCxnSpPr>
      <xdr:spPr>
        <a:xfrm flipV="1">
          <a:off x="15308263" y="12701588"/>
          <a:ext cx="1587" cy="693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150813</xdr:colOff>
      <xdr:row>57</xdr:row>
      <xdr:rowOff>112713</xdr:rowOff>
    </xdr:from>
    <xdr:to>
      <xdr:col>19</xdr:col>
      <xdr:colOff>152400</xdr:colOff>
      <xdr:row>60</xdr:row>
      <xdr:rowOff>111128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CB1A25F5-153A-475E-9285-06DE6697A41F}"/>
            </a:ext>
          </a:extLst>
        </xdr:cNvPr>
        <xdr:cNvCxnSpPr/>
      </xdr:nvCxnSpPr>
      <xdr:spPr>
        <a:xfrm flipV="1">
          <a:off x="15619413" y="12695238"/>
          <a:ext cx="1587" cy="693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404812</xdr:colOff>
      <xdr:row>57</xdr:row>
      <xdr:rowOff>39688</xdr:rowOff>
    </xdr:from>
    <xdr:to>
      <xdr:col>19</xdr:col>
      <xdr:colOff>406401</xdr:colOff>
      <xdr:row>60</xdr:row>
      <xdr:rowOff>112716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DC2D024A-9A0E-49F5-81CC-36530E6B3620}"/>
            </a:ext>
          </a:extLst>
        </xdr:cNvPr>
        <xdr:cNvCxnSpPr/>
      </xdr:nvCxnSpPr>
      <xdr:spPr>
        <a:xfrm flipH="1" flipV="1">
          <a:off x="15873412" y="12622213"/>
          <a:ext cx="1589" cy="7683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677865</xdr:colOff>
      <xdr:row>56</xdr:row>
      <xdr:rowOff>127000</xdr:rowOff>
    </xdr:from>
    <xdr:to>
      <xdr:col>19</xdr:col>
      <xdr:colOff>682625</xdr:colOff>
      <xdr:row>60</xdr:row>
      <xdr:rowOff>114305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4828D0D8-DC1E-4CBF-B7B2-57472F160A05}"/>
            </a:ext>
          </a:extLst>
        </xdr:cNvPr>
        <xdr:cNvCxnSpPr/>
      </xdr:nvCxnSpPr>
      <xdr:spPr>
        <a:xfrm flipV="1">
          <a:off x="16146465" y="12509500"/>
          <a:ext cx="4760" cy="8826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195265</xdr:colOff>
      <xdr:row>56</xdr:row>
      <xdr:rowOff>47625</xdr:rowOff>
    </xdr:from>
    <xdr:to>
      <xdr:col>20</xdr:col>
      <xdr:colOff>198437</xdr:colOff>
      <xdr:row>60</xdr:row>
      <xdr:rowOff>100018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187BC67-C148-4595-A157-7B2E0F800412}"/>
            </a:ext>
          </a:extLst>
        </xdr:cNvPr>
        <xdr:cNvCxnSpPr/>
      </xdr:nvCxnSpPr>
      <xdr:spPr>
        <a:xfrm flipV="1">
          <a:off x="16597315" y="12430125"/>
          <a:ext cx="3172" cy="9477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450853</xdr:colOff>
      <xdr:row>55</xdr:row>
      <xdr:rowOff>150813</xdr:rowOff>
    </xdr:from>
    <xdr:to>
      <xdr:col>20</xdr:col>
      <xdr:colOff>452437</xdr:colOff>
      <xdr:row>60</xdr:row>
      <xdr:rowOff>109543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268F4858-1577-4632-9F21-9CA3E3BD6FCC}"/>
            </a:ext>
          </a:extLst>
        </xdr:cNvPr>
        <xdr:cNvCxnSpPr/>
      </xdr:nvCxnSpPr>
      <xdr:spPr>
        <a:xfrm flipV="1">
          <a:off x="16852903" y="12238038"/>
          <a:ext cx="1584" cy="11493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656651</xdr:colOff>
      <xdr:row>58</xdr:row>
      <xdr:rowOff>112568</xdr:rowOff>
    </xdr:from>
    <xdr:to>
      <xdr:col>22</xdr:col>
      <xdr:colOff>129886</xdr:colOff>
      <xdr:row>58</xdr:row>
      <xdr:rowOff>112580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606B74B6-B78B-4B15-8278-7DD7F1257EFD}"/>
            </a:ext>
          </a:extLst>
        </xdr:cNvPr>
        <xdr:cNvCxnSpPr/>
      </xdr:nvCxnSpPr>
      <xdr:spPr>
        <a:xfrm flipV="1">
          <a:off x="17058701" y="12895118"/>
          <a:ext cx="997235" cy="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309562</xdr:colOff>
      <xdr:row>60</xdr:row>
      <xdr:rowOff>134937</xdr:rowOff>
    </xdr:from>
    <xdr:to>
      <xdr:col>17</xdr:col>
      <xdr:colOff>507999</xdr:colOff>
      <xdr:row>61</xdr:row>
      <xdr:rowOff>142874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A0A4D7FD-124B-413A-B06D-2B11C008111F}"/>
            </a:ext>
          </a:extLst>
        </xdr:cNvPr>
        <xdr:cNvSpPr/>
      </xdr:nvSpPr>
      <xdr:spPr>
        <a:xfrm>
          <a:off x="13806487" y="13412787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</a:t>
          </a:r>
        </a:p>
      </xdr:txBody>
    </xdr:sp>
    <xdr:clientData/>
  </xdr:twoCellAnchor>
  <xdr:twoCellAnchor>
    <xdr:from>
      <xdr:col>17</xdr:col>
      <xdr:colOff>541337</xdr:colOff>
      <xdr:row>60</xdr:row>
      <xdr:rowOff>144462</xdr:rowOff>
    </xdr:from>
    <xdr:to>
      <xdr:col>17</xdr:col>
      <xdr:colOff>739774</xdr:colOff>
      <xdr:row>61</xdr:row>
      <xdr:rowOff>152399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B13E0E87-FC15-4F72-807A-69BAC94EC632}"/>
            </a:ext>
          </a:extLst>
        </xdr:cNvPr>
        <xdr:cNvSpPr/>
      </xdr:nvSpPr>
      <xdr:spPr>
        <a:xfrm>
          <a:off x="14038262" y="13422312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2</a:t>
          </a:r>
        </a:p>
      </xdr:txBody>
    </xdr:sp>
    <xdr:clientData/>
  </xdr:twoCellAnchor>
  <xdr:twoCellAnchor>
    <xdr:from>
      <xdr:col>17</xdr:col>
      <xdr:colOff>773112</xdr:colOff>
      <xdr:row>60</xdr:row>
      <xdr:rowOff>138112</xdr:rowOff>
    </xdr:from>
    <xdr:to>
      <xdr:col>18</xdr:col>
      <xdr:colOff>146049</xdr:colOff>
      <xdr:row>61</xdr:row>
      <xdr:rowOff>146049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8E24537A-BF49-45B1-92F1-EB80D0791B30}"/>
            </a:ext>
          </a:extLst>
        </xdr:cNvPr>
        <xdr:cNvSpPr/>
      </xdr:nvSpPr>
      <xdr:spPr>
        <a:xfrm>
          <a:off x="14270037" y="13415962"/>
          <a:ext cx="582612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3</a:t>
          </a:r>
        </a:p>
      </xdr:txBody>
    </xdr:sp>
    <xdr:clientData/>
  </xdr:twoCellAnchor>
  <xdr:twoCellAnchor>
    <xdr:from>
      <xdr:col>18</xdr:col>
      <xdr:colOff>203199</xdr:colOff>
      <xdr:row>60</xdr:row>
      <xdr:rowOff>155574</xdr:rowOff>
    </xdr:from>
    <xdr:to>
      <xdr:col>18</xdr:col>
      <xdr:colOff>401636</xdr:colOff>
      <xdr:row>61</xdr:row>
      <xdr:rowOff>163511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54D6165C-03B5-4D81-824B-F6A78D8499A7}"/>
            </a:ext>
          </a:extLst>
        </xdr:cNvPr>
        <xdr:cNvSpPr/>
      </xdr:nvSpPr>
      <xdr:spPr>
        <a:xfrm>
          <a:off x="14909799" y="1343342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4</a:t>
          </a:r>
        </a:p>
      </xdr:txBody>
    </xdr:sp>
    <xdr:clientData/>
  </xdr:twoCellAnchor>
  <xdr:twoCellAnchor>
    <xdr:from>
      <xdr:col>18</xdr:col>
      <xdr:colOff>482599</xdr:colOff>
      <xdr:row>60</xdr:row>
      <xdr:rowOff>149224</xdr:rowOff>
    </xdr:from>
    <xdr:to>
      <xdr:col>18</xdr:col>
      <xdr:colOff>681036</xdr:colOff>
      <xdr:row>61</xdr:row>
      <xdr:rowOff>157161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C4C622E3-DA2C-47AA-A884-E1EF368FF3FD}"/>
            </a:ext>
          </a:extLst>
        </xdr:cNvPr>
        <xdr:cNvSpPr/>
      </xdr:nvSpPr>
      <xdr:spPr>
        <a:xfrm>
          <a:off x="15189199" y="1342707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5</a:t>
          </a:r>
        </a:p>
      </xdr:txBody>
    </xdr:sp>
    <xdr:clientData/>
  </xdr:twoCellAnchor>
  <xdr:twoCellAnchor>
    <xdr:from>
      <xdr:col>19</xdr:col>
      <xdr:colOff>31749</xdr:colOff>
      <xdr:row>60</xdr:row>
      <xdr:rowOff>166686</xdr:rowOff>
    </xdr:from>
    <xdr:to>
      <xdr:col>19</xdr:col>
      <xdr:colOff>230186</xdr:colOff>
      <xdr:row>61</xdr:row>
      <xdr:rowOff>174623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85B949F3-5C58-481D-B49C-62B801280348}"/>
            </a:ext>
          </a:extLst>
        </xdr:cNvPr>
        <xdr:cNvSpPr/>
      </xdr:nvSpPr>
      <xdr:spPr>
        <a:xfrm>
          <a:off x="15500349" y="13444536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6</a:t>
          </a:r>
        </a:p>
      </xdr:txBody>
    </xdr:sp>
    <xdr:clientData/>
  </xdr:twoCellAnchor>
  <xdr:twoCellAnchor>
    <xdr:from>
      <xdr:col>19</xdr:col>
      <xdr:colOff>287336</xdr:colOff>
      <xdr:row>60</xdr:row>
      <xdr:rowOff>168274</xdr:rowOff>
    </xdr:from>
    <xdr:to>
      <xdr:col>19</xdr:col>
      <xdr:colOff>485773</xdr:colOff>
      <xdr:row>61</xdr:row>
      <xdr:rowOff>176211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967574A-6D49-4BB7-ABD5-B1082B43FA44}"/>
            </a:ext>
          </a:extLst>
        </xdr:cNvPr>
        <xdr:cNvSpPr/>
      </xdr:nvSpPr>
      <xdr:spPr>
        <a:xfrm>
          <a:off x="15755936" y="1344612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7</a:t>
          </a:r>
        </a:p>
      </xdr:txBody>
    </xdr:sp>
    <xdr:clientData/>
  </xdr:twoCellAnchor>
  <xdr:twoCellAnchor>
    <xdr:from>
      <xdr:col>19</xdr:col>
      <xdr:colOff>534986</xdr:colOff>
      <xdr:row>60</xdr:row>
      <xdr:rowOff>161924</xdr:rowOff>
    </xdr:from>
    <xdr:to>
      <xdr:col>19</xdr:col>
      <xdr:colOff>733423</xdr:colOff>
      <xdr:row>61</xdr:row>
      <xdr:rowOff>169861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B6240385-1229-4724-AAC1-A20211B2781D}"/>
            </a:ext>
          </a:extLst>
        </xdr:cNvPr>
        <xdr:cNvSpPr/>
      </xdr:nvSpPr>
      <xdr:spPr>
        <a:xfrm>
          <a:off x="16003586" y="13439774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8</a:t>
          </a:r>
        </a:p>
      </xdr:txBody>
    </xdr:sp>
    <xdr:clientData/>
  </xdr:twoCellAnchor>
  <xdr:twoCellAnchor>
    <xdr:from>
      <xdr:col>20</xdr:col>
      <xdr:colOff>76199</xdr:colOff>
      <xdr:row>60</xdr:row>
      <xdr:rowOff>163511</xdr:rowOff>
    </xdr:from>
    <xdr:to>
      <xdr:col>20</xdr:col>
      <xdr:colOff>274636</xdr:colOff>
      <xdr:row>61</xdr:row>
      <xdr:rowOff>171448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DD9BC47B-A9B0-42F5-89B2-590922F54DEA}"/>
            </a:ext>
          </a:extLst>
        </xdr:cNvPr>
        <xdr:cNvSpPr/>
      </xdr:nvSpPr>
      <xdr:spPr>
        <a:xfrm>
          <a:off x="16478249" y="13441361"/>
          <a:ext cx="198437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9</a:t>
          </a:r>
        </a:p>
      </xdr:txBody>
    </xdr:sp>
    <xdr:clientData/>
  </xdr:twoCellAnchor>
  <xdr:twoCellAnchor>
    <xdr:from>
      <xdr:col>20</xdr:col>
      <xdr:colOff>300036</xdr:colOff>
      <xdr:row>60</xdr:row>
      <xdr:rowOff>173036</xdr:rowOff>
    </xdr:from>
    <xdr:to>
      <xdr:col>20</xdr:col>
      <xdr:colOff>635000</xdr:colOff>
      <xdr:row>61</xdr:row>
      <xdr:rowOff>180973</xdr:rowOff>
    </xdr:to>
    <xdr:sp macro="" textlink="">
      <xdr:nvSpPr>
        <xdr:cNvPr id="58" name="Rectángulo 57">
          <a:extLst>
            <a:ext uri="{FF2B5EF4-FFF2-40B4-BE49-F238E27FC236}">
              <a16:creationId xmlns:a16="http://schemas.microsoft.com/office/drawing/2014/main" id="{D664B2F3-162C-46F0-8728-14C70DD237A6}"/>
            </a:ext>
          </a:extLst>
        </xdr:cNvPr>
        <xdr:cNvSpPr/>
      </xdr:nvSpPr>
      <xdr:spPr>
        <a:xfrm>
          <a:off x="16702086" y="13450886"/>
          <a:ext cx="334964" cy="20796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10</a:t>
          </a:r>
        </a:p>
      </xdr:txBody>
    </xdr:sp>
    <xdr:clientData/>
  </xdr:twoCellAnchor>
  <xdr:twoCellAnchor>
    <xdr:from>
      <xdr:col>20</xdr:col>
      <xdr:colOff>684213</xdr:colOff>
      <xdr:row>58</xdr:row>
      <xdr:rowOff>88900</xdr:rowOff>
    </xdr:from>
    <xdr:to>
      <xdr:col>20</xdr:col>
      <xdr:colOff>690562</xdr:colOff>
      <xdr:row>60</xdr:row>
      <xdr:rowOff>95250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2C93FAFB-3285-4763-B61E-633FA8DC4FE2}"/>
            </a:ext>
          </a:extLst>
        </xdr:cNvPr>
        <xdr:cNvCxnSpPr/>
      </xdr:nvCxnSpPr>
      <xdr:spPr>
        <a:xfrm flipH="1" flipV="1">
          <a:off x="17086263" y="12871450"/>
          <a:ext cx="6349" cy="501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346940</xdr:colOff>
      <xdr:row>58</xdr:row>
      <xdr:rowOff>155718</xdr:rowOff>
    </xdr:from>
    <xdr:to>
      <xdr:col>21</xdr:col>
      <xdr:colOff>602528</xdr:colOff>
      <xdr:row>59</xdr:row>
      <xdr:rowOff>196994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id="{A519B233-D80E-4BAF-B349-565CB249703E}"/>
            </a:ext>
          </a:extLst>
        </xdr:cNvPr>
        <xdr:cNvSpPr/>
      </xdr:nvSpPr>
      <xdr:spPr>
        <a:xfrm>
          <a:off x="17510990" y="12938268"/>
          <a:ext cx="255588" cy="27940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g</a:t>
          </a:r>
        </a:p>
      </xdr:txBody>
    </xdr:sp>
    <xdr:clientData/>
  </xdr:twoCellAnchor>
  <xdr:twoCellAnchor>
    <xdr:from>
      <xdr:col>22</xdr:col>
      <xdr:colOff>138545</xdr:colOff>
      <xdr:row>58</xdr:row>
      <xdr:rowOff>147204</xdr:rowOff>
    </xdr:from>
    <xdr:to>
      <xdr:col>22</xdr:col>
      <xdr:colOff>158751</xdr:colOff>
      <xdr:row>60</xdr:row>
      <xdr:rowOff>111126</xdr:rowOff>
    </xdr:to>
    <xdr:cxnSp macro="">
      <xdr:nvCxnSpPr>
        <xdr:cNvPr id="61" name="Conector recto 60">
          <a:extLst>
            <a:ext uri="{FF2B5EF4-FFF2-40B4-BE49-F238E27FC236}">
              <a16:creationId xmlns:a16="http://schemas.microsoft.com/office/drawing/2014/main" id="{6CC00AA8-F4AC-45B0-9F81-8AE2AD8ED99B}"/>
            </a:ext>
          </a:extLst>
        </xdr:cNvPr>
        <xdr:cNvCxnSpPr/>
      </xdr:nvCxnSpPr>
      <xdr:spPr>
        <a:xfrm flipH="1" flipV="1">
          <a:off x="18064595" y="12929754"/>
          <a:ext cx="20206" cy="4592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424655</xdr:colOff>
      <xdr:row>62</xdr:row>
      <xdr:rowOff>19843</xdr:rowOff>
    </xdr:from>
    <xdr:to>
      <xdr:col>18</xdr:col>
      <xdr:colOff>607218</xdr:colOff>
      <xdr:row>64</xdr:row>
      <xdr:rowOff>99218</xdr:rowOff>
    </xdr:to>
    <xdr:sp macro="" textlink="">
      <xdr:nvSpPr>
        <xdr:cNvPr id="62" name="Abrir llave 61">
          <a:extLst>
            <a:ext uri="{FF2B5EF4-FFF2-40B4-BE49-F238E27FC236}">
              <a16:creationId xmlns:a16="http://schemas.microsoft.com/office/drawing/2014/main" id="{62E7809A-D8D7-4783-BEE3-A48439AC87CC}"/>
            </a:ext>
          </a:extLst>
        </xdr:cNvPr>
        <xdr:cNvSpPr/>
      </xdr:nvSpPr>
      <xdr:spPr>
        <a:xfrm rot="16200000">
          <a:off x="14377986" y="13241337"/>
          <a:ext cx="479425" cy="1392238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164305</xdr:colOff>
      <xdr:row>62</xdr:row>
      <xdr:rowOff>37305</xdr:rowOff>
    </xdr:from>
    <xdr:to>
      <xdr:col>20</xdr:col>
      <xdr:colOff>492125</xdr:colOff>
      <xdr:row>64</xdr:row>
      <xdr:rowOff>116680</xdr:rowOff>
    </xdr:to>
    <xdr:sp macro="" textlink="">
      <xdr:nvSpPr>
        <xdr:cNvPr id="63" name="Abrir llave 62">
          <a:extLst>
            <a:ext uri="{FF2B5EF4-FFF2-40B4-BE49-F238E27FC236}">
              <a16:creationId xmlns:a16="http://schemas.microsoft.com/office/drawing/2014/main" id="{1847D7D7-A025-44C4-8F62-617143DD0305}"/>
            </a:ext>
          </a:extLst>
        </xdr:cNvPr>
        <xdr:cNvSpPr/>
      </xdr:nvSpPr>
      <xdr:spPr>
        <a:xfrm rot="16200000">
          <a:off x="16023827" y="13324283"/>
          <a:ext cx="479425" cy="126127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673893</xdr:colOff>
      <xdr:row>62</xdr:row>
      <xdr:rowOff>23018</xdr:rowOff>
    </xdr:from>
    <xdr:to>
      <xdr:col>22</xdr:col>
      <xdr:colOff>157956</xdr:colOff>
      <xdr:row>64</xdr:row>
      <xdr:rowOff>102393</xdr:rowOff>
    </xdr:to>
    <xdr:sp macro="" textlink="">
      <xdr:nvSpPr>
        <xdr:cNvPr id="64" name="Abrir llave 63">
          <a:extLst>
            <a:ext uri="{FF2B5EF4-FFF2-40B4-BE49-F238E27FC236}">
              <a16:creationId xmlns:a16="http://schemas.microsoft.com/office/drawing/2014/main" id="{5EF15A38-A517-4476-A725-A07B51957723}"/>
            </a:ext>
          </a:extLst>
        </xdr:cNvPr>
        <xdr:cNvSpPr/>
      </xdr:nvSpPr>
      <xdr:spPr>
        <a:xfrm rot="16200000">
          <a:off x="17340262" y="13436599"/>
          <a:ext cx="479425" cy="1008063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596900</xdr:colOff>
      <xdr:row>55</xdr:row>
      <xdr:rowOff>152400</xdr:rowOff>
    </xdr:from>
    <xdr:to>
      <xdr:col>20</xdr:col>
      <xdr:colOff>600076</xdr:colOff>
      <xdr:row>58</xdr:row>
      <xdr:rowOff>4764</xdr:rowOff>
    </xdr:to>
    <xdr:cxnSp macro="">
      <xdr:nvCxnSpPr>
        <xdr:cNvPr id="65" name="Conector recto 64">
          <a:extLst>
            <a:ext uri="{FF2B5EF4-FFF2-40B4-BE49-F238E27FC236}">
              <a16:creationId xmlns:a16="http://schemas.microsoft.com/office/drawing/2014/main" id="{CF1F06DD-CED7-402C-ADEF-2DE8420EECDC}"/>
            </a:ext>
          </a:extLst>
        </xdr:cNvPr>
        <xdr:cNvCxnSpPr/>
      </xdr:nvCxnSpPr>
      <xdr:spPr>
        <a:xfrm flipH="1" flipV="1">
          <a:off x="16998950" y="12239625"/>
          <a:ext cx="3176" cy="5476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458789</xdr:colOff>
      <xdr:row>58</xdr:row>
      <xdr:rowOff>6351</xdr:rowOff>
    </xdr:from>
    <xdr:to>
      <xdr:col>20</xdr:col>
      <xdr:colOff>603250</xdr:colOff>
      <xdr:row>58</xdr:row>
      <xdr:rowOff>7937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D19066C9-70AC-4990-9086-AA09F1C1D321}"/>
            </a:ext>
          </a:extLst>
        </xdr:cNvPr>
        <xdr:cNvCxnSpPr/>
      </xdr:nvCxnSpPr>
      <xdr:spPr>
        <a:xfrm>
          <a:off x="16860839" y="12788901"/>
          <a:ext cx="144461" cy="15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638606</xdr:colOff>
      <xdr:row>55</xdr:row>
      <xdr:rowOff>57004</xdr:rowOff>
    </xdr:from>
    <xdr:to>
      <xdr:col>22</xdr:col>
      <xdr:colOff>614795</xdr:colOff>
      <xdr:row>56</xdr:row>
      <xdr:rowOff>19627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3091892F-A3EF-4EAC-8438-9A58D74ADF45}"/>
            </a:ext>
          </a:extLst>
        </xdr:cNvPr>
        <xdr:cNvSpPr/>
      </xdr:nvSpPr>
      <xdr:spPr>
        <a:xfrm>
          <a:off x="17040656" y="12144229"/>
          <a:ext cx="1500189" cy="257898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Valor</a:t>
          </a:r>
          <a:r>
            <a:rPr lang="es-CO" sz="1100" baseline="0"/>
            <a:t> de continuidad</a:t>
          </a:r>
          <a:endParaRPr lang="es-CO" sz="1100"/>
        </a:p>
      </xdr:txBody>
    </xdr:sp>
    <xdr:clientData/>
  </xdr:twoCellAnchor>
  <xdr:twoCellAnchor>
    <xdr:from>
      <xdr:col>20</xdr:col>
      <xdr:colOff>739774</xdr:colOff>
      <xdr:row>61</xdr:row>
      <xdr:rowOff>160336</xdr:rowOff>
    </xdr:from>
    <xdr:to>
      <xdr:col>22</xdr:col>
      <xdr:colOff>127000</xdr:colOff>
      <xdr:row>63</xdr:row>
      <xdr:rowOff>19050</xdr:rowOff>
    </xdr:to>
    <xdr:sp macro="" textlink="">
      <xdr:nvSpPr>
        <xdr:cNvPr id="68" name="Rectángulo 67">
          <a:extLst>
            <a:ext uri="{FF2B5EF4-FFF2-40B4-BE49-F238E27FC236}">
              <a16:creationId xmlns:a16="http://schemas.microsoft.com/office/drawing/2014/main" id="{ABF6A18B-0E02-4AC4-8BA3-BDDA8E36C963}"/>
            </a:ext>
          </a:extLst>
        </xdr:cNvPr>
        <xdr:cNvSpPr/>
      </xdr:nvSpPr>
      <xdr:spPr>
        <a:xfrm>
          <a:off x="17141824" y="13638211"/>
          <a:ext cx="911226" cy="2587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Perpetuidad</a:t>
          </a:r>
        </a:p>
      </xdr:txBody>
    </xdr:sp>
    <xdr:clientData/>
  </xdr:twoCellAnchor>
  <xdr:twoCellAnchor>
    <xdr:from>
      <xdr:col>19</xdr:col>
      <xdr:colOff>249237</xdr:colOff>
      <xdr:row>61</xdr:row>
      <xdr:rowOff>177798</xdr:rowOff>
    </xdr:from>
    <xdr:to>
      <xdr:col>20</xdr:col>
      <xdr:colOff>398463</xdr:colOff>
      <xdr:row>63</xdr:row>
      <xdr:rowOff>36512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6470A16E-543D-4832-89E4-7A3BD1EE2334}"/>
            </a:ext>
          </a:extLst>
        </xdr:cNvPr>
        <xdr:cNvSpPr/>
      </xdr:nvSpPr>
      <xdr:spPr>
        <a:xfrm>
          <a:off x="15717837" y="13655673"/>
          <a:ext cx="1082676" cy="2587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Proyectado</a:t>
          </a:r>
        </a:p>
      </xdr:txBody>
    </xdr:sp>
    <xdr:clientData/>
  </xdr:twoCellAnchor>
  <xdr:twoCellAnchor>
    <xdr:from>
      <xdr:col>17</xdr:col>
      <xdr:colOff>592136</xdr:colOff>
      <xdr:row>61</xdr:row>
      <xdr:rowOff>179385</xdr:rowOff>
    </xdr:from>
    <xdr:to>
      <xdr:col>18</xdr:col>
      <xdr:colOff>492124</xdr:colOff>
      <xdr:row>63</xdr:row>
      <xdr:rowOff>38099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BA52846C-1626-41B8-B6CB-2AA81BAC31E6}"/>
            </a:ext>
          </a:extLst>
        </xdr:cNvPr>
        <xdr:cNvSpPr/>
      </xdr:nvSpPr>
      <xdr:spPr>
        <a:xfrm>
          <a:off x="14089061" y="13657260"/>
          <a:ext cx="1109663" cy="2587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Histórico</a:t>
          </a:r>
        </a:p>
      </xdr:txBody>
    </xdr:sp>
    <xdr:clientData/>
  </xdr:twoCellAnchor>
  <xdr:twoCellAnchor>
    <xdr:from>
      <xdr:col>22</xdr:col>
      <xdr:colOff>192086</xdr:colOff>
      <xdr:row>57</xdr:row>
      <xdr:rowOff>17460</xdr:rowOff>
    </xdr:from>
    <xdr:to>
      <xdr:col>23</xdr:col>
      <xdr:colOff>357187</xdr:colOff>
      <xdr:row>59</xdr:row>
      <xdr:rowOff>79374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AD4C31CA-8704-48E0-90A0-0AD1E593264A}"/>
            </a:ext>
          </a:extLst>
        </xdr:cNvPr>
        <xdr:cNvSpPr/>
      </xdr:nvSpPr>
      <xdr:spPr>
        <a:xfrm>
          <a:off x="18118136" y="12599985"/>
          <a:ext cx="927101" cy="5000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100"/>
            <a:t>Anualidad Perpetua </a:t>
          </a:r>
        </a:p>
      </xdr:txBody>
    </xdr:sp>
    <xdr:clientData/>
  </xdr:twoCellAnchor>
  <xdr:twoCellAnchor>
    <xdr:from>
      <xdr:col>0</xdr:col>
      <xdr:colOff>18316</xdr:colOff>
      <xdr:row>135</xdr:row>
      <xdr:rowOff>13189</xdr:rowOff>
    </xdr:from>
    <xdr:to>
      <xdr:col>6</xdr:col>
      <xdr:colOff>175845</xdr:colOff>
      <xdr:row>150</xdr:row>
      <xdr:rowOff>146538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FB100B8D-3253-47ED-8F27-63E426AB7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94342</xdr:colOff>
      <xdr:row>169</xdr:row>
      <xdr:rowOff>127000</xdr:rowOff>
    </xdr:from>
    <xdr:to>
      <xdr:col>6</xdr:col>
      <xdr:colOff>243707</xdr:colOff>
      <xdr:row>183</xdr:row>
      <xdr:rowOff>151492</xdr:rowOff>
    </xdr:to>
    <xdr:graphicFrame macro="">
      <xdr:nvGraphicFramePr>
        <xdr:cNvPr id="74" name="Gráfico 73">
          <a:extLst>
            <a:ext uri="{FF2B5EF4-FFF2-40B4-BE49-F238E27FC236}">
              <a16:creationId xmlns:a16="http://schemas.microsoft.com/office/drawing/2014/main" id="{C8B2AA09-B7C6-4933-8255-B31F51E8B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638970</xdr:colOff>
      <xdr:row>22</xdr:row>
      <xdr:rowOff>120303</xdr:rowOff>
    </xdr:from>
    <xdr:to>
      <xdr:col>10</xdr:col>
      <xdr:colOff>19844</xdr:colOff>
      <xdr:row>38</xdr:row>
      <xdr:rowOff>71439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F2FCCE-A0FE-4FBF-A4EA-EB135651E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OneDrive/HANS%20PERSONAL/UNIVERSIDAD%20PILOTO/ESPECIALIZACI&#211;N%20GAF/GAF%2088%20GESTI&#211;N%20BASADA%20EN%20EL%20VALOR%202022%20Y%202023/RESUELTOS%20UPC%20GAF%2088%20GBV/UPC%20Taller%202%20Modelo%20Valoraci&#243;n%20(Resuelto%20Revisad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cquirog\Downloads\TRABAJO%20DE%20GRADO%20SIN%20ESTRATEGIA.xlsx" TargetMode="External"/><Relationship Id="rId1" Type="http://schemas.openxmlformats.org/officeDocument/2006/relationships/externalLinkPath" Target="TRABAJO%20DE%20GRADO%20SIN%20ESTRATEG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fras Historicas"/>
      <sheetName val="Proyecciones"/>
      <sheetName val="Valoración Sin Estrategia"/>
      <sheetName val="Estrategias Operativas"/>
      <sheetName val="Proyecciones + Estrategia"/>
      <sheetName val="Valoración + Estrategia"/>
    </sheetNames>
    <sheetDataSet>
      <sheetData sheetId="0" refreshError="1"/>
      <sheetData sheetId="1">
        <row r="24">
          <cell r="J24">
            <v>2021</v>
          </cell>
        </row>
      </sheetData>
      <sheetData sheetId="2">
        <row r="72">
          <cell r="F72">
            <v>-2382317.2235737219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Datos"/>
      <sheetName val="Inversion"/>
      <sheetName val="Inf Base"/>
      <sheetName val="Costo productos"/>
      <sheetName val="Mp"/>
      <sheetName val="Nomina"/>
      <sheetName val="Ventas-Mp Ins-Invent"/>
      <sheetName val="Escenarios"/>
      <sheetName val="Flujo de Caja"/>
      <sheetName val="EF Proyecto"/>
      <sheetName val="Valoración Proyecto"/>
      <sheetName val="Activos Fijos"/>
      <sheetName val="Financiacion"/>
      <sheetName val="TA Banco 1"/>
      <sheetName val="TA Banco 2"/>
      <sheetName val="Costo deuda KD"/>
      <sheetName val="Hoja1"/>
      <sheetName val="Informe"/>
      <sheetName val="Proveedores"/>
      <sheetName val="Predictor de Quiebra Altm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67">
          <cell r="F167">
            <v>5.2180820243799504</v>
          </cell>
        </row>
        <row r="168">
          <cell r="F168">
            <v>0.32467212895040365</v>
          </cell>
        </row>
        <row r="169">
          <cell r="F169">
            <v>1.8822990233713099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AEED-A5B4-4F9F-9B14-D3DED2105435}">
  <dimension ref="A1:F15"/>
  <sheetViews>
    <sheetView zoomScale="70" zoomScaleNormal="70" workbookViewId="0">
      <selection activeCell="A7" sqref="A7"/>
    </sheetView>
  </sheetViews>
  <sheetFormatPr baseColWidth="10" defaultRowHeight="14.5"/>
  <cols>
    <col min="1" max="1" width="96.7265625" bestFit="1" customWidth="1"/>
    <col min="4" max="4" width="12.54296875" bestFit="1" customWidth="1"/>
    <col min="5" max="5" width="14" customWidth="1"/>
    <col min="6" max="6" width="12.453125" bestFit="1" customWidth="1"/>
  </cols>
  <sheetData>
    <row r="1" spans="1:6">
      <c r="A1" s="611" t="s">
        <v>624</v>
      </c>
      <c r="B1" s="422" t="s">
        <v>713</v>
      </c>
    </row>
    <row r="2" spans="1:6">
      <c r="A2" s="611" t="s">
        <v>714</v>
      </c>
      <c r="B2" s="422"/>
    </row>
    <row r="3" spans="1:6">
      <c r="A3" s="611" t="s">
        <v>734</v>
      </c>
    </row>
    <row r="4" spans="1:6">
      <c r="A4" s="611" t="s">
        <v>733</v>
      </c>
    </row>
    <row r="5" spans="1:6">
      <c r="A5" s="611" t="s">
        <v>715</v>
      </c>
    </row>
    <row r="6" spans="1:6" s="611" customFormat="1">
      <c r="A6" s="611" t="s">
        <v>716</v>
      </c>
    </row>
    <row r="7" spans="1:6">
      <c r="A7" s="244" t="s">
        <v>249</v>
      </c>
    </row>
    <row r="8" spans="1:6" s="611" customFormat="1">
      <c r="A8" s="611" t="s">
        <v>736</v>
      </c>
    </row>
    <row r="9" spans="1:6">
      <c r="A9" t="s">
        <v>717</v>
      </c>
    </row>
    <row r="10" spans="1:6">
      <c r="A10" t="s">
        <v>625</v>
      </c>
      <c r="C10" t="s">
        <v>718</v>
      </c>
      <c r="D10" t="s">
        <v>719</v>
      </c>
      <c r="E10" t="s">
        <v>619</v>
      </c>
    </row>
    <row r="11" spans="1:6">
      <c r="A11" s="79" t="s">
        <v>200</v>
      </c>
      <c r="C11" t="s">
        <v>720</v>
      </c>
      <c r="D11" t="s">
        <v>721</v>
      </c>
      <c r="F11" t="s">
        <v>722</v>
      </c>
    </row>
    <row r="12" spans="1:6">
      <c r="A12" s="411" t="s">
        <v>208</v>
      </c>
      <c r="F12" t="s">
        <v>723</v>
      </c>
    </row>
    <row r="13" spans="1:6" ht="15" thickBot="1">
      <c r="A13" s="135" t="s">
        <v>525</v>
      </c>
      <c r="F13" t="s">
        <v>724</v>
      </c>
    </row>
    <row r="14" spans="1:6">
      <c r="A14" s="140" t="s">
        <v>241</v>
      </c>
      <c r="F14" t="s">
        <v>725</v>
      </c>
    </row>
    <row r="15" spans="1:6" ht="23.5">
      <c r="A15" s="860" t="s">
        <v>671</v>
      </c>
      <c r="B15" s="860"/>
      <c r="F15" t="s">
        <v>726</v>
      </c>
    </row>
  </sheetData>
  <mergeCells count="1">
    <mergeCell ref="A15:B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5AB1-84F0-4DAE-B4B5-B9FB783D08A8}">
  <sheetPr codeName="Hoja13"/>
  <dimension ref="A1:AZ105"/>
  <sheetViews>
    <sheetView showGridLines="0" zoomScale="80" zoomScaleNormal="80" workbookViewId="0">
      <pane ySplit="1" topLeftCell="A72" activePane="bottomLeft" state="frozen"/>
      <selection pane="bottomLeft" activeCell="B87" sqref="B87:E88"/>
    </sheetView>
  </sheetViews>
  <sheetFormatPr baseColWidth="10" defaultColWidth="11.453125" defaultRowHeight="14.5"/>
  <cols>
    <col min="1" max="1" width="13.81640625" style="426" bestFit="1" customWidth="1"/>
    <col min="2" max="3" width="11.453125" style="426"/>
    <col min="4" max="4" width="0" style="426" hidden="1" customWidth="1"/>
    <col min="5" max="6" width="11.453125" style="426"/>
    <col min="7" max="7" width="15" style="426" bestFit="1" customWidth="1"/>
    <col min="8" max="8" width="15" style="426" customWidth="1"/>
    <col min="9" max="13" width="15" style="426" bestFit="1" customWidth="1"/>
    <col min="14" max="14" width="16.81640625" style="426" bestFit="1" customWidth="1"/>
    <col min="15" max="15" width="16.453125" style="426" bestFit="1" customWidth="1"/>
    <col min="16" max="16" width="16.453125" style="426" customWidth="1"/>
    <col min="17" max="17" width="12.54296875" style="426" bestFit="1" customWidth="1"/>
    <col min="18" max="18" width="12.7265625" style="426" bestFit="1" customWidth="1"/>
    <col min="19" max="25" width="11.453125" style="426"/>
    <col min="26" max="26" width="11.453125" style="154"/>
    <col min="27" max="27" width="38.81640625" style="154" customWidth="1"/>
    <col min="28" max="28" width="23.7265625" style="154" bestFit="1" customWidth="1"/>
    <col min="29" max="29" width="11.453125" style="154"/>
    <col min="30" max="30" width="38.453125" style="154" bestFit="1" customWidth="1"/>
    <col min="31" max="36" width="11.453125" style="154"/>
    <col min="37" max="37" width="15.1796875" style="154" bestFit="1" customWidth="1"/>
    <col min="38" max="52" width="11.453125" style="154"/>
    <col min="53" max="16384" width="11.453125" style="426"/>
  </cols>
  <sheetData>
    <row r="1" spans="1:30" ht="15" thickBot="1">
      <c r="A1" s="618" t="s">
        <v>619</v>
      </c>
      <c r="B1" s="423" t="s">
        <v>107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3" t="s">
        <v>626</v>
      </c>
      <c r="R1" s="424"/>
      <c r="S1" s="424"/>
      <c r="T1" s="424"/>
      <c r="U1" s="424"/>
      <c r="V1" s="424"/>
      <c r="W1" s="424"/>
      <c r="X1" s="424"/>
      <c r="Y1" s="425"/>
    </row>
    <row r="2" spans="1:30" ht="15" customHeight="1" thickBot="1">
      <c r="B2" s="918" t="s">
        <v>94</v>
      </c>
      <c r="C2" s="919"/>
      <c r="D2" s="919"/>
      <c r="E2" s="919"/>
      <c r="F2" s="920"/>
      <c r="G2" s="427" t="s">
        <v>525</v>
      </c>
      <c r="H2" s="427">
        <v>2023</v>
      </c>
      <c r="I2" s="427">
        <f>+H2+1</f>
        <v>2024</v>
      </c>
      <c r="J2" s="427">
        <f t="shared" ref="J2:O2" si="0">+I2+1</f>
        <v>2025</v>
      </c>
      <c r="K2" s="427">
        <f t="shared" si="0"/>
        <v>2026</v>
      </c>
      <c r="L2" s="427">
        <f t="shared" si="0"/>
        <v>2027</v>
      </c>
      <c r="M2" s="427">
        <f t="shared" si="0"/>
        <v>2028</v>
      </c>
      <c r="N2" s="427">
        <f t="shared" si="0"/>
        <v>2029</v>
      </c>
      <c r="O2" s="428">
        <f t="shared" si="0"/>
        <v>2030</v>
      </c>
      <c r="P2" s="428"/>
      <c r="Q2" s="427" t="s">
        <v>525</v>
      </c>
      <c r="R2" s="427">
        <v>2023</v>
      </c>
      <c r="S2" s="427">
        <f t="shared" ref="S2:Y2" si="1">+R2+1</f>
        <v>2024</v>
      </c>
      <c r="T2" s="427">
        <f t="shared" si="1"/>
        <v>2025</v>
      </c>
      <c r="U2" s="427">
        <f t="shared" si="1"/>
        <v>2026</v>
      </c>
      <c r="V2" s="427">
        <f t="shared" si="1"/>
        <v>2027</v>
      </c>
      <c r="W2" s="427">
        <f t="shared" si="1"/>
        <v>2028</v>
      </c>
      <c r="X2" s="427">
        <f t="shared" si="1"/>
        <v>2029</v>
      </c>
      <c r="Y2" s="427">
        <f t="shared" si="1"/>
        <v>2030</v>
      </c>
    </row>
    <row r="3" spans="1:30" ht="15" customHeight="1" thickBot="1">
      <c r="B3" s="927" t="s">
        <v>80</v>
      </c>
      <c r="C3" s="928"/>
      <c r="D3" s="928"/>
      <c r="E3" s="928"/>
      <c r="F3" s="929"/>
      <c r="Q3" s="429"/>
      <c r="Y3" s="430"/>
    </row>
    <row r="4" spans="1:30" s="154" customFormat="1" ht="15" customHeight="1" thickBot="1">
      <c r="B4" s="904" t="s">
        <v>75</v>
      </c>
      <c r="C4" s="905"/>
      <c r="D4" s="905"/>
      <c r="E4" s="905"/>
      <c r="F4" s="906"/>
      <c r="G4" s="612">
        <f>+'Flujo de Caja'!B21</f>
        <v>64100000</v>
      </c>
      <c r="H4" s="613">
        <f>+'Flujo de Caja'!C21</f>
        <v>42904656.239216506</v>
      </c>
      <c r="I4" s="613">
        <f>+'Flujo de Caja'!D21</f>
        <v>22772715.216826677</v>
      </c>
      <c r="J4" s="613">
        <f>+'Flujo de Caja'!E21</f>
        <v>19563431.006000817</v>
      </c>
      <c r="K4" s="613">
        <f>+'Flujo de Caja'!F21</f>
        <v>66084794.867447913</v>
      </c>
      <c r="L4" s="613">
        <f>+'Flujo de Caja'!G21</f>
        <v>5229779.8359647393</v>
      </c>
      <c r="M4" s="613">
        <f>+'Flujo de Caja'!H21</f>
        <v>25018196.343080223</v>
      </c>
      <c r="N4" s="613">
        <f>+'Flujo de Caja'!I21</f>
        <v>36535506.855656803</v>
      </c>
      <c r="O4" s="614">
        <f>+'Flujo de Caja'!J21</f>
        <v>115796261.4172948</v>
      </c>
      <c r="P4" s="655"/>
      <c r="Q4" s="434">
        <f t="shared" ref="Q4:Y7" si="2">G4/G$13</f>
        <v>0.53596133319085626</v>
      </c>
      <c r="R4" s="245">
        <f t="shared" si="2"/>
        <v>0.42978454685641176</v>
      </c>
      <c r="S4" s="245">
        <f t="shared" si="2"/>
        <v>0.29759320058243877</v>
      </c>
      <c r="T4" s="245">
        <f t="shared" si="2"/>
        <v>0.30974411673545388</v>
      </c>
      <c r="U4" s="245">
        <f t="shared" si="2"/>
        <v>0.6203361698392883</v>
      </c>
      <c r="V4" s="245">
        <f t="shared" si="2"/>
        <v>5.0761913226390731E-2</v>
      </c>
      <c r="W4" s="245">
        <f t="shared" si="2"/>
        <v>0.23821728431768038</v>
      </c>
      <c r="X4" s="245">
        <f t="shared" si="2"/>
        <v>0.34353138867483946</v>
      </c>
      <c r="Y4" s="435">
        <f t="shared" si="2"/>
        <v>0.69129686183554018</v>
      </c>
      <c r="AB4" s="615"/>
      <c r="AC4" s="616"/>
      <c r="AD4" s="617"/>
    </row>
    <row r="5" spans="1:30" s="154" customFormat="1" ht="15" customHeight="1">
      <c r="B5" s="885" t="s">
        <v>76</v>
      </c>
      <c r="C5" s="886"/>
      <c r="D5" s="886"/>
      <c r="E5" s="886"/>
      <c r="F5" s="887"/>
      <c r="G5" s="431">
        <v>0</v>
      </c>
      <c r="H5" s="432">
        <v>0</v>
      </c>
      <c r="I5" s="432">
        <v>0</v>
      </c>
      <c r="J5" s="432">
        <v>0</v>
      </c>
      <c r="K5" s="432">
        <v>0</v>
      </c>
      <c r="L5" s="432">
        <v>0</v>
      </c>
      <c r="M5" s="432">
        <v>0</v>
      </c>
      <c r="N5" s="432">
        <v>0</v>
      </c>
      <c r="O5" s="433">
        <v>0</v>
      </c>
      <c r="P5" s="655"/>
      <c r="Q5" s="434">
        <f t="shared" si="2"/>
        <v>0</v>
      </c>
      <c r="R5" s="245">
        <f t="shared" si="2"/>
        <v>0</v>
      </c>
      <c r="S5" s="245">
        <f t="shared" si="2"/>
        <v>0</v>
      </c>
      <c r="T5" s="245">
        <f t="shared" si="2"/>
        <v>0</v>
      </c>
      <c r="U5" s="245">
        <f t="shared" si="2"/>
        <v>0</v>
      </c>
      <c r="V5" s="245">
        <f t="shared" si="2"/>
        <v>0</v>
      </c>
      <c r="W5" s="245">
        <f t="shared" si="2"/>
        <v>0</v>
      </c>
      <c r="X5" s="245">
        <f t="shared" si="2"/>
        <v>0</v>
      </c>
      <c r="Y5" s="435">
        <f t="shared" si="2"/>
        <v>0</v>
      </c>
    </row>
    <row r="6" spans="1:30" s="154" customFormat="1" ht="15" customHeight="1">
      <c r="B6" s="885" t="s">
        <v>77</v>
      </c>
      <c r="C6" s="886"/>
      <c r="D6" s="886"/>
      <c r="E6" s="886"/>
      <c r="F6" s="887"/>
      <c r="G6" s="431">
        <v>0</v>
      </c>
      <c r="H6" s="432">
        <f>+'Ventas-Mp Ins-Invent'!C32</f>
        <v>10513407.030655393</v>
      </c>
      <c r="I6" s="432">
        <f>+'Ventas-Mp Ins-Invent'!D32</f>
        <v>12003573.316754244</v>
      </c>
      <c r="J6" s="432">
        <f>+'Ventas-Mp Ins-Invent'!E32</f>
        <v>12663769.886178324</v>
      </c>
      <c r="K6" s="432">
        <f>+'Ventas-Mp Ins-Invent'!F32</f>
        <v>13360277.229918132</v>
      </c>
      <c r="L6" s="432">
        <f>+'Ventas-Mp Ins-Invent'!G32</f>
        <v>20144626.007270556</v>
      </c>
      <c r="M6" s="432">
        <f>+'Ventas-Mp Ins-Invent'!H32</f>
        <v>21010844.925583187</v>
      </c>
      <c r="N6" s="432">
        <f>+'Ventas-Mp Ins-Invent'!I32</f>
        <v>21830267.877680931</v>
      </c>
      <c r="O6" s="433">
        <f>+'Ventas-Mp Ins-Invent'!J32</f>
        <v>22812629.932176568</v>
      </c>
      <c r="P6" s="655"/>
      <c r="Q6" s="434">
        <f t="shared" si="2"/>
        <v>0</v>
      </c>
      <c r="R6" s="245">
        <f t="shared" si="2"/>
        <v>0.10531490688083311</v>
      </c>
      <c r="S6" s="245">
        <f t="shared" si="2"/>
        <v>0.15686235777099533</v>
      </c>
      <c r="T6" s="245">
        <f t="shared" si="2"/>
        <v>0.20050308234440889</v>
      </c>
      <c r="U6" s="245">
        <f t="shared" si="2"/>
        <v>0.12541255853819577</v>
      </c>
      <c r="V6" s="245">
        <f t="shared" si="2"/>
        <v>0.19553017324495578</v>
      </c>
      <c r="W6" s="245">
        <f t="shared" si="2"/>
        <v>0.20006024218355431</v>
      </c>
      <c r="X6" s="245">
        <f t="shared" si="2"/>
        <v>0.20526284933699609</v>
      </c>
      <c r="Y6" s="435">
        <f t="shared" si="2"/>
        <v>0.1361900573412968</v>
      </c>
    </row>
    <row r="7" spans="1:30" ht="15" customHeight="1" thickBot="1">
      <c r="B7" s="888" t="s">
        <v>78</v>
      </c>
      <c r="C7" s="889"/>
      <c r="D7" s="889"/>
      <c r="E7" s="889"/>
      <c r="F7" s="917"/>
      <c r="G7" s="436">
        <f t="shared" ref="G7:O7" si="3">SUM(G4:G6)</f>
        <v>64100000</v>
      </c>
      <c r="H7" s="437">
        <f t="shared" si="3"/>
        <v>53418063.269871898</v>
      </c>
      <c r="I7" s="437">
        <f t="shared" si="3"/>
        <v>34776288.533580922</v>
      </c>
      <c r="J7" s="437">
        <f t="shared" si="3"/>
        <v>32227200.892179139</v>
      </c>
      <c r="K7" s="437">
        <f t="shared" si="3"/>
        <v>79445072.09736605</v>
      </c>
      <c r="L7" s="437">
        <f t="shared" si="3"/>
        <v>25374405.843235295</v>
      </c>
      <c r="M7" s="437">
        <f t="shared" si="3"/>
        <v>46029041.268663406</v>
      </c>
      <c r="N7" s="437">
        <f t="shared" si="3"/>
        <v>58365774.73333773</v>
      </c>
      <c r="O7" s="438">
        <f t="shared" si="3"/>
        <v>138608891.34947136</v>
      </c>
      <c r="P7" s="656"/>
      <c r="Q7" s="439">
        <f t="shared" si="2"/>
        <v>0.53596133319085626</v>
      </c>
      <c r="R7" s="440">
        <f t="shared" si="2"/>
        <v>0.53509945373724488</v>
      </c>
      <c r="S7" s="440">
        <f t="shared" si="2"/>
        <v>0.4544555583534341</v>
      </c>
      <c r="T7" s="440">
        <f t="shared" si="2"/>
        <v>0.51024719907986271</v>
      </c>
      <c r="U7" s="440">
        <f t="shared" si="2"/>
        <v>0.74574872837748418</v>
      </c>
      <c r="V7" s="440">
        <f t="shared" si="2"/>
        <v>0.24629208647134651</v>
      </c>
      <c r="W7" s="440">
        <f t="shared" si="2"/>
        <v>0.43827752650123464</v>
      </c>
      <c r="X7" s="440">
        <f t="shared" si="2"/>
        <v>0.54879423801183547</v>
      </c>
      <c r="Y7" s="441">
        <f t="shared" si="2"/>
        <v>0.82748691917683692</v>
      </c>
    </row>
    <row r="8" spans="1:30" ht="15" customHeight="1">
      <c r="B8" s="891" t="s">
        <v>81</v>
      </c>
      <c r="C8" s="892"/>
      <c r="D8" s="892"/>
      <c r="E8" s="892"/>
      <c r="F8" s="892"/>
      <c r="G8" s="442"/>
      <c r="H8" s="443"/>
      <c r="I8" s="443"/>
      <c r="J8" s="443"/>
      <c r="K8" s="443"/>
      <c r="L8" s="443"/>
      <c r="M8" s="443"/>
      <c r="N8" s="443"/>
      <c r="O8" s="443"/>
      <c r="P8" s="461"/>
      <c r="Q8" s="429"/>
      <c r="Y8" s="430"/>
    </row>
    <row r="9" spans="1:30" s="154" customFormat="1" ht="15" customHeight="1">
      <c r="B9" s="885" t="s">
        <v>79</v>
      </c>
      <c r="C9" s="886"/>
      <c r="D9" s="886"/>
      <c r="E9" s="886"/>
      <c r="F9" s="887"/>
      <c r="G9" s="431">
        <f>+'Activos Fijos'!W34</f>
        <v>55498180</v>
      </c>
      <c r="H9" s="431">
        <f>+'Activos Fijos'!X34</f>
        <v>58012783</v>
      </c>
      <c r="I9" s="431">
        <f>+'Activos Fijos'!Y34</f>
        <v>66686546.140000001</v>
      </c>
      <c r="J9" s="431">
        <f>+'Activos Fijos'!Z34</f>
        <v>69840801.278125003</v>
      </c>
      <c r="K9" s="431">
        <f>+'Activos Fijos'!AA34</f>
        <v>82491963.626130998</v>
      </c>
      <c r="L9" s="431">
        <f>+'Activos Fijos'!AB34</f>
        <v>166322096.69718689</v>
      </c>
      <c r="M9" s="431">
        <f>+'Activos Fijos'!AC34</f>
        <v>170077288.69577068</v>
      </c>
      <c r="N9" s="431">
        <f>+'Activos Fijos'!AD34</f>
        <v>182166752.86892641</v>
      </c>
      <c r="O9" s="431">
        <f>+'Activos Fijos'!AE34</f>
        <v>186385711.0793353</v>
      </c>
      <c r="P9" s="657"/>
      <c r="Q9" s="434">
        <f t="shared" ref="Q9:Y9" si="4">G9/G$13</f>
        <v>0.46403866680914374</v>
      </c>
      <c r="R9" s="245">
        <f t="shared" si="4"/>
        <v>0.5811256828284439</v>
      </c>
      <c r="S9" s="245">
        <f t="shared" si="4"/>
        <v>0.87145790533257705</v>
      </c>
      <c r="T9" s="245">
        <f t="shared" si="4"/>
        <v>1.105776246372818</v>
      </c>
      <c r="U9" s="245">
        <f t="shared" si="4"/>
        <v>0.77434981618688048</v>
      </c>
      <c r="V9" s="245">
        <f t="shared" si="4"/>
        <v>1.6143753857692782</v>
      </c>
      <c r="W9" s="245">
        <f t="shared" si="4"/>
        <v>1.6194352814896964</v>
      </c>
      <c r="X9" s="245">
        <f t="shared" si="4"/>
        <v>1.7128542332993335</v>
      </c>
      <c r="Y9" s="435">
        <f t="shared" si="4"/>
        <v>1.1127117195589014</v>
      </c>
    </row>
    <row r="10" spans="1:30" s="154" customFormat="1" ht="15" customHeight="1">
      <c r="B10" s="885" t="s">
        <v>582</v>
      </c>
      <c r="C10" s="886"/>
      <c r="D10" s="886"/>
      <c r="E10" s="886"/>
      <c r="F10" s="887"/>
      <c r="G10" s="431">
        <f>-'Activos Fijos'!W49</f>
        <v>0</v>
      </c>
      <c r="H10" s="432">
        <f>-'Activos Fijos'!X49</f>
        <v>-11602556.6</v>
      </c>
      <c r="I10" s="432">
        <f>-'Activos Fijos'!Y49</f>
        <v>-24939865.828000002</v>
      </c>
      <c r="J10" s="432">
        <f>-'Activos Fijos'!Z49</f>
        <v>-38908026.083625004</v>
      </c>
      <c r="K10" s="432">
        <f>-'Activos Fijos'!AA49</f>
        <v>-55406418.808851205</v>
      </c>
      <c r="L10" s="432">
        <f>-'Activos Fijos'!AB49</f>
        <v>-88670838.148288578</v>
      </c>
      <c r="M10" s="432">
        <f>-'Activos Fijos'!AC49</f>
        <v>-111083739.28744271</v>
      </c>
      <c r="N10" s="432">
        <f>-'Activos Fijos'!AD49</f>
        <v>-134179780.633228</v>
      </c>
      <c r="O10" s="432">
        <f>-'Activos Fijos'!AE49</f>
        <v>-157488762.59347007</v>
      </c>
      <c r="P10" s="655"/>
      <c r="Q10" s="434">
        <f t="shared" ref="Q10:Y10" si="5">G10/G$11</f>
        <v>0</v>
      </c>
      <c r="R10" s="245">
        <f t="shared" si="5"/>
        <v>-0.25</v>
      </c>
      <c r="S10" s="245">
        <f t="shared" si="5"/>
        <v>-0.59740955787641603</v>
      </c>
      <c r="T10" s="245">
        <f t="shared" si="5"/>
        <v>-1.2578252626535444</v>
      </c>
      <c r="U10" s="245">
        <f t="shared" si="5"/>
        <v>-2.0456084299808328</v>
      </c>
      <c r="V10" s="245">
        <f t="shared" si="5"/>
        <v>-1.1419111525726406</v>
      </c>
      <c r="W10" s="245">
        <f t="shared" si="5"/>
        <v>-1.8829811123682161</v>
      </c>
      <c r="X10" s="245">
        <f t="shared" si="5"/>
        <v>-2.7961710102103332</v>
      </c>
      <c r="Y10" s="435">
        <f t="shared" si="5"/>
        <v>-5.450013612008366</v>
      </c>
    </row>
    <row r="11" spans="1:30" ht="15" customHeight="1" thickBot="1">
      <c r="B11" s="888" t="s">
        <v>82</v>
      </c>
      <c r="C11" s="889"/>
      <c r="D11" s="889"/>
      <c r="E11" s="889"/>
      <c r="F11" s="917"/>
      <c r="G11" s="436">
        <f t="shared" ref="G11:O11" si="6">SUM(G9:G10)</f>
        <v>55498180</v>
      </c>
      <c r="H11" s="437">
        <f t="shared" si="6"/>
        <v>46410226.399999999</v>
      </c>
      <c r="I11" s="437">
        <f t="shared" si="6"/>
        <v>41746680.311999999</v>
      </c>
      <c r="J11" s="437">
        <f t="shared" si="6"/>
        <v>30932775.194499999</v>
      </c>
      <c r="K11" s="437">
        <f t="shared" si="6"/>
        <v>27085544.817279793</v>
      </c>
      <c r="L11" s="437">
        <f t="shared" si="6"/>
        <v>77651258.548898309</v>
      </c>
      <c r="M11" s="437">
        <f t="shared" si="6"/>
        <v>58993549.408327967</v>
      </c>
      <c r="N11" s="437">
        <f t="shared" si="6"/>
        <v>47986972.235698402</v>
      </c>
      <c r="O11" s="438">
        <f t="shared" si="6"/>
        <v>28896948.485865235</v>
      </c>
      <c r="P11" s="656"/>
      <c r="Q11" s="439">
        <f t="shared" ref="Q11:Y11" si="7">G11/G$13</f>
        <v>0.46403866680914374</v>
      </c>
      <c r="R11" s="440">
        <f t="shared" si="7"/>
        <v>0.46490054626275512</v>
      </c>
      <c r="S11" s="440">
        <f t="shared" si="7"/>
        <v>0.5455444416465659</v>
      </c>
      <c r="T11" s="440">
        <f t="shared" si="7"/>
        <v>0.48975280092013729</v>
      </c>
      <c r="U11" s="440">
        <f t="shared" si="7"/>
        <v>0.25425127162251576</v>
      </c>
      <c r="V11" s="440">
        <f t="shared" si="7"/>
        <v>0.75370791352865341</v>
      </c>
      <c r="W11" s="440">
        <f t="shared" si="7"/>
        <v>0.56172247349876536</v>
      </c>
      <c r="X11" s="440">
        <f t="shared" si="7"/>
        <v>0.45120576198816453</v>
      </c>
      <c r="Y11" s="441">
        <f t="shared" si="7"/>
        <v>0.17251308082316311</v>
      </c>
    </row>
    <row r="12" spans="1:30" ht="15" customHeight="1" thickBot="1"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447"/>
      <c r="R12" s="448"/>
      <c r="S12" s="448"/>
      <c r="T12" s="448"/>
      <c r="U12" s="448"/>
      <c r="V12" s="448"/>
      <c r="W12" s="448"/>
      <c r="X12" s="448"/>
      <c r="Y12" s="449"/>
    </row>
    <row r="13" spans="1:30" ht="15" customHeight="1" thickBot="1">
      <c r="B13" s="918" t="s">
        <v>92</v>
      </c>
      <c r="C13" s="919"/>
      <c r="D13" s="919"/>
      <c r="E13" s="919"/>
      <c r="F13" s="920"/>
      <c r="G13" s="450">
        <f>G7+G11</f>
        <v>119598180</v>
      </c>
      <c r="H13" s="450">
        <f t="shared" ref="H13:O13" si="8">H7+H11</f>
        <v>99828289.669871897</v>
      </c>
      <c r="I13" s="450">
        <f t="shared" si="8"/>
        <v>76522968.845580921</v>
      </c>
      <c r="J13" s="450">
        <f t="shared" si="8"/>
        <v>63159976.086679138</v>
      </c>
      <c r="K13" s="450">
        <f t="shared" si="8"/>
        <v>106530616.91464585</v>
      </c>
      <c r="L13" s="450">
        <f t="shared" si="8"/>
        <v>103025664.39213361</v>
      </c>
      <c r="M13" s="450">
        <f t="shared" si="8"/>
        <v>105022590.67699137</v>
      </c>
      <c r="N13" s="450">
        <f t="shared" si="8"/>
        <v>106352746.96903613</v>
      </c>
      <c r="O13" s="451">
        <f t="shared" si="8"/>
        <v>167505839.8353366</v>
      </c>
      <c r="P13" s="658"/>
      <c r="Q13" s="439">
        <f t="shared" ref="Q13:Y13" si="9">G13/G$13</f>
        <v>1</v>
      </c>
      <c r="R13" s="440">
        <f t="shared" si="9"/>
        <v>1</v>
      </c>
      <c r="S13" s="440">
        <f t="shared" si="9"/>
        <v>1</v>
      </c>
      <c r="T13" s="440">
        <f t="shared" si="9"/>
        <v>1</v>
      </c>
      <c r="U13" s="440">
        <f t="shared" si="9"/>
        <v>1</v>
      </c>
      <c r="V13" s="440">
        <f t="shared" si="9"/>
        <v>1</v>
      </c>
      <c r="W13" s="440">
        <f t="shared" si="9"/>
        <v>1</v>
      </c>
      <c r="X13" s="440">
        <f t="shared" si="9"/>
        <v>1</v>
      </c>
      <c r="Y13" s="441">
        <f t="shared" si="9"/>
        <v>1</v>
      </c>
    </row>
    <row r="14" spans="1:30" ht="15" customHeight="1" thickBot="1">
      <c r="Q14" s="429"/>
      <c r="Y14" s="430"/>
    </row>
    <row r="15" spans="1:30" ht="15" customHeight="1" thickBot="1">
      <c r="B15" s="921" t="s">
        <v>83</v>
      </c>
      <c r="C15" s="922"/>
      <c r="D15" s="922"/>
      <c r="E15" s="922"/>
      <c r="F15" s="923"/>
      <c r="Q15" s="429"/>
      <c r="Y15" s="430"/>
    </row>
    <row r="16" spans="1:30" ht="15" customHeight="1">
      <c r="B16" s="910" t="s">
        <v>84</v>
      </c>
      <c r="C16" s="911"/>
      <c r="D16" s="911"/>
      <c r="E16" s="911"/>
      <c r="F16" s="912"/>
      <c r="G16" s="452">
        <f>+Financiacion!D8</f>
        <v>14351781.599999996</v>
      </c>
      <c r="H16" s="453">
        <f>VLOOKUP(H2,Financiacion!$C$24:$I$32,7,0)</f>
        <v>7646281.6233612057</v>
      </c>
      <c r="I16" s="453">
        <f>VLOOKUP(I2,Financiacion!$C$24:$I$32,7,0)</f>
        <v>-2.0954757928848267E-9</v>
      </c>
      <c r="J16" s="453">
        <f>VLOOKUP(J2,Financiacion!$C$24:$I$32,7,0)</f>
        <v>0</v>
      </c>
      <c r="K16" s="453">
        <f>VLOOKUP(K2,Financiacion!$C$24:$I$32,7,0)</f>
        <v>0</v>
      </c>
      <c r="L16" s="453">
        <f>VLOOKUP(L2,Financiacion!$C$24:$I$32,7,0)</f>
        <v>0</v>
      </c>
      <c r="M16" s="453">
        <f>VLOOKUP(M2,Financiacion!$C$24:$I$32,7,0)</f>
        <v>0</v>
      </c>
      <c r="N16" s="453">
        <f>VLOOKUP(N2,Financiacion!$C$24:$I$32,7,0)</f>
        <v>0</v>
      </c>
      <c r="O16" s="454">
        <f>VLOOKUP(O2,Financiacion!$C$24:$I$32,7,0)</f>
        <v>0</v>
      </c>
      <c r="P16" s="659"/>
      <c r="Q16" s="447">
        <f t="shared" ref="Q16:Y16" si="10">G16/G$24</f>
        <v>0.19999999999999996</v>
      </c>
      <c r="R16" s="448">
        <f t="shared" si="10"/>
        <v>0.13169349660822433</v>
      </c>
      <c r="S16" s="448">
        <f t="shared" si="10"/>
        <v>-5.0719503360733669E-17</v>
      </c>
      <c r="T16" s="448">
        <f t="shared" si="10"/>
        <v>0</v>
      </c>
      <c r="U16" s="448">
        <f t="shared" si="10"/>
        <v>0</v>
      </c>
      <c r="V16" s="448">
        <f t="shared" si="10"/>
        <v>0</v>
      </c>
      <c r="W16" s="448">
        <f t="shared" si="10"/>
        <v>0</v>
      </c>
      <c r="X16" s="448">
        <f t="shared" si="10"/>
        <v>0</v>
      </c>
      <c r="Y16" s="449">
        <f t="shared" si="10"/>
        <v>0</v>
      </c>
    </row>
    <row r="17" spans="2:25" ht="15" customHeight="1">
      <c r="B17" s="455" t="s">
        <v>588</v>
      </c>
      <c r="C17" s="456"/>
      <c r="D17" s="456"/>
      <c r="E17" s="456"/>
      <c r="F17" s="457"/>
      <c r="G17" s="444">
        <v>0</v>
      </c>
      <c r="H17" s="445">
        <f>+H51</f>
        <v>0</v>
      </c>
      <c r="I17" s="445">
        <f t="shared" ref="I17:O17" si="11">+I51</f>
        <v>0</v>
      </c>
      <c r="J17" s="445">
        <f t="shared" si="11"/>
        <v>0</v>
      </c>
      <c r="K17" s="445">
        <f t="shared" si="11"/>
        <v>19847210.435200986</v>
      </c>
      <c r="L17" s="445">
        <f t="shared" si="11"/>
        <v>0</v>
      </c>
      <c r="M17" s="445">
        <f t="shared" si="11"/>
        <v>3083705.8889803714</v>
      </c>
      <c r="N17" s="445">
        <f t="shared" si="11"/>
        <v>4427009.5264068712</v>
      </c>
      <c r="O17" s="446">
        <f t="shared" si="11"/>
        <v>26430779.112827234</v>
      </c>
      <c r="P17" s="659"/>
      <c r="Q17" s="447">
        <f t="shared" ref="Q17:Y17" si="12">G17/G24</f>
        <v>0</v>
      </c>
      <c r="R17" s="448">
        <f t="shared" si="12"/>
        <v>0</v>
      </c>
      <c r="S17" s="448">
        <f t="shared" si="12"/>
        <v>0</v>
      </c>
      <c r="T17" s="448">
        <f t="shared" si="12"/>
        <v>0</v>
      </c>
      <c r="U17" s="448">
        <f t="shared" si="12"/>
        <v>0.53963189978689829</v>
      </c>
      <c r="V17" s="448">
        <f t="shared" si="12"/>
        <v>0</v>
      </c>
      <c r="W17" s="448">
        <f t="shared" si="12"/>
        <v>4.6181425666124321E-2</v>
      </c>
      <c r="X17" s="448">
        <f t="shared" si="12"/>
        <v>7.3928522965607368E-2</v>
      </c>
      <c r="Y17" s="449">
        <f t="shared" si="12"/>
        <v>0.36735102482052834</v>
      </c>
    </row>
    <row r="18" spans="2:25" ht="15" customHeight="1">
      <c r="B18" s="910" t="s">
        <v>85</v>
      </c>
      <c r="C18" s="911"/>
      <c r="D18" s="911"/>
      <c r="E18" s="911"/>
      <c r="F18" s="912"/>
      <c r="G18" s="444">
        <f>+Proveedores!B8</f>
        <v>0</v>
      </c>
      <c r="H18" s="445">
        <f>+Proveedores!C8</f>
        <v>622725.80086355377</v>
      </c>
      <c r="I18" s="445">
        <f>+Proveedores!D8</f>
        <v>710990.71738633141</v>
      </c>
      <c r="J18" s="445">
        <f>+Proveedores!E8</f>
        <v>750095.20903430134</v>
      </c>
      <c r="K18" s="445">
        <f>+Proveedores!F8</f>
        <v>791350.44553118758</v>
      </c>
      <c r="L18" s="445">
        <f>+Proveedores!G8</f>
        <v>1193198.2017719261</v>
      </c>
      <c r="M18" s="445">
        <f>+Proveedores!H8</f>
        <v>1244505.7244481184</v>
      </c>
      <c r="N18" s="445">
        <f>+Proveedores!I8</f>
        <v>1293041.4477015939</v>
      </c>
      <c r="O18" s="446">
        <f>+Proveedores!J8</f>
        <v>1351228.3128481656</v>
      </c>
      <c r="P18" s="659"/>
      <c r="Q18" s="447">
        <f t="shared" ref="Q18:Y19" si="13">G18/G$24</f>
        <v>0</v>
      </c>
      <c r="R18" s="448">
        <f t="shared" si="13"/>
        <v>1.0725335814642431E-2</v>
      </c>
      <c r="S18" s="448">
        <f t="shared" si="13"/>
        <v>1.7209025369022003E-2</v>
      </c>
      <c r="T18" s="448">
        <f t="shared" si="13"/>
        <v>2.4782093561244906E-2</v>
      </c>
      <c r="U18" s="448">
        <f t="shared" si="13"/>
        <v>2.1516270294681273E-2</v>
      </c>
      <c r="V18" s="448">
        <f t="shared" si="13"/>
        <v>1.6923913153273545E-2</v>
      </c>
      <c r="W18" s="448">
        <f t="shared" si="13"/>
        <v>1.8637655688905682E-2</v>
      </c>
      <c r="X18" s="448">
        <f t="shared" si="13"/>
        <v>2.1593051424824039E-2</v>
      </c>
      <c r="Y18" s="449">
        <f t="shared" si="13"/>
        <v>1.878019196378472E-2</v>
      </c>
    </row>
    <row r="19" spans="2:25" ht="15" customHeight="1" thickBot="1">
      <c r="B19" s="888" t="s">
        <v>86</v>
      </c>
      <c r="C19" s="889"/>
      <c r="D19" s="889"/>
      <c r="E19" s="889"/>
      <c r="F19" s="917"/>
      <c r="G19" s="458">
        <f t="shared" ref="G19:O19" si="14">SUM(G16:G18)</f>
        <v>14351781.599999996</v>
      </c>
      <c r="H19" s="459">
        <f t="shared" si="14"/>
        <v>8269007.4242247595</v>
      </c>
      <c r="I19" s="459">
        <f t="shared" si="14"/>
        <v>710990.71738632931</v>
      </c>
      <c r="J19" s="459">
        <f t="shared" si="14"/>
        <v>750095.20903430134</v>
      </c>
      <c r="K19" s="459">
        <f t="shared" si="14"/>
        <v>20638560.880732171</v>
      </c>
      <c r="L19" s="459">
        <f t="shared" si="14"/>
        <v>1193198.2017719261</v>
      </c>
      <c r="M19" s="459">
        <f t="shared" si="14"/>
        <v>4328211.6134284902</v>
      </c>
      <c r="N19" s="459">
        <f t="shared" si="14"/>
        <v>5720050.974108465</v>
      </c>
      <c r="O19" s="460">
        <f t="shared" si="14"/>
        <v>27782007.4256754</v>
      </c>
      <c r="P19" s="660"/>
      <c r="Q19" s="439">
        <f t="shared" si="13"/>
        <v>0.19999999999999996</v>
      </c>
      <c r="R19" s="440">
        <f t="shared" si="13"/>
        <v>0.14241883242286676</v>
      </c>
      <c r="S19" s="440">
        <f t="shared" si="13"/>
        <v>1.7209025369021951E-2</v>
      </c>
      <c r="T19" s="440">
        <f t="shared" si="13"/>
        <v>2.4782093561244906E-2</v>
      </c>
      <c r="U19" s="440">
        <f t="shared" si="13"/>
        <v>0.56114817008157947</v>
      </c>
      <c r="V19" s="440">
        <f t="shared" si="13"/>
        <v>1.6923913153273545E-2</v>
      </c>
      <c r="W19" s="440">
        <f t="shared" si="13"/>
        <v>6.4819081355030006E-2</v>
      </c>
      <c r="X19" s="440">
        <f t="shared" si="13"/>
        <v>9.5521574390431407E-2</v>
      </c>
      <c r="Y19" s="441">
        <f t="shared" si="13"/>
        <v>0.38613121678431306</v>
      </c>
    </row>
    <row r="20" spans="2:25" ht="15" customHeight="1" thickBot="1">
      <c r="B20" s="921" t="s">
        <v>87</v>
      </c>
      <c r="C20" s="922"/>
      <c r="D20" s="922"/>
      <c r="E20" s="922"/>
      <c r="F20" s="923"/>
      <c r="G20" s="461"/>
      <c r="H20" s="461"/>
      <c r="I20" s="461"/>
      <c r="J20" s="461"/>
      <c r="K20" s="461"/>
      <c r="L20" s="461"/>
      <c r="M20" s="461"/>
      <c r="N20" s="461"/>
      <c r="O20" s="462"/>
      <c r="P20" s="461"/>
      <c r="Q20" s="429"/>
      <c r="Y20" s="430"/>
    </row>
    <row r="21" spans="2:25" ht="15" customHeight="1">
      <c r="B21" s="930" t="s">
        <v>84</v>
      </c>
      <c r="C21" s="931"/>
      <c r="D21" s="931"/>
      <c r="E21" s="931"/>
      <c r="F21" s="931"/>
      <c r="G21" s="453">
        <f>+Financiacion!D7</f>
        <v>57407126.400000006</v>
      </c>
      <c r="H21" s="453">
        <f>VLOOKUP(H2,Financiacion!$C$24:$O$32,13,0)</f>
        <v>49792186.334706016</v>
      </c>
      <c r="I21" s="453">
        <f>VLOOKUP(I2,Financiacion!$C$24:$O$32,13,0)</f>
        <v>40603999.651922271</v>
      </c>
      <c r="J21" s="453">
        <f>VLOOKUP(J2,Financiacion!$C$24:$O$32,13,0)</f>
        <v>29517533.600475404</v>
      </c>
      <c r="K21" s="453">
        <f>VLOOKUP(K2,Financiacion!$C$24:$O$32,13,0)</f>
        <v>16140603.66279961</v>
      </c>
      <c r="L21" s="453">
        <f>VLOOKUP(L2,Financiacion!$C$24:$O$32,13,0)</f>
        <v>69310484.425619066</v>
      </c>
      <c r="M21" s="453">
        <f>VLOOKUP(M2,Financiacion!$C$24:$O$32,13,0)</f>
        <v>62445514.933571048</v>
      </c>
      <c r="N21" s="453">
        <f>VLOOKUP(N2,Financiacion!$C$24:$O$32,13,0)</f>
        <v>54162242.744465902</v>
      </c>
      <c r="O21" s="454">
        <f>VLOOKUP(O2,Financiacion!$C$24:$O$32,13,0)</f>
        <v>44167646.521091618</v>
      </c>
      <c r="P21" s="659"/>
      <c r="Q21" s="447">
        <f t="shared" ref="Q21:Y22" si="15">G21/G$24</f>
        <v>0.8</v>
      </c>
      <c r="R21" s="448">
        <f t="shared" si="15"/>
        <v>0.85758116757713332</v>
      </c>
      <c r="S21" s="448">
        <f t="shared" si="15"/>
        <v>0.98279097463097809</v>
      </c>
      <c r="T21" s="448">
        <f t="shared" si="15"/>
        <v>0.97521790643875506</v>
      </c>
      <c r="U21" s="448">
        <f t="shared" si="15"/>
        <v>0.43885182991842042</v>
      </c>
      <c r="V21" s="448">
        <f t="shared" si="15"/>
        <v>0.98307608684672643</v>
      </c>
      <c r="W21" s="448">
        <f t="shared" si="15"/>
        <v>0.93518091864496999</v>
      </c>
      <c r="X21" s="448">
        <f t="shared" si="15"/>
        <v>0.90447842560956859</v>
      </c>
      <c r="Y21" s="449">
        <f t="shared" si="15"/>
        <v>0.61386878321568694</v>
      </c>
    </row>
    <row r="22" spans="2:25" ht="15" customHeight="1" thickBot="1">
      <c r="B22" s="888" t="s">
        <v>88</v>
      </c>
      <c r="C22" s="889"/>
      <c r="D22" s="889"/>
      <c r="E22" s="889"/>
      <c r="F22" s="889"/>
      <c r="G22" s="437">
        <f t="shared" ref="G22:O22" si="16">G21</f>
        <v>57407126.400000006</v>
      </c>
      <c r="H22" s="437">
        <f t="shared" si="16"/>
        <v>49792186.334706016</v>
      </c>
      <c r="I22" s="437">
        <f t="shared" si="16"/>
        <v>40603999.651922271</v>
      </c>
      <c r="J22" s="437">
        <f t="shared" si="16"/>
        <v>29517533.600475404</v>
      </c>
      <c r="K22" s="437">
        <f t="shared" si="16"/>
        <v>16140603.66279961</v>
      </c>
      <c r="L22" s="437">
        <f t="shared" si="16"/>
        <v>69310484.425619066</v>
      </c>
      <c r="M22" s="437">
        <f t="shared" si="16"/>
        <v>62445514.933571048</v>
      </c>
      <c r="N22" s="437">
        <f t="shared" si="16"/>
        <v>54162242.744465902</v>
      </c>
      <c r="O22" s="438">
        <f t="shared" si="16"/>
        <v>44167646.521091618</v>
      </c>
      <c r="P22" s="656"/>
      <c r="Q22" s="447">
        <f t="shared" si="15"/>
        <v>0.8</v>
      </c>
      <c r="R22" s="448">
        <f t="shared" si="15"/>
        <v>0.85758116757713332</v>
      </c>
      <c r="S22" s="448">
        <f t="shared" si="15"/>
        <v>0.98279097463097809</v>
      </c>
      <c r="T22" s="448">
        <f t="shared" si="15"/>
        <v>0.97521790643875506</v>
      </c>
      <c r="U22" s="448">
        <f t="shared" si="15"/>
        <v>0.43885182991842042</v>
      </c>
      <c r="V22" s="448">
        <f t="shared" si="15"/>
        <v>0.98307608684672643</v>
      </c>
      <c r="W22" s="448">
        <f t="shared" si="15"/>
        <v>0.93518091864496999</v>
      </c>
      <c r="X22" s="448">
        <f t="shared" si="15"/>
        <v>0.90447842560956859</v>
      </c>
      <c r="Y22" s="449">
        <f t="shared" si="15"/>
        <v>0.61386878321568694</v>
      </c>
    </row>
    <row r="23" spans="2:25" ht="15" customHeight="1" thickBot="1">
      <c r="B23" s="463"/>
      <c r="C23" s="463"/>
      <c r="D23" s="463"/>
      <c r="E23" s="463"/>
      <c r="F23" s="463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447"/>
      <c r="R23" s="448"/>
      <c r="S23" s="448"/>
      <c r="T23" s="448"/>
      <c r="U23" s="448"/>
      <c r="V23" s="448"/>
      <c r="W23" s="448"/>
      <c r="X23" s="448"/>
      <c r="Y23" s="449"/>
    </row>
    <row r="24" spans="2:25" ht="15" customHeight="1" thickBot="1">
      <c r="B24" s="882" t="s">
        <v>115</v>
      </c>
      <c r="C24" s="883"/>
      <c r="D24" s="883"/>
      <c r="E24" s="883"/>
      <c r="F24" s="884"/>
      <c r="G24" s="450">
        <f t="shared" ref="G24:O24" si="17">G19+G22</f>
        <v>71758908</v>
      </c>
      <c r="H24" s="450">
        <f t="shared" si="17"/>
        <v>58061193.758930773</v>
      </c>
      <c r="I24" s="450">
        <f t="shared" si="17"/>
        <v>41314990.369308598</v>
      </c>
      <c r="J24" s="450">
        <f t="shared" si="17"/>
        <v>30267628.809509706</v>
      </c>
      <c r="K24" s="450">
        <f t="shared" si="17"/>
        <v>36779164.543531783</v>
      </c>
      <c r="L24" s="450">
        <f t="shared" si="17"/>
        <v>70503682.627390996</v>
      </c>
      <c r="M24" s="450">
        <f t="shared" si="17"/>
        <v>66773726.546999536</v>
      </c>
      <c r="N24" s="450">
        <f t="shared" si="17"/>
        <v>59882293.718574367</v>
      </c>
      <c r="O24" s="451">
        <f t="shared" si="17"/>
        <v>71949653.946767017</v>
      </c>
      <c r="P24" s="658"/>
      <c r="Q24" s="439">
        <f t="shared" ref="Q24:Y24" si="18">G24/G$24</f>
        <v>1</v>
      </c>
      <c r="R24" s="440">
        <f t="shared" si="18"/>
        <v>1</v>
      </c>
      <c r="S24" s="440">
        <f t="shared" si="18"/>
        <v>1</v>
      </c>
      <c r="T24" s="440">
        <f t="shared" si="18"/>
        <v>1</v>
      </c>
      <c r="U24" s="440">
        <f t="shared" si="18"/>
        <v>1</v>
      </c>
      <c r="V24" s="440">
        <f t="shared" si="18"/>
        <v>1</v>
      </c>
      <c r="W24" s="440">
        <f t="shared" si="18"/>
        <v>1</v>
      </c>
      <c r="X24" s="440">
        <f t="shared" si="18"/>
        <v>1</v>
      </c>
      <c r="Y24" s="441">
        <f t="shared" si="18"/>
        <v>1</v>
      </c>
    </row>
    <row r="25" spans="2:25" ht="15" customHeight="1" thickBot="1">
      <c r="B25" s="463"/>
      <c r="C25" s="463"/>
      <c r="D25" s="463"/>
      <c r="E25" s="463"/>
      <c r="F25" s="463"/>
      <c r="Q25" s="447"/>
      <c r="R25" s="448"/>
      <c r="S25" s="448"/>
      <c r="T25" s="448"/>
      <c r="U25" s="448"/>
      <c r="V25" s="448"/>
      <c r="W25" s="448"/>
      <c r="X25" s="448"/>
      <c r="Y25" s="449"/>
    </row>
    <row r="26" spans="2:25" ht="15" customHeight="1" thickBot="1">
      <c r="B26" s="921" t="s">
        <v>89</v>
      </c>
      <c r="C26" s="922"/>
      <c r="D26" s="922"/>
      <c r="E26" s="922"/>
      <c r="F26" s="923"/>
      <c r="Q26" s="447"/>
      <c r="R26" s="448"/>
      <c r="S26" s="448"/>
      <c r="T26" s="448"/>
      <c r="U26" s="448"/>
      <c r="V26" s="448"/>
      <c r="W26" s="448"/>
      <c r="X26" s="448"/>
      <c r="Y26" s="449"/>
    </row>
    <row r="27" spans="2:25" ht="15" customHeight="1">
      <c r="B27" s="910" t="s">
        <v>590</v>
      </c>
      <c r="C27" s="911"/>
      <c r="D27" s="911"/>
      <c r="E27" s="911"/>
      <c r="F27" s="912"/>
      <c r="G27" s="452">
        <f>+Inversion!F71-Financiacion!D9</f>
        <v>47839272</v>
      </c>
      <c r="H27" s="453">
        <f>Financiacion!$D$16</f>
        <v>47839272</v>
      </c>
      <c r="I27" s="453">
        <f>Financiacion!$D$16</f>
        <v>47839272</v>
      </c>
      <c r="J27" s="453">
        <f>Financiacion!$D$16</f>
        <v>47839272</v>
      </c>
      <c r="K27" s="453">
        <f>Financiacion!$D$16</f>
        <v>47839272</v>
      </c>
      <c r="L27" s="453">
        <f>Financiacion!$D$16</f>
        <v>47839272</v>
      </c>
      <c r="M27" s="453">
        <f>Financiacion!$D$16</f>
        <v>47839272</v>
      </c>
      <c r="N27" s="453">
        <f>Financiacion!$D$16</f>
        <v>47839272</v>
      </c>
      <c r="O27" s="454">
        <f>Financiacion!$D$16</f>
        <v>47839272</v>
      </c>
      <c r="P27" s="659"/>
      <c r="Q27" s="447">
        <f t="shared" ref="Q27:Y30" si="19">G27/G$30</f>
        <v>1</v>
      </c>
      <c r="R27" s="448">
        <f t="shared" si="19"/>
        <v>1.1453818120849573</v>
      </c>
      <c r="S27" s="448">
        <f t="shared" si="19"/>
        <v>1.3587622485125157</v>
      </c>
      <c r="T27" s="448">
        <f t="shared" si="19"/>
        <v>1.4544195218687004</v>
      </c>
      <c r="U27" s="448">
        <f t="shared" si="19"/>
        <v>0.68585341772483999</v>
      </c>
      <c r="V27" s="448">
        <f t="shared" si="19"/>
        <v>1.4709826832220609</v>
      </c>
      <c r="W27" s="448">
        <f t="shared" si="19"/>
        <v>1.2507370633913302</v>
      </c>
      <c r="X27" s="448">
        <f t="shared" si="19"/>
        <v>1.0294556789054912</v>
      </c>
      <c r="Y27" s="449">
        <f t="shared" si="19"/>
        <v>0.50064024170854415</v>
      </c>
    </row>
    <row r="28" spans="2:25" s="154" customFormat="1" ht="15" customHeight="1">
      <c r="B28" s="885" t="s">
        <v>90</v>
      </c>
      <c r="C28" s="886"/>
      <c r="D28" s="886"/>
      <c r="E28" s="886"/>
      <c r="F28" s="887"/>
      <c r="G28" s="431">
        <v>0</v>
      </c>
      <c r="H28" s="432">
        <f t="shared" ref="H28:O28" si="20">H52</f>
        <v>-6072176.0890588406</v>
      </c>
      <c r="I28" s="432">
        <f t="shared" si="20"/>
        <v>-6559117.4346688651</v>
      </c>
      <c r="J28" s="432">
        <f t="shared" si="20"/>
        <v>-2315631.1991028702</v>
      </c>
      <c r="K28" s="432">
        <f t="shared" si="20"/>
        <v>36859105.093944684</v>
      </c>
      <c r="L28" s="432">
        <f t="shared" si="20"/>
        <v>-37229470.606371514</v>
      </c>
      <c r="M28" s="432">
        <f t="shared" si="20"/>
        <v>5726882.3652492613</v>
      </c>
      <c r="N28" s="432">
        <f t="shared" si="20"/>
        <v>8221589.1204699036</v>
      </c>
      <c r="O28" s="432">
        <f t="shared" si="20"/>
        <v>49085732.638107724</v>
      </c>
      <c r="P28" s="655"/>
      <c r="Q28" s="434">
        <f t="shared" si="19"/>
        <v>0</v>
      </c>
      <c r="R28" s="245">
        <f t="shared" si="19"/>
        <v>-0.1453818120849574</v>
      </c>
      <c r="S28" s="245">
        <f t="shared" si="19"/>
        <v>-0.18629633732278184</v>
      </c>
      <c r="T28" s="245">
        <f t="shared" si="19"/>
        <v>-7.0400302525996675E-2</v>
      </c>
      <c r="U28" s="245">
        <f t="shared" si="19"/>
        <v>0.5284349478177891</v>
      </c>
      <c r="V28" s="245">
        <f t="shared" si="19"/>
        <v>-1.1447479085278978</v>
      </c>
      <c r="W28" s="245">
        <f t="shared" si="19"/>
        <v>0.14972686105882749</v>
      </c>
      <c r="X28" s="245">
        <f t="shared" si="19"/>
        <v>0.17692078612097911</v>
      </c>
      <c r="Y28" s="435">
        <f t="shared" si="19"/>
        <v>0.51368451117699343</v>
      </c>
    </row>
    <row r="29" spans="2:25" s="154" customFormat="1" ht="15" customHeight="1">
      <c r="B29" s="885" t="s">
        <v>589</v>
      </c>
      <c r="C29" s="886"/>
      <c r="D29" s="886"/>
      <c r="E29" s="886"/>
      <c r="F29" s="887"/>
      <c r="G29" s="431">
        <v>0</v>
      </c>
      <c r="H29" s="432">
        <v>0</v>
      </c>
      <c r="I29" s="432">
        <f>+H28</f>
        <v>-6072176.0890588406</v>
      </c>
      <c r="J29" s="432">
        <f t="shared" ref="J29:O29" si="21">+I28+I29</f>
        <v>-12631293.523727706</v>
      </c>
      <c r="K29" s="432">
        <f t="shared" si="21"/>
        <v>-14946924.722830575</v>
      </c>
      <c r="L29" s="432">
        <f t="shared" si="21"/>
        <v>21912180.371114109</v>
      </c>
      <c r="M29" s="432">
        <f t="shared" si="21"/>
        <v>-15317290.235257406</v>
      </c>
      <c r="N29" s="432">
        <f t="shared" si="21"/>
        <v>-9590407.8700081445</v>
      </c>
      <c r="O29" s="432">
        <f t="shared" si="21"/>
        <v>-1368818.749538241</v>
      </c>
      <c r="P29" s="655"/>
      <c r="Q29" s="434">
        <f t="shared" si="19"/>
        <v>0</v>
      </c>
      <c r="R29" s="245">
        <f t="shared" si="19"/>
        <v>0</v>
      </c>
      <c r="S29" s="245">
        <f t="shared" si="19"/>
        <v>-0.17246591118973392</v>
      </c>
      <c r="T29" s="245">
        <f t="shared" si="19"/>
        <v>-0.38401921934270367</v>
      </c>
      <c r="U29" s="245">
        <f t="shared" si="19"/>
        <v>-0.21428836554262898</v>
      </c>
      <c r="V29" s="245">
        <f t="shared" si="19"/>
        <v>0.67376522530583671</v>
      </c>
      <c r="W29" s="245">
        <f t="shared" si="19"/>
        <v>-0.40046392445015766</v>
      </c>
      <c r="X29" s="245">
        <f t="shared" si="19"/>
        <v>-0.20637646502647031</v>
      </c>
      <c r="Y29" s="435">
        <f t="shared" si="19"/>
        <v>-1.4324752885537475E-2</v>
      </c>
    </row>
    <row r="30" spans="2:25" ht="15" customHeight="1" thickBot="1">
      <c r="B30" s="913" t="s">
        <v>93</v>
      </c>
      <c r="C30" s="914"/>
      <c r="D30" s="914"/>
      <c r="E30" s="914"/>
      <c r="F30" s="915"/>
      <c r="G30" s="436">
        <f>SUM(G27:G29)</f>
        <v>47839272</v>
      </c>
      <c r="H30" s="437">
        <f t="shared" ref="H30:O30" si="22">SUM(H27:H29)</f>
        <v>41767095.910941161</v>
      </c>
      <c r="I30" s="437">
        <f t="shared" si="22"/>
        <v>35207978.476272292</v>
      </c>
      <c r="J30" s="437">
        <f t="shared" si="22"/>
        <v>32892347.277169421</v>
      </c>
      <c r="K30" s="437">
        <f t="shared" si="22"/>
        <v>69751452.371114105</v>
      </c>
      <c r="L30" s="437">
        <f t="shared" si="22"/>
        <v>32521981.764742594</v>
      </c>
      <c r="M30" s="437">
        <f t="shared" si="22"/>
        <v>38248864.129991859</v>
      </c>
      <c r="N30" s="437">
        <f t="shared" si="22"/>
        <v>46470453.250461757</v>
      </c>
      <c r="O30" s="438">
        <f t="shared" si="22"/>
        <v>95556185.888569474</v>
      </c>
      <c r="P30" s="656"/>
      <c r="Q30" s="439">
        <f t="shared" si="19"/>
        <v>1</v>
      </c>
      <c r="R30" s="440">
        <f t="shared" si="19"/>
        <v>1</v>
      </c>
      <c r="S30" s="440">
        <f t="shared" si="19"/>
        <v>1</v>
      </c>
      <c r="T30" s="440">
        <f t="shared" si="19"/>
        <v>1</v>
      </c>
      <c r="U30" s="440">
        <f t="shared" si="19"/>
        <v>1</v>
      </c>
      <c r="V30" s="440">
        <f t="shared" si="19"/>
        <v>1</v>
      </c>
      <c r="W30" s="440">
        <f t="shared" si="19"/>
        <v>1</v>
      </c>
      <c r="X30" s="440">
        <f t="shared" si="19"/>
        <v>1</v>
      </c>
      <c r="Y30" s="441">
        <f t="shared" si="19"/>
        <v>1</v>
      </c>
    </row>
    <row r="31" spans="2:25" ht="15" customHeight="1" thickBot="1"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447"/>
      <c r="R31" s="448"/>
      <c r="S31" s="448"/>
      <c r="T31" s="448"/>
      <c r="U31" s="448"/>
      <c r="V31" s="448"/>
      <c r="W31" s="448"/>
      <c r="X31" s="448"/>
      <c r="Y31" s="449"/>
    </row>
    <row r="32" spans="2:25" ht="15" customHeight="1" thickBot="1">
      <c r="B32" s="882" t="s">
        <v>91</v>
      </c>
      <c r="C32" s="883"/>
      <c r="D32" s="883"/>
      <c r="E32" s="883"/>
      <c r="F32" s="916"/>
      <c r="G32" s="464">
        <f t="shared" ref="G32:O32" si="23">G24+G30</f>
        <v>119598180</v>
      </c>
      <c r="H32" s="464">
        <f t="shared" si="23"/>
        <v>99828289.669871926</v>
      </c>
      <c r="I32" s="464">
        <f t="shared" si="23"/>
        <v>76522968.845580891</v>
      </c>
      <c r="J32" s="464">
        <f t="shared" si="23"/>
        <v>63159976.086679131</v>
      </c>
      <c r="K32" s="464">
        <f t="shared" si="23"/>
        <v>106530616.91464588</v>
      </c>
      <c r="L32" s="464">
        <f t="shared" si="23"/>
        <v>103025664.39213359</v>
      </c>
      <c r="M32" s="464">
        <f t="shared" si="23"/>
        <v>105022590.6769914</v>
      </c>
      <c r="N32" s="464">
        <f t="shared" si="23"/>
        <v>106352746.96903613</v>
      </c>
      <c r="O32" s="451">
        <f t="shared" si="23"/>
        <v>167505839.83533651</v>
      </c>
      <c r="P32" s="661"/>
      <c r="Q32" s="465"/>
      <c r="R32" s="466"/>
      <c r="S32" s="466"/>
      <c r="T32" s="466"/>
      <c r="U32" s="466"/>
      <c r="V32" s="466"/>
      <c r="W32" s="466"/>
      <c r="X32" s="466"/>
      <c r="Y32" s="467"/>
    </row>
    <row r="33" spans="1:52" s="468" customFormat="1" ht="15" customHeight="1">
      <c r="B33" s="469" t="s">
        <v>117</v>
      </c>
      <c r="G33" s="470">
        <f>G13-G32</f>
        <v>0</v>
      </c>
      <c r="H33" s="470">
        <f>H13-H32</f>
        <v>0</v>
      </c>
      <c r="I33" s="470">
        <f t="shared" ref="I33:O33" si="24">I13-I32</f>
        <v>0</v>
      </c>
      <c r="J33" s="470">
        <f t="shared" si="24"/>
        <v>0</v>
      </c>
      <c r="K33" s="470">
        <f t="shared" si="24"/>
        <v>0</v>
      </c>
      <c r="L33" s="470">
        <f t="shared" si="24"/>
        <v>0</v>
      </c>
      <c r="M33" s="470">
        <f t="shared" si="24"/>
        <v>0</v>
      </c>
      <c r="N33" s="470">
        <f t="shared" si="24"/>
        <v>0</v>
      </c>
      <c r="O33" s="470">
        <f t="shared" si="24"/>
        <v>0</v>
      </c>
      <c r="P33" s="470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</row>
    <row r="34" spans="1:52" ht="15" customHeight="1" thickBot="1"/>
    <row r="35" spans="1:52" ht="15" customHeight="1" thickBot="1">
      <c r="A35" s="154"/>
      <c r="B35" s="423" t="s">
        <v>108</v>
      </c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5"/>
      <c r="P35" s="607"/>
      <c r="Q35" s="423" t="s">
        <v>627</v>
      </c>
      <c r="R35" s="424"/>
      <c r="S35" s="424"/>
      <c r="T35" s="424"/>
      <c r="U35" s="424"/>
      <c r="V35" s="424"/>
      <c r="W35" s="424"/>
      <c r="X35" s="424"/>
      <c r="Y35" s="425"/>
    </row>
    <row r="36" spans="1:52" ht="15" customHeight="1" thickBot="1">
      <c r="B36" s="882" t="s">
        <v>95</v>
      </c>
      <c r="C36" s="883"/>
      <c r="D36" s="883"/>
      <c r="E36" s="883"/>
      <c r="F36" s="916"/>
      <c r="G36" s="427" t="str">
        <f>G2</f>
        <v>INICIAL</v>
      </c>
      <c r="H36" s="427">
        <f>+H2</f>
        <v>2023</v>
      </c>
      <c r="I36" s="427">
        <f t="shared" ref="I36:O36" si="25">+I2</f>
        <v>2024</v>
      </c>
      <c r="J36" s="427">
        <f t="shared" si="25"/>
        <v>2025</v>
      </c>
      <c r="K36" s="427">
        <f t="shared" si="25"/>
        <v>2026</v>
      </c>
      <c r="L36" s="427">
        <f t="shared" si="25"/>
        <v>2027</v>
      </c>
      <c r="M36" s="427">
        <f t="shared" si="25"/>
        <v>2028</v>
      </c>
      <c r="N36" s="427">
        <f t="shared" si="25"/>
        <v>2029</v>
      </c>
      <c r="O36" s="427">
        <f t="shared" si="25"/>
        <v>2030</v>
      </c>
      <c r="P36" s="427"/>
      <c r="Q36" s="427" t="s">
        <v>525</v>
      </c>
      <c r="R36" s="427">
        <v>2023</v>
      </c>
      <c r="S36" s="427">
        <f t="shared" ref="S36:Y36" si="26">+R36+1</f>
        <v>2024</v>
      </c>
      <c r="T36" s="427">
        <f t="shared" si="26"/>
        <v>2025</v>
      </c>
      <c r="U36" s="427">
        <f t="shared" si="26"/>
        <v>2026</v>
      </c>
      <c r="V36" s="427">
        <f t="shared" si="26"/>
        <v>2027</v>
      </c>
      <c r="W36" s="427">
        <f t="shared" si="26"/>
        <v>2028</v>
      </c>
      <c r="X36" s="427">
        <f t="shared" si="26"/>
        <v>2029</v>
      </c>
      <c r="Y36" s="427">
        <f t="shared" si="26"/>
        <v>2030</v>
      </c>
    </row>
    <row r="37" spans="1:52" ht="15" customHeight="1" thickBot="1">
      <c r="B37" s="897" t="s">
        <v>96</v>
      </c>
      <c r="C37" s="898"/>
      <c r="D37" s="898"/>
      <c r="E37" s="898"/>
      <c r="F37" s="899"/>
      <c r="G37" s="472"/>
      <c r="H37" s="473"/>
      <c r="I37" s="473"/>
      <c r="J37" s="473"/>
      <c r="K37" s="731"/>
      <c r="L37" s="739">
        <v>1.4</v>
      </c>
      <c r="M37" s="473"/>
      <c r="N37" s="473"/>
      <c r="O37" s="474"/>
      <c r="Q37" s="429"/>
      <c r="Y37" s="430"/>
      <c r="Z37" s="279" t="s">
        <v>628</v>
      </c>
      <c r="AA37" s="280" t="s">
        <v>18</v>
      </c>
      <c r="AB37" s="475" t="s">
        <v>629</v>
      </c>
      <c r="AD37" s="925" t="s">
        <v>643</v>
      </c>
      <c r="AE37" s="926"/>
    </row>
    <row r="38" spans="1:52" ht="15" customHeight="1">
      <c r="B38" s="900" t="s">
        <v>97</v>
      </c>
      <c r="C38" s="901"/>
      <c r="D38" s="901"/>
      <c r="E38" s="901"/>
      <c r="F38" s="902"/>
      <c r="G38" s="444"/>
      <c r="H38" s="445">
        <f>+'Ventas-Mp Ins-Invent'!N16</f>
        <v>277350000</v>
      </c>
      <c r="I38" s="445">
        <f>IF($A$1="NORMAL",H38*(Datos!B54+1),IF($A$1="PESIMISTA",H38*(Datos!B60+1),IF($A$1="OPTIMISTA",H38*(Datos!B66+1))))</f>
        <v>301953718.5</v>
      </c>
      <c r="J38" s="445">
        <f>IF($A$1="NORMAL",I38*(Datos!C54+1),IF($A$1="PESIMISTA",I38*(Datos!C60+1),IF($A$1="OPTIMISTA",I38*(Datos!C66+1))))</f>
        <v>360079809.31125003</v>
      </c>
      <c r="K38" s="432">
        <f>IF($A$1="NORMAL",J38*(Datos!D54+1),IF($A$1="PESIMISTA",J38*(Datos!D60+1),IF($A$1="OPTIMISTA",J38*(Datos!D66+1))))</f>
        <v>437622996.24642777</v>
      </c>
      <c r="L38" s="445">
        <f>(IF($A$1="NORMAL",K38*(Datos!E54+1),IF($A$1="PESIMISTA",K38*(Datos!E60+1),IF($A$1="OPTIMISTA",K38*(Datos!E66+1))))*L37)</f>
        <v>744519251.05412257</v>
      </c>
      <c r="M38" s="445">
        <f>IF($A$1="NORMAL",L38*(Datos!F54+1),IF($A$1="PESIMISTA",L38*(Datos!F60+1),IF($A$1="OPTIMISTA",L38*(Datos!F66+1))))</f>
        <v>828649926.42323852</v>
      </c>
      <c r="N38" s="445">
        <f>IF($A$1="NORMAL",M38*(Datos!G54+1),IF($A$1="PESIMISTA",M38*(Datos!G60+1),IF($A$1="OPTIMISTA",M38*(Datos!G66+1))))</f>
        <v>926554915.23014414</v>
      </c>
      <c r="O38" s="445">
        <f>IF($A$1="NORMAL",N38*(Datos!H54+1),IF($A$1="PESIMISTA",N38*(Datos!H60+1),IF($A$1="OPTIMISTA",N38*(Datos!H66+1))))</f>
        <v>1050713273.8709836</v>
      </c>
      <c r="P38" s="663"/>
      <c r="Q38" s="429"/>
      <c r="R38" s="477">
        <f t="shared" ref="R38:R46" si="27">H38/H$38</f>
        <v>1</v>
      </c>
      <c r="S38" s="477">
        <f t="shared" ref="S38:S46" si="28">I38/I$38</f>
        <v>1</v>
      </c>
      <c r="T38" s="477">
        <f t="shared" ref="T38:T46" si="29">J38/J$38</f>
        <v>1</v>
      </c>
      <c r="U38" s="477">
        <f t="shared" ref="U38:U46" si="30">K38/K$38</f>
        <v>1</v>
      </c>
      <c r="V38" s="477">
        <f t="shared" ref="V38:V46" si="31">L38/L$38</f>
        <v>1</v>
      </c>
      <c r="W38" s="477">
        <f t="shared" ref="W38:W46" si="32">M38/M$38</f>
        <v>1</v>
      </c>
      <c r="X38" s="477">
        <f t="shared" ref="X38:X46" si="33">N38/N$38</f>
        <v>1</v>
      </c>
      <c r="Y38" s="478">
        <f t="shared" ref="Y38:Y46" si="34">O38/O$38</f>
        <v>1</v>
      </c>
      <c r="Z38" s="479">
        <f>AVERAGE(R38:Y38)</f>
        <v>1</v>
      </c>
      <c r="AA38" s="480" t="s">
        <v>542</v>
      </c>
      <c r="AB38" s="481">
        <f>Y38</f>
        <v>1</v>
      </c>
      <c r="AD38" s="480" t="s">
        <v>542</v>
      </c>
      <c r="AE38" s="482">
        <f>AB38</f>
        <v>1</v>
      </c>
      <c r="AG38" s="426"/>
      <c r="AH38" s="483"/>
      <c r="AI38" s="483"/>
      <c r="AJ38" s="426"/>
      <c r="AK38" s="426"/>
    </row>
    <row r="39" spans="1:52" ht="15" customHeight="1" thickBot="1">
      <c r="A39" s="484" t="s">
        <v>578</v>
      </c>
      <c r="B39" s="900" t="s">
        <v>552</v>
      </c>
      <c r="C39" s="901"/>
      <c r="D39" s="901"/>
      <c r="E39" s="901"/>
      <c r="F39" s="902"/>
      <c r="G39" s="444"/>
      <c r="H39" s="445">
        <f>+'Ventas-Mp Ins-Invent'!N21+'Ventas-Mp Ins-Invent'!N26</f>
        <v>49818064.069084287</v>
      </c>
      <c r="I39" s="445">
        <f>+H39*(1+Mp!G3)+IF($A$1="NORMAL",'Ventas-Mp Ins-Invent'!N26*(1+Datos!B53),IF($A$1="PESIMISTA",'Ventas-Mp Ins-Invent'!N26*(1+Datos!B59),IF($A$1="OPTIMISTA",'Ventas-Mp Ins-Invent'!N26*(1+Datos!B65))))</f>
        <v>56879257.390906438</v>
      </c>
      <c r="J39" s="445">
        <f>+I39*(1+Mp!H3)+IF($A$1="NORMAL",'Ventas-Mp Ins-Invent'!O26*(1+Datos!C53),IF($A$1="PESIMISTA",'Ventas-Mp Ins-Invent'!O26*(1+Datos!C59),IF($A$1="OPTIMISTA",'Ventas-Mp Ins-Invent'!O26*(1+Datos!C65))))</f>
        <v>60007616.7227441</v>
      </c>
      <c r="K39" s="432">
        <f>(J39*(1+Mp!I3)+IF($A$1="NORMAL",'Ventas-Mp Ins-Invent'!P26*(1+Datos!D53),IF($A$1="PESIMISTA",'Ventas-Mp Ins-Invent'!P26*(1+Datos!D59),IF($A$1="OPTIMISTA",'Ventas-Mp Ins-Invent'!P26*(1+Datos!D65)))))</f>
        <v>63308035.642495021</v>
      </c>
      <c r="L39" s="445">
        <f>(K39*(1+Mp!J3)+IF($A$1="NORMAL",'Ventas-Mp Ins-Invent'!Q26*(1+Datos!E53),IF($A$1="PESIMISTA",'Ventas-Mp Ins-Invent'!Q26*(1+Datos!E59),IF($A$1="OPTIMISTA",'Ventas-Mp Ins-Invent'!Q26*(1+Datos!E65)))))*L37</f>
        <v>95455856.141753986</v>
      </c>
      <c r="M39" s="445">
        <f>+L39*(1+Mp!K3)+IF($A$1="NORMAL",'Ventas-Mp Ins-Invent'!R26*(1+Datos!F53),IF($A$1="PESIMISTA",'Ventas-Mp Ins-Invent'!R26*(1+Datos!F59),IF($A$1="OPTIMISTA",'Ventas-Mp Ins-Invent'!R26*(1+Datos!F65))))</f>
        <v>99560457.955849394</v>
      </c>
      <c r="N39" s="445">
        <f>+M39*(1+Mp!L3)+IF($A$1="NORMAL",'Ventas-Mp Ins-Invent'!S26*(1+Datos!G53),IF($A$1="PESIMISTA",'Ventas-Mp Ins-Invent'!S26*(1+Datos!G59),IF($A$1="OPTIMISTA",'Ventas-Mp Ins-Invent'!S26*(1+Datos!G65))))</f>
        <v>103443315.81612751</v>
      </c>
      <c r="O39" s="445">
        <f>+N39*(1+Mp!M3)+IF($A$1="NORMAL",'Ventas-Mp Ins-Invent'!T26*(1+Datos!H53),IF($A$1="PESIMISTA",'Ventas-Mp Ins-Invent'!T26*(1+Datos!H59),IF($A$1="OPTIMISTA",'Ventas-Mp Ins-Invent'!T26*(1+Datos!H65))))</f>
        <v>108098265.02785324</v>
      </c>
      <c r="P39" s="663"/>
      <c r="Q39" s="429"/>
      <c r="R39" s="485">
        <f t="shared" si="27"/>
        <v>0.17962164798660279</v>
      </c>
      <c r="S39" s="485">
        <f t="shared" si="28"/>
        <v>0.18837077971240959</v>
      </c>
      <c r="T39" s="485">
        <f t="shared" si="29"/>
        <v>0.16665087897464978</v>
      </c>
      <c r="U39" s="485">
        <f t="shared" si="30"/>
        <v>0.14466341162484508</v>
      </c>
      <c r="V39" s="485">
        <f t="shared" si="31"/>
        <v>0.12821140085579177</v>
      </c>
      <c r="W39" s="485">
        <f t="shared" si="32"/>
        <v>0.12014779073907529</v>
      </c>
      <c r="X39" s="485">
        <f t="shared" si="33"/>
        <v>0.11164294108831481</v>
      </c>
      <c r="Y39" s="486">
        <f t="shared" si="34"/>
        <v>0.10288084077362342</v>
      </c>
      <c r="Z39" s="479">
        <f t="shared" ref="Z39:Z52" si="35">AVERAGE(R39:Y39)</f>
        <v>0.14277371146941409</v>
      </c>
      <c r="AA39" s="487" t="s">
        <v>630</v>
      </c>
      <c r="AB39" s="488">
        <f>Z39+Z40</f>
        <v>0.54226197654205466</v>
      </c>
      <c r="AD39" s="487" t="s">
        <v>630</v>
      </c>
      <c r="AE39" s="489"/>
      <c r="AG39" s="490"/>
      <c r="AH39" s="483"/>
      <c r="AI39" s="426"/>
      <c r="AJ39" s="426"/>
      <c r="AK39" s="426"/>
    </row>
    <row r="40" spans="1:52" s="154" customFormat="1" ht="15" customHeight="1">
      <c r="A40" s="491" t="s">
        <v>369</v>
      </c>
      <c r="B40" s="907" t="s">
        <v>551</v>
      </c>
      <c r="C40" s="908"/>
      <c r="D40" s="908"/>
      <c r="E40" s="908"/>
      <c r="F40" s="909"/>
      <c r="G40" s="431"/>
      <c r="H40" s="432">
        <f>SUMIFS(Nomina!$V:$V,Nomina!$E:$E,$A$40,Nomina!$B:$B,H36)+SUMIFS(Nomina!$X:$X,Nomina!$E:$E,$A$40,Nomina!$B:$B,H36)</f>
        <v>90143737.599999994</v>
      </c>
      <c r="I40" s="432">
        <f>SUMIFS(Nomina!$V:$V,Nomina!$E:$E,$A$40,Nomina!$B:$B,I36)+SUMIFS(Nomina!$X:$X,Nomina!$E:$E,$A$40,Nomina!$B:$B,I36)</f>
        <v>100059548.736</v>
      </c>
      <c r="J40" s="432">
        <f>SUMIFS(Nomina!$V:$V,Nomina!$E:$E,$A$40,Nomina!$B:$B,J36)+SUMIFS(Nomina!$X:$X,Nomina!$E:$E,$A$40,Nomina!$B:$B,J36)</f>
        <v>137581879.51199999</v>
      </c>
      <c r="K40" s="432">
        <f>SUMIFS(Nomina!$V:$V,Nomina!$E:$E,$A$40,Nomina!$B:$B,K36)+SUMIFS(Nomina!$X:$X,Nomina!$E:$E,$A$40,Nomina!$B:$B,K36)</f>
        <v>149964248.66808</v>
      </c>
      <c r="L40" s="432">
        <f>SUMIFS(Nomina!$V:$V,Nomina!$E:$E,$A$40,Nomina!$B:$B,L36)+SUMIFS(Nomina!$X:$X,Nomina!$E:$E,$A$40,Nomina!$B:$B,L36)</f>
        <v>329921347.069776</v>
      </c>
      <c r="M40" s="432">
        <f>SUMIFS(Nomina!$V:$V,Nomina!$E:$E,$A$40,Nomina!$B:$B,M36)+SUMIFS(Nomina!$X:$X,Nomina!$E:$E,$A$40,Nomina!$B:$B,M36)</f>
        <v>362913481.77675372</v>
      </c>
      <c r="N40" s="432">
        <f>SUMIFS(Nomina!$V:$V,Nomina!$E:$E,$A$40,Nomina!$B:$B,N36)+SUMIFS(Nomina!$X:$X,Nomina!$E:$E,$A$40,Nomina!$B:$B,N36)</f>
        <v>439125312.9498719</v>
      </c>
      <c r="O40" s="492">
        <f>SUMIFS(Nomina!$V:$V,Nomina!$E:$E,$A$40,Nomina!$B:$B,O36)+SUMIFS(Nomina!$X:$X,Nomina!$E:$E,$A$40,Nomina!$B:$B,O36)</f>
        <v>483037844.2448594</v>
      </c>
      <c r="P40" s="655"/>
      <c r="Q40" s="164"/>
      <c r="R40" s="493">
        <f t="shared" si="27"/>
        <v>0.325017983053903</v>
      </c>
      <c r="S40" s="493">
        <f t="shared" si="28"/>
        <v>0.33137379209324092</v>
      </c>
      <c r="T40" s="493">
        <f t="shared" si="29"/>
        <v>0.38208718165887318</v>
      </c>
      <c r="U40" s="493">
        <f t="shared" si="30"/>
        <v>0.34267908668957231</v>
      </c>
      <c r="V40" s="493">
        <f t="shared" si="31"/>
        <v>0.44313339997946205</v>
      </c>
      <c r="W40" s="493">
        <f t="shared" si="32"/>
        <v>0.43795753816478739</v>
      </c>
      <c r="X40" s="493">
        <f t="shared" si="33"/>
        <v>0.47393339102928284</v>
      </c>
      <c r="Y40" s="494">
        <f t="shared" si="34"/>
        <v>0.45972374791200299</v>
      </c>
      <c r="Z40" s="479">
        <f t="shared" si="35"/>
        <v>0.39948826507264057</v>
      </c>
      <c r="AA40" s="495" t="s">
        <v>631</v>
      </c>
      <c r="AB40" s="496">
        <f>Z39</f>
        <v>0.14277371146941409</v>
      </c>
      <c r="AD40" s="497" t="s">
        <v>631</v>
      </c>
      <c r="AE40" s="498"/>
      <c r="AG40" s="499"/>
      <c r="AH40" s="924" t="s">
        <v>644</v>
      </c>
      <c r="AI40" s="924"/>
      <c r="AJ40" s="924"/>
      <c r="AK40" s="924"/>
    </row>
    <row r="41" spans="1:52" ht="15" customHeight="1" thickBot="1">
      <c r="A41" s="484"/>
      <c r="B41" s="873" t="s">
        <v>98</v>
      </c>
      <c r="C41" s="874"/>
      <c r="D41" s="874"/>
      <c r="E41" s="874"/>
      <c r="F41" s="875"/>
      <c r="G41" s="500"/>
      <c r="H41" s="273">
        <f>H38-H39-H40</f>
        <v>137388198.33091572</v>
      </c>
      <c r="I41" s="273">
        <f t="shared" ref="I41:O41" si="36">I38-I39-I40</f>
        <v>145014912.37309355</v>
      </c>
      <c r="J41" s="273">
        <f t="shared" si="36"/>
        <v>162490313.07650593</v>
      </c>
      <c r="K41" s="648">
        <f t="shared" si="36"/>
        <v>224350711.93585274</v>
      </c>
      <c r="L41" s="273">
        <f t="shared" si="36"/>
        <v>319142047.84259254</v>
      </c>
      <c r="M41" s="273">
        <f t="shared" si="36"/>
        <v>366175986.69063538</v>
      </c>
      <c r="N41" s="273">
        <f t="shared" si="36"/>
        <v>383986286.46414471</v>
      </c>
      <c r="O41" s="501">
        <f t="shared" si="36"/>
        <v>459577164.59827095</v>
      </c>
      <c r="P41" s="656"/>
      <c r="Q41" s="502"/>
      <c r="R41" s="477">
        <f t="shared" si="27"/>
        <v>0.4953603689594942</v>
      </c>
      <c r="S41" s="477">
        <f t="shared" si="28"/>
        <v>0.48025542819434941</v>
      </c>
      <c r="T41" s="477">
        <f t="shared" si="29"/>
        <v>0.45126193936647707</v>
      </c>
      <c r="U41" s="477">
        <f t="shared" si="30"/>
        <v>0.51265750168558255</v>
      </c>
      <c r="V41" s="477">
        <f t="shared" si="31"/>
        <v>0.42865519916474615</v>
      </c>
      <c r="W41" s="477">
        <f t="shared" si="32"/>
        <v>0.44189467109613734</v>
      </c>
      <c r="X41" s="477">
        <f t="shared" si="33"/>
        <v>0.41442366788240231</v>
      </c>
      <c r="Y41" s="478">
        <f t="shared" si="34"/>
        <v>0.43739541131437359</v>
      </c>
      <c r="Z41" s="503">
        <f t="shared" si="35"/>
        <v>0.45773802345794534</v>
      </c>
      <c r="AA41" s="504" t="s">
        <v>632</v>
      </c>
      <c r="AB41" s="505">
        <f>Z40</f>
        <v>0.39948826507264057</v>
      </c>
      <c r="AD41" s="506" t="s">
        <v>632</v>
      </c>
      <c r="AE41" s="507"/>
      <c r="AG41" s="499"/>
      <c r="AH41" s="508" t="s">
        <v>645</v>
      </c>
      <c r="AI41" s="509" t="s">
        <v>646</v>
      </c>
      <c r="AJ41" s="510" t="s">
        <v>647</v>
      </c>
      <c r="AK41" s="511" t="s">
        <v>648</v>
      </c>
    </row>
    <row r="42" spans="1:52" ht="15" customHeight="1">
      <c r="A42" s="484" t="s">
        <v>577</v>
      </c>
      <c r="B42" s="876" t="s">
        <v>20</v>
      </c>
      <c r="C42" s="877"/>
      <c r="D42" s="877"/>
      <c r="E42" s="877"/>
      <c r="F42" s="878"/>
      <c r="G42" s="444"/>
      <c r="H42" s="445">
        <f>+'Inf Base'!C90</f>
        <v>57538000.000000007</v>
      </c>
      <c r="I42" s="445">
        <f>+'Inf Base'!D90</f>
        <v>60817666.000000007</v>
      </c>
      <c r="J42" s="445">
        <f>+'Inf Base'!E90</f>
        <v>68419874.25</v>
      </c>
      <c r="K42" s="432">
        <f>+'Inf Base'!F90</f>
        <v>76288159.788749993</v>
      </c>
      <c r="L42" s="445">
        <f>+'Inf Base'!G90</f>
        <v>153461287.68783748</v>
      </c>
      <c r="M42" s="445">
        <f>+'Inf Base'!H90</f>
        <v>161134352.07222939</v>
      </c>
      <c r="N42" s="445">
        <f>+'Inf Base'!I90</f>
        <v>168385397.91547969</v>
      </c>
      <c r="O42" s="445">
        <f>+'Inf Base'!J90</f>
        <v>176804667.81125367</v>
      </c>
      <c r="P42" s="659"/>
      <c r="Q42" s="429"/>
      <c r="R42" s="485">
        <f t="shared" si="27"/>
        <v>0.20745628267532001</v>
      </c>
      <c r="S42" s="485">
        <f t="shared" si="28"/>
        <v>0.20141386667506797</v>
      </c>
      <c r="T42" s="485">
        <f t="shared" si="29"/>
        <v>0.19001308176893203</v>
      </c>
      <c r="U42" s="485">
        <f t="shared" si="30"/>
        <v>0.17432392822837797</v>
      </c>
      <c r="V42" s="485">
        <f t="shared" si="31"/>
        <v>0.20612131582972548</v>
      </c>
      <c r="W42" s="485">
        <f t="shared" si="32"/>
        <v>0.1944540715374769</v>
      </c>
      <c r="X42" s="485">
        <f t="shared" si="33"/>
        <v>0.18173277713782884</v>
      </c>
      <c r="Y42" s="486">
        <f t="shared" si="34"/>
        <v>0.16827108994243409</v>
      </c>
      <c r="Z42" s="479">
        <f t="shared" si="35"/>
        <v>0.19047330172439539</v>
      </c>
      <c r="AA42" s="512" t="s">
        <v>633</v>
      </c>
      <c r="AB42" s="513">
        <f>Z42+Z43+Z44+Z45</f>
        <v>0.42220552456280008</v>
      </c>
      <c r="AD42" s="514" t="s">
        <v>633</v>
      </c>
      <c r="AE42" s="498"/>
      <c r="AG42" s="515" t="s">
        <v>649</v>
      </c>
      <c r="AH42" s="516">
        <v>0.4</v>
      </c>
      <c r="AI42" s="516">
        <v>0.5</v>
      </c>
      <c r="AJ42" s="516">
        <v>0.6</v>
      </c>
      <c r="AK42" s="516">
        <v>0.7</v>
      </c>
    </row>
    <row r="43" spans="1:52" s="154" customFormat="1" ht="15" customHeight="1">
      <c r="A43" s="491" t="s">
        <v>371</v>
      </c>
      <c r="B43" s="885" t="s">
        <v>574</v>
      </c>
      <c r="C43" s="886"/>
      <c r="D43" s="886"/>
      <c r="E43" s="886"/>
      <c r="F43" s="903"/>
      <c r="G43" s="431"/>
      <c r="H43" s="432">
        <f>+SUMIFS(Nomina!$V:$V,Nomina!$E:$E,$A$43,Nomina!$B:$B,H36)+SUMIFS(Nomina!$X:$X,Nomina!$E:$E,$A$43,Nomina!$B:$B,H36)</f>
        <v>38593318.399999999</v>
      </c>
      <c r="I43" s="432">
        <f>+SUMIFS(Nomina!$V:$V,Nomina!$E:$E,$A$43,Nomina!$B:$B,I36)+SUMIFS(Nomina!$X:$X,Nomina!$E:$E,$A$43,Nomina!$B:$B,I36)</f>
        <v>42838583.42400001</v>
      </c>
      <c r="J43" s="432">
        <f>+SUMIFS(Nomina!$V:$V,Nomina!$E:$E,$A$43,Nomina!$B:$B,J36)+SUMIFS(Nomina!$X:$X,Nomina!$E:$E,$A$43,Nomina!$B:$B,J36)</f>
        <v>47122441.766399987</v>
      </c>
      <c r="K43" s="432">
        <f>+SUMIFS(Nomina!$V:$V,Nomina!$E:$E,$A$43,Nomina!$B:$B,K36)+SUMIFS(Nomina!$X:$X,Nomina!$E:$E,$A$43,Nomina!$B:$B,K36)</f>
        <v>51363461.525375992</v>
      </c>
      <c r="L43" s="432">
        <f>+SUMIFS(Nomina!$V:$V,Nomina!$E:$E,$A$43,Nomina!$B:$B,L36)+SUMIFS(Nomina!$X:$X,Nomina!$E:$E,$A$43,Nomina!$B:$B,L36)</f>
        <v>112999615.35582724</v>
      </c>
      <c r="M43" s="432">
        <f>+SUMIFS(Nomina!$V:$V,Nomina!$E:$E,$A$43,Nomina!$B:$B,M36)+SUMIFS(Nomina!$X:$X,Nomina!$E:$E,$A$43,Nomina!$B:$B,M36)</f>
        <v>124299576.89141001</v>
      </c>
      <c r="N43" s="432">
        <f>+SUMIFS(Nomina!$V:$V,Nomina!$E:$E,$A$43,Nomina!$B:$B,N36)+SUMIFS(Nomina!$X:$X,Nomina!$E:$E,$A$43,Nomina!$B:$B,N36)</f>
        <v>136729534.58055094</v>
      </c>
      <c r="O43" s="432">
        <f>+SUMIFS(Nomina!$V:$V,Nomina!$E:$E,$A$43,Nomina!$B:$B,O36)+SUMIFS(Nomina!$X:$X,Nomina!$E:$E,$A$43,Nomina!$B:$B,O36)</f>
        <v>150402488.03860611</v>
      </c>
      <c r="P43" s="655"/>
      <c r="Q43" s="164"/>
      <c r="R43" s="493">
        <f t="shared" si="27"/>
        <v>0.13915023760591311</v>
      </c>
      <c r="S43" s="493">
        <f t="shared" si="28"/>
        <v>0.14187135577202706</v>
      </c>
      <c r="T43" s="493">
        <f t="shared" si="29"/>
        <v>0.13086665941235193</v>
      </c>
      <c r="U43" s="493">
        <f t="shared" si="30"/>
        <v>0.11736920126668335</v>
      </c>
      <c r="V43" s="493">
        <f t="shared" si="31"/>
        <v>0.15177527672499738</v>
      </c>
      <c r="W43" s="493">
        <f t="shared" si="32"/>
        <v>0.15000251967430112</v>
      </c>
      <c r="X43" s="493">
        <f t="shared" si="33"/>
        <v>0.1475676533933114</v>
      </c>
      <c r="Y43" s="494">
        <f t="shared" si="34"/>
        <v>0.1431432263956284</v>
      </c>
      <c r="Z43" s="479">
        <f t="shared" si="35"/>
        <v>0.14021826628065173</v>
      </c>
      <c r="AA43" s="517" t="s">
        <v>20</v>
      </c>
      <c r="AB43" s="518">
        <f>Z42</f>
        <v>0.19047330172439539</v>
      </c>
      <c r="AC43" s="519"/>
      <c r="AD43" s="520" t="s">
        <v>20</v>
      </c>
      <c r="AE43" s="517"/>
      <c r="AG43" s="515" t="s">
        <v>650</v>
      </c>
      <c r="AH43" s="516">
        <v>0.2</v>
      </c>
      <c r="AI43" s="516">
        <v>0.25</v>
      </c>
      <c r="AJ43" s="516">
        <v>0.3</v>
      </c>
      <c r="AK43" s="521"/>
    </row>
    <row r="44" spans="1:52" ht="15" customHeight="1">
      <c r="A44" s="484" t="s">
        <v>577</v>
      </c>
      <c r="B44" s="876" t="s">
        <v>99</v>
      </c>
      <c r="C44" s="877"/>
      <c r="D44" s="877"/>
      <c r="E44" s="877"/>
      <c r="F44" s="878"/>
      <c r="G44" s="444"/>
      <c r="H44" s="432">
        <f>+'Inf Base'!C100</f>
        <v>24000000</v>
      </c>
      <c r="I44" s="432">
        <f>+'Inf Base'!D100</f>
        <v>25368000</v>
      </c>
      <c r="J44" s="432">
        <f>+'Inf Base'!E100</f>
        <v>28539000</v>
      </c>
      <c r="K44" s="432">
        <f>+'Inf Base'!F100</f>
        <v>19028378.25</v>
      </c>
      <c r="L44" s="432">
        <f>+'Inf Base'!G100</f>
        <v>41224445.896874994</v>
      </c>
      <c r="M44" s="432">
        <f>+'Inf Base'!H100</f>
        <v>36974602.47452344</v>
      </c>
      <c r="N44" s="432">
        <f>+'Inf Base'!I100</f>
        <v>32001050.813420385</v>
      </c>
      <c r="O44" s="432">
        <f>+'Inf Base'!J100</f>
        <v>24130175.909471542</v>
      </c>
      <c r="P44" s="655"/>
      <c r="Q44" s="429"/>
      <c r="R44" s="485">
        <f t="shared" si="27"/>
        <v>8.6533261222282318E-2</v>
      </c>
      <c r="S44" s="485">
        <f t="shared" si="28"/>
        <v>8.4012874973089624E-2</v>
      </c>
      <c r="T44" s="485">
        <f t="shared" si="29"/>
        <v>7.925742921989587E-2</v>
      </c>
      <c r="U44" s="485">
        <f t="shared" si="30"/>
        <v>4.3481211940894035E-2</v>
      </c>
      <c r="V44" s="485">
        <f t="shared" si="31"/>
        <v>5.5370557361018723E-2</v>
      </c>
      <c r="W44" s="485">
        <f t="shared" si="32"/>
        <v>4.4620292955457781E-2</v>
      </c>
      <c r="X44" s="485">
        <f t="shared" si="33"/>
        <v>3.4537673145332938E-2</v>
      </c>
      <c r="Y44" s="486">
        <f t="shared" si="34"/>
        <v>2.2965519242535495E-2</v>
      </c>
      <c r="Z44" s="479">
        <f t="shared" si="35"/>
        <v>5.6347352507563349E-2</v>
      </c>
      <c r="AA44" s="517" t="s">
        <v>574</v>
      </c>
      <c r="AB44" s="518">
        <f>Z43</f>
        <v>0.14021826628065173</v>
      </c>
      <c r="AC44" s="519"/>
      <c r="AD44" s="520" t="s">
        <v>574</v>
      </c>
      <c r="AE44" s="517"/>
      <c r="AG44" s="499"/>
      <c r="AH44" s="521"/>
      <c r="AI44" s="521"/>
      <c r="AJ44" s="521"/>
      <c r="AK44" s="521"/>
    </row>
    <row r="45" spans="1:52" ht="15" customHeight="1">
      <c r="B45" s="876" t="s">
        <v>116</v>
      </c>
      <c r="C45" s="877"/>
      <c r="D45" s="877"/>
      <c r="E45" s="877"/>
      <c r="F45" s="878"/>
      <c r="G45" s="444"/>
      <c r="H45" s="445">
        <f>+'Activos Fijos'!X48</f>
        <v>11602556.6</v>
      </c>
      <c r="I45" s="445">
        <f>+'Activos Fijos'!Y48</f>
        <v>13337309.228</v>
      </c>
      <c r="J45" s="445">
        <f>+'Activos Fijos'!Z48</f>
        <v>13968160.255625</v>
      </c>
      <c r="K45" s="432">
        <f>+'Activos Fijos'!AA48</f>
        <v>16498392.725226201</v>
      </c>
      <c r="L45" s="445">
        <f>+'Activos Fijos'!AB48</f>
        <v>33264419.33943738</v>
      </c>
      <c r="M45" s="445">
        <f>+'Activos Fijos'!AC48</f>
        <v>22412901.13915414</v>
      </c>
      <c r="N45" s="445">
        <f>+'Activos Fijos'!AD48</f>
        <v>23096041.345785283</v>
      </c>
      <c r="O45" s="445">
        <f>+'Activos Fijos'!AE48</f>
        <v>23308981.960242067</v>
      </c>
      <c r="P45" s="659"/>
      <c r="Q45" s="429"/>
      <c r="R45" s="485">
        <f t="shared" si="27"/>
        <v>4.183362754642149E-2</v>
      </c>
      <c r="S45" s="485">
        <f t="shared" si="28"/>
        <v>4.4170044648746395E-2</v>
      </c>
      <c r="T45" s="485">
        <f t="shared" si="29"/>
        <v>3.8791845292139214E-2</v>
      </c>
      <c r="U45" s="485">
        <f t="shared" si="30"/>
        <v>3.7700013177405949E-2</v>
      </c>
      <c r="V45" s="485">
        <f t="shared" si="31"/>
        <v>4.4679058724593324E-2</v>
      </c>
      <c r="W45" s="485">
        <f t="shared" si="32"/>
        <v>2.704749065253232E-2</v>
      </c>
      <c r="X45" s="485">
        <f t="shared" si="33"/>
        <v>2.4926791673269066E-2</v>
      </c>
      <c r="Y45" s="486">
        <f t="shared" si="34"/>
        <v>2.2183960686409071E-2</v>
      </c>
      <c r="Z45" s="479">
        <f t="shared" si="35"/>
        <v>3.5166604050189607E-2</v>
      </c>
      <c r="AA45" s="517" t="s">
        <v>641</v>
      </c>
      <c r="AB45" s="518">
        <f>Z44</f>
        <v>5.6347352507563349E-2</v>
      </c>
      <c r="AD45" s="520" t="s">
        <v>641</v>
      </c>
      <c r="AE45" s="507"/>
      <c r="AG45" s="499"/>
      <c r="AH45" s="924" t="s">
        <v>651</v>
      </c>
      <c r="AI45" s="924"/>
      <c r="AJ45" s="924"/>
      <c r="AK45" s="522"/>
    </row>
    <row r="46" spans="1:52" ht="15" customHeight="1" thickBot="1">
      <c r="B46" s="888" t="s">
        <v>100</v>
      </c>
      <c r="C46" s="889"/>
      <c r="D46" s="889"/>
      <c r="E46" s="889"/>
      <c r="F46" s="890"/>
      <c r="G46" s="436"/>
      <c r="H46" s="437">
        <f>+H41-SUM(H42:H45)</f>
        <v>5654323.3309157193</v>
      </c>
      <c r="I46" s="437">
        <f t="shared" ref="I46:O46" si="37">+I41-SUM(I42:I45)</f>
        <v>2653353.7210935354</v>
      </c>
      <c r="J46" s="437">
        <f t="shared" si="37"/>
        <v>4440836.8044809401</v>
      </c>
      <c r="K46" s="437">
        <f t="shared" si="37"/>
        <v>61172319.646500558</v>
      </c>
      <c r="L46" s="437">
        <f t="shared" si="37"/>
        <v>-21807720.437384546</v>
      </c>
      <c r="M46" s="437">
        <f t="shared" si="37"/>
        <v>21354554.113318443</v>
      </c>
      <c r="N46" s="437">
        <f t="shared" si="37"/>
        <v>23774261.808908463</v>
      </c>
      <c r="O46" s="523">
        <f t="shared" si="37"/>
        <v>84930850.878697515</v>
      </c>
      <c r="P46" s="656"/>
      <c r="Q46" s="429"/>
      <c r="R46" s="477">
        <f t="shared" si="27"/>
        <v>2.0386959909557308E-2</v>
      </c>
      <c r="S46" s="477">
        <f t="shared" si="28"/>
        <v>8.7872861254183737E-3</v>
      </c>
      <c r="T46" s="477">
        <f t="shared" si="29"/>
        <v>1.2332923673158016E-2</v>
      </c>
      <c r="U46" s="477">
        <f t="shared" si="30"/>
        <v>0.13978314707222128</v>
      </c>
      <c r="V46" s="477">
        <f t="shared" si="31"/>
        <v>-2.9291009475588752E-2</v>
      </c>
      <c r="W46" s="477">
        <f t="shared" si="32"/>
        <v>2.5770296276369259E-2</v>
      </c>
      <c r="X46" s="477">
        <f t="shared" si="33"/>
        <v>2.5658772532660135E-2</v>
      </c>
      <c r="Y46" s="478">
        <f t="shared" si="34"/>
        <v>8.0831615047366495E-2</v>
      </c>
      <c r="Z46" s="503">
        <f t="shared" si="35"/>
        <v>3.5532498895145266E-2</v>
      </c>
      <c r="AA46" s="524" t="s">
        <v>642</v>
      </c>
      <c r="AB46" s="525">
        <f>Z45</f>
        <v>3.5166604050189607E-2</v>
      </c>
      <c r="AD46" s="526" t="s">
        <v>642</v>
      </c>
      <c r="AE46" s="527"/>
      <c r="AG46" s="499"/>
      <c r="AH46" s="528" t="s">
        <v>628</v>
      </c>
      <c r="AI46" s="528" t="s">
        <v>652</v>
      </c>
      <c r="AJ46" s="528" t="s">
        <v>653</v>
      </c>
      <c r="AK46" s="521"/>
    </row>
    <row r="47" spans="1:52" ht="15" customHeight="1" thickBot="1">
      <c r="B47" s="891" t="s">
        <v>101</v>
      </c>
      <c r="C47" s="892"/>
      <c r="D47" s="892"/>
      <c r="E47" s="892"/>
      <c r="F47" s="893"/>
      <c r="G47" s="529"/>
      <c r="H47" s="530"/>
      <c r="I47" s="530"/>
      <c r="J47" s="530"/>
      <c r="K47" s="530"/>
      <c r="L47" s="530"/>
      <c r="M47" s="530"/>
      <c r="N47" s="530"/>
      <c r="O47" s="531"/>
      <c r="P47" s="390"/>
      <c r="Q47" s="429"/>
      <c r="R47" s="532"/>
      <c r="S47" s="532"/>
      <c r="T47" s="532"/>
      <c r="U47" s="532"/>
      <c r="V47" s="532"/>
      <c r="W47" s="532"/>
      <c r="X47" s="532"/>
      <c r="Y47" s="533"/>
      <c r="Z47" s="479"/>
      <c r="AA47" s="534" t="s">
        <v>635</v>
      </c>
      <c r="AB47" s="535">
        <f>AB39+AB42</f>
        <v>0.96446750110485469</v>
      </c>
      <c r="AD47" s="536" t="s">
        <v>635</v>
      </c>
      <c r="AE47" s="537">
        <f>AE39+AE42</f>
        <v>0</v>
      </c>
      <c r="AG47" s="538" t="s">
        <v>649</v>
      </c>
      <c r="AH47" s="539">
        <f>AB39</f>
        <v>0.54226197654205466</v>
      </c>
      <c r="AI47" s="516">
        <v>0.6</v>
      </c>
      <c r="AJ47" s="540">
        <f>AI47-AH47</f>
        <v>5.773802345794532E-2</v>
      </c>
      <c r="AK47" s="541"/>
    </row>
    <row r="48" spans="1:52" ht="15" customHeight="1" thickBot="1">
      <c r="B48" s="894" t="s">
        <v>102</v>
      </c>
      <c r="C48" s="895"/>
      <c r="D48" s="895"/>
      <c r="E48" s="895"/>
      <c r="F48" s="896"/>
      <c r="G48" s="542"/>
      <c r="H48" s="543">
        <f>VLOOKUP(H36,Financiacion!$C$25:$N$32,12,0)</f>
        <v>11726499.41997456</v>
      </c>
      <c r="I48" s="543">
        <f>VLOOKUP(I36,Financiacion!$C$25:$N$32,12,0)</f>
        <v>9212471.1557624005</v>
      </c>
      <c r="J48" s="543">
        <f>VLOOKUP(J36,Financiacion!$C$25:$N$32,12,0)</f>
        <v>6756468.0035838103</v>
      </c>
      <c r="K48" s="543">
        <f>VLOOKUP(K36,Financiacion!$C$25:$N$32,12,0)</f>
        <v>4466004.1173548838</v>
      </c>
      <c r="L48" s="543">
        <f>VLOOKUP(L36,Financiacion!$C$25:$N$32,12,0)</f>
        <v>15421750.168986971</v>
      </c>
      <c r="M48" s="543">
        <f>VLOOKUP(M36,Financiacion!$C$25:$N$32,12,0)</f>
        <v>12543965.85908881</v>
      </c>
      <c r="N48" s="543">
        <f>VLOOKUP(N36,Financiacion!$C$25:$N$32,12,0)</f>
        <v>11125663.162031688</v>
      </c>
      <c r="O48" s="544">
        <f>VLOOKUP(O36,Financiacion!$C$25:$N$32,12,0)</f>
        <v>9414339.1277625598</v>
      </c>
      <c r="P48" s="659"/>
      <c r="Q48" s="545">
        <f>+SUM(H48:O48)-Financiacion!E34</f>
        <v>46803387.925638966</v>
      </c>
      <c r="R48" s="485">
        <f>H48/H$38</f>
        <v>4.2280509897150029E-2</v>
      </c>
      <c r="S48" s="485">
        <f t="shared" ref="S48:Y48" si="38">I48/I$38</f>
        <v>3.0509546964769041E-2</v>
      </c>
      <c r="T48" s="485">
        <f t="shared" si="38"/>
        <v>1.8763806880778406E-2</v>
      </c>
      <c r="U48" s="485">
        <f t="shared" si="38"/>
        <v>1.0205140396324268E-2</v>
      </c>
      <c r="V48" s="485">
        <f t="shared" si="38"/>
        <v>2.0713702361829046E-2</v>
      </c>
      <c r="W48" s="485">
        <f t="shared" si="38"/>
        <v>1.5137835000158915E-2</v>
      </c>
      <c r="X48" s="485">
        <f t="shared" si="38"/>
        <v>1.20075593784619E-2</v>
      </c>
      <c r="Y48" s="486">
        <f t="shared" si="38"/>
        <v>8.9599506943304694E-3</v>
      </c>
      <c r="Z48" s="479">
        <f t="shared" si="35"/>
        <v>1.9822256446725261E-2</v>
      </c>
      <c r="AA48" s="534" t="s">
        <v>636</v>
      </c>
      <c r="AB48" s="546">
        <f>Z48</f>
        <v>1.9822256446725261E-2</v>
      </c>
      <c r="AD48" s="536" t="s">
        <v>636</v>
      </c>
      <c r="AE48" s="546">
        <f>AB48</f>
        <v>1.9822256446725261E-2</v>
      </c>
      <c r="AG48" s="538" t="s">
        <v>650</v>
      </c>
      <c r="AH48" s="539">
        <f>AB42</f>
        <v>0.42220552456280008</v>
      </c>
      <c r="AI48" s="516">
        <v>0.2</v>
      </c>
      <c r="AJ48" s="540">
        <f>AI48-AH48</f>
        <v>-0.22220552456280007</v>
      </c>
      <c r="AK48" s="541"/>
    </row>
    <row r="49" spans="1:31" ht="15" customHeight="1" thickBot="1">
      <c r="B49" s="897" t="s">
        <v>103</v>
      </c>
      <c r="C49" s="898"/>
      <c r="D49" s="898"/>
      <c r="E49" s="898"/>
      <c r="F49" s="899"/>
      <c r="G49" s="529"/>
      <c r="H49" s="530"/>
      <c r="I49" s="530"/>
      <c r="J49" s="530"/>
      <c r="K49" s="530"/>
      <c r="L49" s="530"/>
      <c r="M49" s="530"/>
      <c r="N49" s="530"/>
      <c r="O49" s="531"/>
      <c r="P49" s="390"/>
      <c r="Q49" s="429"/>
      <c r="Y49" s="430"/>
      <c r="Z49" s="479"/>
      <c r="AA49" s="534" t="s">
        <v>637</v>
      </c>
      <c r="AB49" s="546">
        <f>Z51</f>
        <v>9.8758338638461965E-3</v>
      </c>
      <c r="AD49" s="536" t="s">
        <v>637</v>
      </c>
      <c r="AE49" s="546">
        <f>AB49</f>
        <v>9.8758338638461965E-3</v>
      </c>
    </row>
    <row r="50" spans="1:31" ht="15" customHeight="1" thickBot="1">
      <c r="B50" s="873" t="s">
        <v>104</v>
      </c>
      <c r="C50" s="874"/>
      <c r="D50" s="874"/>
      <c r="E50" s="874"/>
      <c r="F50" s="875"/>
      <c r="G50" s="547"/>
      <c r="H50" s="548">
        <f>H46-H48</f>
        <v>-6072176.0890588406</v>
      </c>
      <c r="I50" s="548">
        <f t="shared" ref="I50:O50" si="39">I46-I48</f>
        <v>-6559117.4346688651</v>
      </c>
      <c r="J50" s="548">
        <f t="shared" si="39"/>
        <v>-2315631.1991028702</v>
      </c>
      <c r="K50" s="548">
        <f t="shared" si="39"/>
        <v>56706315.529145673</v>
      </c>
      <c r="L50" s="548">
        <f t="shared" si="39"/>
        <v>-37229470.606371514</v>
      </c>
      <c r="M50" s="548">
        <f t="shared" si="39"/>
        <v>8810588.2542296331</v>
      </c>
      <c r="N50" s="548">
        <f t="shared" si="39"/>
        <v>12648598.646876775</v>
      </c>
      <c r="O50" s="549">
        <f t="shared" si="39"/>
        <v>75516511.750934958</v>
      </c>
      <c r="P50" s="390"/>
      <c r="Q50" s="429"/>
      <c r="R50" s="485">
        <f>H50/H$38</f>
        <v>-2.1893549987592718E-2</v>
      </c>
      <c r="S50" s="485">
        <f t="shared" ref="S50:Y52" si="40">I50/I$38</f>
        <v>-2.1722260839350666E-2</v>
      </c>
      <c r="T50" s="485">
        <f t="shared" si="40"/>
        <v>-6.4308832076203906E-3</v>
      </c>
      <c r="U50" s="485">
        <f t="shared" si="40"/>
        <v>0.12957800667589703</v>
      </c>
      <c r="V50" s="485">
        <f t="shared" si="40"/>
        <v>-5.0004711837417795E-2</v>
      </c>
      <c r="W50" s="485">
        <f t="shared" si="40"/>
        <v>1.0632461276210342E-2</v>
      </c>
      <c r="X50" s="485">
        <f t="shared" si="40"/>
        <v>1.3651213154198235E-2</v>
      </c>
      <c r="Y50" s="486">
        <f t="shared" si="40"/>
        <v>7.1871664353036033E-2</v>
      </c>
      <c r="Z50" s="479">
        <f t="shared" si="35"/>
        <v>1.5710242448420009E-2</v>
      </c>
      <c r="AA50" s="534" t="s">
        <v>638</v>
      </c>
      <c r="AB50" s="546">
        <f>AB47+AB48+AB49</f>
        <v>0.99416559141542615</v>
      </c>
      <c r="AD50" s="536" t="s">
        <v>638</v>
      </c>
      <c r="AE50" s="546">
        <f>AE47+AE48+AE49</f>
        <v>2.9698090310571457E-2</v>
      </c>
    </row>
    <row r="51" spans="1:31" ht="15" customHeight="1" thickBot="1">
      <c r="B51" s="876" t="s">
        <v>105</v>
      </c>
      <c r="C51" s="877"/>
      <c r="D51" s="877"/>
      <c r="E51" s="877"/>
      <c r="F51" s="878"/>
      <c r="G51" s="444"/>
      <c r="H51" s="445">
        <f>IF(H50&lt;0,0,H50*Datos!$B$71)</f>
        <v>0</v>
      </c>
      <c r="I51" s="445">
        <f>IF(I50&lt;0,0,I50*Datos!$B$71)</f>
        <v>0</v>
      </c>
      <c r="J51" s="445">
        <f>IF(J50&lt;0,0,J50*Datos!$B$71)</f>
        <v>0</v>
      </c>
      <c r="K51" s="445">
        <f>IF(K50&lt;0,0,K50*Datos!$B$71)</f>
        <v>19847210.435200986</v>
      </c>
      <c r="L51" s="445">
        <f>IF(L50&lt;0,0,L50*Datos!$B$71)</f>
        <v>0</v>
      </c>
      <c r="M51" s="445">
        <f>IF(M50&lt;0,0,M50*Datos!$B$71)</f>
        <v>3083705.8889803714</v>
      </c>
      <c r="N51" s="445">
        <f>IF(N50&lt;0,0,N50*Datos!$B$71)</f>
        <v>4427009.5264068712</v>
      </c>
      <c r="O51" s="476">
        <f>IF(O50&lt;0,0,O50*Datos!$B$71)</f>
        <v>26430779.112827234</v>
      </c>
      <c r="P51" s="659"/>
      <c r="Q51" s="429"/>
      <c r="R51" s="485">
        <f>H51/H$38</f>
        <v>0</v>
      </c>
      <c r="S51" s="485">
        <f t="shared" si="40"/>
        <v>0</v>
      </c>
      <c r="T51" s="485">
        <f t="shared" si="40"/>
        <v>0</v>
      </c>
      <c r="U51" s="485">
        <f t="shared" si="40"/>
        <v>4.5352302336563954E-2</v>
      </c>
      <c r="V51" s="485">
        <f t="shared" si="40"/>
        <v>0</v>
      </c>
      <c r="W51" s="485">
        <f t="shared" si="40"/>
        <v>3.7213614466736198E-3</v>
      </c>
      <c r="X51" s="485">
        <f t="shared" si="40"/>
        <v>4.7779246039693826E-3</v>
      </c>
      <c r="Y51" s="486">
        <f t="shared" si="40"/>
        <v>2.5155082523562609E-2</v>
      </c>
      <c r="Z51" s="479">
        <f t="shared" si="35"/>
        <v>9.8758338638461965E-3</v>
      </c>
      <c r="AA51" s="534" t="s">
        <v>639</v>
      </c>
      <c r="AB51" s="546">
        <f>Z38+AB48</f>
        <v>1.0198222564467252</v>
      </c>
      <c r="AD51" s="536" t="s">
        <v>639</v>
      </c>
      <c r="AE51" s="546">
        <f>AE38+AE48</f>
        <v>1.0198222564467252</v>
      </c>
    </row>
    <row r="52" spans="1:31" s="266" customFormat="1" ht="15" customHeight="1" thickBot="1">
      <c r="B52" s="879" t="s">
        <v>106</v>
      </c>
      <c r="C52" s="880"/>
      <c r="D52" s="880"/>
      <c r="E52" s="880"/>
      <c r="F52" s="881"/>
      <c r="G52" s="699"/>
      <c r="H52" s="700">
        <f>H50-H51</f>
        <v>-6072176.0890588406</v>
      </c>
      <c r="I52" s="700">
        <f t="shared" ref="I52:O52" si="41">I50-I51</f>
        <v>-6559117.4346688651</v>
      </c>
      <c r="J52" s="700">
        <f t="shared" si="41"/>
        <v>-2315631.1991028702</v>
      </c>
      <c r="K52" s="700">
        <f t="shared" si="41"/>
        <v>36859105.093944684</v>
      </c>
      <c r="L52" s="700">
        <f t="shared" si="41"/>
        <v>-37229470.606371514</v>
      </c>
      <c r="M52" s="700">
        <f t="shared" si="41"/>
        <v>5726882.3652492613</v>
      </c>
      <c r="N52" s="700">
        <f t="shared" si="41"/>
        <v>8221589.1204699036</v>
      </c>
      <c r="O52" s="701">
        <f t="shared" si="41"/>
        <v>49085732.638107724</v>
      </c>
      <c r="P52" s="702"/>
      <c r="Q52" s="703"/>
      <c r="R52" s="704">
        <f>H52/H$38</f>
        <v>-2.1893549987592718E-2</v>
      </c>
      <c r="S52" s="704">
        <f t="shared" si="40"/>
        <v>-2.1722260839350666E-2</v>
      </c>
      <c r="T52" s="704">
        <f t="shared" si="40"/>
        <v>-6.4308832076203906E-3</v>
      </c>
      <c r="U52" s="704">
        <f t="shared" si="40"/>
        <v>8.4225704339333046E-2</v>
      </c>
      <c r="V52" s="704">
        <f t="shared" si="40"/>
        <v>-5.0004711837417795E-2</v>
      </c>
      <c r="W52" s="704">
        <f t="shared" si="40"/>
        <v>6.9110998295367227E-3</v>
      </c>
      <c r="X52" s="704">
        <f t="shared" si="40"/>
        <v>8.8732885502288538E-3</v>
      </c>
      <c r="Y52" s="705">
        <f t="shared" si="40"/>
        <v>4.6716581829473421E-2</v>
      </c>
      <c r="Z52" s="706">
        <f t="shared" si="35"/>
        <v>5.8344085845738096E-3</v>
      </c>
      <c r="AA52" s="707" t="s">
        <v>640</v>
      </c>
      <c r="AB52" s="708">
        <f>AB51-AB50</f>
        <v>2.5656665031299042E-2</v>
      </c>
      <c r="AD52" s="709" t="s">
        <v>640</v>
      </c>
      <c r="AE52" s="710">
        <f>AE51-AE50</f>
        <v>0.99012416613615373</v>
      </c>
    </row>
    <row r="53" spans="1:31" ht="15" customHeight="1">
      <c r="G53" s="390"/>
      <c r="H53" s="390"/>
      <c r="I53" s="390"/>
      <c r="J53" s="390"/>
      <c r="K53" s="390"/>
      <c r="L53" s="390"/>
      <c r="M53" s="390"/>
      <c r="N53" s="390"/>
      <c r="O53" s="390"/>
      <c r="P53" s="390"/>
    </row>
    <row r="54" spans="1:31" ht="15" customHeight="1" thickBot="1">
      <c r="H54" s="550"/>
      <c r="I54" s="550"/>
      <c r="J54" s="550"/>
      <c r="K54" s="550"/>
      <c r="L54" s="550"/>
      <c r="M54" s="550"/>
      <c r="N54" s="550"/>
      <c r="O54" s="550"/>
      <c r="P54" s="550"/>
    </row>
    <row r="55" spans="1:31" ht="15" customHeight="1" thickBot="1">
      <c r="A55" s="154"/>
      <c r="B55" s="551" t="s">
        <v>118</v>
      </c>
      <c r="G55" s="552" t="str">
        <f t="shared" ref="G55:O55" si="42">G2</f>
        <v>INICIAL</v>
      </c>
      <c r="H55" s="552">
        <f t="shared" si="42"/>
        <v>2023</v>
      </c>
      <c r="I55" s="552">
        <f t="shared" si="42"/>
        <v>2024</v>
      </c>
      <c r="J55" s="552">
        <f t="shared" si="42"/>
        <v>2025</v>
      </c>
      <c r="K55" s="552">
        <f t="shared" si="42"/>
        <v>2026</v>
      </c>
      <c r="L55" s="552">
        <f t="shared" si="42"/>
        <v>2027</v>
      </c>
      <c r="M55" s="552">
        <f t="shared" si="42"/>
        <v>2028</v>
      </c>
      <c r="N55" s="552">
        <f t="shared" si="42"/>
        <v>2029</v>
      </c>
      <c r="O55" s="552">
        <f t="shared" si="42"/>
        <v>2030</v>
      </c>
      <c r="P55" s="662"/>
    </row>
    <row r="56" spans="1:31" s="826" customFormat="1" ht="15" customHeight="1">
      <c r="B56" s="827" t="s">
        <v>119</v>
      </c>
      <c r="G56" s="828">
        <f>G52/G13</f>
        <v>0</v>
      </c>
      <c r="H56" s="829">
        <f t="shared" ref="H56:O56" si="43">H52/H13</f>
        <v>-6.0826205769319304E-2</v>
      </c>
      <c r="I56" s="829">
        <f t="shared" si="43"/>
        <v>-8.5714361761170005E-2</v>
      </c>
      <c r="J56" s="829">
        <f t="shared" si="43"/>
        <v>-3.6662952435652554E-2</v>
      </c>
      <c r="K56" s="829">
        <f t="shared" si="43"/>
        <v>0.34599541579184534</v>
      </c>
      <c r="L56" s="829">
        <f t="shared" si="43"/>
        <v>-0.36136113099615325</v>
      </c>
      <c r="M56" s="829">
        <f t="shared" si="43"/>
        <v>5.4530004719298183E-2</v>
      </c>
      <c r="N56" s="829">
        <f t="shared" si="43"/>
        <v>7.7304906123990977E-2</v>
      </c>
      <c r="O56" s="830">
        <f t="shared" si="43"/>
        <v>0.29303893336710241</v>
      </c>
      <c r="P56" s="831"/>
    </row>
    <row r="57" spans="1:31" ht="15" customHeight="1">
      <c r="B57" s="426" t="s">
        <v>120</v>
      </c>
      <c r="G57" s="557" t="str">
        <f>IFERROR(G46*(1-(G51/G50)),"NOA")</f>
        <v>NOA</v>
      </c>
      <c r="H57" s="558">
        <f t="shared" ref="H57:O57" si="44">IFERROR(H46*(1-(H51/H50)),"NOA")</f>
        <v>5654323.3309157193</v>
      </c>
      <c r="I57" s="558">
        <f t="shared" si="44"/>
        <v>2653353.7210935354</v>
      </c>
      <c r="J57" s="558">
        <f t="shared" si="44"/>
        <v>4440836.8044809401</v>
      </c>
      <c r="K57" s="558">
        <f t="shared" si="44"/>
        <v>39762007.770225361</v>
      </c>
      <c r="L57" s="558">
        <f t="shared" si="44"/>
        <v>-21807720.437384546</v>
      </c>
      <c r="M57" s="558">
        <f t="shared" si="44"/>
        <v>13880460.173656989</v>
      </c>
      <c r="N57" s="558">
        <f t="shared" si="44"/>
        <v>15453270.175790502</v>
      </c>
      <c r="O57" s="115">
        <f t="shared" si="44"/>
        <v>55205053.071153387</v>
      </c>
      <c r="P57" s="664"/>
    </row>
    <row r="58" spans="1:31" ht="15" customHeight="1">
      <c r="B58" s="426" t="s">
        <v>121</v>
      </c>
      <c r="G58" s="559">
        <f>G7+G9-G18</f>
        <v>119598180</v>
      </c>
      <c r="H58" s="558">
        <f>H7+H9-H18</f>
        <v>110808120.46900834</v>
      </c>
      <c r="I58" s="558">
        <f t="shared" ref="I58:O58" si="45">I7+I9-I18</f>
        <v>100751843.95619458</v>
      </c>
      <c r="J58" s="558">
        <f t="shared" si="45"/>
        <v>101317906.96126986</v>
      </c>
      <c r="K58" s="558">
        <f t="shared" si="45"/>
        <v>161145685.27796584</v>
      </c>
      <c r="L58" s="558">
        <f t="shared" si="45"/>
        <v>190503304.33865026</v>
      </c>
      <c r="M58" s="558">
        <f t="shared" si="45"/>
        <v>214861824.23998597</v>
      </c>
      <c r="N58" s="558">
        <f t="shared" si="45"/>
        <v>239239486.15456253</v>
      </c>
      <c r="O58" s="115">
        <f t="shared" si="45"/>
        <v>323643374.11595851</v>
      </c>
      <c r="P58" s="664"/>
    </row>
    <row r="59" spans="1:31" s="826" customFormat="1" ht="15" customHeight="1">
      <c r="B59" s="827" t="s">
        <v>122</v>
      </c>
      <c r="G59" s="842" t="str">
        <f>IFERROR(G57/G58,"NOA")</f>
        <v>NOA</v>
      </c>
      <c r="H59" s="833">
        <f t="shared" ref="H59:O59" si="46">IFERROR(H57/H58,"NOA")</f>
        <v>5.1028059198036511E-2</v>
      </c>
      <c r="I59" s="833">
        <f t="shared" si="46"/>
        <v>2.6335535082089162E-2</v>
      </c>
      <c r="J59" s="833">
        <f t="shared" si="46"/>
        <v>4.3830719935603391E-2</v>
      </c>
      <c r="K59" s="833">
        <f t="shared" si="46"/>
        <v>0.24674571771275464</v>
      </c>
      <c r="L59" s="833">
        <f t="shared" si="46"/>
        <v>-0.11447423714298317</v>
      </c>
      <c r="M59" s="833">
        <f t="shared" si="46"/>
        <v>6.4601798028827415E-2</v>
      </c>
      <c r="N59" s="833">
        <f t="shared" si="46"/>
        <v>6.459330950830916E-2</v>
      </c>
      <c r="O59" s="834">
        <f t="shared" si="46"/>
        <v>0.17057371627627982</v>
      </c>
      <c r="P59" s="831"/>
    </row>
    <row r="60" spans="1:31" ht="15" customHeight="1" thickBot="1">
      <c r="B60" s="426" t="s">
        <v>123</v>
      </c>
      <c r="G60" s="557" t="str">
        <f>IFERROR(G59-G56,"NOA")</f>
        <v>NOA</v>
      </c>
      <c r="H60" s="562">
        <f t="shared" ref="H60:O60" si="47">IFERROR(H59-H56,"NOA")</f>
        <v>0.11185426496735582</v>
      </c>
      <c r="I60" s="562">
        <f t="shared" si="47"/>
        <v>0.11204989684325917</v>
      </c>
      <c r="J60" s="562">
        <f t="shared" si="47"/>
        <v>8.0493672371255945E-2</v>
      </c>
      <c r="K60" s="562">
        <f t="shared" si="47"/>
        <v>-9.9249698079090704E-2</v>
      </c>
      <c r="L60" s="562">
        <f t="shared" si="47"/>
        <v>0.24688689385317009</v>
      </c>
      <c r="M60" s="562">
        <f t="shared" si="47"/>
        <v>1.0071793309529231E-2</v>
      </c>
      <c r="N60" s="562">
        <f t="shared" si="47"/>
        <v>-1.2711596615681817E-2</v>
      </c>
      <c r="O60" s="563">
        <f t="shared" si="47"/>
        <v>-0.12246521709082259</v>
      </c>
      <c r="P60" s="665"/>
    </row>
    <row r="61" spans="1:31" ht="15" customHeight="1" thickBot="1">
      <c r="B61" s="564"/>
      <c r="C61" s="564"/>
      <c r="D61" s="564"/>
      <c r="E61" s="564"/>
      <c r="F61" s="564"/>
      <c r="G61" s="564"/>
      <c r="H61" s="564"/>
      <c r="I61" s="564"/>
      <c r="J61" s="564"/>
      <c r="K61" s="564"/>
      <c r="L61" s="564"/>
      <c r="M61" s="564"/>
      <c r="N61" s="564"/>
      <c r="O61" s="564"/>
      <c r="P61" s="564"/>
    </row>
    <row r="62" spans="1:31" ht="15" customHeight="1" thickBot="1">
      <c r="B62" s="551" t="s">
        <v>124</v>
      </c>
      <c r="G62" s="565" t="str">
        <f>G55</f>
        <v>INICIAL</v>
      </c>
      <c r="H62" s="565">
        <f t="shared" ref="H62:O62" si="48">H55</f>
        <v>2023</v>
      </c>
      <c r="I62" s="565">
        <f t="shared" si="48"/>
        <v>2024</v>
      </c>
      <c r="J62" s="565">
        <f t="shared" si="48"/>
        <v>2025</v>
      </c>
      <c r="K62" s="565">
        <f t="shared" si="48"/>
        <v>2026</v>
      </c>
      <c r="L62" s="565">
        <f t="shared" si="48"/>
        <v>2027</v>
      </c>
      <c r="M62" s="565">
        <f t="shared" si="48"/>
        <v>2028</v>
      </c>
      <c r="N62" s="565">
        <f t="shared" si="48"/>
        <v>2029</v>
      </c>
      <c r="O62" s="565">
        <f t="shared" si="48"/>
        <v>2030</v>
      </c>
      <c r="P62" s="662"/>
    </row>
    <row r="63" spans="1:31" ht="15" customHeight="1">
      <c r="B63" s="426" t="s">
        <v>125</v>
      </c>
      <c r="G63" s="566">
        <f>G52+G51+G48+G45</f>
        <v>0</v>
      </c>
      <c r="H63" s="567">
        <f t="shared" ref="H63:O63" si="49">H52+H51+H48+H45</f>
        <v>17256879.930915721</v>
      </c>
      <c r="I63" s="567">
        <f t="shared" si="49"/>
        <v>15990662.949093536</v>
      </c>
      <c r="J63" s="567">
        <f t="shared" si="49"/>
        <v>18408997.060105942</v>
      </c>
      <c r="K63" s="567">
        <f t="shared" si="49"/>
        <v>77670712.371726751</v>
      </c>
      <c r="L63" s="567">
        <f t="shared" si="49"/>
        <v>11456698.902052835</v>
      </c>
      <c r="M63" s="568">
        <f t="shared" si="49"/>
        <v>43767455.252472579</v>
      </c>
      <c r="N63" s="568">
        <f t="shared" si="49"/>
        <v>46870303.154693745</v>
      </c>
      <c r="O63" s="568">
        <f t="shared" si="49"/>
        <v>108239832.83893958</v>
      </c>
      <c r="P63" s="664"/>
    </row>
    <row r="64" spans="1:31" ht="15" customHeight="1">
      <c r="B64" s="553" t="s">
        <v>126</v>
      </c>
      <c r="G64" s="569">
        <f>G46+G45</f>
        <v>0</v>
      </c>
      <c r="H64" s="570">
        <f t="shared" ref="H64:O64" si="50">H46+H45</f>
        <v>17256879.930915721</v>
      </c>
      <c r="I64" s="570">
        <f t="shared" si="50"/>
        <v>15990662.949093536</v>
      </c>
      <c r="J64" s="570">
        <f t="shared" si="50"/>
        <v>18408997.060105942</v>
      </c>
      <c r="K64" s="570">
        <f t="shared" si="50"/>
        <v>77670712.371726751</v>
      </c>
      <c r="L64" s="570">
        <f t="shared" si="50"/>
        <v>11456698.902052835</v>
      </c>
      <c r="M64" s="571">
        <f t="shared" si="50"/>
        <v>43767455.252472579</v>
      </c>
      <c r="N64" s="571">
        <f t="shared" si="50"/>
        <v>46870303.154693745</v>
      </c>
      <c r="O64" s="571">
        <f t="shared" si="50"/>
        <v>108239832.83893958</v>
      </c>
      <c r="P64" s="483"/>
    </row>
    <row r="65" spans="1:16" ht="15" customHeight="1">
      <c r="B65" s="426" t="s">
        <v>127</v>
      </c>
      <c r="G65" s="572" t="e">
        <f>G63/G38</f>
        <v>#DIV/0!</v>
      </c>
      <c r="H65" s="560">
        <f t="shared" ref="H65:O65" si="51">H63/H38</f>
        <v>6.2220587455978804E-2</v>
      </c>
      <c r="I65" s="560">
        <f t="shared" si="51"/>
        <v>5.2957330774164771E-2</v>
      </c>
      <c r="J65" s="560">
        <f t="shared" si="51"/>
        <v>5.1124768965297239E-2</v>
      </c>
      <c r="K65" s="560">
        <f t="shared" si="51"/>
        <v>0.17748316024962721</v>
      </c>
      <c r="L65" s="560">
        <f t="shared" si="51"/>
        <v>1.5388049249004568E-2</v>
      </c>
      <c r="M65" s="561">
        <f t="shared" si="51"/>
        <v>5.2817786928901572E-2</v>
      </c>
      <c r="N65" s="561">
        <f t="shared" si="51"/>
        <v>5.0585564205929204E-2</v>
      </c>
      <c r="O65" s="561">
        <f t="shared" si="51"/>
        <v>0.10301557573377557</v>
      </c>
      <c r="P65" s="663"/>
    </row>
    <row r="66" spans="1:16" s="826" customFormat="1" ht="15" customHeight="1">
      <c r="B66" s="827" t="s">
        <v>128</v>
      </c>
      <c r="G66" s="832" t="e">
        <f>G64/G38</f>
        <v>#DIV/0!</v>
      </c>
      <c r="H66" s="833">
        <f t="shared" ref="H66:O66" si="52">H64/H38</f>
        <v>6.2220587455978804E-2</v>
      </c>
      <c r="I66" s="833">
        <f t="shared" si="52"/>
        <v>5.2957330774164771E-2</v>
      </c>
      <c r="J66" s="833">
        <f t="shared" si="52"/>
        <v>5.1124768965297239E-2</v>
      </c>
      <c r="K66" s="833">
        <f t="shared" si="52"/>
        <v>0.17748316024962721</v>
      </c>
      <c r="L66" s="833">
        <f t="shared" si="52"/>
        <v>1.5388049249004568E-2</v>
      </c>
      <c r="M66" s="834">
        <f t="shared" si="52"/>
        <v>5.2817786928901572E-2</v>
      </c>
      <c r="N66" s="834">
        <f t="shared" si="52"/>
        <v>5.0585564205929204E-2</v>
      </c>
      <c r="O66" s="834">
        <f t="shared" si="52"/>
        <v>0.10301557573377557</v>
      </c>
      <c r="P66" s="831"/>
    </row>
    <row r="67" spans="1:16" ht="15" customHeight="1">
      <c r="B67" s="426" t="s">
        <v>129</v>
      </c>
      <c r="G67" s="569">
        <f>G5+G6-G18</f>
        <v>0</v>
      </c>
      <c r="H67" s="570">
        <f t="shared" ref="H67:O67" si="53">H5+H6-H18</f>
        <v>9890681.2297918387</v>
      </c>
      <c r="I67" s="570">
        <f t="shared" si="53"/>
        <v>11292582.599367913</v>
      </c>
      <c r="J67" s="570">
        <f t="shared" si="53"/>
        <v>11913674.677144023</v>
      </c>
      <c r="K67" s="570">
        <f t="shared" si="53"/>
        <v>12568926.784386944</v>
      </c>
      <c r="L67" s="570">
        <f t="shared" si="53"/>
        <v>18951427.80549863</v>
      </c>
      <c r="M67" s="571">
        <f t="shared" si="53"/>
        <v>19766339.201135069</v>
      </c>
      <c r="N67" s="571">
        <f t="shared" si="53"/>
        <v>20537226.429979339</v>
      </c>
      <c r="O67" s="571">
        <f t="shared" si="53"/>
        <v>21461401.619328402</v>
      </c>
      <c r="P67" s="483"/>
    </row>
    <row r="68" spans="1:16" s="154" customFormat="1" ht="15" customHeight="1">
      <c r="B68" s="154" t="s">
        <v>130</v>
      </c>
      <c r="G68" s="671"/>
      <c r="H68" s="629">
        <f t="shared" ref="H68:O68" si="54">H67-G67</f>
        <v>9890681.2297918387</v>
      </c>
      <c r="I68" s="629">
        <f t="shared" si="54"/>
        <v>1401901.3695760742</v>
      </c>
      <c r="J68" s="629">
        <f t="shared" si="54"/>
        <v>621092.0777761098</v>
      </c>
      <c r="K68" s="629">
        <f t="shared" si="54"/>
        <v>655252.10724292137</v>
      </c>
      <c r="L68" s="629">
        <f t="shared" si="54"/>
        <v>6382501.0211116858</v>
      </c>
      <c r="M68" s="629">
        <f t="shared" si="54"/>
        <v>814911.39563643932</v>
      </c>
      <c r="N68" s="629">
        <f t="shared" si="54"/>
        <v>770887.22884427011</v>
      </c>
      <c r="O68" s="629">
        <f t="shared" si="54"/>
        <v>924175.18934906274</v>
      </c>
      <c r="P68" s="630"/>
    </row>
    <row r="69" spans="1:16" ht="15" customHeight="1">
      <c r="B69" s="426" t="s">
        <v>131</v>
      </c>
      <c r="G69" s="573" t="e">
        <f>G67/G38</f>
        <v>#DIV/0!</v>
      </c>
      <c r="H69" s="574">
        <f t="shared" ref="H69:O69" si="55">H67/H38</f>
        <v>3.5661370938495904E-2</v>
      </c>
      <c r="I69" s="574">
        <f t="shared" si="55"/>
        <v>3.7398388916902552E-2</v>
      </c>
      <c r="J69" s="574">
        <f t="shared" si="55"/>
        <v>3.3086205805130109E-2</v>
      </c>
      <c r="K69" s="574">
        <f t="shared" si="55"/>
        <v>2.8720901077395201E-2</v>
      </c>
      <c r="L69" s="574">
        <f t="shared" si="55"/>
        <v>2.5454583986466942E-2</v>
      </c>
      <c r="M69" s="575">
        <f t="shared" si="55"/>
        <v>2.3853666754613673E-2</v>
      </c>
      <c r="N69" s="575">
        <f t="shared" si="55"/>
        <v>2.2165147572368295E-2</v>
      </c>
      <c r="O69" s="575">
        <f t="shared" si="55"/>
        <v>2.0425554861662129E-2</v>
      </c>
      <c r="P69" s="666"/>
    </row>
    <row r="70" spans="1:16" ht="15" customHeight="1">
      <c r="B70" s="426" t="s">
        <v>132</v>
      </c>
      <c r="G70" s="576">
        <f>IFERROR((G38/G9),0)</f>
        <v>0</v>
      </c>
      <c r="H70" s="577">
        <f t="shared" ref="H70:O70" si="56">IFERROR((H38/H9),0)</f>
        <v>4.7808428704411581</v>
      </c>
      <c r="I70" s="577">
        <f t="shared" si="56"/>
        <v>4.5279555769178117</v>
      </c>
      <c r="J70" s="577">
        <f t="shared" si="56"/>
        <v>5.1557227683759619</v>
      </c>
      <c r="K70" s="577">
        <f t="shared" si="56"/>
        <v>5.3050379335109179</v>
      </c>
      <c r="L70" s="577">
        <f t="shared" si="56"/>
        <v>4.4763700424581954</v>
      </c>
      <c r="M70" s="578">
        <f t="shared" si="56"/>
        <v>4.8721962395902461</v>
      </c>
      <c r="N70" s="578">
        <f t="shared" si="56"/>
        <v>5.0863008789360364</v>
      </c>
      <c r="O70" s="578">
        <f t="shared" si="56"/>
        <v>5.6373059275115045</v>
      </c>
      <c r="P70" s="667"/>
    </row>
    <row r="71" spans="1:16" s="826" customFormat="1" ht="15" customHeight="1" thickBot="1">
      <c r="B71" s="827" t="s">
        <v>133</v>
      </c>
      <c r="G71" s="835" t="e">
        <f>G66/G69</f>
        <v>#DIV/0!</v>
      </c>
      <c r="H71" s="836">
        <f t="shared" ref="H71:O71" si="57">H66/H69</f>
        <v>1.7447615113644617</v>
      </c>
      <c r="I71" s="836">
        <f t="shared" si="57"/>
        <v>1.4160324096268813</v>
      </c>
      <c r="J71" s="836">
        <f t="shared" si="57"/>
        <v>1.545198904534717</v>
      </c>
      <c r="K71" s="836">
        <f t="shared" si="57"/>
        <v>6.179581893038705</v>
      </c>
      <c r="L71" s="836">
        <f t="shared" si="57"/>
        <v>0.60452959110177173</v>
      </c>
      <c r="M71" s="837">
        <f t="shared" si="57"/>
        <v>2.2142418384664397</v>
      </c>
      <c r="N71" s="837">
        <f t="shared" si="57"/>
        <v>2.2822119293710732</v>
      </c>
      <c r="O71" s="837">
        <f t="shared" si="57"/>
        <v>5.0434652292913364</v>
      </c>
      <c r="P71" s="838"/>
    </row>
    <row r="72" spans="1:16" ht="15" customHeight="1">
      <c r="B72" s="564"/>
      <c r="C72" s="564"/>
      <c r="D72" s="564"/>
      <c r="E72" s="564"/>
      <c r="F72" s="564"/>
      <c r="G72" s="564"/>
      <c r="H72" s="564"/>
      <c r="I72" s="564"/>
      <c r="J72" s="564"/>
      <c r="K72" s="564"/>
      <c r="L72" s="564"/>
      <c r="M72" s="564"/>
      <c r="N72" s="564"/>
      <c r="O72" s="564"/>
      <c r="P72" s="564"/>
    </row>
    <row r="73" spans="1:16" ht="15" customHeight="1"/>
    <row r="74" spans="1:16" ht="15" customHeight="1" thickBot="1">
      <c r="A74" s="266">
        <f>+A55</f>
        <v>0</v>
      </c>
      <c r="B74" s="551" t="s">
        <v>148</v>
      </c>
    </row>
    <row r="75" spans="1:16" ht="15" customHeight="1" thickBot="1">
      <c r="G75" s="565" t="str">
        <f>+G62</f>
        <v>INICIAL</v>
      </c>
      <c r="H75" s="565">
        <f t="shared" ref="H75:O75" si="58">+H62</f>
        <v>2023</v>
      </c>
      <c r="I75" s="565">
        <f t="shared" si="58"/>
        <v>2024</v>
      </c>
      <c r="J75" s="565">
        <f t="shared" si="58"/>
        <v>2025</v>
      </c>
      <c r="K75" s="565">
        <f t="shared" si="58"/>
        <v>2026</v>
      </c>
      <c r="L75" s="565">
        <f t="shared" si="58"/>
        <v>2027</v>
      </c>
      <c r="M75" s="565">
        <f t="shared" si="58"/>
        <v>2028</v>
      </c>
      <c r="N75" s="565">
        <f t="shared" si="58"/>
        <v>2029</v>
      </c>
      <c r="O75" s="565">
        <f t="shared" si="58"/>
        <v>2030</v>
      </c>
      <c r="P75" s="662"/>
    </row>
    <row r="76" spans="1:16" ht="15" customHeight="1" thickBot="1">
      <c r="B76" s="579" t="s">
        <v>149</v>
      </c>
      <c r="C76" s="580"/>
      <c r="D76" s="580"/>
      <c r="E76" s="580"/>
      <c r="F76" s="580"/>
      <c r="G76" s="580"/>
      <c r="H76" s="580"/>
      <c r="I76" s="580"/>
      <c r="J76" s="580"/>
      <c r="K76" s="580"/>
      <c r="L76" s="580"/>
    </row>
    <row r="77" spans="1:16" ht="15" customHeight="1">
      <c r="B77" s="426" t="s">
        <v>591</v>
      </c>
      <c r="G77" s="554" t="e">
        <f>G41/G38</f>
        <v>#DIV/0!</v>
      </c>
      <c r="H77" s="555">
        <f t="shared" ref="H77:O77" si="59">H41/H38</f>
        <v>0.4953603689594942</v>
      </c>
      <c r="I77" s="555">
        <f t="shared" si="59"/>
        <v>0.48025542819434941</v>
      </c>
      <c r="J77" s="555">
        <f t="shared" si="59"/>
        <v>0.45126193936647707</v>
      </c>
      <c r="K77" s="555">
        <f t="shared" si="59"/>
        <v>0.51265750168558255</v>
      </c>
      <c r="L77" s="555">
        <f t="shared" si="59"/>
        <v>0.42865519916474615</v>
      </c>
      <c r="M77" s="556">
        <f t="shared" si="59"/>
        <v>0.44189467109613734</v>
      </c>
      <c r="N77" s="556">
        <f t="shared" si="59"/>
        <v>0.41442366788240231</v>
      </c>
      <c r="O77" s="556">
        <f t="shared" si="59"/>
        <v>0.43739541131437359</v>
      </c>
      <c r="P77" s="663"/>
    </row>
    <row r="78" spans="1:16" ht="15" customHeight="1">
      <c r="B78" s="426" t="s">
        <v>592</v>
      </c>
      <c r="G78" s="572" t="e">
        <f>G46/G38</f>
        <v>#DIV/0!</v>
      </c>
      <c r="H78" s="560">
        <f t="shared" ref="H78:O78" si="60">H46/H38</f>
        <v>2.0386959909557308E-2</v>
      </c>
      <c r="I78" s="560">
        <f t="shared" si="60"/>
        <v>8.7872861254183737E-3</v>
      </c>
      <c r="J78" s="560">
        <f t="shared" si="60"/>
        <v>1.2332923673158016E-2</v>
      </c>
      <c r="K78" s="560">
        <f t="shared" si="60"/>
        <v>0.13978314707222128</v>
      </c>
      <c r="L78" s="560">
        <f t="shared" si="60"/>
        <v>-2.9291009475588752E-2</v>
      </c>
      <c r="M78" s="561">
        <f t="shared" si="60"/>
        <v>2.5770296276369259E-2</v>
      </c>
      <c r="N78" s="561">
        <f t="shared" si="60"/>
        <v>2.5658772532660135E-2</v>
      </c>
      <c r="O78" s="561">
        <f t="shared" si="60"/>
        <v>8.0831615047366495E-2</v>
      </c>
      <c r="P78" s="663"/>
    </row>
    <row r="79" spans="1:16" ht="15" customHeight="1">
      <c r="B79" s="426" t="s">
        <v>593</v>
      </c>
      <c r="G79" s="572" t="e">
        <f>G52/G38</f>
        <v>#DIV/0!</v>
      </c>
      <c r="H79" s="560">
        <f t="shared" ref="H79:O79" si="61">H52/H38</f>
        <v>-2.1893549987592718E-2</v>
      </c>
      <c r="I79" s="560">
        <f t="shared" si="61"/>
        <v>-2.1722260839350666E-2</v>
      </c>
      <c r="J79" s="560">
        <f t="shared" si="61"/>
        <v>-6.4308832076203906E-3</v>
      </c>
      <c r="K79" s="560">
        <f t="shared" si="61"/>
        <v>8.4225704339333046E-2</v>
      </c>
      <c r="L79" s="560">
        <f t="shared" si="61"/>
        <v>-5.0004711837417795E-2</v>
      </c>
      <c r="M79" s="561">
        <f t="shared" si="61"/>
        <v>6.9110998295367227E-3</v>
      </c>
      <c r="N79" s="561">
        <f t="shared" si="61"/>
        <v>8.8732885502288538E-3</v>
      </c>
      <c r="O79" s="561">
        <f t="shared" si="61"/>
        <v>4.6716581829473421E-2</v>
      </c>
      <c r="P79" s="663"/>
    </row>
    <row r="80" spans="1:16" ht="15" customHeight="1" thickBot="1">
      <c r="B80" s="426" t="s">
        <v>594</v>
      </c>
      <c r="G80" s="581">
        <f>G52/G30</f>
        <v>0</v>
      </c>
      <c r="H80" s="582">
        <f t="shared" ref="H80:O80" si="62">H52/H30</f>
        <v>-0.1453818120849574</v>
      </c>
      <c r="I80" s="582">
        <f t="shared" si="62"/>
        <v>-0.18629633732278184</v>
      </c>
      <c r="J80" s="582">
        <f t="shared" si="62"/>
        <v>-7.0400302525996675E-2</v>
      </c>
      <c r="K80" s="582">
        <f t="shared" si="62"/>
        <v>0.5284349478177891</v>
      </c>
      <c r="L80" s="582">
        <f t="shared" si="62"/>
        <v>-1.1447479085278978</v>
      </c>
      <c r="M80" s="583">
        <f t="shared" si="62"/>
        <v>0.14972686105882749</v>
      </c>
      <c r="N80" s="583">
        <f t="shared" si="62"/>
        <v>0.17692078612097911</v>
      </c>
      <c r="O80" s="583">
        <f t="shared" si="62"/>
        <v>0.51368451117699343</v>
      </c>
      <c r="P80" s="663"/>
    </row>
    <row r="81" spans="2:16" ht="15" customHeight="1" thickBot="1">
      <c r="B81" s="579" t="s">
        <v>150</v>
      </c>
      <c r="C81" s="580"/>
      <c r="D81" s="580"/>
      <c r="E81" s="580"/>
      <c r="F81" s="580"/>
      <c r="G81" s="580"/>
      <c r="H81" s="580"/>
      <c r="I81" s="580"/>
      <c r="J81" s="580"/>
      <c r="K81" s="580"/>
      <c r="L81" s="580"/>
      <c r="M81" s="580"/>
      <c r="N81" s="580"/>
      <c r="O81" s="580"/>
      <c r="P81" s="580"/>
    </row>
    <row r="82" spans="2:16" ht="15" customHeight="1">
      <c r="B82" s="426" t="s">
        <v>595</v>
      </c>
      <c r="G82" s="584">
        <f>G7-G19</f>
        <v>49748218.400000006</v>
      </c>
      <c r="H82" s="585">
        <f t="shared" ref="H82:O82" si="63">H7-H19</f>
        <v>45149055.845647141</v>
      </c>
      <c r="I82" s="585">
        <f t="shared" si="63"/>
        <v>34065297.816194594</v>
      </c>
      <c r="J82" s="585">
        <f t="shared" si="63"/>
        <v>31477105.683144838</v>
      </c>
      <c r="K82" s="585">
        <f t="shared" si="63"/>
        <v>58806511.216633879</v>
      </c>
      <c r="L82" s="585">
        <f t="shared" si="63"/>
        <v>24181207.641463369</v>
      </c>
      <c r="M82" s="586">
        <f t="shared" si="63"/>
        <v>41700829.655234918</v>
      </c>
      <c r="N82" s="586">
        <f t="shared" si="63"/>
        <v>52645723.759229265</v>
      </c>
      <c r="O82" s="586">
        <f t="shared" si="63"/>
        <v>110826883.92379597</v>
      </c>
      <c r="P82" s="483"/>
    </row>
    <row r="83" spans="2:16" ht="15" customHeight="1">
      <c r="B83" s="426" t="s">
        <v>596</v>
      </c>
      <c r="G83" s="587">
        <f>G7/G19</f>
        <v>4.4663444432571371</v>
      </c>
      <c r="H83" s="588">
        <f t="shared" ref="H83:O83" si="64">H7/H19</f>
        <v>6.4600332941265899</v>
      </c>
      <c r="I83" s="588">
        <f t="shared" si="64"/>
        <v>48.912436805675782</v>
      </c>
      <c r="J83" s="588">
        <f t="shared" si="64"/>
        <v>42.964147089633542</v>
      </c>
      <c r="K83" s="588">
        <f t="shared" si="64"/>
        <v>3.8493513455938051</v>
      </c>
      <c r="L83" s="588">
        <f t="shared" si="64"/>
        <v>21.2658767047702</v>
      </c>
      <c r="M83" s="589">
        <f t="shared" si="64"/>
        <v>10.634655922519137</v>
      </c>
      <c r="N83" s="589">
        <f t="shared" si="64"/>
        <v>10.203715840562889</v>
      </c>
      <c r="O83" s="589">
        <f t="shared" si="64"/>
        <v>4.9891604024759086</v>
      </c>
      <c r="P83" s="669"/>
    </row>
    <row r="84" spans="2:16" ht="15" customHeight="1" thickBot="1">
      <c r="B84" s="426" t="s">
        <v>597</v>
      </c>
      <c r="G84" s="590">
        <f>(G7-G6)/G19</f>
        <v>4.4663444432571371</v>
      </c>
      <c r="H84" s="591">
        <f t="shared" ref="H84:O84" si="65">(H7-H6)/H19</f>
        <v>5.18861019685672</v>
      </c>
      <c r="I84" s="591">
        <f t="shared" si="65"/>
        <v>32.029553494792985</v>
      </c>
      <c r="J84" s="591">
        <f t="shared" si="65"/>
        <v>26.081263778750778</v>
      </c>
      <c r="K84" s="591">
        <f t="shared" si="65"/>
        <v>3.202005956197441</v>
      </c>
      <c r="L84" s="591">
        <f t="shared" si="65"/>
        <v>4.3829933938874523</v>
      </c>
      <c r="M84" s="592">
        <f t="shared" si="65"/>
        <v>5.7802618211780654</v>
      </c>
      <c r="N84" s="592">
        <f t="shared" si="65"/>
        <v>6.3872694528480629</v>
      </c>
      <c r="O84" s="592">
        <f t="shared" si="65"/>
        <v>4.1680307561317163</v>
      </c>
      <c r="P84" s="669"/>
    </row>
    <row r="85" spans="2:16" ht="15" customHeight="1" thickBot="1">
      <c r="B85" s="579" t="s">
        <v>151</v>
      </c>
      <c r="C85" s="580"/>
      <c r="D85" s="580"/>
      <c r="E85" s="580"/>
      <c r="F85" s="580"/>
      <c r="G85" s="580"/>
      <c r="H85" s="580"/>
      <c r="I85" s="580"/>
      <c r="J85" s="580"/>
      <c r="K85" s="580"/>
      <c r="L85" s="580"/>
      <c r="M85" s="580"/>
      <c r="N85" s="580"/>
      <c r="O85" s="580"/>
      <c r="P85" s="580"/>
    </row>
    <row r="86" spans="2:16" ht="15" customHeight="1">
      <c r="B86" s="426" t="s">
        <v>598</v>
      </c>
      <c r="G86" s="554">
        <f>G24/G13</f>
        <v>0.6</v>
      </c>
      <c r="H86" s="555">
        <f t="shared" ref="H86:O86" si="66">H24/H13</f>
        <v>0.58161062311031053</v>
      </c>
      <c r="I86" s="555">
        <f t="shared" si="66"/>
        <v>0.53990312964307408</v>
      </c>
      <c r="J86" s="555">
        <f t="shared" si="66"/>
        <v>0.47922166354165785</v>
      </c>
      <c r="K86" s="555">
        <f t="shared" si="66"/>
        <v>0.34524501602201252</v>
      </c>
      <c r="L86" s="555">
        <f t="shared" si="66"/>
        <v>0.68433125904475323</v>
      </c>
      <c r="M86" s="556">
        <f t="shared" si="66"/>
        <v>0.63580346015620148</v>
      </c>
      <c r="N86" s="556">
        <f t="shared" si="66"/>
        <v>0.56305356866812928</v>
      </c>
      <c r="O86" s="556">
        <f t="shared" si="66"/>
        <v>0.42953519720563621</v>
      </c>
      <c r="P86" s="663"/>
    </row>
    <row r="87" spans="2:16" s="826" customFormat="1" ht="15" customHeight="1">
      <c r="B87" s="826" t="s">
        <v>599</v>
      </c>
      <c r="G87" s="832">
        <f>G19/G24</f>
        <v>0.19999999999999996</v>
      </c>
      <c r="H87" s="833">
        <f t="shared" ref="H87:O87" si="67">H19/H24</f>
        <v>0.14241883242286676</v>
      </c>
      <c r="I87" s="833">
        <f t="shared" si="67"/>
        <v>1.7209025369021951E-2</v>
      </c>
      <c r="J87" s="833">
        <f t="shared" si="67"/>
        <v>2.4782093561244906E-2</v>
      </c>
      <c r="K87" s="833">
        <f>K19/K24</f>
        <v>0.56114817008157947</v>
      </c>
      <c r="L87" s="833">
        <f t="shared" si="67"/>
        <v>1.6923913153273545E-2</v>
      </c>
      <c r="M87" s="834">
        <f t="shared" si="67"/>
        <v>6.4819081355030006E-2</v>
      </c>
      <c r="N87" s="834">
        <f t="shared" si="67"/>
        <v>9.5521574390431407E-2</v>
      </c>
      <c r="O87" s="834">
        <f t="shared" si="67"/>
        <v>0.38613121678431306</v>
      </c>
      <c r="P87" s="831"/>
    </row>
    <row r="88" spans="2:16" s="826" customFormat="1" ht="15" customHeight="1" thickBot="1">
      <c r="B88" s="826" t="s">
        <v>600</v>
      </c>
      <c r="G88" s="839">
        <f>G22/G24</f>
        <v>0.8</v>
      </c>
      <c r="H88" s="840">
        <f t="shared" ref="H88:O88" si="68">H22/H24</f>
        <v>0.85758116757713332</v>
      </c>
      <c r="I88" s="840">
        <f t="shared" si="68"/>
        <v>0.98279097463097809</v>
      </c>
      <c r="J88" s="840">
        <f t="shared" si="68"/>
        <v>0.97521790643875506</v>
      </c>
      <c r="K88" s="840">
        <f t="shared" si="68"/>
        <v>0.43885182991842042</v>
      </c>
      <c r="L88" s="840">
        <f t="shared" si="68"/>
        <v>0.98307608684672643</v>
      </c>
      <c r="M88" s="841">
        <f t="shared" si="68"/>
        <v>0.93518091864496999</v>
      </c>
      <c r="N88" s="841">
        <f t="shared" si="68"/>
        <v>0.90447842560956859</v>
      </c>
      <c r="O88" s="841">
        <f t="shared" si="68"/>
        <v>0.61386878321568694</v>
      </c>
      <c r="P88" s="831"/>
    </row>
    <row r="89" spans="2:16" ht="15" customHeight="1" thickBot="1">
      <c r="B89" s="579" t="s">
        <v>152</v>
      </c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  <c r="P89" s="580"/>
    </row>
    <row r="90" spans="2:16" ht="15" customHeight="1">
      <c r="B90" s="426" t="s">
        <v>153</v>
      </c>
      <c r="D90" s="593" t="s">
        <v>162</v>
      </c>
      <c r="G90" s="594">
        <f>G38/G30</f>
        <v>0</v>
      </c>
      <c r="H90" s="595">
        <f t="shared" ref="H90:O90" si="69">H38/H30</f>
        <v>6.6403946444202351</v>
      </c>
      <c r="I90" s="595">
        <f t="shared" si="69"/>
        <v>8.5762867272682417</v>
      </c>
      <c r="J90" s="595">
        <f t="shared" si="69"/>
        <v>10.947221439595509</v>
      </c>
      <c r="K90" s="595">
        <f t="shared" si="69"/>
        <v>6.2740341795041799</v>
      </c>
      <c r="L90" s="595">
        <f t="shared" si="69"/>
        <v>22.892800827447218</v>
      </c>
      <c r="M90" s="596">
        <f t="shared" si="69"/>
        <v>21.66469371762269</v>
      </c>
      <c r="N90" s="596">
        <f t="shared" si="69"/>
        <v>19.938581408627371</v>
      </c>
      <c r="O90" s="596">
        <f t="shared" si="69"/>
        <v>10.995764053373241</v>
      </c>
      <c r="P90" s="667"/>
    </row>
    <row r="91" spans="2:16" ht="15" customHeight="1">
      <c r="B91" s="426" t="s">
        <v>154</v>
      </c>
      <c r="D91" s="593" t="s">
        <v>163</v>
      </c>
      <c r="G91" s="576">
        <f>G38/G13</f>
        <v>0</v>
      </c>
      <c r="H91" s="577">
        <f t="shared" ref="H91:O91" si="70">H38/H13</f>
        <v>2.7782705775806158</v>
      </c>
      <c r="I91" s="577">
        <f t="shared" si="70"/>
        <v>3.9459226824997571</v>
      </c>
      <c r="J91" s="577">
        <f t="shared" si="70"/>
        <v>5.7010757701536443</v>
      </c>
      <c r="K91" s="577">
        <f t="shared" si="70"/>
        <v>4.1079551486786077</v>
      </c>
      <c r="L91" s="577">
        <f t="shared" si="70"/>
        <v>7.2265416141394896</v>
      </c>
      <c r="M91" s="578">
        <f t="shared" si="70"/>
        <v>7.8902064887338694</v>
      </c>
      <c r="N91" s="578">
        <f t="shared" si="70"/>
        <v>8.7120919923197118</v>
      </c>
      <c r="O91" s="578">
        <f t="shared" si="70"/>
        <v>6.2726963722809135</v>
      </c>
      <c r="P91" s="667"/>
    </row>
    <row r="92" spans="2:16" ht="15" customHeight="1">
      <c r="B92" s="426" t="s">
        <v>155</v>
      </c>
      <c r="D92" s="593" t="s">
        <v>164</v>
      </c>
      <c r="G92" s="576" t="e">
        <f>G38/G5</f>
        <v>#DIV/0!</v>
      </c>
      <c r="H92" s="577" t="e">
        <f t="shared" ref="H92:O92" si="71">H38/H5</f>
        <v>#DIV/0!</v>
      </c>
      <c r="I92" s="577" t="e">
        <f t="shared" si="71"/>
        <v>#DIV/0!</v>
      </c>
      <c r="J92" s="577" t="e">
        <f t="shared" si="71"/>
        <v>#DIV/0!</v>
      </c>
      <c r="K92" s="577" t="e">
        <f t="shared" si="71"/>
        <v>#DIV/0!</v>
      </c>
      <c r="L92" s="577" t="e">
        <f t="shared" si="71"/>
        <v>#DIV/0!</v>
      </c>
      <c r="M92" s="578" t="e">
        <f t="shared" si="71"/>
        <v>#DIV/0!</v>
      </c>
      <c r="N92" s="578" t="e">
        <f t="shared" si="71"/>
        <v>#DIV/0!</v>
      </c>
      <c r="O92" s="578" t="e">
        <f t="shared" si="71"/>
        <v>#DIV/0!</v>
      </c>
      <c r="P92" s="667"/>
    </row>
    <row r="93" spans="2:16" ht="15" customHeight="1">
      <c r="B93" s="426" t="s">
        <v>156</v>
      </c>
      <c r="D93" s="593" t="s">
        <v>165</v>
      </c>
      <c r="G93" s="576" t="e">
        <f>(G6/G39)*365</f>
        <v>#DIV/0!</v>
      </c>
      <c r="H93" s="577">
        <f t="shared" ref="H93:O93" si="72">(H6/H39)*365</f>
        <v>77.028155105902613</v>
      </c>
      <c r="I93" s="577">
        <f t="shared" si="72"/>
        <v>77.028155105902613</v>
      </c>
      <c r="J93" s="577">
        <f t="shared" si="72"/>
        <v>77.028155105902613</v>
      </c>
      <c r="K93" s="577">
        <f t="shared" si="72"/>
        <v>77.028155105902613</v>
      </c>
      <c r="L93" s="577">
        <f t="shared" si="72"/>
        <v>77.028155105902613</v>
      </c>
      <c r="M93" s="578">
        <f t="shared" si="72"/>
        <v>77.028155105902613</v>
      </c>
      <c r="N93" s="578">
        <f t="shared" si="72"/>
        <v>77.028155105902627</v>
      </c>
      <c r="O93" s="578">
        <f t="shared" si="72"/>
        <v>77.028155105902613</v>
      </c>
      <c r="P93" s="667"/>
    </row>
    <row r="94" spans="2:16" ht="15" customHeight="1">
      <c r="B94" s="426" t="s">
        <v>157</v>
      </c>
      <c r="D94" s="593" t="s">
        <v>166</v>
      </c>
      <c r="G94" s="576" t="e">
        <f>(G5/G38)*365</f>
        <v>#DIV/0!</v>
      </c>
      <c r="H94" s="577">
        <f t="shared" ref="H94:O94" si="73">(H5/H38)*365</f>
        <v>0</v>
      </c>
      <c r="I94" s="577">
        <f t="shared" si="73"/>
        <v>0</v>
      </c>
      <c r="J94" s="577">
        <f t="shared" si="73"/>
        <v>0</v>
      </c>
      <c r="K94" s="577">
        <f t="shared" si="73"/>
        <v>0</v>
      </c>
      <c r="L94" s="577">
        <f t="shared" si="73"/>
        <v>0</v>
      </c>
      <c r="M94" s="578">
        <f t="shared" si="73"/>
        <v>0</v>
      </c>
      <c r="N94" s="578">
        <f t="shared" si="73"/>
        <v>0</v>
      </c>
      <c r="O94" s="578">
        <f t="shared" si="73"/>
        <v>0</v>
      </c>
      <c r="P94" s="667"/>
    </row>
    <row r="95" spans="2:16" ht="15" customHeight="1">
      <c r="B95" s="426" t="s">
        <v>158</v>
      </c>
      <c r="D95" s="593" t="s">
        <v>167</v>
      </c>
      <c r="G95" s="576" t="e">
        <f>(G18/G39)*365</f>
        <v>#DIV/0!</v>
      </c>
      <c r="H95" s="577">
        <f t="shared" ref="H95:O95" si="74">(H18/H39)*365</f>
        <v>4.5625000000000018</v>
      </c>
      <c r="I95" s="577">
        <f t="shared" si="74"/>
        <v>4.5625000000000062</v>
      </c>
      <c r="J95" s="577">
        <f t="shared" si="74"/>
        <v>4.5625</v>
      </c>
      <c r="K95" s="577">
        <f t="shared" si="74"/>
        <v>4.5624999999999991</v>
      </c>
      <c r="L95" s="577">
        <f t="shared" si="74"/>
        <v>4.5625000000000044</v>
      </c>
      <c r="M95" s="578">
        <f t="shared" si="74"/>
        <v>4.5625000000000036</v>
      </c>
      <c r="N95" s="578">
        <f t="shared" si="74"/>
        <v>4.5625</v>
      </c>
      <c r="O95" s="578">
        <f t="shared" si="74"/>
        <v>4.5625000000000009</v>
      </c>
      <c r="P95" s="667"/>
    </row>
    <row r="96" spans="2:16" ht="15" customHeight="1" thickBot="1">
      <c r="B96" s="426" t="s">
        <v>159</v>
      </c>
      <c r="D96" s="593" t="s">
        <v>168</v>
      </c>
      <c r="G96" s="597" t="e">
        <f>G94+G93</f>
        <v>#DIV/0!</v>
      </c>
      <c r="H96" s="598">
        <f t="shared" ref="H96:O96" si="75">H94+H93</f>
        <v>77.028155105902613</v>
      </c>
      <c r="I96" s="598">
        <f t="shared" si="75"/>
        <v>77.028155105902613</v>
      </c>
      <c r="J96" s="598">
        <f t="shared" si="75"/>
        <v>77.028155105902613</v>
      </c>
      <c r="K96" s="598">
        <f t="shared" si="75"/>
        <v>77.028155105902613</v>
      </c>
      <c r="L96" s="598">
        <f t="shared" si="75"/>
        <v>77.028155105902613</v>
      </c>
      <c r="M96" s="599">
        <f t="shared" si="75"/>
        <v>77.028155105902613</v>
      </c>
      <c r="N96" s="599">
        <f t="shared" si="75"/>
        <v>77.028155105902627</v>
      </c>
      <c r="O96" s="599">
        <f t="shared" si="75"/>
        <v>77.028155105902613</v>
      </c>
      <c r="P96" s="667"/>
    </row>
    <row r="97" spans="1:16" ht="15" customHeight="1">
      <c r="B97" s="564"/>
      <c r="C97" s="564"/>
      <c r="D97" s="564"/>
      <c r="E97" s="564"/>
      <c r="F97" s="564"/>
      <c r="G97" s="564"/>
      <c r="H97" s="564"/>
      <c r="I97" s="564"/>
      <c r="J97" s="564"/>
      <c r="K97" s="564"/>
      <c r="L97" s="564"/>
      <c r="M97" s="564"/>
    </row>
    <row r="98" spans="1:16" ht="15" customHeight="1"/>
    <row r="99" spans="1:16" ht="15" customHeight="1" thickBot="1">
      <c r="A99" s="154"/>
      <c r="B99" s="579" t="s">
        <v>160</v>
      </c>
      <c r="C99" s="43"/>
      <c r="D99" s="43"/>
      <c r="E99" s="43"/>
      <c r="F99" s="43"/>
      <c r="G99" s="43"/>
      <c r="H99" s="43"/>
      <c r="I99" s="580"/>
      <c r="J99" s="580"/>
      <c r="K99" s="580"/>
      <c r="L99" s="580"/>
      <c r="M99" s="580"/>
    </row>
    <row r="100" spans="1:16" ht="15" customHeight="1" thickBot="1">
      <c r="B100" s="600"/>
      <c r="G100" s="565" t="str">
        <f>G75</f>
        <v>INICIAL</v>
      </c>
      <c r="H100" s="565">
        <f t="shared" ref="H100:O100" si="76">H75</f>
        <v>2023</v>
      </c>
      <c r="I100" s="565">
        <f t="shared" si="76"/>
        <v>2024</v>
      </c>
      <c r="J100" s="565">
        <f t="shared" si="76"/>
        <v>2025</v>
      </c>
      <c r="K100" s="565">
        <f t="shared" si="76"/>
        <v>2026</v>
      </c>
      <c r="L100" s="565">
        <f t="shared" si="76"/>
        <v>2027</v>
      </c>
      <c r="M100" s="565">
        <f t="shared" si="76"/>
        <v>2028</v>
      </c>
      <c r="N100" s="565">
        <f t="shared" si="76"/>
        <v>2029</v>
      </c>
      <c r="O100" s="565">
        <f t="shared" si="76"/>
        <v>2030</v>
      </c>
      <c r="P100" s="662"/>
    </row>
    <row r="101" spans="1:16" ht="15" customHeight="1">
      <c r="B101" s="426" t="s">
        <v>601</v>
      </c>
      <c r="G101" s="572" t="e">
        <f>G52/G38</f>
        <v>#DIV/0!</v>
      </c>
      <c r="H101" s="560">
        <f t="shared" ref="H101:O101" si="77">H52/H38</f>
        <v>-2.1893549987592718E-2</v>
      </c>
      <c r="I101" s="560">
        <f t="shared" si="77"/>
        <v>-2.1722260839350666E-2</v>
      </c>
      <c r="J101" s="560">
        <f t="shared" si="77"/>
        <v>-6.4308832076203906E-3</v>
      </c>
      <c r="K101" s="560">
        <f t="shared" si="77"/>
        <v>8.4225704339333046E-2</v>
      </c>
      <c r="L101" s="560">
        <f t="shared" si="77"/>
        <v>-5.0004711837417795E-2</v>
      </c>
      <c r="M101" s="561">
        <f t="shared" si="77"/>
        <v>6.9110998295367227E-3</v>
      </c>
      <c r="N101" s="561">
        <f t="shared" si="77"/>
        <v>8.8732885502288538E-3</v>
      </c>
      <c r="O101" s="561">
        <f t="shared" si="77"/>
        <v>4.6716581829473421E-2</v>
      </c>
      <c r="P101" s="663"/>
    </row>
    <row r="102" spans="1:16" ht="15" customHeight="1">
      <c r="B102" s="426" t="s">
        <v>602</v>
      </c>
      <c r="G102" s="601">
        <f>G38/G13</f>
        <v>0</v>
      </c>
      <c r="H102" s="602">
        <f t="shared" ref="H102:O102" si="78">H38/H13</f>
        <v>2.7782705775806158</v>
      </c>
      <c r="I102" s="602">
        <f t="shared" si="78"/>
        <v>3.9459226824997571</v>
      </c>
      <c r="J102" s="602">
        <f t="shared" si="78"/>
        <v>5.7010757701536443</v>
      </c>
      <c r="K102" s="602">
        <f t="shared" si="78"/>
        <v>4.1079551486786077</v>
      </c>
      <c r="L102" s="602">
        <f t="shared" si="78"/>
        <v>7.2265416141394896</v>
      </c>
      <c r="M102" s="603">
        <f t="shared" si="78"/>
        <v>7.8902064887338694</v>
      </c>
      <c r="N102" s="603">
        <f t="shared" si="78"/>
        <v>8.7120919923197118</v>
      </c>
      <c r="O102" s="603">
        <f t="shared" si="78"/>
        <v>6.2726963722809135</v>
      </c>
      <c r="P102" s="668"/>
    </row>
    <row r="103" spans="1:16" ht="15" customHeight="1">
      <c r="B103" s="426" t="s">
        <v>603</v>
      </c>
      <c r="G103" s="572">
        <f>G13/G30</f>
        <v>2.5</v>
      </c>
      <c r="H103" s="560">
        <f t="shared" ref="H103:O103" si="79">H13/H30</f>
        <v>2.3901180460986091</v>
      </c>
      <c r="I103" s="560">
        <f t="shared" si="79"/>
        <v>2.1734553404465422</v>
      </c>
      <c r="J103" s="560">
        <f t="shared" si="79"/>
        <v>1.9202027618904072</v>
      </c>
      <c r="K103" s="560">
        <f t="shared" si="79"/>
        <v>1.5272888706008214</v>
      </c>
      <c r="L103" s="560">
        <f t="shared" si="79"/>
        <v>3.1678778106881778</v>
      </c>
      <c r="M103" s="561">
        <f t="shared" si="79"/>
        <v>2.745770183398482</v>
      </c>
      <c r="N103" s="561">
        <f t="shared" si="79"/>
        <v>2.2886100635994842</v>
      </c>
      <c r="O103" s="561">
        <f t="shared" si="79"/>
        <v>1.7529565279077741</v>
      </c>
      <c r="P103" s="663"/>
    </row>
    <row r="104" spans="1:16" ht="15" customHeight="1" thickBot="1">
      <c r="B104" s="553" t="s">
        <v>161</v>
      </c>
      <c r="G104" s="604" t="e">
        <f t="shared" ref="G104:M104" si="80">G101*G102*G103</f>
        <v>#DIV/0!</v>
      </c>
      <c r="H104" s="605">
        <f>H101*H102*H103</f>
        <v>-0.1453818120849574</v>
      </c>
      <c r="I104" s="605">
        <f t="shared" si="80"/>
        <v>-0.18629633732278184</v>
      </c>
      <c r="J104" s="605">
        <f t="shared" si="80"/>
        <v>-7.0400302525996661E-2</v>
      </c>
      <c r="K104" s="605">
        <f t="shared" si="80"/>
        <v>0.5284349478177891</v>
      </c>
      <c r="L104" s="605">
        <f t="shared" si="80"/>
        <v>-1.1447479085278978</v>
      </c>
      <c r="M104" s="606">
        <f t="shared" si="80"/>
        <v>0.14972686105882749</v>
      </c>
      <c r="N104" s="606">
        <f>N101*N102*N103</f>
        <v>0.17692078612097914</v>
      </c>
      <c r="O104" s="606">
        <f>O101*O102*O103</f>
        <v>0.51368451117699332</v>
      </c>
      <c r="P104" s="670"/>
    </row>
    <row r="105" spans="1:16" ht="15" customHeight="1">
      <c r="B105" s="564"/>
      <c r="C105" s="564"/>
      <c r="D105" s="564"/>
      <c r="E105" s="564"/>
      <c r="F105" s="564"/>
      <c r="G105" s="564"/>
      <c r="H105" s="564"/>
      <c r="I105" s="564"/>
      <c r="J105" s="564"/>
      <c r="K105" s="564"/>
      <c r="L105" s="564"/>
      <c r="M105" s="564"/>
    </row>
  </sheetData>
  <mergeCells count="45">
    <mergeCell ref="AH40:AK40"/>
    <mergeCell ref="AH45:AJ45"/>
    <mergeCell ref="AD37:AE37"/>
    <mergeCell ref="B2:F2"/>
    <mergeCell ref="B3:F3"/>
    <mergeCell ref="B8:F8"/>
    <mergeCell ref="B26:F26"/>
    <mergeCell ref="B6:F6"/>
    <mergeCell ref="B7:F7"/>
    <mergeCell ref="B9:F9"/>
    <mergeCell ref="B10:F10"/>
    <mergeCell ref="B18:F18"/>
    <mergeCell ref="B19:F19"/>
    <mergeCell ref="B20:F20"/>
    <mergeCell ref="B21:F21"/>
    <mergeCell ref="B22:F22"/>
    <mergeCell ref="B4:F4"/>
    <mergeCell ref="B5:F5"/>
    <mergeCell ref="B41:F41"/>
    <mergeCell ref="B42:F42"/>
    <mergeCell ref="B40:F40"/>
    <mergeCell ref="B27:F27"/>
    <mergeCell ref="B28:F28"/>
    <mergeCell ref="B30:F30"/>
    <mergeCell ref="B32:F32"/>
    <mergeCell ref="B36:F36"/>
    <mergeCell ref="B11:F11"/>
    <mergeCell ref="B13:F13"/>
    <mergeCell ref="B15:F15"/>
    <mergeCell ref="B16:F16"/>
    <mergeCell ref="B50:F50"/>
    <mergeCell ref="B51:F51"/>
    <mergeCell ref="B52:F52"/>
    <mergeCell ref="B24:F24"/>
    <mergeCell ref="B45:F45"/>
    <mergeCell ref="B29:F29"/>
    <mergeCell ref="B46:F46"/>
    <mergeCell ref="B47:F47"/>
    <mergeCell ref="B48:F48"/>
    <mergeCell ref="B49:F49"/>
    <mergeCell ref="B37:F37"/>
    <mergeCell ref="B38:F38"/>
    <mergeCell ref="B39:F39"/>
    <mergeCell ref="B44:F44"/>
    <mergeCell ref="B43:F4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14B3A55-A58E-487F-956C-972309E3AB84}">
          <x14:formula1>
            <xm:f>'Ventas-Mp Ins-Invent'!$B$1:$E$1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F364-42A3-4A6B-9720-77A716E9BA59}">
  <dimension ref="B2:L17"/>
  <sheetViews>
    <sheetView showGridLines="0" workbookViewId="0">
      <selection activeCell="C4" sqref="C4:K17"/>
    </sheetView>
  </sheetViews>
  <sheetFormatPr baseColWidth="10" defaultRowHeight="14.5"/>
  <cols>
    <col min="1" max="1" width="4.81640625" customWidth="1"/>
    <col min="2" max="2" width="34.54296875" bestFit="1" customWidth="1"/>
    <col min="3" max="6" width="6.7265625" bestFit="1" customWidth="1"/>
    <col min="7" max="7" width="7.453125" bestFit="1" customWidth="1"/>
    <col min="8" max="10" width="6.7265625" bestFit="1" customWidth="1"/>
    <col min="11" max="11" width="9" bestFit="1" customWidth="1"/>
  </cols>
  <sheetData>
    <row r="2" spans="2:12">
      <c r="B2" s="149" t="s">
        <v>783</v>
      </c>
    </row>
    <row r="3" spans="2:12" ht="15" thickBot="1"/>
    <row r="4" spans="2:12" ht="15" thickBot="1">
      <c r="B4" s="551" t="s">
        <v>118</v>
      </c>
      <c r="C4" s="851">
        <v>2023</v>
      </c>
      <c r="D4" s="851">
        <v>2024</v>
      </c>
      <c r="E4" s="851">
        <v>2025</v>
      </c>
      <c r="F4" s="851">
        <v>2026</v>
      </c>
      <c r="G4" s="851">
        <v>2027</v>
      </c>
      <c r="H4" s="851">
        <v>2028</v>
      </c>
      <c r="I4" s="851">
        <v>2029</v>
      </c>
      <c r="J4" s="851">
        <v>2030</v>
      </c>
      <c r="K4" s="851" t="s">
        <v>628</v>
      </c>
    </row>
    <row r="5" spans="2:12" s="154" customFormat="1" ht="15" customHeight="1" thickBot="1">
      <c r="B5" s="149" t="s">
        <v>119</v>
      </c>
      <c r="C5" s="844">
        <f>'EF Proyecto'!H56</f>
        <v>-6.0826205769319304E-2</v>
      </c>
      <c r="D5" s="844">
        <f>'EF Proyecto'!I56</f>
        <v>-8.5714361761170005E-2</v>
      </c>
      <c r="E5" s="844">
        <f>'EF Proyecto'!J56</f>
        <v>-3.6662952435652554E-2</v>
      </c>
      <c r="F5" s="844">
        <f>'EF Proyecto'!K56</f>
        <v>0.34599541579184534</v>
      </c>
      <c r="G5" s="844">
        <f>'EF Proyecto'!L56</f>
        <v>-0.36136113099615325</v>
      </c>
      <c r="H5" s="844">
        <f>'EF Proyecto'!M56</f>
        <v>5.4530004719298183E-2</v>
      </c>
      <c r="I5" s="844">
        <f>'EF Proyecto'!N56</f>
        <v>7.7304906123990977E-2</v>
      </c>
      <c r="J5" s="844">
        <f>'EF Proyecto'!O56</f>
        <v>0.29303893336710241</v>
      </c>
      <c r="K5" s="846">
        <f>AVERAGE(C5:J5)</f>
        <v>2.8288076129992727E-2</v>
      </c>
      <c r="L5" s="843"/>
    </row>
    <row r="6" spans="2:12" ht="15" thickBot="1">
      <c r="B6" s="178" t="s">
        <v>122</v>
      </c>
      <c r="C6" s="845">
        <f>'EF Proyecto'!H59</f>
        <v>5.1028059198036511E-2</v>
      </c>
      <c r="D6" s="845">
        <f>'EF Proyecto'!I59</f>
        <v>2.6335535082089162E-2</v>
      </c>
      <c r="E6" s="845">
        <f>'EF Proyecto'!J59</f>
        <v>4.3830719935603391E-2</v>
      </c>
      <c r="F6" s="845">
        <f>'EF Proyecto'!K59</f>
        <v>0.24674571771275464</v>
      </c>
      <c r="G6" s="845">
        <f>'EF Proyecto'!L59</f>
        <v>-0.11447423714298317</v>
      </c>
      <c r="H6" s="845">
        <f>'EF Proyecto'!M59</f>
        <v>6.4601798028827415E-2</v>
      </c>
      <c r="I6" s="845">
        <f>'EF Proyecto'!N59</f>
        <v>6.459330950830916E-2</v>
      </c>
      <c r="J6" s="845">
        <f>'EF Proyecto'!O59</f>
        <v>0.17057371627627982</v>
      </c>
      <c r="K6" s="846">
        <f>AVERAGE(C6:J6)</f>
        <v>6.9154327324864623E-2</v>
      </c>
    </row>
    <row r="8" spans="2:12" ht="15" thickBot="1"/>
    <row r="9" spans="2:12" ht="15" thickBot="1">
      <c r="B9" s="551" t="s">
        <v>124</v>
      </c>
      <c r="C9" s="851">
        <v>2023</v>
      </c>
      <c r="D9" s="851">
        <v>2024</v>
      </c>
      <c r="E9" s="851">
        <v>2025</v>
      </c>
      <c r="F9" s="851">
        <v>2026</v>
      </c>
      <c r="G9" s="851">
        <v>2027</v>
      </c>
      <c r="H9" s="851">
        <v>2028</v>
      </c>
      <c r="I9" s="851">
        <v>2029</v>
      </c>
      <c r="J9" s="851">
        <v>2030</v>
      </c>
      <c r="K9" s="851" t="s">
        <v>628</v>
      </c>
    </row>
    <row r="10" spans="2:12" ht="15" thickBot="1">
      <c r="B10" s="149" t="s">
        <v>128</v>
      </c>
      <c r="C10" s="848">
        <f>'EF Proyecto'!H66</f>
        <v>6.2220587455978804E-2</v>
      </c>
      <c r="D10" s="848">
        <f>'EF Proyecto'!I66</f>
        <v>5.2957330774164771E-2</v>
      </c>
      <c r="E10" s="848">
        <f>'EF Proyecto'!J66</f>
        <v>5.1124768965297239E-2</v>
      </c>
      <c r="F10" s="848">
        <f>'EF Proyecto'!K66</f>
        <v>0.17748316024962721</v>
      </c>
      <c r="G10" s="848">
        <f>'EF Proyecto'!L66</f>
        <v>1.5388049249004568E-2</v>
      </c>
      <c r="H10" s="848">
        <f>'EF Proyecto'!M66</f>
        <v>5.2817786928901572E-2</v>
      </c>
      <c r="I10" s="848">
        <f>'EF Proyecto'!N66</f>
        <v>5.0585564205929204E-2</v>
      </c>
      <c r="J10" s="848">
        <f>'EF Proyecto'!O66</f>
        <v>0.10301557573377557</v>
      </c>
      <c r="K10" s="846">
        <f>AVERAGE(C10:J10)</f>
        <v>7.0699102945334852E-2</v>
      </c>
    </row>
    <row r="11" spans="2:12" ht="15" thickBot="1">
      <c r="B11" s="149" t="s">
        <v>133</v>
      </c>
      <c r="C11" s="849">
        <f>'EF Proyecto'!H71</f>
        <v>1.7447615113644617</v>
      </c>
      <c r="D11" s="849">
        <f>'EF Proyecto'!I71</f>
        <v>1.4160324096268813</v>
      </c>
      <c r="E11" s="849">
        <f>'EF Proyecto'!J71</f>
        <v>1.545198904534717</v>
      </c>
      <c r="F11" s="849">
        <f>'EF Proyecto'!K71</f>
        <v>6.179581893038705</v>
      </c>
      <c r="G11" s="849">
        <f>'EF Proyecto'!L71</f>
        <v>0.60452959110177173</v>
      </c>
      <c r="H11" s="849">
        <f>'EF Proyecto'!M71</f>
        <v>2.2142418384664397</v>
      </c>
      <c r="I11" s="849">
        <f>'EF Proyecto'!N71</f>
        <v>2.2822119293710732</v>
      </c>
      <c r="J11" s="849">
        <f>'EF Proyecto'!O71</f>
        <v>5.0434652292913364</v>
      </c>
      <c r="K11" s="847">
        <f>AVERAGE(C11:J11)</f>
        <v>2.6287529133494232</v>
      </c>
    </row>
    <row r="13" spans="2:12">
      <c r="B13" s="551" t="s">
        <v>148</v>
      </c>
    </row>
    <row r="14" spans="2:12" ht="15" thickBot="1"/>
    <row r="15" spans="2:12" ht="15" thickBot="1">
      <c r="B15" s="579" t="s">
        <v>151</v>
      </c>
      <c r="C15" s="851">
        <v>2023</v>
      </c>
      <c r="D15" s="851">
        <v>2024</v>
      </c>
      <c r="E15" s="851">
        <v>2025</v>
      </c>
      <c r="F15" s="851">
        <v>2026</v>
      </c>
      <c r="G15" s="851">
        <v>2027</v>
      </c>
      <c r="H15" s="851">
        <v>2028</v>
      </c>
      <c r="I15" s="851">
        <v>2029</v>
      </c>
      <c r="J15" s="851">
        <v>2030</v>
      </c>
      <c r="K15" s="851" t="s">
        <v>628</v>
      </c>
    </row>
    <row r="16" spans="2:12" ht="15" thickBot="1">
      <c r="B16" s="149" t="s">
        <v>784</v>
      </c>
      <c r="C16" s="844">
        <f>'EF Proyecto'!H87</f>
        <v>0.14241883242286676</v>
      </c>
      <c r="D16" s="844">
        <f>'EF Proyecto'!I87</f>
        <v>1.7209025369021951E-2</v>
      </c>
      <c r="E16" s="844">
        <f>'EF Proyecto'!J87</f>
        <v>2.4782093561244906E-2</v>
      </c>
      <c r="F16" s="844">
        <f>'EF Proyecto'!K87</f>
        <v>0.56114817008157947</v>
      </c>
      <c r="G16" s="844">
        <f>'EF Proyecto'!L87</f>
        <v>1.6923913153273545E-2</v>
      </c>
      <c r="H16" s="844">
        <f>'EF Proyecto'!M87</f>
        <v>6.4819081355030006E-2</v>
      </c>
      <c r="I16" s="844">
        <f>'EF Proyecto'!N87</f>
        <v>9.5521574390431407E-2</v>
      </c>
      <c r="J16" s="844">
        <f>'EF Proyecto'!O87</f>
        <v>0.38613121678431306</v>
      </c>
      <c r="K16" s="850">
        <f>AVERAGE(C16:J16)</f>
        <v>0.16361923838972015</v>
      </c>
    </row>
    <row r="17" spans="2:11" ht="15" thickBot="1">
      <c r="B17" s="149" t="s">
        <v>785</v>
      </c>
      <c r="C17" s="844">
        <f>'EF Proyecto'!H88</f>
        <v>0.85758116757713332</v>
      </c>
      <c r="D17" s="844">
        <f>'EF Proyecto'!I88</f>
        <v>0.98279097463097809</v>
      </c>
      <c r="E17" s="844">
        <f>'EF Proyecto'!J88</f>
        <v>0.97521790643875506</v>
      </c>
      <c r="F17" s="844">
        <f>'EF Proyecto'!K88</f>
        <v>0.43885182991842042</v>
      </c>
      <c r="G17" s="844">
        <f>'EF Proyecto'!L88</f>
        <v>0.98307608684672643</v>
      </c>
      <c r="H17" s="844">
        <f>'EF Proyecto'!M88</f>
        <v>0.93518091864496999</v>
      </c>
      <c r="I17" s="844">
        <f>'EF Proyecto'!N88</f>
        <v>0.90447842560956859</v>
      </c>
      <c r="J17" s="844">
        <f>'EF Proyecto'!O88</f>
        <v>0.61386878321568694</v>
      </c>
      <c r="K17" s="850">
        <f>AVERAGE(C17:J17)</f>
        <v>0.83638076161027974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2EE7-06AA-47D0-8552-605150E8D362}">
  <dimension ref="A1:K43"/>
  <sheetViews>
    <sheetView zoomScale="70" zoomScaleNormal="70" workbookViewId="0">
      <pane ySplit="1" topLeftCell="A19" activePane="bottomLeft" state="frozen"/>
      <selection pane="bottomLeft" activeCell="B41" sqref="B41"/>
    </sheetView>
  </sheetViews>
  <sheetFormatPr baseColWidth="10" defaultColWidth="11.453125" defaultRowHeight="14.5"/>
  <cols>
    <col min="1" max="1" width="47.7265625" style="154" customWidth="1"/>
    <col min="2" max="2" width="16.453125" style="154" bestFit="1" customWidth="1"/>
    <col min="3" max="3" width="19.7265625" style="154" customWidth="1"/>
    <col min="4" max="4" width="15.7265625" style="154" bestFit="1" customWidth="1"/>
    <col min="5" max="5" width="15.54296875" style="154" customWidth="1"/>
    <col min="6" max="6" width="23.81640625" style="154" customWidth="1"/>
    <col min="7" max="7" width="17.26953125" style="154" bestFit="1" customWidth="1"/>
    <col min="8" max="8" width="14.453125" style="154" bestFit="1" customWidth="1"/>
    <col min="9" max="11" width="16.1796875" style="154" bestFit="1" customWidth="1"/>
    <col min="12" max="14" width="13.7265625" style="154" bestFit="1" customWidth="1"/>
    <col min="15" max="38" width="13.81640625" style="154" bestFit="1" customWidth="1"/>
    <col min="39" max="41" width="13.7265625" style="154" bestFit="1" customWidth="1"/>
    <col min="42" max="42" width="14" style="154" bestFit="1" customWidth="1"/>
    <col min="43" max="62" width="13.7265625" style="154" bestFit="1" customWidth="1"/>
    <col min="63" max="16384" width="11.453125" style="154"/>
  </cols>
  <sheetData>
    <row r="1" spans="1:11" ht="15" thickBot="1">
      <c r="A1" s="619" t="str">
        <f>+'Ventas-Mp Ins-Invent'!A1</f>
        <v>NORMAL</v>
      </c>
    </row>
    <row r="2" spans="1:11" ht="15" thickBot="1">
      <c r="A2" s="932" t="s">
        <v>541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1" ht="15" thickBot="1">
      <c r="A3" s="252" t="s">
        <v>337</v>
      </c>
      <c r="B3" s="252">
        <v>2022</v>
      </c>
      <c r="C3" s="252">
        <f t="shared" ref="C3:J3" si="0">+B3+1</f>
        <v>2023</v>
      </c>
      <c r="D3" s="252">
        <f t="shared" si="0"/>
        <v>2024</v>
      </c>
      <c r="E3" s="252">
        <f t="shared" si="0"/>
        <v>2025</v>
      </c>
      <c r="F3" s="252">
        <f t="shared" si="0"/>
        <v>2026</v>
      </c>
      <c r="G3" s="252">
        <f t="shared" si="0"/>
        <v>2027</v>
      </c>
      <c r="H3" s="252">
        <f t="shared" si="0"/>
        <v>2028</v>
      </c>
      <c r="I3" s="252">
        <f t="shared" si="0"/>
        <v>2029</v>
      </c>
      <c r="J3" s="252">
        <f t="shared" si="0"/>
        <v>2030</v>
      </c>
      <c r="K3" s="235" t="s">
        <v>540</v>
      </c>
    </row>
    <row r="4" spans="1:11">
      <c r="A4" s="932" t="s">
        <v>539</v>
      </c>
      <c r="B4" s="933"/>
      <c r="C4" s="933"/>
      <c r="D4" s="933"/>
      <c r="E4" s="933"/>
      <c r="F4" s="933"/>
      <c r="G4" s="933"/>
      <c r="H4" s="933"/>
      <c r="I4" s="933"/>
      <c r="J4" s="933"/>
    </row>
    <row r="5" spans="1:11">
      <c r="A5" s="154" t="s">
        <v>526</v>
      </c>
      <c r="B5" s="268">
        <f>+'EF Proyecto'!G27</f>
        <v>47839272</v>
      </c>
      <c r="C5" s="268">
        <v>0</v>
      </c>
      <c r="D5" s="268">
        <v>0</v>
      </c>
      <c r="E5" s="268">
        <v>0</v>
      </c>
      <c r="F5" s="268">
        <v>0</v>
      </c>
      <c r="G5" s="268">
        <v>0</v>
      </c>
      <c r="H5" s="268">
        <v>0</v>
      </c>
      <c r="I5" s="268">
        <v>0</v>
      </c>
      <c r="J5" s="268">
        <v>0</v>
      </c>
    </row>
    <row r="6" spans="1:11">
      <c r="A6" s="154" t="s">
        <v>538</v>
      </c>
      <c r="B6" s="268">
        <f>+'EF Proyecto'!G24</f>
        <v>71758908</v>
      </c>
      <c r="C6" s="268">
        <v>0</v>
      </c>
      <c r="D6" s="268">
        <v>0</v>
      </c>
      <c r="E6" s="268">
        <v>0</v>
      </c>
      <c r="F6" s="268">
        <v>0</v>
      </c>
      <c r="G6" s="268">
        <v>75000000</v>
      </c>
      <c r="H6" s="268">
        <v>0</v>
      </c>
      <c r="I6" s="268">
        <v>0</v>
      </c>
      <c r="J6" s="268">
        <v>0</v>
      </c>
    </row>
    <row r="7" spans="1:11">
      <c r="A7" s="154" t="s">
        <v>537</v>
      </c>
      <c r="B7" s="268">
        <v>0</v>
      </c>
      <c r="C7" s="268">
        <f>+'EF Proyecto'!H38</f>
        <v>277350000</v>
      </c>
      <c r="D7" s="268">
        <f>+'EF Proyecto'!I38</f>
        <v>301953718.5</v>
      </c>
      <c r="E7" s="268">
        <f>+'EF Proyecto'!J38</f>
        <v>360079809.31125003</v>
      </c>
      <c r="F7" s="268">
        <f>+'EF Proyecto'!K38</f>
        <v>437622996.24642777</v>
      </c>
      <c r="G7" s="268">
        <f>+'EF Proyecto'!L38</f>
        <v>744519251.05412257</v>
      </c>
      <c r="H7" s="268">
        <f>+'EF Proyecto'!M38</f>
        <v>828649926.42323852</v>
      </c>
      <c r="I7" s="268">
        <f>+'EF Proyecto'!N38</f>
        <v>926554915.23014414</v>
      </c>
      <c r="J7" s="268">
        <f>+'EF Proyecto'!O38</f>
        <v>1050713273.8709836</v>
      </c>
    </row>
    <row r="8" spans="1:11">
      <c r="A8" s="154" t="s">
        <v>536</v>
      </c>
      <c r="B8" s="268">
        <v>0</v>
      </c>
      <c r="C8" s="268">
        <v>0</v>
      </c>
      <c r="D8" s="268">
        <v>0</v>
      </c>
      <c r="E8" s="268">
        <v>0</v>
      </c>
      <c r="F8" s="268">
        <v>0</v>
      </c>
      <c r="G8" s="268">
        <v>0</v>
      </c>
      <c r="H8" s="268">
        <v>0</v>
      </c>
      <c r="I8" s="268">
        <v>0</v>
      </c>
      <c r="J8" s="268">
        <v>0</v>
      </c>
    </row>
    <row r="9" spans="1:11" s="178" customFormat="1">
      <c r="A9" s="259" t="s">
        <v>535</v>
      </c>
      <c r="B9" s="269">
        <f>+SUM(B5:B8)</f>
        <v>119598180</v>
      </c>
      <c r="C9" s="269">
        <f t="shared" ref="C9:J9" si="1">+SUM(C5:C8)</f>
        <v>277350000</v>
      </c>
      <c r="D9" s="269">
        <f t="shared" si="1"/>
        <v>301953718.5</v>
      </c>
      <c r="E9" s="269">
        <f t="shared" si="1"/>
        <v>360079809.31125003</v>
      </c>
      <c r="F9" s="269">
        <f t="shared" si="1"/>
        <v>437622996.24642777</v>
      </c>
      <c r="G9" s="269">
        <f t="shared" si="1"/>
        <v>819519251.05412257</v>
      </c>
      <c r="H9" s="269">
        <f t="shared" si="1"/>
        <v>828649926.42323852</v>
      </c>
      <c r="I9" s="269">
        <f t="shared" si="1"/>
        <v>926554915.23014414</v>
      </c>
      <c r="J9" s="269">
        <f t="shared" si="1"/>
        <v>1050713273.8709836</v>
      </c>
      <c r="K9" s="234">
        <f>+NPV(Datos!B70,C9:J9)</f>
        <v>1970046030.7969968</v>
      </c>
    </row>
    <row r="10" spans="1:11">
      <c r="A10" s="151" t="s">
        <v>534</v>
      </c>
      <c r="B10" s="268"/>
      <c r="C10" s="268"/>
      <c r="D10" s="268"/>
      <c r="E10" s="268"/>
      <c r="F10" s="268"/>
      <c r="G10" s="268"/>
      <c r="H10" s="268"/>
      <c r="I10" s="268"/>
      <c r="J10" s="268"/>
      <c r="K10" s="158"/>
    </row>
    <row r="11" spans="1:11">
      <c r="A11" s="154" t="s">
        <v>533</v>
      </c>
      <c r="B11" s="268">
        <f>+'Activos Fijos'!W33</f>
        <v>55498180</v>
      </c>
      <c r="C11" s="268">
        <f>+'Activos Fijos'!X33</f>
        <v>2514603</v>
      </c>
      <c r="D11" s="268">
        <f>+'Activos Fijos'!Y33</f>
        <v>8673763.1400000006</v>
      </c>
      <c r="E11" s="268">
        <f>+'Activos Fijos'!Z33</f>
        <v>3154255.1381250001</v>
      </c>
      <c r="F11" s="268">
        <f>+'Activos Fijos'!AA33</f>
        <v>12651162.348005999</v>
      </c>
      <c r="G11" s="1009">
        <f>+'Activos Fijos'!AB33</f>
        <v>83830133.071055904</v>
      </c>
      <c r="H11" s="268">
        <f>+'Activos Fijos'!AC33</f>
        <v>3755191.9985838071</v>
      </c>
      <c r="I11" s="268">
        <f>+'Activos Fijos'!AD33</f>
        <v>12089464.173155712</v>
      </c>
      <c r="J11" s="268">
        <f>+'Activos Fijos'!AE33</f>
        <v>4218958.2104089074</v>
      </c>
      <c r="K11" s="158"/>
    </row>
    <row r="12" spans="1:11">
      <c r="A12" s="154" t="s">
        <v>613</v>
      </c>
      <c r="B12" s="268">
        <v>0</v>
      </c>
      <c r="C12" s="268">
        <f>+'Ventas-Mp Ins-Invent'!C33</f>
        <v>10513407.030655393</v>
      </c>
      <c r="D12" s="268">
        <f>+'Ventas-Mp Ins-Invent'!D33</f>
        <v>1490166.2860988509</v>
      </c>
      <c r="E12" s="268">
        <f>+'Ventas-Mp Ins-Invent'!E33</f>
        <v>660196.56942407973</v>
      </c>
      <c r="F12" s="268">
        <f>+'Ventas-Mp Ins-Invent'!F33</f>
        <v>696507.34373980761</v>
      </c>
      <c r="G12" s="268">
        <f>+'Ventas-Mp Ins-Invent'!G33</f>
        <v>6784348.7773524243</v>
      </c>
      <c r="H12" s="268">
        <f>+'Ventas-Mp Ins-Invent'!H33</f>
        <v>866218.91831263155</v>
      </c>
      <c r="I12" s="268">
        <f>+'Ventas-Mp Ins-Invent'!I33</f>
        <v>819422.95209774375</v>
      </c>
      <c r="J12" s="268">
        <f>+'Ventas-Mp Ins-Invent'!J33</f>
        <v>982362.05449563637</v>
      </c>
      <c r="K12" s="158"/>
    </row>
    <row r="13" spans="1:11">
      <c r="A13" s="154" t="s">
        <v>579</v>
      </c>
      <c r="B13" s="268">
        <v>0</v>
      </c>
      <c r="C13" s="268">
        <f>+Proveedores!C5</f>
        <v>42345354.458721645</v>
      </c>
      <c r="D13" s="268">
        <f>+Proveedores!D5</f>
        <v>48347368.782270469</v>
      </c>
      <c r="E13" s="268">
        <f>+Proveedores!E5</f>
        <v>51006474.214332484</v>
      </c>
      <c r="F13" s="268">
        <f>+Proveedores!F5</f>
        <v>53811830.29612077</v>
      </c>
      <c r="G13" s="268">
        <f>+Proveedores!G5</f>
        <v>81137477.720490888</v>
      </c>
      <c r="H13" s="268">
        <f>+Proveedores!H5</f>
        <v>84626389.262471989</v>
      </c>
      <c r="I13" s="268">
        <f>+Proveedores!I5</f>
        <v>87926818.443708375</v>
      </c>
      <c r="J13" s="268">
        <f>+Proveedores!J5</f>
        <v>91883525.273675248</v>
      </c>
      <c r="K13" s="158"/>
    </row>
    <row r="14" spans="1:11">
      <c r="A14" s="154" t="s">
        <v>580</v>
      </c>
      <c r="B14" s="268">
        <v>0</v>
      </c>
      <c r="C14" s="268">
        <f>+Proveedores!C7</f>
        <v>6849983.8094990905</v>
      </c>
      <c r="D14" s="268">
        <f>+Proveedores!C8+Proveedores!D7</f>
        <v>8443623.6921131909</v>
      </c>
      <c r="E14" s="268">
        <f>+Proveedores!D8+Proveedores!E7</f>
        <v>8962038.0167636462</v>
      </c>
      <c r="F14" s="268">
        <f>+Proveedores!E8+Proveedores!F7</f>
        <v>9454950.1098773684</v>
      </c>
      <c r="G14" s="268">
        <f>+Proveedores!F8+Proveedores!G7</f>
        <v>13916530.665022362</v>
      </c>
      <c r="H14" s="268">
        <f>+Proveedores!G8+Proveedores!H7</f>
        <v>14882761.170701219</v>
      </c>
      <c r="I14" s="268">
        <f>+Proveedores!H8+Proveedores!I7</f>
        <v>15467961.649165653</v>
      </c>
      <c r="J14" s="268">
        <f>+Proveedores!I8+Proveedores!J7</f>
        <v>16156552.889031416</v>
      </c>
      <c r="K14" s="158"/>
    </row>
    <row r="15" spans="1:11">
      <c r="A15" s="154" t="s">
        <v>581</v>
      </c>
      <c r="B15" s="268">
        <v>0</v>
      </c>
      <c r="C15" s="268">
        <f>+'EF Proyecto'!H40</f>
        <v>90143737.599999994</v>
      </c>
      <c r="D15" s="268">
        <f>+'EF Proyecto'!I40</f>
        <v>100059548.736</v>
      </c>
      <c r="E15" s="268">
        <f>+'EF Proyecto'!J40</f>
        <v>137581879.51199999</v>
      </c>
      <c r="F15" s="268">
        <f>+'EF Proyecto'!K40</f>
        <v>149964248.66808</v>
      </c>
      <c r="G15" s="1009">
        <f>+'EF Proyecto'!L40</f>
        <v>329921347.069776</v>
      </c>
      <c r="H15" s="268">
        <f>+'EF Proyecto'!M40</f>
        <v>362913481.77675372</v>
      </c>
      <c r="I15" s="268">
        <f>+'EF Proyecto'!N40</f>
        <v>439125312.9498719</v>
      </c>
      <c r="J15" s="268">
        <f>+'EF Proyecto'!O40</f>
        <v>483037844.2448594</v>
      </c>
      <c r="K15" s="158"/>
    </row>
    <row r="16" spans="1:11">
      <c r="A16" s="154" t="s">
        <v>532</v>
      </c>
      <c r="B16" s="268">
        <v>0</v>
      </c>
      <c r="C16" s="268">
        <f>+'EF Proyecto'!H42+'EF Proyecto'!H44+'EF Proyecto'!H43</f>
        <v>120131318.40000001</v>
      </c>
      <c r="D16" s="268">
        <f>+'EF Proyecto'!I42+'EF Proyecto'!I44+'EF Proyecto'!I43</f>
        <v>129024249.42400001</v>
      </c>
      <c r="E16" s="268">
        <f>+'EF Proyecto'!J42+'EF Proyecto'!J44+'EF Proyecto'!J43</f>
        <v>144081316.01639998</v>
      </c>
      <c r="F16" s="268">
        <f>+'EF Proyecto'!K42+'EF Proyecto'!K44+'EF Proyecto'!K43</f>
        <v>146679999.56412598</v>
      </c>
      <c r="G16" s="1009">
        <f>+'EF Proyecto'!L42+'EF Proyecto'!L44+'EF Proyecto'!L43</f>
        <v>307685348.94053972</v>
      </c>
      <c r="H16" s="268">
        <f>+'EF Proyecto'!M42+'EF Proyecto'!M44+'EF Proyecto'!M43</f>
        <v>322408531.4381628</v>
      </c>
      <c r="I16" s="268">
        <f>+'EF Proyecto'!N42+'EF Proyecto'!N44+'EF Proyecto'!N43</f>
        <v>337115983.30945098</v>
      </c>
      <c r="J16" s="268">
        <f>+'EF Proyecto'!O42+'EF Proyecto'!O44+'EF Proyecto'!O43</f>
        <v>351337331.75933135</v>
      </c>
      <c r="K16" s="158"/>
    </row>
    <row r="17" spans="1:11">
      <c r="A17" s="154" t="s">
        <v>531</v>
      </c>
      <c r="B17" s="268">
        <v>0</v>
      </c>
      <c r="C17" s="268">
        <f>VLOOKUP(C3,Financiacion!$C$24:$M$32,11,0)</f>
        <v>26046939.46190735</v>
      </c>
      <c r="D17" s="268">
        <f>VLOOKUP(D3,Financiacion!$C$24:$M$32,11,0)</f>
        <v>26046939.461907346</v>
      </c>
      <c r="E17" s="268">
        <f>VLOOKUP(E3,Financiacion!$C$24:$M$32,11,0)</f>
        <v>17842934.055030677</v>
      </c>
      <c r="F17" s="268">
        <f>VLOOKUP(F3,Financiacion!$C$24:$M$32,11,0)</f>
        <v>17842934.055030677</v>
      </c>
      <c r="G17" s="1009">
        <f>VLOOKUP(G3,Financiacion!$C$24:$M$32,11,0)</f>
        <v>37251869.406167522</v>
      </c>
      <c r="H17" s="268">
        <f>VLOOKUP(H3,Financiacion!$C$24:$M$32,11,0)</f>
        <v>19408935.351136841</v>
      </c>
      <c r="I17" s="268">
        <f>VLOOKUP(I3,Financiacion!$C$24:$M$32,11,0)</f>
        <v>19408935.351136848</v>
      </c>
      <c r="J17" s="268">
        <f>VLOOKUP(J3,Financiacion!$C$24:$M$32,11,0)</f>
        <v>19408935.351136848</v>
      </c>
      <c r="K17" s="158"/>
    </row>
    <row r="18" spans="1:11">
      <c r="A18" s="154" t="s">
        <v>530</v>
      </c>
      <c r="B18" s="268">
        <v>0</v>
      </c>
      <c r="C18" s="268">
        <v>0</v>
      </c>
      <c r="D18" s="268">
        <f>+'EF Proyecto'!H51</f>
        <v>0</v>
      </c>
      <c r="E18" s="268">
        <f>+'EF Proyecto'!I51</f>
        <v>0</v>
      </c>
      <c r="F18" s="268">
        <f>+'EF Proyecto'!J51</f>
        <v>0</v>
      </c>
      <c r="G18" s="268">
        <f>+'EF Proyecto'!K51</f>
        <v>19847210.435200986</v>
      </c>
      <c r="H18" s="268">
        <f>+'EF Proyecto'!L51</f>
        <v>0</v>
      </c>
      <c r="I18" s="268">
        <f>+'EF Proyecto'!M51</f>
        <v>3083705.8889803714</v>
      </c>
      <c r="J18" s="268">
        <f>+'EF Proyecto'!N51</f>
        <v>4427009.5264068712</v>
      </c>
      <c r="K18" s="158"/>
    </row>
    <row r="19" spans="1:11" s="178" customFormat="1">
      <c r="A19" s="259" t="s">
        <v>529</v>
      </c>
      <c r="B19" s="269">
        <f t="shared" ref="B19:J19" si="2">+SUM(B11:B18)</f>
        <v>55498180</v>
      </c>
      <c r="C19" s="269">
        <f t="shared" si="2"/>
        <v>298545343.76078349</v>
      </c>
      <c r="D19" s="269">
        <f t="shared" si="2"/>
        <v>322085659.52238983</v>
      </c>
      <c r="E19" s="269">
        <f t="shared" si="2"/>
        <v>363289093.52207589</v>
      </c>
      <c r="F19" s="269">
        <f t="shared" si="2"/>
        <v>391101632.38498068</v>
      </c>
      <c r="G19" s="269">
        <f t="shared" si="2"/>
        <v>880374266.08560574</v>
      </c>
      <c r="H19" s="269">
        <f t="shared" si="2"/>
        <v>808861509.91612303</v>
      </c>
      <c r="I19" s="269">
        <f t="shared" si="2"/>
        <v>915037604.71756756</v>
      </c>
      <c r="J19" s="269">
        <f t="shared" si="2"/>
        <v>971452519.3093456</v>
      </c>
      <c r="K19" s="234">
        <f>+NPV(Datos!B70,C19:J19)+B5</f>
        <v>2025132133.9752834</v>
      </c>
    </row>
    <row r="20" spans="1:11">
      <c r="A20" s="154" t="s">
        <v>528</v>
      </c>
      <c r="B20" s="268">
        <f t="shared" ref="B20:J20" si="3">+B9-B19</f>
        <v>64100000</v>
      </c>
      <c r="C20" s="268">
        <f t="shared" si="3"/>
        <v>-21195343.760783494</v>
      </c>
      <c r="D20" s="268">
        <f t="shared" si="3"/>
        <v>-20131941.022389829</v>
      </c>
      <c r="E20" s="268">
        <f t="shared" si="3"/>
        <v>-3209284.2108258605</v>
      </c>
      <c r="F20" s="268">
        <f t="shared" si="3"/>
        <v>46521363.861447096</v>
      </c>
      <c r="G20" s="268">
        <f t="shared" si="3"/>
        <v>-60855015.031483173</v>
      </c>
      <c r="H20" s="268">
        <f t="shared" si="3"/>
        <v>19788416.507115483</v>
      </c>
      <c r="I20" s="268">
        <f t="shared" si="3"/>
        <v>11517310.51257658</v>
      </c>
      <c r="J20" s="268">
        <f t="shared" si="3"/>
        <v>79260754.561637998</v>
      </c>
    </row>
    <row r="21" spans="1:11" s="178" customFormat="1">
      <c r="A21" s="259" t="s">
        <v>527</v>
      </c>
      <c r="B21" s="269">
        <f>+B20</f>
        <v>64100000</v>
      </c>
      <c r="C21" s="269">
        <f>+B21+C20</f>
        <v>42904656.239216506</v>
      </c>
      <c r="D21" s="269">
        <f t="shared" ref="D21:J21" si="4">+C21+D20</f>
        <v>22772715.216826677</v>
      </c>
      <c r="E21" s="269">
        <f t="shared" si="4"/>
        <v>19563431.006000817</v>
      </c>
      <c r="F21" s="269">
        <f t="shared" si="4"/>
        <v>66084794.867447913</v>
      </c>
      <c r="G21" s="269">
        <f t="shared" si="4"/>
        <v>5229779.8359647393</v>
      </c>
      <c r="H21" s="269">
        <f t="shared" si="4"/>
        <v>25018196.343080223</v>
      </c>
      <c r="I21" s="269">
        <f t="shared" si="4"/>
        <v>36535506.855656803</v>
      </c>
      <c r="J21" s="269">
        <f t="shared" si="4"/>
        <v>115796261.4172948</v>
      </c>
    </row>
    <row r="23" spans="1:11" ht="15" thickBot="1"/>
    <row r="24" spans="1:11" ht="15" thickBot="1">
      <c r="A24" s="278" t="s">
        <v>604</v>
      </c>
      <c r="B24" s="277"/>
      <c r="C24" s="277"/>
      <c r="D24" s="277"/>
      <c r="E24" s="277"/>
      <c r="F24" s="277"/>
      <c r="G24" s="277"/>
      <c r="H24" s="277"/>
      <c r="I24" s="277"/>
      <c r="J24" s="277"/>
    </row>
    <row r="25" spans="1:11" ht="15" thickBot="1">
      <c r="A25" s="253" t="s">
        <v>605</v>
      </c>
      <c r="B25" s="270">
        <f>+Inversion!F71</f>
        <v>119598180</v>
      </c>
      <c r="C25" s="271">
        <f>+C21</f>
        <v>42904656.239216506</v>
      </c>
      <c r="D25" s="271">
        <f t="shared" ref="D25:J25" si="5">+D21</f>
        <v>22772715.216826677</v>
      </c>
      <c r="E25" s="271">
        <f t="shared" si="5"/>
        <v>19563431.006000817</v>
      </c>
      <c r="F25" s="271">
        <f t="shared" si="5"/>
        <v>66084794.867447913</v>
      </c>
      <c r="G25" s="271">
        <f t="shared" si="5"/>
        <v>5229779.8359647393</v>
      </c>
      <c r="H25" s="271">
        <f t="shared" si="5"/>
        <v>25018196.343080223</v>
      </c>
      <c r="I25" s="271">
        <f t="shared" si="5"/>
        <v>36535506.855656803</v>
      </c>
      <c r="J25" s="271">
        <f t="shared" si="5"/>
        <v>115796261.4172948</v>
      </c>
    </row>
    <row r="28" spans="1:11">
      <c r="A28" s="5" t="s">
        <v>606</v>
      </c>
      <c r="B28" s="65">
        <f>+AVERAGE('Valoración Proyecto'!F46:N46)</f>
        <v>0.25451003243738707</v>
      </c>
    </row>
    <row r="29" spans="1:11">
      <c r="A29" s="1"/>
      <c r="B29" s="1"/>
    </row>
    <row r="30" spans="1:11">
      <c r="A30" s="254" t="s">
        <v>607</v>
      </c>
      <c r="B30" s="65" t="s">
        <v>608</v>
      </c>
    </row>
    <row r="31" spans="1:11">
      <c r="A31" s="5">
        <v>0</v>
      </c>
      <c r="B31" s="272">
        <f>B25*-1</f>
        <v>-119598180</v>
      </c>
    </row>
    <row r="32" spans="1:11">
      <c r="A32" s="5">
        <v>2023</v>
      </c>
      <c r="B32" s="272">
        <f>C25</f>
        <v>42904656.239216506</v>
      </c>
    </row>
    <row r="33" spans="1:2">
      <c r="A33" s="5">
        <f t="shared" ref="A33:A39" si="6">+A32+1</f>
        <v>2024</v>
      </c>
      <c r="B33" s="272">
        <f>D25</f>
        <v>22772715.216826677</v>
      </c>
    </row>
    <row r="34" spans="1:2">
      <c r="A34" s="5">
        <f t="shared" si="6"/>
        <v>2025</v>
      </c>
      <c r="B34" s="272">
        <f>E25</f>
        <v>19563431.006000817</v>
      </c>
    </row>
    <row r="35" spans="1:2">
      <c r="A35" s="5">
        <f t="shared" si="6"/>
        <v>2026</v>
      </c>
      <c r="B35" s="272">
        <f>F25</f>
        <v>66084794.867447913</v>
      </c>
    </row>
    <row r="36" spans="1:2">
      <c r="A36" s="5">
        <f t="shared" si="6"/>
        <v>2027</v>
      </c>
      <c r="B36" s="272">
        <f>G25</f>
        <v>5229779.8359647393</v>
      </c>
    </row>
    <row r="37" spans="1:2">
      <c r="A37" s="5">
        <f t="shared" si="6"/>
        <v>2028</v>
      </c>
      <c r="B37" s="272">
        <f>H25</f>
        <v>25018196.343080223</v>
      </c>
    </row>
    <row r="38" spans="1:2">
      <c r="A38" s="5">
        <f t="shared" si="6"/>
        <v>2029</v>
      </c>
      <c r="B38" s="272">
        <f>I25</f>
        <v>36535506.855656803</v>
      </c>
    </row>
    <row r="39" spans="1:2">
      <c r="A39" s="5">
        <f t="shared" si="6"/>
        <v>2030</v>
      </c>
      <c r="B39" s="272">
        <f>J25</f>
        <v>115796261.4172948</v>
      </c>
    </row>
    <row r="40" spans="1:2">
      <c r="A40" s="1"/>
      <c r="B40" s="1"/>
    </row>
    <row r="41" spans="1:2">
      <c r="A41" s="5" t="s">
        <v>609</v>
      </c>
      <c r="B41" s="13">
        <f>B31+NPV(B28,B32:B39)</f>
        <v>110304.24844005704</v>
      </c>
    </row>
    <row r="42" spans="1:2">
      <c r="A42" s="5" t="s">
        <v>610</v>
      </c>
      <c r="B42" s="14">
        <f>IRR(B31:B39)</f>
        <v>0.25481790543502125</v>
      </c>
    </row>
    <row r="43" spans="1:2">
      <c r="A43" s="5" t="s">
        <v>611</v>
      </c>
      <c r="B43" s="40">
        <f>NPV(B28,B32:B39)/(B31*-1)</f>
        <v>1.0009222903596029</v>
      </c>
    </row>
  </sheetData>
  <mergeCells count="2">
    <mergeCell ref="A4:J4"/>
    <mergeCell ref="A2:J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8B17-2F3A-4BA6-84C2-E6FB78EFFB5C}">
  <sheetPr codeName="Hoja14"/>
  <dimension ref="A1:XFD170"/>
  <sheetViews>
    <sheetView showGridLines="0" tabSelected="1" zoomScale="70" zoomScaleNormal="70" workbookViewId="0">
      <pane ySplit="1" topLeftCell="A2" activePane="bottomLeft" state="frozen"/>
      <selection pane="bottomLeft" activeCell="I20" sqref="I20"/>
    </sheetView>
  </sheetViews>
  <sheetFormatPr baseColWidth="10" defaultColWidth="11.453125" defaultRowHeight="14.5"/>
  <cols>
    <col min="1" max="1" width="11.453125" style="1"/>
    <col min="2" max="2" width="8.1796875" style="1" customWidth="1"/>
    <col min="3" max="3" width="9.1796875" style="1" customWidth="1"/>
    <col min="4" max="4" width="12.1796875" style="1" customWidth="1"/>
    <col min="5" max="5" width="3.26953125" style="1" customWidth="1"/>
    <col min="6" max="6" width="20.1796875" style="1" customWidth="1"/>
    <col min="7" max="7" width="20" style="1" customWidth="1"/>
    <col min="8" max="8" width="17.26953125" style="1" customWidth="1"/>
    <col min="9" max="9" width="17.453125" style="1" bestFit="1" customWidth="1"/>
    <col min="10" max="10" width="20.7265625" style="1" customWidth="1"/>
    <col min="11" max="11" width="19.54296875" style="1" customWidth="1"/>
    <col min="12" max="12" width="21.26953125" style="1" bestFit="1" customWidth="1"/>
    <col min="13" max="13" width="17.81640625" style="1" bestFit="1" customWidth="1"/>
    <col min="14" max="14" width="22.1796875" style="1" bestFit="1" customWidth="1"/>
    <col min="15" max="15" width="11.453125" style="1"/>
    <col min="16" max="16" width="14" style="1" bestFit="1" customWidth="1"/>
    <col min="17" max="16384" width="11.453125" style="1"/>
  </cols>
  <sheetData>
    <row r="1" spans="1:17" ht="30" customHeight="1">
      <c r="A1" s="620" t="str">
        <f>+'EF Proyecto'!A1</f>
        <v>NORMAL</v>
      </c>
      <c r="B1" s="317" t="s">
        <v>169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8"/>
    </row>
    <row r="2" spans="1:17">
      <c r="A2" s="319" t="s">
        <v>170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</row>
    <row r="3" spans="1:17">
      <c r="A3" s="319" t="s">
        <v>171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1"/>
    </row>
    <row r="4" spans="1:17" ht="15" thickBot="1">
      <c r="A4" s="322" t="s">
        <v>172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4"/>
    </row>
    <row r="5" spans="1:17" ht="20.5" thickBot="1">
      <c r="A5" s="325" t="s">
        <v>173</v>
      </c>
      <c r="B5" s="326"/>
      <c r="C5" s="326"/>
      <c r="D5" s="326"/>
      <c r="E5" s="326"/>
      <c r="F5" s="327"/>
    </row>
    <row r="6" spans="1:17" ht="20.5" thickBot="1">
      <c r="A6" s="387" t="s">
        <v>174</v>
      </c>
      <c r="B6" s="388"/>
      <c r="C6" s="388"/>
      <c r="D6" s="388"/>
      <c r="E6" s="388"/>
      <c r="F6" s="389"/>
      <c r="I6" s="325" t="s">
        <v>175</v>
      </c>
      <c r="J6" s="326"/>
      <c r="K6" s="326"/>
      <c r="L6" s="326"/>
      <c r="M6" s="326"/>
      <c r="N6" s="327"/>
    </row>
    <row r="7" spans="1:17" ht="26.5" thickBot="1">
      <c r="A7" s="328" t="s">
        <v>176</v>
      </c>
      <c r="B7" s="329"/>
      <c r="C7" s="329"/>
      <c r="D7" s="329"/>
      <c r="E7" s="330"/>
      <c r="F7" s="47">
        <f>[1]Proyecciones!J24</f>
        <v>2021</v>
      </c>
      <c r="I7" s="48" t="s">
        <v>114</v>
      </c>
      <c r="J7" s="49" t="s">
        <v>177</v>
      </c>
      <c r="K7" s="49" t="s">
        <v>178</v>
      </c>
      <c r="L7" s="49" t="s">
        <v>179</v>
      </c>
      <c r="M7" s="50" t="s">
        <v>180</v>
      </c>
      <c r="N7" s="51" t="s">
        <v>181</v>
      </c>
      <c r="O7" s="52"/>
    </row>
    <row r="8" spans="1:17">
      <c r="A8" s="392" t="s">
        <v>698</v>
      </c>
      <c r="B8" s="331"/>
      <c r="C8" s="334"/>
      <c r="D8" s="334"/>
      <c r="E8" s="335"/>
      <c r="F8" s="53">
        <f>AVERAGE(K8:K17)</f>
        <v>2.5918688403144374E-2</v>
      </c>
      <c r="G8" s="969" t="s">
        <v>182</v>
      </c>
      <c r="H8" s="54"/>
      <c r="I8" s="55">
        <v>2012</v>
      </c>
      <c r="J8" s="56">
        <v>0.15890585241730293</v>
      </c>
      <c r="K8" s="56">
        <v>2.971571978018946E-2</v>
      </c>
      <c r="L8" s="56">
        <v>1.7410200000000001E-2</v>
      </c>
      <c r="M8" s="56">
        <v>2.4400000000000002E-2</v>
      </c>
      <c r="N8" s="56">
        <v>1.12E-2</v>
      </c>
      <c r="O8" s="57"/>
      <c r="P8" s="58"/>
    </row>
    <row r="9" spans="1:17">
      <c r="A9" s="393" t="s">
        <v>183</v>
      </c>
      <c r="B9" s="332"/>
      <c r="C9" s="336"/>
      <c r="D9" s="336"/>
      <c r="E9" s="337"/>
      <c r="F9" s="53">
        <f>AVERAGE(L8:L17)</f>
        <v>2.1469769999999999E-2</v>
      </c>
      <c r="G9" s="969"/>
      <c r="H9" s="54"/>
      <c r="I9" s="55">
        <v>2013</v>
      </c>
      <c r="J9" s="56">
        <v>0.32145085858125483</v>
      </c>
      <c r="K9" s="56">
        <v>-9.104568794347262E-2</v>
      </c>
      <c r="L9" s="56">
        <v>1.50174E-2</v>
      </c>
      <c r="M9" s="56">
        <v>1.9400000000000001E-2</v>
      </c>
      <c r="N9" s="56">
        <v>1.6299999999999999E-2</v>
      </c>
      <c r="O9" s="57"/>
    </row>
    <row r="10" spans="1:17">
      <c r="A10" s="392" t="s">
        <v>699</v>
      </c>
      <c r="B10" s="331"/>
      <c r="C10" s="334"/>
      <c r="D10" s="334"/>
      <c r="E10" s="335"/>
      <c r="F10" s="59">
        <f>+((1+F8)/(1+F9))-1</f>
        <v>4.3554087784158924E-3</v>
      </c>
      <c r="G10" s="969"/>
      <c r="H10" s="54"/>
      <c r="I10" s="55">
        <v>2014</v>
      </c>
      <c r="J10" s="56">
        <v>0.13524421649462237</v>
      </c>
      <c r="K10" s="56">
        <v>0.10746180452004755</v>
      </c>
      <c r="L10" s="56">
        <v>7.5649000000000003E-3</v>
      </c>
      <c r="M10" s="56">
        <v>3.6600000000000001E-2</v>
      </c>
      <c r="N10" s="56">
        <v>1.9599999999999999E-2</v>
      </c>
      <c r="O10" s="57"/>
    </row>
    <row r="11" spans="1:17">
      <c r="A11" s="394"/>
      <c r="B11" s="222"/>
      <c r="C11" s="222"/>
      <c r="D11" s="222"/>
      <c r="E11" s="222"/>
      <c r="G11" s="969"/>
      <c r="H11" s="54"/>
      <c r="I11" s="55">
        <v>2015</v>
      </c>
      <c r="J11" s="56">
        <v>1.3788916411676138E-2</v>
      </c>
      <c r="K11" s="56">
        <v>1.2842996709792224E-2</v>
      </c>
      <c r="L11" s="56">
        <v>7.2951999999999991E-3</v>
      </c>
      <c r="M11" s="56">
        <v>6.7699999999999996E-2</v>
      </c>
      <c r="N11" s="56">
        <v>3.1699999999999999E-2</v>
      </c>
      <c r="O11" s="57"/>
    </row>
    <row r="12" spans="1:17">
      <c r="A12" s="393" t="s">
        <v>184</v>
      </c>
      <c r="B12" s="332"/>
      <c r="C12" s="336"/>
      <c r="D12" s="336"/>
      <c r="E12" s="337"/>
      <c r="F12" s="53">
        <f>AVERAGE(M8:M17)</f>
        <v>3.884E-2</v>
      </c>
      <c r="G12" s="969"/>
      <c r="H12" s="54"/>
      <c r="I12" s="55">
        <v>2016</v>
      </c>
      <c r="J12" s="56">
        <v>0.11773080874798171</v>
      </c>
      <c r="K12" s="56">
        <v>6.9055046987477921E-3</v>
      </c>
      <c r="L12" s="56">
        <v>2.0746199999999999E-2</v>
      </c>
      <c r="M12" s="56">
        <v>5.7500000000000002E-2</v>
      </c>
      <c r="N12" s="56">
        <v>2.2499999999999999E-2</v>
      </c>
      <c r="O12" s="57"/>
    </row>
    <row r="13" spans="1:17">
      <c r="A13" s="392" t="s">
        <v>700</v>
      </c>
      <c r="B13" s="331"/>
      <c r="C13" s="334"/>
      <c r="D13" s="334"/>
      <c r="E13" s="335"/>
      <c r="F13" s="60">
        <f>+((1+F12)*(1+F10))-1</f>
        <v>4.3364572855369543E-2</v>
      </c>
      <c r="G13" s="969"/>
      <c r="H13" s="54"/>
      <c r="I13" s="55">
        <v>2017</v>
      </c>
      <c r="J13" s="56">
        <v>0.2160548143449928</v>
      </c>
      <c r="K13" s="56">
        <v>2.8017162707789457E-2</v>
      </c>
      <c r="L13" s="56">
        <v>2.10908E-2</v>
      </c>
      <c r="M13" s="56">
        <v>4.0899999999999999E-2</v>
      </c>
      <c r="N13" s="56">
        <v>1.7299999999999999E-2</v>
      </c>
      <c r="O13" s="57"/>
    </row>
    <row r="14" spans="1:17">
      <c r="A14" s="394"/>
      <c r="B14" s="222"/>
      <c r="C14" s="222"/>
      <c r="D14" s="222"/>
      <c r="E14" s="222"/>
      <c r="H14" s="54"/>
      <c r="I14" s="55">
        <v>2018</v>
      </c>
      <c r="J14" s="56">
        <v>-4.2268692890885438E-2</v>
      </c>
      <c r="K14" s="56">
        <v>-1.6692385713402633E-4</v>
      </c>
      <c r="L14" s="56">
        <v>1.91016E-2</v>
      </c>
      <c r="M14" s="56">
        <v>3.1800000000000002E-2</v>
      </c>
      <c r="N14" s="56">
        <v>2.2800000000000001E-2</v>
      </c>
      <c r="O14" s="57"/>
    </row>
    <row r="15" spans="1:17">
      <c r="A15" s="395" t="s">
        <v>185</v>
      </c>
      <c r="B15" s="333"/>
      <c r="C15" s="338"/>
      <c r="D15" s="338"/>
      <c r="E15" s="339"/>
      <c r="F15" s="61">
        <f>AVERAGE(N8:N17)</f>
        <v>2.1389999999999999E-2</v>
      </c>
      <c r="G15" s="970" t="s">
        <v>186</v>
      </c>
      <c r="H15" s="54"/>
      <c r="I15" s="55">
        <v>2019</v>
      </c>
      <c r="J15" s="56">
        <v>0.3221</v>
      </c>
      <c r="K15" s="56">
        <v>9.6356307415483927E-2</v>
      </c>
      <c r="L15" s="56">
        <v>2.2851300000000001E-2</v>
      </c>
      <c r="M15" s="56">
        <v>3.7999999999999999E-2</v>
      </c>
      <c r="N15" s="56">
        <v>1.66E-2</v>
      </c>
      <c r="O15" s="57"/>
    </row>
    <row r="16" spans="1:17">
      <c r="A16" s="396"/>
      <c r="B16" s="340"/>
      <c r="C16" s="340"/>
      <c r="D16" s="340"/>
      <c r="E16" s="340"/>
      <c r="F16" s="341"/>
      <c r="G16" s="970"/>
      <c r="H16" s="54"/>
      <c r="I16" s="55">
        <v>2020</v>
      </c>
      <c r="J16" s="56">
        <v>0.1802</v>
      </c>
      <c r="K16" s="56">
        <v>0.1133</v>
      </c>
      <c r="L16" s="56">
        <v>1.36201E-2</v>
      </c>
      <c r="M16" s="56">
        <v>1.61E-2</v>
      </c>
      <c r="N16" s="56">
        <v>2.06E-2</v>
      </c>
      <c r="O16" s="57"/>
    </row>
    <row r="17" spans="1:15">
      <c r="A17" s="397"/>
      <c r="H17" s="54"/>
      <c r="I17" s="55">
        <v>2021</v>
      </c>
      <c r="J17" s="56">
        <v>0.28470000000000001</v>
      </c>
      <c r="K17" s="56">
        <v>-4.4200000000000003E-2</v>
      </c>
      <c r="L17" s="56">
        <v>7.0000000000000007E-2</v>
      </c>
      <c r="M17" s="56">
        <v>5.6000000000000001E-2</v>
      </c>
      <c r="N17" s="56">
        <v>3.5299999999999998E-2</v>
      </c>
      <c r="O17" s="57"/>
    </row>
    <row r="18" spans="1:15">
      <c r="A18" s="391" t="s">
        <v>701</v>
      </c>
      <c r="B18" s="342"/>
      <c r="C18" s="342"/>
      <c r="D18" s="342"/>
      <c r="E18" s="343"/>
      <c r="F18" s="53">
        <f>AVERAGE(J8:J17)</f>
        <v>0.17079067741069451</v>
      </c>
      <c r="G18" s="971" t="s">
        <v>187</v>
      </c>
      <c r="H18" s="54"/>
      <c r="O18" s="57"/>
    </row>
    <row r="19" spans="1:15">
      <c r="A19" s="398" t="s">
        <v>183</v>
      </c>
      <c r="B19" s="344"/>
      <c r="C19" s="344"/>
      <c r="D19" s="344"/>
      <c r="E19" s="345"/>
      <c r="F19" s="53">
        <f>F9</f>
        <v>2.1469769999999999E-2</v>
      </c>
      <c r="G19" s="971"/>
      <c r="H19" s="54"/>
    </row>
    <row r="20" spans="1:15">
      <c r="A20" s="391" t="s">
        <v>702</v>
      </c>
      <c r="B20" s="346"/>
      <c r="C20" s="346"/>
      <c r="D20" s="346"/>
      <c r="E20" s="347"/>
      <c r="F20" s="59">
        <f>+((1+F18)/(1+F19))-1</f>
        <v>0.14618240480155809</v>
      </c>
      <c r="G20" s="971"/>
      <c r="H20" s="54"/>
    </row>
    <row r="21" spans="1:15">
      <c r="A21" s="399"/>
      <c r="G21" s="971"/>
      <c r="H21" s="54"/>
    </row>
    <row r="22" spans="1:15">
      <c r="A22" s="398" t="s">
        <v>184</v>
      </c>
      <c r="B22" s="344"/>
      <c r="C22" s="344"/>
      <c r="D22" s="344"/>
      <c r="E22" s="345"/>
      <c r="F22" s="53">
        <f>F12</f>
        <v>3.884E-2</v>
      </c>
      <c r="G22" s="971"/>
      <c r="H22" s="54"/>
    </row>
    <row r="23" spans="1:15">
      <c r="A23" s="391" t="s">
        <v>694</v>
      </c>
      <c r="B23" s="346"/>
      <c r="C23" s="346"/>
      <c r="D23" s="346"/>
      <c r="E23" s="347"/>
      <c r="F23" s="60">
        <f>+((1+F22)*(1+F20))-1</f>
        <v>0.19070012940405068</v>
      </c>
      <c r="G23" s="971"/>
      <c r="H23" s="54"/>
    </row>
    <row r="24" spans="1:15">
      <c r="A24" s="397"/>
      <c r="H24" s="54"/>
    </row>
    <row r="25" spans="1:15">
      <c r="A25" s="400" t="s">
        <v>703</v>
      </c>
      <c r="B25" s="348"/>
      <c r="C25" s="348"/>
      <c r="D25" s="348"/>
      <c r="E25" s="349"/>
      <c r="F25" s="62">
        <f>F23-F13</f>
        <v>0.14733555654868113</v>
      </c>
      <c r="H25" s="54"/>
    </row>
    <row r="26" spans="1:15">
      <c r="A26" s="397"/>
      <c r="H26" s="54"/>
    </row>
    <row r="27" spans="1:15">
      <c r="A27" s="397"/>
    </row>
    <row r="28" spans="1:15">
      <c r="A28" s="401" t="s">
        <v>188</v>
      </c>
      <c r="B28" s="350"/>
      <c r="C28" s="350"/>
      <c r="D28" s="350"/>
      <c r="E28" s="351"/>
      <c r="F28" s="5">
        <v>1.3</v>
      </c>
      <c r="G28" s="63" t="s">
        <v>189</v>
      </c>
    </row>
    <row r="29" spans="1:15">
      <c r="A29" s="397"/>
    </row>
    <row r="30" spans="1:15" s="673" customFormat="1">
      <c r="A30" s="744"/>
      <c r="B30" s="745"/>
      <c r="C30" s="745"/>
      <c r="D30" s="745"/>
      <c r="E30" s="745"/>
      <c r="F30" s="746" t="str">
        <f>'EF Proyecto'!G2</f>
        <v>INICIAL</v>
      </c>
      <c r="G30" s="746">
        <f>'EF Proyecto'!H2</f>
        <v>2023</v>
      </c>
      <c r="H30" s="746">
        <f>'EF Proyecto'!I2</f>
        <v>2024</v>
      </c>
      <c r="I30" s="746">
        <f>'EF Proyecto'!J2</f>
        <v>2025</v>
      </c>
      <c r="J30" s="746">
        <f>'EF Proyecto'!K2</f>
        <v>2026</v>
      </c>
      <c r="K30" s="746">
        <f>'EF Proyecto'!L2</f>
        <v>2027</v>
      </c>
      <c r="L30" s="746">
        <f>'EF Proyecto'!M2</f>
        <v>2028</v>
      </c>
      <c r="M30" s="746">
        <f>'EF Proyecto'!N2</f>
        <v>2029</v>
      </c>
      <c r="N30" s="746">
        <f>'EF Proyecto'!O2</f>
        <v>2030</v>
      </c>
    </row>
    <row r="31" spans="1:15">
      <c r="A31" s="402" t="s">
        <v>704</v>
      </c>
      <c r="B31" s="310"/>
      <c r="C31" s="310"/>
      <c r="D31" s="310"/>
      <c r="E31" s="311"/>
      <c r="F31" s="42">
        <f>'EF Proyecto'!G16+'EF Proyecto'!G21</f>
        <v>71758908</v>
      </c>
      <c r="G31" s="42">
        <f>'EF Proyecto'!H16+'EF Proyecto'!H21</f>
        <v>57438467.958067223</v>
      </c>
      <c r="H31" s="42">
        <f>'EF Proyecto'!I16+'EF Proyecto'!I21</f>
        <v>40603999.651922271</v>
      </c>
      <c r="I31" s="42">
        <f>'EF Proyecto'!J16+'EF Proyecto'!J21</f>
        <v>29517533.600475404</v>
      </c>
      <c r="J31" s="42">
        <f>'EF Proyecto'!K16+'EF Proyecto'!K21</f>
        <v>16140603.66279961</v>
      </c>
      <c r="K31" s="42">
        <f>'EF Proyecto'!L16+'EF Proyecto'!L21</f>
        <v>69310484.425619066</v>
      </c>
      <c r="L31" s="42">
        <f>'EF Proyecto'!M16+'EF Proyecto'!M21</f>
        <v>62445514.933571048</v>
      </c>
      <c r="M31" s="42">
        <f>'EF Proyecto'!N16+'EF Proyecto'!N21</f>
        <v>54162242.744465902</v>
      </c>
      <c r="N31" s="42">
        <f>'EF Proyecto'!O16+'EF Proyecto'!O21</f>
        <v>44167646.521091618</v>
      </c>
    </row>
    <row r="32" spans="1:15">
      <c r="A32" s="402" t="s">
        <v>705</v>
      </c>
      <c r="B32" s="310"/>
      <c r="C32" s="310"/>
      <c r="D32" s="310"/>
      <c r="E32" s="311"/>
      <c r="F32" s="42">
        <f>'EF Proyecto'!G30</f>
        <v>47839272</v>
      </c>
      <c r="G32" s="42">
        <f>'EF Proyecto'!H30</f>
        <v>41767095.910941161</v>
      </c>
      <c r="H32" s="42">
        <f>'EF Proyecto'!I30</f>
        <v>35207978.476272292</v>
      </c>
      <c r="I32" s="42">
        <f>'EF Proyecto'!J30</f>
        <v>32892347.277169421</v>
      </c>
      <c r="J32" s="42">
        <f>'EF Proyecto'!K30</f>
        <v>69751452.371114105</v>
      </c>
      <c r="K32" s="42">
        <f>'EF Proyecto'!L30</f>
        <v>32521981.764742594</v>
      </c>
      <c r="L32" s="42">
        <f>'EF Proyecto'!M30</f>
        <v>38248864.129991859</v>
      </c>
      <c r="M32" s="42">
        <f>'EF Proyecto'!N30</f>
        <v>46470453.250461757</v>
      </c>
      <c r="N32" s="42">
        <f>'EF Proyecto'!O30</f>
        <v>95556185.888569474</v>
      </c>
    </row>
    <row r="33" spans="1:21">
      <c r="A33" s="402" t="s">
        <v>706</v>
      </c>
      <c r="B33" s="310"/>
      <c r="C33" s="310"/>
      <c r="D33" s="310"/>
      <c r="E33" s="311"/>
      <c r="F33" s="64">
        <f>$F$28*((1+(1-Datos!$B$71))*(F31/F32))</f>
        <v>3.2174999999999998</v>
      </c>
      <c r="G33" s="64">
        <f>$F$28*((1+(1-Datos!$B$71))*(G31/G32))</f>
        <v>2.9498223681330864</v>
      </c>
      <c r="H33" s="64">
        <f>$F$28*((1+(1-Datos!$B$71))*(H31/H32))</f>
        <v>2.4737455265166548</v>
      </c>
      <c r="I33" s="64">
        <f>$F$28*((1+(1-Datos!$B$71))*(I31/I32))</f>
        <v>1.9249191624875845</v>
      </c>
      <c r="J33" s="64">
        <f>$F$28*((1+(1-Datos!$B$71))*(J31/J32))</f>
        <v>0.49635661595260017</v>
      </c>
      <c r="K33" s="64">
        <f>$F$28*((1+(1-Datos!$B$71))*(K31/K32))</f>
        <v>4.5714000508458739</v>
      </c>
      <c r="L33" s="64">
        <f>$F$28*((1+(1-Datos!$B$71))*(L31/L32))</f>
        <v>3.5019505174659527</v>
      </c>
      <c r="M33" s="64">
        <f>$F$28*((1+(1-Datos!$B$71))*(M31/M32))</f>
        <v>2.5000404033228349</v>
      </c>
      <c r="N33" s="64">
        <f>$F$28*((1+(1-Datos!$B$71))*(N31/N32))</f>
        <v>0.99145440880425895</v>
      </c>
    </row>
    <row r="34" spans="1:21">
      <c r="A34" s="394"/>
      <c r="B34" s="352"/>
      <c r="C34" s="352"/>
      <c r="D34" s="352"/>
      <c r="E34" s="352"/>
      <c r="L34" s="58"/>
    </row>
    <row r="35" spans="1:21">
      <c r="A35" s="403" t="s">
        <v>707</v>
      </c>
      <c r="B35" s="353"/>
      <c r="C35" s="353"/>
      <c r="D35" s="353"/>
      <c r="E35" s="354"/>
      <c r="F35" s="31">
        <f t="shared" ref="F35:N35" si="0">$F$13+($F$23-$F$13)*F33+$F$15</f>
        <v>0.53880672605075108</v>
      </c>
      <c r="G35" s="31">
        <f t="shared" si="0"/>
        <v>0.49936829318400644</v>
      </c>
      <c r="H35" s="31">
        <f t="shared" si="0"/>
        <v>0.42922524676451113</v>
      </c>
      <c r="I35" s="31">
        <f t="shared" si="0"/>
        <v>0.34836360897169899</v>
      </c>
      <c r="J35" s="31">
        <f t="shared" si="0"/>
        <v>0.13788555111336587</v>
      </c>
      <c r="K35" s="31">
        <f t="shared" si="0"/>
        <v>0.73828434355341566</v>
      </c>
      <c r="L35" s="31">
        <f t="shared" si="0"/>
        <v>0.58071640135215763</v>
      </c>
      <c r="M35" s="31">
        <f t="shared" si="0"/>
        <v>0.43309941707312871</v>
      </c>
      <c r="N35" s="31">
        <f t="shared" si="0"/>
        <v>0.21083105996918866</v>
      </c>
    </row>
    <row r="36" spans="1:21">
      <c r="A36" s="394"/>
      <c r="B36" s="352"/>
      <c r="C36" s="352"/>
      <c r="D36" s="352"/>
      <c r="E36" s="352"/>
    </row>
    <row r="37" spans="1:21">
      <c r="A37" s="394"/>
      <c r="B37" s="352"/>
      <c r="C37" s="352"/>
      <c r="D37" s="352"/>
      <c r="E37" s="352"/>
    </row>
    <row r="38" spans="1:21">
      <c r="A38" s="402" t="s">
        <v>708</v>
      </c>
      <c r="B38" s="310"/>
      <c r="C38" s="310"/>
      <c r="D38" s="310"/>
      <c r="E38" s="311"/>
      <c r="F38" s="30">
        <f t="shared" ref="F38:K38" si="1">F31/(F31+F32)</f>
        <v>0.6</v>
      </c>
      <c r="G38" s="30">
        <f t="shared" si="1"/>
        <v>0.57898434037338176</v>
      </c>
      <c r="H38" s="30">
        <f t="shared" si="1"/>
        <v>0.53558818348286297</v>
      </c>
      <c r="I38" s="30">
        <f t="shared" si="1"/>
        <v>0.47296250506141513</v>
      </c>
      <c r="J38" s="30">
        <f t="shared" si="1"/>
        <v>0.18791730467398096</v>
      </c>
      <c r="K38" s="30">
        <f t="shared" si="1"/>
        <v>0.6806324841043595</v>
      </c>
      <c r="L38" s="30">
        <f t="shared" ref="L38:M38" si="2">L31/(L31+L32)</f>
        <v>0.6201489647615045</v>
      </c>
      <c r="M38" s="30">
        <f t="shared" si="2"/>
        <v>0.53821714909830021</v>
      </c>
      <c r="N38" s="30">
        <f t="shared" ref="N38" si="3">N31/(N31+N32)</f>
        <v>0.31610674971750691</v>
      </c>
    </row>
    <row r="39" spans="1:21">
      <c r="A39" s="402" t="s">
        <v>709</v>
      </c>
      <c r="B39" s="310"/>
      <c r="C39" s="310"/>
      <c r="D39" s="310"/>
      <c r="E39" s="311"/>
      <c r="F39" s="30">
        <f t="shared" ref="F39:K39" si="4">F32/(F31+F32)</f>
        <v>0.4</v>
      </c>
      <c r="G39" s="30">
        <f t="shared" si="4"/>
        <v>0.42101565962661813</v>
      </c>
      <c r="H39" s="30">
        <f t="shared" si="4"/>
        <v>0.46441181651713692</v>
      </c>
      <c r="I39" s="30">
        <f t="shared" si="4"/>
        <v>0.52703749493858498</v>
      </c>
      <c r="J39" s="30">
        <f t="shared" si="4"/>
        <v>0.81208269532601896</v>
      </c>
      <c r="K39" s="30">
        <f t="shared" si="4"/>
        <v>0.31936751589564044</v>
      </c>
      <c r="L39" s="30">
        <f t="shared" ref="L39:M39" si="5">L32/(L31+L32)</f>
        <v>0.37985103523849556</v>
      </c>
      <c r="M39" s="30">
        <f t="shared" si="5"/>
        <v>0.46178285090169974</v>
      </c>
      <c r="N39" s="30">
        <f t="shared" ref="N39" si="6">N32/(N31+N32)</f>
        <v>0.68389325028249315</v>
      </c>
    </row>
    <row r="40" spans="1:21">
      <c r="A40" s="404" t="s">
        <v>710</v>
      </c>
      <c r="B40" s="312"/>
      <c r="C40" s="312"/>
      <c r="D40" s="312"/>
      <c r="E40" s="313"/>
      <c r="F40" s="65">
        <f t="shared" ref="F40:K40" si="7">SUM(F38:F39)</f>
        <v>1</v>
      </c>
      <c r="G40" s="65">
        <f t="shared" si="7"/>
        <v>0.99999999999999989</v>
      </c>
      <c r="H40" s="65">
        <f t="shared" si="7"/>
        <v>0.99999999999999989</v>
      </c>
      <c r="I40" s="65">
        <f t="shared" si="7"/>
        <v>1</v>
      </c>
      <c r="J40" s="65">
        <f t="shared" si="7"/>
        <v>0.99999999999999989</v>
      </c>
      <c r="K40" s="65">
        <f t="shared" si="7"/>
        <v>1</v>
      </c>
      <c r="L40" s="65">
        <f t="shared" ref="L40:M40" si="8">SUM(L38:L39)</f>
        <v>1</v>
      </c>
      <c r="M40" s="65">
        <f t="shared" si="8"/>
        <v>1</v>
      </c>
      <c r="N40" s="65">
        <f t="shared" ref="N40" si="9">SUM(N38:N39)</f>
        <v>1</v>
      </c>
    </row>
    <row r="41" spans="1:21">
      <c r="A41" s="394"/>
      <c r="B41" s="352"/>
      <c r="C41" s="352"/>
      <c r="D41" s="352"/>
      <c r="E41" s="352"/>
    </row>
    <row r="42" spans="1:21">
      <c r="A42" s="402" t="s">
        <v>695</v>
      </c>
      <c r="B42" s="310"/>
      <c r="C42" s="310"/>
      <c r="D42" s="310"/>
      <c r="E42" s="311"/>
      <c r="F42" s="31">
        <f>'Costo deuda KD'!$F$22*(1-Datos!$B$71)</f>
        <v>0.125671</v>
      </c>
      <c r="G42" s="31">
        <f>'Costo deuda KD'!$F$22*(1-Datos!$B$71)</f>
        <v>0.125671</v>
      </c>
      <c r="H42" s="31">
        <f>'Costo deuda KD'!$F$22*(1-Datos!$B$71)</f>
        <v>0.125671</v>
      </c>
      <c r="I42" s="31">
        <f>'Costo deuda KD'!$F$22*(1-Datos!$B$71)</f>
        <v>0.125671</v>
      </c>
      <c r="J42" s="31">
        <f>'Costo deuda KD'!$F$22*(1-Datos!$B$71)</f>
        <v>0.125671</v>
      </c>
      <c r="K42" s="31">
        <f>'Costo deuda KD'!$F$22*(1-Datos!$B$71)</f>
        <v>0.125671</v>
      </c>
      <c r="L42" s="31">
        <f>'Costo deuda KD'!$F$22*(1-Datos!$B$71)</f>
        <v>0.125671</v>
      </c>
      <c r="M42" s="31">
        <f>'Costo deuda KD'!$F$22*(1-Datos!$B$71)</f>
        <v>0.125671</v>
      </c>
      <c r="N42" s="31">
        <f>'Costo deuda KD'!$F$22*(1-Datos!$B$71)</f>
        <v>0.125671</v>
      </c>
    </row>
    <row r="43" spans="1:21">
      <c r="A43" s="394"/>
      <c r="B43" s="352"/>
      <c r="C43" s="352"/>
      <c r="D43" s="352"/>
      <c r="E43" s="352"/>
      <c r="J43" s="2"/>
      <c r="K43" s="2"/>
    </row>
    <row r="44" spans="1:21" ht="15" thickBot="1">
      <c r="A44" s="402" t="s">
        <v>696</v>
      </c>
      <c r="B44" s="310"/>
      <c r="C44" s="310"/>
      <c r="D44" s="310"/>
      <c r="E44" s="311"/>
      <c r="F44" s="30">
        <f t="shared" ref="F44:K44" si="10">F38*F42</f>
        <v>7.54026E-2</v>
      </c>
      <c r="G44" s="30">
        <f t="shared" si="10"/>
        <v>7.2761541039063266E-2</v>
      </c>
      <c r="H44" s="30">
        <f t="shared" si="10"/>
        <v>6.7307902606474873E-2</v>
      </c>
      <c r="I44" s="30">
        <f t="shared" si="10"/>
        <v>5.9437670973573102E-2</v>
      </c>
      <c r="J44" s="30">
        <f t="shared" si="10"/>
        <v>2.3615755595683862E-2</v>
      </c>
      <c r="K44" s="30">
        <f t="shared" si="10"/>
        <v>8.5535764909878964E-2</v>
      </c>
      <c r="L44" s="30">
        <f t="shared" ref="L44:N44" si="11">L38*L42</f>
        <v>7.793474055054303E-2</v>
      </c>
      <c r="M44" s="30">
        <f t="shared" si="11"/>
        <v>6.7638287344332484E-2</v>
      </c>
      <c r="N44" s="30">
        <f t="shared" si="11"/>
        <v>3.9725451343748809E-2</v>
      </c>
    </row>
    <row r="45" spans="1:21" ht="17.5" thickBot="1">
      <c r="A45" s="402" t="s">
        <v>697</v>
      </c>
      <c r="B45" s="310"/>
      <c r="C45" s="310"/>
      <c r="D45" s="310"/>
      <c r="E45" s="311"/>
      <c r="F45" s="30">
        <f t="shared" ref="F45:K45" si="12">F39*F35</f>
        <v>0.21552269042030045</v>
      </c>
      <c r="G45" s="30">
        <f t="shared" si="12"/>
        <v>0.2102418713514829</v>
      </c>
      <c r="H45" s="30">
        <f t="shared" si="12"/>
        <v>0.19933727654492295</v>
      </c>
      <c r="I45" s="30">
        <f t="shared" si="12"/>
        <v>0.183600683800209</v>
      </c>
      <c r="J45" s="30">
        <f t="shared" si="12"/>
        <v>0.11197446999465571</v>
      </c>
      <c r="K45" s="30">
        <f t="shared" si="12"/>
        <v>0.23578403682529794</v>
      </c>
      <c r="L45" s="30">
        <f t="shared" ref="L45:N45" si="13">L39*L35</f>
        <v>0.22058572623359077</v>
      </c>
      <c r="M45" s="30">
        <f t="shared" si="13"/>
        <v>0.19999788353989367</v>
      </c>
      <c r="N45" s="30">
        <f t="shared" si="13"/>
        <v>0.14418593886283165</v>
      </c>
      <c r="R45" s="960" t="s">
        <v>190</v>
      </c>
      <c r="S45" s="961"/>
      <c r="T45" s="961"/>
      <c r="U45" s="962"/>
    </row>
    <row r="46" spans="1:21">
      <c r="A46" s="741" t="s">
        <v>191</v>
      </c>
      <c r="B46" s="742"/>
      <c r="C46" s="742"/>
      <c r="D46" s="742"/>
      <c r="E46" s="743"/>
      <c r="F46" s="31">
        <f t="shared" ref="F46:K46" si="14">F44+F45</f>
        <v>0.29092529042030046</v>
      </c>
      <c r="G46" s="31">
        <f t="shared" si="14"/>
        <v>0.28300341239054616</v>
      </c>
      <c r="H46" s="31">
        <f t="shared" si="14"/>
        <v>0.26664517915139785</v>
      </c>
      <c r="I46" s="31">
        <f t="shared" si="14"/>
        <v>0.24303835477378211</v>
      </c>
      <c r="J46" s="31">
        <f t="shared" si="14"/>
        <v>0.13559022559033956</v>
      </c>
      <c r="K46" s="31">
        <f t="shared" si="14"/>
        <v>0.32131980173517694</v>
      </c>
      <c r="L46" s="31">
        <f t="shared" ref="L46:N46" si="15">L44+L45</f>
        <v>0.2985204667841338</v>
      </c>
      <c r="M46" s="31">
        <f t="shared" si="15"/>
        <v>0.26763617088422614</v>
      </c>
      <c r="N46" s="31">
        <f t="shared" si="15"/>
        <v>0.18391139020658046</v>
      </c>
    </row>
    <row r="47" spans="1:21">
      <c r="E47" s="66"/>
      <c r="F47" s="67"/>
      <c r="G47" s="67"/>
      <c r="H47" s="67"/>
      <c r="I47" s="67"/>
      <c r="J47" s="67"/>
      <c r="L47" s="58"/>
    </row>
    <row r="48" spans="1:21">
      <c r="A48" s="35"/>
      <c r="B48" s="35"/>
      <c r="C48" s="35"/>
      <c r="D48" s="963"/>
      <c r="E48" s="963"/>
      <c r="F48" s="66"/>
      <c r="G48" s="66"/>
      <c r="H48" s="66"/>
      <c r="I48" s="66"/>
      <c r="J48" s="66"/>
    </row>
    <row r="49" spans="1:21" ht="30" customHeight="1" thickBot="1">
      <c r="B49" s="777" t="s">
        <v>192</v>
      </c>
      <c r="C49" s="777"/>
      <c r="D49" s="777"/>
      <c r="E49" s="777"/>
      <c r="F49" s="778"/>
      <c r="G49" s="777"/>
      <c r="H49" s="777"/>
      <c r="I49" s="777"/>
      <c r="J49" s="777"/>
      <c r="K49" s="777"/>
      <c r="L49" s="777"/>
      <c r="M49" s="777"/>
      <c r="N49" s="777"/>
      <c r="R49" s="68"/>
      <c r="S49" s="68"/>
      <c r="T49" s="68"/>
      <c r="U49" s="68"/>
    </row>
    <row r="50" spans="1:21">
      <c r="A50" s="776"/>
      <c r="B50" s="964"/>
      <c r="C50" s="964"/>
      <c r="D50" s="964"/>
      <c r="E50" s="964"/>
      <c r="F50" s="747" t="str">
        <f t="shared" ref="F50:N50" si="16">F30</f>
        <v>INICIAL</v>
      </c>
      <c r="G50" s="747">
        <f t="shared" si="16"/>
        <v>2023</v>
      </c>
      <c r="H50" s="747">
        <f t="shared" si="16"/>
        <v>2024</v>
      </c>
      <c r="I50" s="747">
        <f t="shared" si="16"/>
        <v>2025</v>
      </c>
      <c r="J50" s="747">
        <f t="shared" si="16"/>
        <v>2026</v>
      </c>
      <c r="K50" s="747">
        <f t="shared" si="16"/>
        <v>2027</v>
      </c>
      <c r="L50" s="747">
        <f t="shared" si="16"/>
        <v>2028</v>
      </c>
      <c r="M50" s="747">
        <f t="shared" si="16"/>
        <v>2029</v>
      </c>
      <c r="N50" s="747">
        <f t="shared" si="16"/>
        <v>2030</v>
      </c>
    </row>
    <row r="51" spans="1:21" ht="15" customHeight="1">
      <c r="A51" s="779"/>
      <c r="B51" s="770" t="s">
        <v>134</v>
      </c>
      <c r="C51" s="768"/>
      <c r="D51" s="768"/>
      <c r="E51" s="769"/>
      <c r="F51" s="748">
        <f>'EF Proyecto'!G52</f>
        <v>0</v>
      </c>
      <c r="G51" s="748">
        <f>'EF Proyecto'!H52</f>
        <v>-6072176.0890588406</v>
      </c>
      <c r="H51" s="748">
        <f>'EF Proyecto'!I52</f>
        <v>-6559117.4346688651</v>
      </c>
      <c r="I51" s="748">
        <f>'EF Proyecto'!J52</f>
        <v>-2315631.1991028702</v>
      </c>
      <c r="J51" s="748">
        <f>'EF Proyecto'!K52</f>
        <v>36859105.093944684</v>
      </c>
      <c r="K51" s="748">
        <f>'EF Proyecto'!L52</f>
        <v>-37229470.606371514</v>
      </c>
      <c r="L51" s="748">
        <f>'EF Proyecto'!M52</f>
        <v>5726882.3652492613</v>
      </c>
      <c r="M51" s="748">
        <f>'EF Proyecto'!N52</f>
        <v>8221589.1204699036</v>
      </c>
      <c r="N51" s="748">
        <f>'EF Proyecto'!O52</f>
        <v>49085732.638107724</v>
      </c>
    </row>
    <row r="52" spans="1:21" ht="15" customHeight="1">
      <c r="A52" s="69"/>
      <c r="B52" s="771" t="s">
        <v>135</v>
      </c>
      <c r="C52" s="759"/>
      <c r="D52" s="759"/>
      <c r="E52" s="760"/>
      <c r="F52" s="748">
        <f>'EF Proyecto'!G51</f>
        <v>0</v>
      </c>
      <c r="G52" s="748">
        <f>'EF Proyecto'!H51</f>
        <v>0</v>
      </c>
      <c r="H52" s="748">
        <f>'EF Proyecto'!I51</f>
        <v>0</v>
      </c>
      <c r="I52" s="748">
        <f>'EF Proyecto'!J51</f>
        <v>0</v>
      </c>
      <c r="J52" s="748">
        <f>'EF Proyecto'!K51</f>
        <v>19847210.435200986</v>
      </c>
      <c r="K52" s="748">
        <f>'EF Proyecto'!L51</f>
        <v>0</v>
      </c>
      <c r="L52" s="748">
        <f>'EF Proyecto'!M51</f>
        <v>3083705.8889803714</v>
      </c>
      <c r="M52" s="748">
        <f>'EF Proyecto'!N51</f>
        <v>4427009.5264068712</v>
      </c>
      <c r="N52" s="748">
        <f>'EF Proyecto'!O51</f>
        <v>26430779.112827234</v>
      </c>
    </row>
    <row r="53" spans="1:21" ht="15" customHeight="1" thickBot="1">
      <c r="A53" s="69"/>
      <c r="B53" s="771" t="s">
        <v>136</v>
      </c>
      <c r="C53" s="759"/>
      <c r="D53" s="759"/>
      <c r="E53" s="760"/>
      <c r="F53" s="749">
        <f>'EF Proyecto'!G48</f>
        <v>0</v>
      </c>
      <c r="G53" s="749">
        <f>'EF Proyecto'!H48</f>
        <v>11726499.41997456</v>
      </c>
      <c r="H53" s="749">
        <f>'EF Proyecto'!I48</f>
        <v>9212471.1557624005</v>
      </c>
      <c r="I53" s="749">
        <f>'EF Proyecto'!J48</f>
        <v>6756468.0035838103</v>
      </c>
      <c r="J53" s="749">
        <f>'EF Proyecto'!K48</f>
        <v>4466004.1173548838</v>
      </c>
      <c r="K53" s="749">
        <f>'EF Proyecto'!L48</f>
        <v>15421750.168986971</v>
      </c>
      <c r="L53" s="749">
        <f>'EF Proyecto'!M48</f>
        <v>12543965.85908881</v>
      </c>
      <c r="M53" s="749">
        <f>'EF Proyecto'!N48</f>
        <v>11125663.162031688</v>
      </c>
      <c r="N53" s="749">
        <f>'EF Proyecto'!O48</f>
        <v>9414339.1277625598</v>
      </c>
    </row>
    <row r="54" spans="1:21" ht="15" customHeight="1" thickBot="1">
      <c r="A54" s="69"/>
      <c r="B54" s="780" t="s">
        <v>137</v>
      </c>
      <c r="C54" s="761"/>
      <c r="D54" s="761"/>
      <c r="E54" s="762"/>
      <c r="F54" s="750">
        <f t="shared" ref="F54:K54" si="17">F51+F52+F53</f>
        <v>0</v>
      </c>
      <c r="G54" s="750">
        <f t="shared" si="17"/>
        <v>5654323.3309157193</v>
      </c>
      <c r="H54" s="750">
        <f t="shared" si="17"/>
        <v>2653353.7210935354</v>
      </c>
      <c r="I54" s="750">
        <f t="shared" si="17"/>
        <v>4440836.8044809401</v>
      </c>
      <c r="J54" s="750">
        <f t="shared" si="17"/>
        <v>61172319.646500558</v>
      </c>
      <c r="K54" s="750">
        <f t="shared" si="17"/>
        <v>-21807720.437384546</v>
      </c>
      <c r="L54" s="750">
        <f t="shared" ref="L54:M54" si="18">L51+L52+L53</f>
        <v>21354554.113318443</v>
      </c>
      <c r="M54" s="750">
        <f t="shared" si="18"/>
        <v>23774261.808908463</v>
      </c>
      <c r="N54" s="750">
        <f t="shared" ref="N54" si="19">N51+N52+N53</f>
        <v>84930850.878697515</v>
      </c>
    </row>
    <row r="55" spans="1:21" ht="15" customHeight="1" thickBot="1">
      <c r="A55" s="69"/>
      <c r="B55" s="784"/>
      <c r="C55" s="763"/>
      <c r="D55" s="763"/>
      <c r="E55" s="763"/>
      <c r="F55" s="268"/>
      <c r="G55" s="268"/>
      <c r="H55" s="268"/>
      <c r="I55" s="268"/>
      <c r="J55" s="268"/>
      <c r="K55" s="268"/>
      <c r="L55" s="751"/>
      <c r="M55" s="751"/>
      <c r="N55" s="751"/>
      <c r="R55" s="960" t="s">
        <v>193</v>
      </c>
      <c r="S55" s="961"/>
      <c r="T55" s="961"/>
      <c r="U55" s="962"/>
    </row>
    <row r="56" spans="1:21" ht="15" customHeight="1" thickBot="1">
      <c r="A56" s="69"/>
      <c r="B56" s="770" t="s">
        <v>138</v>
      </c>
      <c r="C56" s="764"/>
      <c r="D56" s="764"/>
      <c r="E56" s="765"/>
      <c r="F56" s="749">
        <v>0</v>
      </c>
      <c r="G56" s="752">
        <f>G54*('EF Proyecto'!H51/'EF Proyecto'!H50)</f>
        <v>0</v>
      </c>
      <c r="H56" s="752">
        <f>H54*('EF Proyecto'!I51/'EF Proyecto'!I50)</f>
        <v>0</v>
      </c>
      <c r="I56" s="752">
        <f>I54*('EF Proyecto'!J51/'EF Proyecto'!J50)</f>
        <v>0</v>
      </c>
      <c r="J56" s="752">
        <f>J54*('EF Proyecto'!K51/'EF Proyecto'!K50)</f>
        <v>21410311.876275193</v>
      </c>
      <c r="K56" s="752">
        <f>K54*('EF Proyecto'!L51/'EF Proyecto'!L50)</f>
        <v>0</v>
      </c>
      <c r="L56" s="752">
        <f>L54*('EF Proyecto'!M51/'EF Proyecto'!M50)</f>
        <v>7474093.9396614544</v>
      </c>
      <c r="M56" s="752">
        <f>M54*('EF Proyecto'!N51/'EF Proyecto'!N50)</f>
        <v>8320991.6331179617</v>
      </c>
      <c r="N56" s="752">
        <f>N54*('EF Proyecto'!O51/'EF Proyecto'!O50)</f>
        <v>29725797.807544127</v>
      </c>
    </row>
    <row r="57" spans="1:21" ht="15" customHeight="1">
      <c r="A57" s="69"/>
      <c r="B57" s="772" t="s">
        <v>139</v>
      </c>
      <c r="C57" s="766"/>
      <c r="D57" s="766"/>
      <c r="E57" s="767"/>
      <c r="F57" s="753">
        <f t="shared" ref="F57:M57" si="20">F54-F56</f>
        <v>0</v>
      </c>
      <c r="G57" s="754">
        <f t="shared" si="20"/>
        <v>5654323.3309157193</v>
      </c>
      <c r="H57" s="754">
        <f t="shared" si="20"/>
        <v>2653353.7210935354</v>
      </c>
      <c r="I57" s="754">
        <f t="shared" si="20"/>
        <v>4440836.8044809401</v>
      </c>
      <c r="J57" s="754">
        <f t="shared" si="20"/>
        <v>39762007.770225361</v>
      </c>
      <c r="K57" s="754">
        <f t="shared" si="20"/>
        <v>-21807720.437384546</v>
      </c>
      <c r="L57" s="754">
        <f t="shared" si="20"/>
        <v>13880460.173656989</v>
      </c>
      <c r="M57" s="754">
        <f t="shared" si="20"/>
        <v>15453270.1757905</v>
      </c>
      <c r="N57" s="754">
        <f t="shared" ref="N57" si="21">N54-N56</f>
        <v>55205053.071153387</v>
      </c>
    </row>
    <row r="58" spans="1:21" ht="15" customHeight="1">
      <c r="A58" s="69"/>
      <c r="B58" s="784"/>
      <c r="C58" s="763"/>
      <c r="D58" s="763"/>
      <c r="E58" s="763"/>
      <c r="F58" s="268"/>
      <c r="G58" s="268"/>
      <c r="H58" s="268"/>
      <c r="I58" s="268"/>
      <c r="J58" s="268"/>
      <c r="K58" s="268"/>
      <c r="L58" s="751"/>
      <c r="M58" s="751"/>
      <c r="N58" s="751"/>
    </row>
    <row r="59" spans="1:21" ht="15" customHeight="1">
      <c r="A59" s="69"/>
      <c r="B59" s="770" t="s">
        <v>140</v>
      </c>
      <c r="C59" s="768"/>
      <c r="D59" s="768"/>
      <c r="E59" s="769"/>
      <c r="F59" s="755">
        <f>'EF Proyecto'!G45</f>
        <v>0</v>
      </c>
      <c r="G59" s="755">
        <f>'EF Proyecto'!H45</f>
        <v>11602556.6</v>
      </c>
      <c r="H59" s="755">
        <f>'EF Proyecto'!I45</f>
        <v>13337309.228</v>
      </c>
      <c r="I59" s="755">
        <f>'EF Proyecto'!J45</f>
        <v>13968160.255625</v>
      </c>
      <c r="J59" s="755">
        <f>'EF Proyecto'!K45</f>
        <v>16498392.725226201</v>
      </c>
      <c r="K59" s="755">
        <f>'EF Proyecto'!L45</f>
        <v>33264419.33943738</v>
      </c>
      <c r="L59" s="755">
        <f>'EF Proyecto'!M45</f>
        <v>22412901.13915414</v>
      </c>
      <c r="M59" s="755">
        <f>'EF Proyecto'!N45</f>
        <v>23096041.345785283</v>
      </c>
      <c r="N59" s="755">
        <f>'EF Proyecto'!O45</f>
        <v>23308981.960242067</v>
      </c>
      <c r="R59" s="68"/>
      <c r="S59" s="68"/>
      <c r="T59" s="68"/>
      <c r="U59" s="68"/>
    </row>
    <row r="60" spans="1:21" ht="15" customHeight="1">
      <c r="A60" s="69"/>
      <c r="B60" s="771" t="s">
        <v>141</v>
      </c>
      <c r="C60" s="759"/>
      <c r="D60" s="759"/>
      <c r="E60" s="760"/>
      <c r="F60" s="755"/>
      <c r="G60" s="756"/>
      <c r="H60" s="756"/>
      <c r="I60" s="756"/>
      <c r="J60" s="756"/>
      <c r="K60" s="756"/>
      <c r="L60" s="756"/>
      <c r="M60" s="756"/>
      <c r="N60" s="756"/>
      <c r="R60" s="68"/>
      <c r="S60" s="68"/>
      <c r="T60" s="68"/>
      <c r="U60" s="68"/>
    </row>
    <row r="61" spans="1:21" ht="15" customHeight="1">
      <c r="A61" s="69"/>
      <c r="B61" s="771" t="s">
        <v>142</v>
      </c>
      <c r="C61" s="759"/>
      <c r="D61" s="759"/>
      <c r="E61" s="760"/>
      <c r="F61" s="755"/>
      <c r="G61" s="756"/>
      <c r="H61" s="756"/>
      <c r="I61" s="756"/>
      <c r="J61" s="756"/>
      <c r="K61" s="756"/>
      <c r="L61" s="756"/>
      <c r="M61" s="756"/>
      <c r="N61" s="756"/>
    </row>
    <row r="62" spans="1:21" ht="15" customHeight="1">
      <c r="A62" s="70"/>
      <c r="B62" s="772" t="s">
        <v>143</v>
      </c>
      <c r="C62" s="766"/>
      <c r="D62" s="766"/>
      <c r="E62" s="767"/>
      <c r="F62" s="753">
        <f t="shared" ref="F62:K62" si="22">F57+F59+F60+F61</f>
        <v>0</v>
      </c>
      <c r="G62" s="754">
        <f t="shared" si="22"/>
        <v>17256879.930915721</v>
      </c>
      <c r="H62" s="754">
        <f t="shared" si="22"/>
        <v>15990662.949093536</v>
      </c>
      <c r="I62" s="754">
        <f t="shared" si="22"/>
        <v>18408997.060105942</v>
      </c>
      <c r="J62" s="754">
        <f t="shared" si="22"/>
        <v>56260400.495451562</v>
      </c>
      <c r="K62" s="754">
        <f t="shared" si="22"/>
        <v>11456698.902052835</v>
      </c>
      <c r="L62" s="754">
        <f t="shared" ref="L62:M62" si="23">L57+L59+L60+L61</f>
        <v>36293361.312811129</v>
      </c>
      <c r="M62" s="754">
        <f t="shared" si="23"/>
        <v>38549311.521575779</v>
      </c>
      <c r="N62" s="754">
        <f t="shared" ref="N62" si="24">N57+N59+N60+N61</f>
        <v>78514035.03139545</v>
      </c>
    </row>
    <row r="63" spans="1:21" ht="15" customHeight="1">
      <c r="A63" s="69"/>
      <c r="B63" s="784"/>
      <c r="C63" s="763"/>
      <c r="D63" s="763"/>
      <c r="E63" s="763"/>
      <c r="F63" s="268"/>
      <c r="G63" s="268"/>
      <c r="H63" s="268"/>
      <c r="I63" s="268"/>
      <c r="J63" s="268"/>
      <c r="K63" s="268"/>
      <c r="L63" s="751"/>
      <c r="M63" s="751"/>
      <c r="N63" s="751"/>
    </row>
    <row r="64" spans="1:21" ht="15" customHeight="1">
      <c r="A64" s="69"/>
      <c r="B64" s="770" t="s">
        <v>144</v>
      </c>
      <c r="C64" s="768"/>
      <c r="D64" s="768"/>
      <c r="E64" s="769"/>
      <c r="F64" s="755"/>
      <c r="G64" s="756">
        <f>'EF Proyecto'!H68</f>
        <v>9890681.2297918387</v>
      </c>
      <c r="H64" s="756">
        <f>'EF Proyecto'!I68</f>
        <v>1401901.3695760742</v>
      </c>
      <c r="I64" s="756">
        <f>'EF Proyecto'!J68</f>
        <v>621092.0777761098</v>
      </c>
      <c r="J64" s="756">
        <f>'EF Proyecto'!K68</f>
        <v>655252.10724292137</v>
      </c>
      <c r="K64" s="756">
        <f>'EF Proyecto'!L68</f>
        <v>6382501.0211116858</v>
      </c>
      <c r="L64" s="756">
        <f>'EF Proyecto'!M68</f>
        <v>814911.39563643932</v>
      </c>
      <c r="M64" s="756">
        <f>'EF Proyecto'!N68</f>
        <v>770887.22884427011</v>
      </c>
      <c r="N64" s="756">
        <f>'EF Proyecto'!O68</f>
        <v>924175.18934906274</v>
      </c>
    </row>
    <row r="65" spans="1:14" ht="15" customHeight="1" thickBot="1">
      <c r="A65" s="69"/>
      <c r="B65" s="771" t="s">
        <v>145</v>
      </c>
      <c r="C65" s="759"/>
      <c r="D65" s="759"/>
      <c r="E65" s="760"/>
      <c r="F65" s="755"/>
      <c r="G65" s="755">
        <f>'EF Proyecto'!H9-'EF Proyecto'!G9</f>
        <v>2514603</v>
      </c>
      <c r="H65" s="755">
        <f>'EF Proyecto'!I9-'EF Proyecto'!H9</f>
        <v>8673763.1400000006</v>
      </c>
      <c r="I65" s="755">
        <f>'EF Proyecto'!J9-'EF Proyecto'!I9</f>
        <v>3154255.1381250024</v>
      </c>
      <c r="J65" s="755">
        <f>'EF Proyecto'!K9-'EF Proyecto'!J9</f>
        <v>12651162.348005995</v>
      </c>
      <c r="K65" s="755">
        <f>'EF Proyecto'!L9-'EF Proyecto'!K9</f>
        <v>83830133.071055889</v>
      </c>
      <c r="L65" s="755">
        <f>'EF Proyecto'!M9-'EF Proyecto'!L9</f>
        <v>3755191.9985837936</v>
      </c>
      <c r="M65" s="755">
        <f>'EF Proyecto'!N9-'EF Proyecto'!M9</f>
        <v>12089464.173155725</v>
      </c>
      <c r="N65" s="755">
        <f>'EF Proyecto'!O9-'EF Proyecto'!N9</f>
        <v>4218958.2104088962</v>
      </c>
    </row>
    <row r="66" spans="1:14" ht="15" customHeight="1" thickBot="1">
      <c r="A66" s="70"/>
      <c r="B66" s="772" t="s">
        <v>146</v>
      </c>
      <c r="C66" s="766"/>
      <c r="D66" s="766"/>
      <c r="E66" s="767"/>
      <c r="F66" s="757">
        <f t="shared" ref="F66:M66" si="25">F64+F65</f>
        <v>0</v>
      </c>
      <c r="G66" s="758">
        <f t="shared" si="25"/>
        <v>12405284.229791839</v>
      </c>
      <c r="H66" s="758">
        <f t="shared" si="25"/>
        <v>10075664.509576075</v>
      </c>
      <c r="I66" s="758">
        <f t="shared" si="25"/>
        <v>3775347.2159011122</v>
      </c>
      <c r="J66" s="758">
        <f t="shared" si="25"/>
        <v>13306414.455248917</v>
      </c>
      <c r="K66" s="758">
        <f t="shared" si="25"/>
        <v>90212634.092167571</v>
      </c>
      <c r="L66" s="757">
        <f t="shared" si="25"/>
        <v>4570103.394220233</v>
      </c>
      <c r="M66" s="758">
        <f t="shared" si="25"/>
        <v>12860351.401999995</v>
      </c>
      <c r="N66" s="758">
        <f t="shared" ref="N66" si="26">N64+N65</f>
        <v>5143133.3997579589</v>
      </c>
    </row>
    <row r="67" spans="1:14" ht="15" customHeight="1">
      <c r="A67" s="783"/>
      <c r="B67" s="784"/>
      <c r="C67" s="773"/>
      <c r="D67" s="773"/>
      <c r="E67" s="773"/>
      <c r="F67" s="268"/>
      <c r="G67" s="268"/>
      <c r="H67" s="268"/>
      <c r="I67" s="268"/>
      <c r="J67" s="268"/>
      <c r="K67" s="268"/>
      <c r="L67" s="751"/>
      <c r="M67" s="751"/>
      <c r="N67" s="751"/>
    </row>
    <row r="68" spans="1:14" ht="15" customHeight="1" thickBot="1">
      <c r="A68" s="781"/>
      <c r="B68" s="782" t="s">
        <v>147</v>
      </c>
      <c r="C68" s="774"/>
      <c r="D68" s="774"/>
      <c r="E68" s="775"/>
      <c r="F68" s="753">
        <f t="shared" ref="F68:N68" si="27">F62-F66</f>
        <v>0</v>
      </c>
      <c r="G68" s="754">
        <f t="shared" si="27"/>
        <v>4851595.7011238821</v>
      </c>
      <c r="H68" s="754">
        <f t="shared" si="27"/>
        <v>5914998.4395174608</v>
      </c>
      <c r="I68" s="754">
        <f t="shared" si="27"/>
        <v>14633649.84420483</v>
      </c>
      <c r="J68" s="754">
        <f t="shared" si="27"/>
        <v>42953986.040202647</v>
      </c>
      <c r="K68" s="754">
        <f t="shared" si="27"/>
        <v>-78755935.190114737</v>
      </c>
      <c r="L68" s="754">
        <f t="shared" si="27"/>
        <v>31723257.918590896</v>
      </c>
      <c r="M68" s="754">
        <f t="shared" si="27"/>
        <v>25688960.119575784</v>
      </c>
      <c r="N68" s="754">
        <f t="shared" si="27"/>
        <v>73370901.631637484</v>
      </c>
    </row>
    <row r="69" spans="1:14" ht="15.5">
      <c r="A69" s="2"/>
      <c r="F69" s="72"/>
      <c r="G69" s="805" t="e">
        <f>+#REF!</f>
        <v>#REF!</v>
      </c>
      <c r="H69" s="805" t="e">
        <f>+#REF!</f>
        <v>#REF!</v>
      </c>
      <c r="I69" s="805" t="e">
        <f>+#REF!</f>
        <v>#REF!</v>
      </c>
      <c r="J69" s="805" t="e">
        <f>+#REF!</f>
        <v>#REF!</v>
      </c>
      <c r="K69" s="805" t="e">
        <f>+#REF!</f>
        <v>#REF!</v>
      </c>
      <c r="L69" s="805" t="e">
        <f>+#REF!</f>
        <v>#REF!</v>
      </c>
      <c r="M69" s="805" t="e">
        <f>+#REF!</f>
        <v>#REF!</v>
      </c>
      <c r="N69" s="805" t="e">
        <f>+#REF!</f>
        <v>#REF!</v>
      </c>
    </row>
    <row r="70" spans="1:14" ht="15.5">
      <c r="A70" s="965"/>
      <c r="B70" s="965"/>
      <c r="C70" s="965"/>
      <c r="D70" s="965"/>
      <c r="E70" s="71"/>
      <c r="F70" s="73"/>
      <c r="G70" s="73"/>
      <c r="H70" s="73"/>
      <c r="I70" s="73"/>
      <c r="J70" s="73"/>
    </row>
    <row r="71" spans="1:14" ht="15" customHeight="1" thickBot="1"/>
    <row r="72" spans="1:14" ht="30" customHeight="1" thickBot="1">
      <c r="A72" s="355" t="s">
        <v>194</v>
      </c>
      <c r="B72" s="356"/>
      <c r="C72" s="356"/>
      <c r="D72" s="356"/>
      <c r="E72" s="356"/>
      <c r="F72" s="356"/>
      <c r="G72" s="356"/>
      <c r="H72" s="356"/>
      <c r="I72" s="356"/>
      <c r="J72" s="356"/>
      <c r="K72" s="356"/>
      <c r="L72" s="356"/>
      <c r="M72" s="356"/>
      <c r="N72" s="357"/>
    </row>
    <row r="74" spans="1:14">
      <c r="J74" s="74">
        <f>N50</f>
        <v>2030</v>
      </c>
    </row>
    <row r="75" spans="1:14">
      <c r="E75" s="75" t="s">
        <v>195</v>
      </c>
      <c r="F75" s="79" t="s">
        <v>196</v>
      </c>
      <c r="G75" s="358"/>
      <c r="H75" s="358"/>
      <c r="I75" s="359"/>
      <c r="J75" s="76">
        <f>N68</f>
        <v>73370901.631637484</v>
      </c>
    </row>
    <row r="76" spans="1:14">
      <c r="E76" s="75" t="s">
        <v>197</v>
      </c>
      <c r="F76" s="79" t="s">
        <v>198</v>
      </c>
      <c r="G76" s="358"/>
      <c r="H76" s="358"/>
      <c r="I76" s="359"/>
      <c r="J76" s="77">
        <f>N46</f>
        <v>0.18391139020658046</v>
      </c>
    </row>
    <row r="77" spans="1:14" ht="15" thickBot="1">
      <c r="E77" s="78" t="s">
        <v>199</v>
      </c>
      <c r="F77" s="79" t="s">
        <v>200</v>
      </c>
      <c r="G77" s="360"/>
      <c r="H77" s="405">
        <f>+Datos!I52</f>
        <v>0.09</v>
      </c>
      <c r="I77" s="406">
        <f>+Datos!I53</f>
        <v>7.0000000000000007E-2</v>
      </c>
      <c r="J77" s="80">
        <f>(1+H77)*(1+I77)-1</f>
        <v>0.16630000000000011</v>
      </c>
    </row>
    <row r="78" spans="1:14" ht="15" thickBot="1">
      <c r="A78" s="949" t="s">
        <v>201</v>
      </c>
      <c r="B78" s="950"/>
      <c r="C78" s="951"/>
      <c r="F78" s="407"/>
      <c r="G78" s="407"/>
      <c r="H78" s="407"/>
      <c r="I78" s="407"/>
    </row>
    <row r="79" spans="1:14" ht="19" thickBot="1">
      <c r="A79" s="952" t="s">
        <v>786</v>
      </c>
      <c r="B79" s="953"/>
      <c r="C79" s="954"/>
      <c r="E79" s="81" t="s">
        <v>202</v>
      </c>
      <c r="F79" s="785" t="s">
        <v>193</v>
      </c>
      <c r="G79" s="786"/>
      <c r="H79" s="786"/>
      <c r="I79" s="787"/>
      <c r="J79" s="82"/>
    </row>
    <row r="80" spans="1:14" ht="15" customHeight="1">
      <c r="F80" s="852" t="s">
        <v>203</v>
      </c>
      <c r="G80" s="853"/>
      <c r="H80" s="853"/>
      <c r="I80" s="854"/>
      <c r="J80" s="855">
        <f>J75</f>
        <v>73370901.631637484</v>
      </c>
      <c r="K80" s="956" t="s">
        <v>204</v>
      </c>
      <c r="L80" s="957"/>
    </row>
    <row r="81" spans="1:16" ht="15" customHeight="1">
      <c r="F81" s="856" t="s">
        <v>205</v>
      </c>
      <c r="G81" s="857"/>
      <c r="H81" s="857"/>
      <c r="I81" s="858"/>
      <c r="J81" s="859">
        <f>J76</f>
        <v>0.18391139020658046</v>
      </c>
      <c r="K81" s="956"/>
      <c r="L81" s="957"/>
    </row>
    <row r="82" spans="1:16" ht="15.75" customHeight="1">
      <c r="F82" s="788" t="s">
        <v>711</v>
      </c>
      <c r="G82" s="789"/>
      <c r="H82" s="790"/>
      <c r="I82" s="791"/>
      <c r="J82" s="792">
        <f>J80/J81</f>
        <v>398947023.07031024</v>
      </c>
      <c r="K82" s="956"/>
      <c r="L82" s="957"/>
    </row>
    <row r="83" spans="1:16" ht="15" thickBot="1">
      <c r="F83" s="407"/>
      <c r="G83" s="407"/>
      <c r="H83" s="407"/>
      <c r="I83" s="407"/>
    </row>
    <row r="84" spans="1:16" ht="15" thickBot="1">
      <c r="E84" s="83" t="s">
        <v>206</v>
      </c>
      <c r="F84" s="785" t="s">
        <v>190</v>
      </c>
      <c r="G84" s="786"/>
      <c r="H84" s="786"/>
      <c r="I84" s="787"/>
      <c r="J84" s="82"/>
    </row>
    <row r="85" spans="1:16" ht="15" customHeight="1">
      <c r="E85" s="82"/>
      <c r="F85" s="408" t="s">
        <v>203</v>
      </c>
      <c r="G85" s="409"/>
      <c r="H85" s="409"/>
      <c r="I85" s="410"/>
      <c r="J85" s="84">
        <f>J75</f>
        <v>73370901.631637484</v>
      </c>
      <c r="K85" s="958" t="s">
        <v>207</v>
      </c>
      <c r="L85" s="959"/>
    </row>
    <row r="86" spans="1:16" ht="15" customHeight="1">
      <c r="E86" s="82"/>
      <c r="F86" s="411" t="s">
        <v>205</v>
      </c>
      <c r="G86" s="412"/>
      <c r="H86" s="412"/>
      <c r="I86" s="413"/>
      <c r="J86" s="85">
        <f>J76</f>
        <v>0.18391139020658046</v>
      </c>
      <c r="K86" s="958"/>
      <c r="L86" s="959"/>
    </row>
    <row r="87" spans="1:16" ht="15.75" customHeight="1">
      <c r="E87" s="82"/>
      <c r="F87" s="411" t="s">
        <v>727</v>
      </c>
      <c r="G87" s="412"/>
      <c r="H87" s="412"/>
      <c r="I87" s="413"/>
      <c r="J87" s="85">
        <f>J77</f>
        <v>0.16630000000000011</v>
      </c>
      <c r="K87" s="958"/>
      <c r="L87" s="959"/>
    </row>
    <row r="88" spans="1:16" ht="15.75" customHeight="1">
      <c r="F88" s="788" t="s">
        <v>774</v>
      </c>
      <c r="G88" s="789"/>
      <c r="H88" s="790"/>
      <c r="I88" s="791"/>
      <c r="J88" s="792">
        <f>J85*(1+J87)/(J86-J87)</f>
        <v>4858928316.8006468</v>
      </c>
      <c r="K88" s="958"/>
      <c r="L88" s="959"/>
    </row>
    <row r="89" spans="1:16" ht="15" customHeight="1"/>
    <row r="90" spans="1:16" ht="15" customHeight="1" thickBot="1"/>
    <row r="91" spans="1:16" ht="15" customHeight="1">
      <c r="A91" s="365" t="s">
        <v>209</v>
      </c>
      <c r="B91" s="366"/>
      <c r="C91" s="366"/>
      <c r="D91" s="366"/>
      <c r="E91" s="367"/>
      <c r="F91" s="86" t="str">
        <f>F50</f>
        <v>INICIAL</v>
      </c>
      <c r="G91" s="86">
        <f t="shared" ref="G91:N91" si="28">G50</f>
        <v>2023</v>
      </c>
      <c r="H91" s="86">
        <f t="shared" si="28"/>
        <v>2024</v>
      </c>
      <c r="I91" s="86">
        <f t="shared" si="28"/>
        <v>2025</v>
      </c>
      <c r="J91" s="86">
        <f t="shared" si="28"/>
        <v>2026</v>
      </c>
      <c r="K91" s="86">
        <f t="shared" si="28"/>
        <v>2027</v>
      </c>
      <c r="L91" s="86">
        <f t="shared" si="28"/>
        <v>2028</v>
      </c>
      <c r="M91" s="86">
        <f t="shared" si="28"/>
        <v>2029</v>
      </c>
      <c r="N91" s="86">
        <f t="shared" si="28"/>
        <v>2030</v>
      </c>
      <c r="O91" s="972" t="s">
        <v>210</v>
      </c>
    </row>
    <row r="92" spans="1:16">
      <c r="A92" s="315" t="s">
        <v>211</v>
      </c>
      <c r="B92" s="368"/>
      <c r="C92" s="368"/>
      <c r="D92" s="368"/>
      <c r="E92" s="369"/>
      <c r="F92" s="36">
        <f t="shared" ref="F92:N92" si="29">F46</f>
        <v>0.29092529042030046</v>
      </c>
      <c r="G92" s="36">
        <f t="shared" si="29"/>
        <v>0.28300341239054616</v>
      </c>
      <c r="H92" s="36">
        <f t="shared" si="29"/>
        <v>0.26664517915139785</v>
      </c>
      <c r="I92" s="36">
        <f t="shared" si="29"/>
        <v>0.24303835477378211</v>
      </c>
      <c r="J92" s="87">
        <f t="shared" si="29"/>
        <v>0.13559022559033956</v>
      </c>
      <c r="K92" s="87">
        <f t="shared" si="29"/>
        <v>0.32131980173517694</v>
      </c>
      <c r="L92" s="87">
        <f t="shared" si="29"/>
        <v>0.2985204667841338</v>
      </c>
      <c r="M92" s="87">
        <f t="shared" si="29"/>
        <v>0.26763617088422614</v>
      </c>
      <c r="N92" s="87">
        <f t="shared" si="29"/>
        <v>0.18391139020658046</v>
      </c>
      <c r="O92" s="973"/>
    </row>
    <row r="93" spans="1:16">
      <c r="A93" s="316" t="s">
        <v>212</v>
      </c>
      <c r="B93" s="370"/>
      <c r="C93" s="370"/>
      <c r="D93" s="370"/>
      <c r="E93" s="371"/>
      <c r="F93" s="88">
        <f>F92</f>
        <v>0.29092529042030046</v>
      </c>
      <c r="G93" s="88">
        <f>(1+F93)*(1+G92)-1</f>
        <v>0.65626155275050202</v>
      </c>
      <c r="H93" s="88">
        <f>(1+G93)*(1+H92)-1</f>
        <v>1.0978957112052319</v>
      </c>
      <c r="I93" s="88">
        <f>(1+H93)*(1+I92)-1</f>
        <v>1.6077648333435253</v>
      </c>
      <c r="J93" s="89">
        <f>(1+I93)*(1+J92)-1</f>
        <v>1.9613522553831282</v>
      </c>
      <c r="K93" s="89">
        <f>(1+J93)*(1+K92)-1</f>
        <v>2.9128933749508539</v>
      </c>
      <c r="L93" s="89">
        <f t="shared" ref="L93:N93" si="30">(1+K93)*(1+L92)-1</f>
        <v>4.0809721317177274</v>
      </c>
      <c r="M93" s="89">
        <f t="shared" si="30"/>
        <v>5.4408240574201239</v>
      </c>
      <c r="N93" s="89">
        <f t="shared" si="30"/>
        <v>6.6253649638962475</v>
      </c>
      <c r="O93" s="973"/>
    </row>
    <row r="94" spans="1:16">
      <c r="A94" s="361"/>
      <c r="B94" s="362"/>
      <c r="C94" s="362"/>
      <c r="D94" s="362"/>
      <c r="E94" s="362"/>
      <c r="F94" s="90"/>
      <c r="G94" s="90"/>
      <c r="H94" s="90"/>
      <c r="I94" s="90"/>
      <c r="J94" s="90"/>
      <c r="K94" s="90"/>
      <c r="L94" s="90"/>
      <c r="M94" s="90"/>
      <c r="N94" s="90"/>
      <c r="O94" s="973"/>
    </row>
    <row r="95" spans="1:16" ht="15" thickBot="1">
      <c r="A95" s="372" t="s">
        <v>213</v>
      </c>
      <c r="B95" s="373"/>
      <c r="C95" s="373"/>
      <c r="D95" s="373"/>
      <c r="E95" s="374"/>
      <c r="F95" s="91">
        <f t="shared" ref="F95:N95" si="31">F68</f>
        <v>0</v>
      </c>
      <c r="G95" s="91">
        <f t="shared" si="31"/>
        <v>4851595.7011238821</v>
      </c>
      <c r="H95" s="91">
        <f t="shared" si="31"/>
        <v>5914998.4395174608</v>
      </c>
      <c r="I95" s="91">
        <f t="shared" si="31"/>
        <v>14633649.84420483</v>
      </c>
      <c r="J95" s="92">
        <f t="shared" si="31"/>
        <v>42953986.040202647</v>
      </c>
      <c r="K95" s="92">
        <f t="shared" si="31"/>
        <v>-78755935.190114737</v>
      </c>
      <c r="L95" s="92">
        <f t="shared" si="31"/>
        <v>31723257.918590896</v>
      </c>
      <c r="M95" s="92">
        <f t="shared" si="31"/>
        <v>25688960.119575784</v>
      </c>
      <c r="N95" s="92">
        <f t="shared" si="31"/>
        <v>73370901.631637484</v>
      </c>
      <c r="O95" s="973"/>
    </row>
    <row r="96" spans="1:16" ht="15" thickBot="1">
      <c r="A96" s="316" t="s">
        <v>214</v>
      </c>
      <c r="B96" s="370"/>
      <c r="C96" s="370"/>
      <c r="D96" s="370"/>
      <c r="E96" s="371"/>
      <c r="F96" s="93"/>
      <c r="G96" s="94"/>
      <c r="H96" s="94"/>
      <c r="I96" s="95"/>
      <c r="J96" s="95"/>
      <c r="K96" s="95"/>
      <c r="L96" s="95"/>
      <c r="M96" s="95"/>
      <c r="N96" s="96">
        <f>IF(A79="Anualidad Perpetua",J82,J88)</f>
        <v>398947023.07031024</v>
      </c>
      <c r="O96" s="973"/>
      <c r="P96" s="29" t="str">
        <f>A79</f>
        <v>Anualidad Perpetua</v>
      </c>
    </row>
    <row r="97" spans="1:15">
      <c r="A97" s="361"/>
      <c r="B97" s="362"/>
      <c r="C97" s="362"/>
      <c r="D97" s="362"/>
      <c r="E97" s="362"/>
      <c r="F97" s="90"/>
      <c r="G97" s="90"/>
      <c r="H97" s="90"/>
      <c r="I97" s="90"/>
      <c r="J97" s="90"/>
      <c r="K97" s="90"/>
      <c r="L97" s="90"/>
      <c r="M97" s="90"/>
      <c r="N97" s="90"/>
      <c r="O97" s="973"/>
    </row>
    <row r="98" spans="1:15">
      <c r="A98" s="372" t="s">
        <v>215</v>
      </c>
      <c r="B98" s="373"/>
      <c r="C98" s="373"/>
      <c r="D98" s="373"/>
      <c r="E98" s="374"/>
      <c r="F98" s="97">
        <f t="shared" ref="F98:K98" si="32">F95/(1+F93)</f>
        <v>0</v>
      </c>
      <c r="G98" s="97">
        <f t="shared" si="32"/>
        <v>2929244.89677792</v>
      </c>
      <c r="H98" s="97">
        <f t="shared" si="32"/>
        <v>2819491.1729522152</v>
      </c>
      <c r="I98" s="97">
        <f t="shared" si="32"/>
        <v>5611568.0590118282</v>
      </c>
      <c r="J98" s="92">
        <f t="shared" si="32"/>
        <v>14504855.328210669</v>
      </c>
      <c r="K98" s="92">
        <f t="shared" si="32"/>
        <v>-20127288.848269194</v>
      </c>
      <c r="L98" s="92">
        <f t="shared" ref="L98:N98" si="33">L95/(1+L93)</f>
        <v>6243541.0185700413</v>
      </c>
      <c r="M98" s="92">
        <f t="shared" si="33"/>
        <v>3988458.6025884259</v>
      </c>
      <c r="N98" s="92">
        <f t="shared" si="33"/>
        <v>9621952.7824603915</v>
      </c>
      <c r="O98" s="973"/>
    </row>
    <row r="99" spans="1:15">
      <c r="A99" s="316" t="s">
        <v>214</v>
      </c>
      <c r="B99" s="370"/>
      <c r="C99" s="370"/>
      <c r="D99" s="370"/>
      <c r="E99" s="370"/>
      <c r="F99" s="93"/>
      <c r="G99" s="94"/>
      <c r="H99" s="94"/>
      <c r="I99" s="95"/>
      <c r="J99" s="95"/>
      <c r="K99" s="95"/>
      <c r="L99" s="95"/>
      <c r="M99" s="95"/>
      <c r="N99" s="98">
        <f>N96/(1+N93)</f>
        <v>52318416.883546084</v>
      </c>
      <c r="O99" s="973"/>
    </row>
    <row r="100" spans="1:15">
      <c r="A100" s="363"/>
      <c r="B100" s="364"/>
      <c r="C100" s="364"/>
      <c r="D100" s="364"/>
      <c r="E100" s="364"/>
      <c r="F100" s="99"/>
      <c r="G100" s="99"/>
      <c r="H100" s="99"/>
      <c r="I100" s="99"/>
      <c r="J100" s="94"/>
      <c r="K100" s="94"/>
      <c r="L100" s="94"/>
      <c r="M100" s="94"/>
      <c r="N100" s="94"/>
      <c r="O100" s="973"/>
    </row>
    <row r="101" spans="1:15" ht="15" customHeight="1">
      <c r="A101" s="372" t="s">
        <v>216</v>
      </c>
      <c r="B101" s="373"/>
      <c r="C101" s="373"/>
      <c r="D101" s="373"/>
      <c r="E101" s="374"/>
      <c r="F101" s="100">
        <f>SUM(F98:N98)</f>
        <v>25591823.012302294</v>
      </c>
      <c r="O101" s="973"/>
    </row>
    <row r="102" spans="1:15" ht="15" customHeight="1">
      <c r="A102" s="315" t="s">
        <v>217</v>
      </c>
      <c r="B102" s="368"/>
      <c r="C102" s="368"/>
      <c r="D102" s="368"/>
      <c r="E102" s="369"/>
      <c r="F102" s="100">
        <f>N99</f>
        <v>52318416.883546084</v>
      </c>
      <c r="O102" s="973"/>
    </row>
    <row r="103" spans="1:15" ht="15" customHeight="1">
      <c r="A103" s="375" t="s">
        <v>218</v>
      </c>
      <c r="B103" s="376"/>
      <c r="C103" s="376"/>
      <c r="D103" s="376"/>
      <c r="E103" s="377"/>
      <c r="F103" s="101">
        <f>+F102+F101</f>
        <v>77910239.895848379</v>
      </c>
      <c r="O103" s="973"/>
    </row>
    <row r="104" spans="1:15" ht="15" customHeight="1">
      <c r="A104" s="352"/>
      <c r="B104" s="352"/>
      <c r="C104" s="352"/>
      <c r="D104" s="352"/>
      <c r="E104" s="352"/>
      <c r="O104" s="973"/>
    </row>
    <row r="105" spans="1:15" ht="15" customHeight="1">
      <c r="A105" s="315" t="s">
        <v>219</v>
      </c>
      <c r="B105" s="368"/>
      <c r="C105" s="368"/>
      <c r="D105" s="368"/>
      <c r="E105" s="369"/>
      <c r="F105" s="102">
        <f>F103</f>
        <v>77910239.895848379</v>
      </c>
      <c r="O105" s="973"/>
    </row>
    <row r="106" spans="1:15" ht="15" customHeight="1">
      <c r="A106" s="378" t="s">
        <v>220</v>
      </c>
      <c r="B106" s="379"/>
      <c r="C106" s="379"/>
      <c r="D106" s="379"/>
      <c r="E106" s="380"/>
      <c r="F106" s="100">
        <f>'EF Proyecto'!H19-'EF Proyecto'!H16</f>
        <v>622725.80086355377</v>
      </c>
      <c r="O106" s="973"/>
    </row>
    <row r="107" spans="1:15" ht="15" customHeight="1">
      <c r="A107" s="378" t="s">
        <v>221</v>
      </c>
      <c r="B107" s="379"/>
      <c r="C107" s="379"/>
      <c r="D107" s="379"/>
      <c r="E107" s="380"/>
      <c r="F107" s="100">
        <f>'EF Proyecto'!H7</f>
        <v>53418063.269871898</v>
      </c>
      <c r="O107" s="973"/>
    </row>
    <row r="108" spans="1:15" ht="15" customHeight="1">
      <c r="A108" s="378" t="s">
        <v>222</v>
      </c>
      <c r="B108" s="379"/>
      <c r="C108" s="379"/>
      <c r="D108" s="379"/>
      <c r="E108" s="380"/>
      <c r="F108" s="100">
        <f>'EF Proyecto'!H16+'EF Proyecto'!H21</f>
        <v>57438467.958067223</v>
      </c>
      <c r="O108" s="973"/>
    </row>
    <row r="109" spans="1:15" ht="15" customHeight="1">
      <c r="A109" s="381" t="s">
        <v>223</v>
      </c>
      <c r="B109" s="382"/>
      <c r="C109" s="382"/>
      <c r="D109" s="382"/>
      <c r="E109" s="383"/>
      <c r="F109" s="101">
        <f>F105-F106+F107-F108</f>
        <v>73267109.406789497</v>
      </c>
      <c r="G109" s="103"/>
      <c r="O109" s="973"/>
    </row>
    <row r="110" spans="1:15" ht="15" customHeight="1">
      <c r="A110" s="352"/>
      <c r="B110" s="352"/>
      <c r="C110" s="352"/>
      <c r="D110" s="352"/>
      <c r="E110" s="352"/>
      <c r="F110" s="104"/>
      <c r="O110" s="973"/>
    </row>
    <row r="111" spans="1:15" ht="15" customHeight="1">
      <c r="A111" s="315" t="s">
        <v>224</v>
      </c>
      <c r="B111" s="368"/>
      <c r="C111" s="368"/>
      <c r="D111" s="368"/>
      <c r="E111" s="369"/>
      <c r="F111" s="100">
        <f>'EF Proyecto'!H30</f>
        <v>41767095.910941161</v>
      </c>
      <c r="O111" s="973"/>
    </row>
    <row r="112" spans="1:15" ht="15" customHeight="1">
      <c r="A112" s="352"/>
      <c r="B112" s="352"/>
      <c r="C112" s="352"/>
      <c r="D112" s="352"/>
      <c r="E112" s="352"/>
      <c r="O112" s="973"/>
    </row>
    <row r="113" spans="1:16384" ht="15" customHeight="1">
      <c r="A113" s="315" t="s">
        <v>225</v>
      </c>
      <c r="B113" s="368"/>
      <c r="C113" s="368"/>
      <c r="D113" s="368"/>
      <c r="E113" s="369"/>
      <c r="F113" s="105">
        <f>Financiacion!H13</f>
        <v>1200</v>
      </c>
      <c r="G113" s="67"/>
      <c r="O113" s="973"/>
    </row>
    <row r="114" spans="1:16384" ht="15" customHeight="1">
      <c r="A114" s="315" t="s">
        <v>226</v>
      </c>
      <c r="B114" s="368"/>
      <c r="C114" s="368"/>
      <c r="D114" s="368"/>
      <c r="E114" s="369"/>
      <c r="F114" s="106">
        <f>F111/F113</f>
        <v>34805.913259117631</v>
      </c>
      <c r="O114" s="973"/>
    </row>
    <row r="115" spans="1:16384" ht="15" customHeight="1">
      <c r="A115" s="315" t="s">
        <v>227</v>
      </c>
      <c r="B115" s="368"/>
      <c r="C115" s="368"/>
      <c r="D115" s="368"/>
      <c r="E115" s="369"/>
      <c r="F115" s="137">
        <f>F109/F113</f>
        <v>61055.924505657917</v>
      </c>
      <c r="O115" s="973"/>
    </row>
    <row r="116" spans="1:16384" ht="15" customHeight="1" thickBot="1">
      <c r="A116" s="384" t="s">
        <v>228</v>
      </c>
      <c r="B116" s="385"/>
      <c r="C116" s="385"/>
      <c r="D116" s="385"/>
      <c r="E116" s="386"/>
      <c r="F116" s="107">
        <f>+F115/F114</f>
        <v>1.7541825163764071</v>
      </c>
      <c r="O116" s="974"/>
    </row>
    <row r="117" spans="1:16384" ht="15" thickBot="1"/>
    <row r="118" spans="1:16384" ht="30" customHeight="1" thickBot="1">
      <c r="A118" s="355" t="s">
        <v>229</v>
      </c>
      <c r="B118" s="356"/>
      <c r="C118" s="356"/>
      <c r="D118" s="356"/>
      <c r="E118" s="356"/>
      <c r="F118" s="356"/>
      <c r="G118" s="356"/>
      <c r="H118" s="356"/>
      <c r="I118" s="356"/>
      <c r="J118" s="356"/>
      <c r="K118" s="356"/>
      <c r="L118" s="356"/>
      <c r="M118" s="356"/>
      <c r="N118" s="356"/>
      <c r="O118" s="966" t="s">
        <v>231</v>
      </c>
    </row>
    <row r="119" spans="1:16384">
      <c r="O119" s="967"/>
    </row>
    <row r="120" spans="1:16384">
      <c r="O120" s="967"/>
    </row>
    <row r="121" spans="1:16384" ht="16.5" customHeight="1">
      <c r="A121" s="414" t="s">
        <v>230</v>
      </c>
      <c r="B121" s="414"/>
      <c r="C121" s="415"/>
      <c r="D121" s="416"/>
      <c r="E121" s="417"/>
      <c r="F121" s="141" t="str">
        <f t="shared" ref="F121:K121" si="34">F91</f>
        <v>INICIAL</v>
      </c>
      <c r="G121" s="141">
        <f t="shared" si="34"/>
        <v>2023</v>
      </c>
      <c r="H121" s="141">
        <f t="shared" si="34"/>
        <v>2024</v>
      </c>
      <c r="I121" s="141">
        <f t="shared" si="34"/>
        <v>2025</v>
      </c>
      <c r="J121" s="141">
        <f t="shared" si="34"/>
        <v>2026</v>
      </c>
      <c r="K121" s="141">
        <f t="shared" si="34"/>
        <v>2027</v>
      </c>
      <c r="L121" s="141">
        <f t="shared" ref="L121:N121" si="35">L91</f>
        <v>2028</v>
      </c>
      <c r="M121" s="141">
        <f t="shared" si="35"/>
        <v>2029</v>
      </c>
      <c r="N121" s="141">
        <f t="shared" si="35"/>
        <v>2030</v>
      </c>
      <c r="O121" s="967"/>
    </row>
    <row r="122" spans="1:16384" ht="16.5" customHeight="1">
      <c r="A122" s="314" t="s">
        <v>232</v>
      </c>
      <c r="B122" s="314"/>
      <c r="C122" s="315"/>
      <c r="D122" s="368"/>
      <c r="E122" s="369"/>
      <c r="F122" s="42">
        <f>'EF Proyecto'!G13</f>
        <v>119598180</v>
      </c>
      <c r="G122" s="42">
        <f>'EF Proyecto'!H13</f>
        <v>99828289.669871897</v>
      </c>
      <c r="H122" s="42">
        <f>'EF Proyecto'!I13</f>
        <v>76522968.845580921</v>
      </c>
      <c r="I122" s="42">
        <f>'EF Proyecto'!J13</f>
        <v>63159976.086679138</v>
      </c>
      <c r="J122" s="42">
        <f>'EF Proyecto'!K13</f>
        <v>106530616.91464585</v>
      </c>
      <c r="K122" s="42">
        <f>'EF Proyecto'!L13</f>
        <v>103025664.39213361</v>
      </c>
      <c r="L122" s="42">
        <f>'EF Proyecto'!M13</f>
        <v>105022590.67699137</v>
      </c>
      <c r="M122" s="42">
        <f>'EF Proyecto'!N13</f>
        <v>106352746.96903613</v>
      </c>
      <c r="N122" s="42">
        <f>'EF Proyecto'!O13</f>
        <v>167505839.8353366</v>
      </c>
      <c r="O122" s="967"/>
    </row>
    <row r="123" spans="1:16384" ht="16.5" customHeight="1">
      <c r="A123" s="314" t="s">
        <v>233</v>
      </c>
      <c r="B123" s="314"/>
      <c r="C123" s="315"/>
      <c r="D123" s="368"/>
      <c r="E123" s="369"/>
      <c r="F123" s="105">
        <f>'EF Proyecto'!G24</f>
        <v>71758908</v>
      </c>
      <c r="G123" s="105">
        <f>'EF Proyecto'!H24</f>
        <v>58061193.758930773</v>
      </c>
      <c r="H123" s="105">
        <f>'EF Proyecto'!I24</f>
        <v>41314990.369308598</v>
      </c>
      <c r="I123" s="105">
        <f>'EF Proyecto'!J24</f>
        <v>30267628.809509706</v>
      </c>
      <c r="J123" s="105">
        <f>'EF Proyecto'!K24</f>
        <v>36779164.543531783</v>
      </c>
      <c r="K123" s="105">
        <f>'EF Proyecto'!L24</f>
        <v>70503682.627390996</v>
      </c>
      <c r="L123" s="105">
        <f>'EF Proyecto'!M24</f>
        <v>66773726.546999536</v>
      </c>
      <c r="M123" s="105">
        <f>'EF Proyecto'!N24</f>
        <v>59882293.718574367</v>
      </c>
      <c r="N123" s="105">
        <f>'EF Proyecto'!O24</f>
        <v>71949653.946767017</v>
      </c>
      <c r="O123" s="967"/>
    </row>
    <row r="124" spans="1:16384" ht="16.5" customHeight="1">
      <c r="A124" s="314" t="s">
        <v>234</v>
      </c>
      <c r="B124" s="314"/>
      <c r="C124" s="315"/>
      <c r="D124" s="368"/>
      <c r="E124" s="369"/>
      <c r="F124" s="108">
        <f t="shared" ref="F124" si="36">F122-F123</f>
        <v>47839272</v>
      </c>
      <c r="G124" s="108">
        <f t="shared" ref="G124:N124" si="37">G122-G123</f>
        <v>41767095.910941124</v>
      </c>
      <c r="H124" s="108">
        <f t="shared" si="37"/>
        <v>35207978.476272322</v>
      </c>
      <c r="I124" s="108">
        <f t="shared" si="37"/>
        <v>32892347.277169432</v>
      </c>
      <c r="J124" s="108">
        <f t="shared" si="37"/>
        <v>69751452.371114075</v>
      </c>
      <c r="K124" s="108">
        <f t="shared" si="37"/>
        <v>32521981.764742613</v>
      </c>
      <c r="L124" s="108">
        <f t="shared" si="37"/>
        <v>38248864.129991837</v>
      </c>
      <c r="M124" s="108">
        <f t="shared" si="37"/>
        <v>46470453.250461765</v>
      </c>
      <c r="N124" s="108">
        <f t="shared" si="37"/>
        <v>95556185.888569579</v>
      </c>
      <c r="O124" s="967"/>
    </row>
    <row r="125" spans="1:16384" ht="16.5" customHeight="1">
      <c r="A125" s="314" t="s">
        <v>235</v>
      </c>
      <c r="B125" s="314"/>
      <c r="C125" s="315"/>
      <c r="D125" s="368"/>
      <c r="E125" s="369"/>
      <c r="F125" s="109">
        <f t="shared" ref="F125" si="38">F124/$F$113</f>
        <v>39866.06</v>
      </c>
      <c r="G125" s="109">
        <f t="shared" ref="G125:N125" si="39">G124/$F$113</f>
        <v>34805.913259117602</v>
      </c>
      <c r="H125" s="109">
        <f t="shared" si="39"/>
        <v>29339.98206356027</v>
      </c>
      <c r="I125" s="109">
        <f t="shared" si="39"/>
        <v>27410.289397641194</v>
      </c>
      <c r="J125" s="109">
        <f t="shared" si="39"/>
        <v>58126.210309261733</v>
      </c>
      <c r="K125" s="109">
        <f t="shared" si="39"/>
        <v>27101.651470618843</v>
      </c>
      <c r="L125" s="109">
        <f t="shared" si="39"/>
        <v>31874.053441659864</v>
      </c>
      <c r="M125" s="109">
        <f t="shared" si="39"/>
        <v>38725.377708718137</v>
      </c>
      <c r="N125" s="109">
        <f t="shared" si="39"/>
        <v>79630.154907141317</v>
      </c>
      <c r="O125" s="967"/>
    </row>
    <row r="126" spans="1:16384" ht="16.5" customHeight="1" thickBot="1">
      <c r="A126" s="138" t="s">
        <v>228</v>
      </c>
      <c r="B126" s="139"/>
      <c r="C126" s="139"/>
      <c r="D126" s="139"/>
      <c r="E126" s="418"/>
      <c r="F126" s="107">
        <f t="shared" ref="F126" si="40">F125/$F$114</f>
        <v>1.1453818120849575</v>
      </c>
      <c r="G126" s="107">
        <f t="shared" ref="G126:N126" si="41">G125/$F$114</f>
        <v>0.99999999999999911</v>
      </c>
      <c r="H126" s="107">
        <f t="shared" si="41"/>
        <v>0.8429596961049276</v>
      </c>
      <c r="I126" s="107">
        <f t="shared" si="41"/>
        <v>0.78751817812052072</v>
      </c>
      <c r="J126" s="107">
        <f t="shared" si="41"/>
        <v>1.6700096295860072</v>
      </c>
      <c r="K126" s="107">
        <f t="shared" si="41"/>
        <v>0.77865077893105972</v>
      </c>
      <c r="L126" s="107">
        <f t="shared" si="41"/>
        <v>0.91576546790681468</v>
      </c>
      <c r="M126" s="107">
        <f t="shared" si="41"/>
        <v>1.1126091540946359</v>
      </c>
      <c r="N126" s="107">
        <f t="shared" si="41"/>
        <v>2.2878340905559114</v>
      </c>
      <c r="O126" s="968"/>
    </row>
    <row r="127" spans="1:16384" customFormat="1" ht="16.5" customHeight="1">
      <c r="A127" s="809"/>
      <c r="B127" s="809"/>
      <c r="C127" s="809"/>
      <c r="D127" s="809"/>
      <c r="E127" s="809"/>
      <c r="F127" s="810"/>
      <c r="G127" s="810"/>
      <c r="H127" s="810"/>
      <c r="I127" s="810"/>
      <c r="J127" s="810"/>
      <c r="K127" s="810"/>
      <c r="L127" s="810"/>
      <c r="M127" s="810"/>
      <c r="N127" s="810"/>
      <c r="O127" s="811"/>
    </row>
    <row r="128" spans="1:16384" customFormat="1" ht="16.5" customHeight="1">
      <c r="A128" s="414" t="s">
        <v>781</v>
      </c>
      <c r="B128" s="414"/>
      <c r="C128" s="415"/>
      <c r="D128" s="416"/>
      <c r="E128" s="417"/>
      <c r="F128" s="141" t="str">
        <f>+F121</f>
        <v>INICIAL</v>
      </c>
      <c r="G128" s="141">
        <f t="shared" ref="G128:N128" si="42">+G121</f>
        <v>2023</v>
      </c>
      <c r="H128" s="141">
        <f t="shared" si="42"/>
        <v>2024</v>
      </c>
      <c r="I128" s="141">
        <f t="shared" si="42"/>
        <v>2025</v>
      </c>
      <c r="J128" s="141">
        <f t="shared" si="42"/>
        <v>2026</v>
      </c>
      <c r="K128" s="141">
        <f t="shared" si="42"/>
        <v>2027</v>
      </c>
      <c r="L128" s="141">
        <f t="shared" si="42"/>
        <v>2028</v>
      </c>
      <c r="M128" s="141">
        <f t="shared" si="42"/>
        <v>2029</v>
      </c>
      <c r="N128" s="812">
        <f t="shared" si="42"/>
        <v>2030</v>
      </c>
      <c r="O128" s="813"/>
      <c r="P128" s="813"/>
      <c r="Q128" s="813"/>
      <c r="R128" s="813"/>
      <c r="S128" s="813"/>
      <c r="T128" s="814"/>
      <c r="U128" s="814"/>
      <c r="V128" s="814"/>
      <c r="W128" s="814"/>
      <c r="X128" s="814"/>
      <c r="Y128" s="814"/>
      <c r="Z128" s="814"/>
      <c r="AA128" s="814"/>
      <c r="AB128" s="814"/>
      <c r="AC128" s="813"/>
      <c r="AD128" s="813"/>
      <c r="AE128" s="813"/>
      <c r="AF128" s="813"/>
      <c r="AG128" s="813"/>
      <c r="AH128" s="814"/>
      <c r="AI128" s="814"/>
      <c r="AJ128" s="814"/>
      <c r="AK128" s="814"/>
      <c r="AL128" s="814"/>
      <c r="AM128" s="814"/>
      <c r="AN128" s="814"/>
      <c r="AO128" s="814"/>
      <c r="AP128" s="814"/>
      <c r="AQ128" s="813"/>
      <c r="AR128" s="813"/>
      <c r="AS128" s="813"/>
      <c r="AT128" s="813"/>
      <c r="AU128" s="813"/>
      <c r="AV128" s="814"/>
      <c r="AW128" s="814"/>
      <c r="AX128" s="814"/>
      <c r="AY128" s="814"/>
      <c r="AZ128" s="814"/>
      <c r="BA128" s="814"/>
      <c r="BB128" s="814"/>
      <c r="BC128" s="814"/>
      <c r="BD128" s="814"/>
      <c r="BE128" s="813"/>
      <c r="BF128" s="813"/>
      <c r="BG128" s="813"/>
      <c r="BH128" s="813"/>
      <c r="BI128" s="813"/>
      <c r="BJ128" s="814"/>
      <c r="BK128" s="814"/>
      <c r="BL128" s="814"/>
      <c r="BM128" s="814"/>
      <c r="BN128" s="814"/>
      <c r="BO128" s="814"/>
      <c r="BP128" s="814"/>
      <c r="BQ128" s="814"/>
      <c r="BR128" s="814"/>
      <c r="BS128" s="813"/>
      <c r="BT128" s="813"/>
      <c r="BU128" s="813"/>
      <c r="BV128" s="813"/>
      <c r="BW128" s="813"/>
      <c r="BX128" s="814"/>
      <c r="BY128" s="814"/>
      <c r="BZ128" s="814"/>
      <c r="CA128" s="814"/>
      <c r="CB128" s="814"/>
      <c r="CC128" s="814"/>
      <c r="CD128" s="814"/>
      <c r="CE128" s="814"/>
      <c r="CF128" s="814"/>
      <c r="CG128" s="813"/>
      <c r="CH128" s="813"/>
      <c r="CI128" s="813"/>
      <c r="CJ128" s="813"/>
      <c r="CK128" s="813"/>
      <c r="CL128" s="814"/>
      <c r="CM128" s="814"/>
      <c r="CN128" s="814"/>
      <c r="CO128" s="814"/>
      <c r="CP128" s="814"/>
      <c r="CQ128" s="814"/>
      <c r="CR128" s="814"/>
      <c r="CS128" s="814"/>
      <c r="CT128" s="814"/>
      <c r="CU128" s="813"/>
      <c r="CV128" s="813"/>
      <c r="CW128" s="813"/>
      <c r="CX128" s="813"/>
      <c r="CY128" s="813"/>
      <c r="CZ128" s="814"/>
      <c r="DA128" s="814"/>
      <c r="DB128" s="814"/>
      <c r="DC128" s="814"/>
      <c r="DD128" s="814"/>
      <c r="DE128" s="814"/>
      <c r="DF128" s="814"/>
      <c r="DG128" s="814"/>
      <c r="DH128" s="814"/>
      <c r="DI128" s="813"/>
      <c r="DJ128" s="813"/>
      <c r="DK128" s="813"/>
      <c r="DL128" s="813"/>
      <c r="DM128" s="813"/>
      <c r="DN128" s="814"/>
      <c r="DO128" s="814"/>
      <c r="DP128" s="814"/>
      <c r="DQ128" s="814"/>
      <c r="DR128" s="814"/>
      <c r="DS128" s="814"/>
      <c r="DT128" s="814"/>
      <c r="DU128" s="814"/>
      <c r="DV128" s="814"/>
      <c r="DW128" s="813"/>
      <c r="DX128" s="813"/>
      <c r="DY128" s="813"/>
      <c r="DZ128" s="813"/>
      <c r="EA128" s="813"/>
      <c r="EB128" s="814"/>
      <c r="EC128" s="814"/>
      <c r="ED128" s="814"/>
      <c r="EE128" s="814"/>
      <c r="EF128" s="814"/>
      <c r="EG128" s="814"/>
      <c r="EH128" s="814"/>
      <c r="EI128" s="814"/>
      <c r="EJ128" s="814"/>
      <c r="EK128" s="813"/>
      <c r="EL128" s="813"/>
      <c r="EM128" s="813"/>
      <c r="EN128" s="813"/>
      <c r="EO128" s="813"/>
      <c r="EP128" s="814"/>
      <c r="EQ128" s="814"/>
      <c r="ER128" s="814"/>
      <c r="ES128" s="814"/>
      <c r="ET128" s="814"/>
      <c r="EU128" s="814"/>
      <c r="EV128" s="814"/>
      <c r="EW128" s="814"/>
      <c r="EX128" s="814"/>
      <c r="EY128" s="813"/>
      <c r="EZ128" s="813"/>
      <c r="FA128" s="813"/>
      <c r="FB128" s="813"/>
      <c r="FC128" s="813"/>
      <c r="FD128" s="814"/>
      <c r="FE128" s="814"/>
      <c r="FF128" s="814"/>
      <c r="FG128" s="814"/>
      <c r="FH128" s="814"/>
      <c r="FI128" s="814"/>
      <c r="FJ128" s="814"/>
      <c r="FK128" s="814"/>
      <c r="FL128" s="814"/>
      <c r="FM128" s="813"/>
      <c r="FN128" s="813"/>
      <c r="FO128" s="813"/>
      <c r="FP128" s="813"/>
      <c r="FQ128" s="813"/>
      <c r="FR128" s="814"/>
      <c r="FS128" s="814"/>
      <c r="FT128" s="814"/>
      <c r="FU128" s="814"/>
      <c r="FV128" s="814"/>
      <c r="FW128" s="814"/>
      <c r="FX128" s="814"/>
      <c r="FY128" s="814"/>
      <c r="FZ128" s="814"/>
      <c r="GA128" s="813"/>
      <c r="GB128" s="813"/>
      <c r="GC128" s="813"/>
      <c r="GD128" s="813"/>
      <c r="GE128" s="813"/>
      <c r="GF128" s="814"/>
      <c r="GG128" s="814"/>
      <c r="GH128" s="814"/>
      <c r="GI128" s="814"/>
      <c r="GJ128" s="814"/>
      <c r="GK128" s="814"/>
      <c r="GL128" s="814"/>
      <c r="GM128" s="814"/>
      <c r="GN128" s="814"/>
      <c r="GO128" s="813"/>
      <c r="GP128" s="813"/>
      <c r="GQ128" s="813"/>
      <c r="GR128" s="813"/>
      <c r="GS128" s="813"/>
      <c r="GT128" s="814"/>
      <c r="GU128" s="814"/>
      <c r="GV128" s="814"/>
      <c r="GW128" s="814"/>
      <c r="GX128" s="814"/>
      <c r="GY128" s="814"/>
      <c r="GZ128" s="814"/>
      <c r="HA128" s="814"/>
      <c r="HB128" s="814"/>
      <c r="HC128" s="813"/>
      <c r="HD128" s="813"/>
      <c r="HE128" s="813"/>
      <c r="HF128" s="813"/>
      <c r="HG128" s="813"/>
      <c r="HH128" s="814"/>
      <c r="HI128" s="814"/>
      <c r="HJ128" s="814"/>
      <c r="HK128" s="814"/>
      <c r="HL128" s="814"/>
      <c r="HM128" s="814"/>
      <c r="HN128" s="814"/>
      <c r="HO128" s="814"/>
      <c r="HP128" s="814"/>
      <c r="HQ128" s="813"/>
      <c r="HR128" s="813"/>
      <c r="HS128" s="813"/>
      <c r="HT128" s="813"/>
      <c r="HU128" s="813"/>
      <c r="HV128" s="814"/>
      <c r="HW128" s="814"/>
      <c r="HX128" s="814"/>
      <c r="HY128" s="814"/>
      <c r="HZ128" s="814"/>
      <c r="IA128" s="814"/>
      <c r="IB128" s="814"/>
      <c r="IC128" s="814"/>
      <c r="ID128" s="814"/>
      <c r="IE128" s="813"/>
      <c r="IF128" s="813"/>
      <c r="IG128" s="813"/>
      <c r="IH128" s="813"/>
      <c r="II128" s="813"/>
      <c r="IJ128" s="814"/>
      <c r="IK128" s="814"/>
      <c r="IL128" s="814"/>
      <c r="IM128" s="814"/>
      <c r="IN128" s="814"/>
      <c r="IO128" s="814"/>
      <c r="IP128" s="814"/>
      <c r="IQ128" s="814"/>
      <c r="IR128" s="814"/>
      <c r="IS128" s="813"/>
      <c r="IT128" s="813"/>
      <c r="IU128" s="813"/>
      <c r="IV128" s="813"/>
      <c r="IW128" s="813"/>
      <c r="IX128" s="814"/>
      <c r="IY128" s="814"/>
      <c r="IZ128" s="814"/>
      <c r="JA128" s="814"/>
      <c r="JB128" s="814"/>
      <c r="JC128" s="814"/>
      <c r="JD128" s="814"/>
      <c r="JE128" s="814"/>
      <c r="JF128" s="814"/>
      <c r="JG128" s="813"/>
      <c r="JH128" s="813"/>
      <c r="JI128" s="813"/>
      <c r="JJ128" s="813"/>
      <c r="JK128" s="813"/>
      <c r="JL128" s="814"/>
      <c r="JM128" s="814"/>
      <c r="JN128" s="814"/>
      <c r="JO128" s="814"/>
      <c r="JP128" s="814"/>
      <c r="JQ128" s="814"/>
      <c r="JR128" s="814"/>
      <c r="JS128" s="814"/>
      <c r="JT128" s="814"/>
      <c r="JU128" s="813"/>
      <c r="JV128" s="813"/>
      <c r="JW128" s="813"/>
      <c r="JX128" s="813"/>
      <c r="JY128" s="813"/>
      <c r="JZ128" s="814"/>
      <c r="KA128" s="814"/>
      <c r="KB128" s="814"/>
      <c r="KC128" s="814"/>
      <c r="KD128" s="814"/>
      <c r="KE128" s="814"/>
      <c r="KF128" s="814"/>
      <c r="KG128" s="814"/>
      <c r="KH128" s="814"/>
      <c r="KI128" s="813"/>
      <c r="KJ128" s="813"/>
      <c r="KK128" s="813"/>
      <c r="KL128" s="813"/>
      <c r="KM128" s="813"/>
      <c r="KN128" s="814"/>
      <c r="KO128" s="814"/>
      <c r="KP128" s="814"/>
      <c r="KQ128" s="814"/>
      <c r="KR128" s="814"/>
      <c r="KS128" s="814"/>
      <c r="KT128" s="814"/>
      <c r="KU128" s="814"/>
      <c r="KV128" s="814"/>
      <c r="KW128" s="813"/>
      <c r="KX128" s="813"/>
      <c r="KY128" s="813"/>
      <c r="KZ128" s="813"/>
      <c r="LA128" s="813"/>
      <c r="LB128" s="814"/>
      <c r="LC128" s="814"/>
      <c r="LD128" s="814"/>
      <c r="LE128" s="814"/>
      <c r="LF128" s="814"/>
      <c r="LG128" s="814"/>
      <c r="LH128" s="814"/>
      <c r="LI128" s="814"/>
      <c r="LJ128" s="814"/>
      <c r="LK128" s="813"/>
      <c r="LL128" s="813"/>
      <c r="LM128" s="813"/>
      <c r="LN128" s="813"/>
      <c r="LO128" s="813"/>
      <c r="LP128" s="814"/>
      <c r="LQ128" s="814"/>
      <c r="LR128" s="814"/>
      <c r="LS128" s="814"/>
      <c r="LT128" s="814"/>
      <c r="LU128" s="814"/>
      <c r="LV128" s="814"/>
      <c r="LW128" s="814"/>
      <c r="LX128" s="814"/>
      <c r="LY128" s="813"/>
      <c r="LZ128" s="813"/>
      <c r="MA128" s="813"/>
      <c r="MB128" s="813"/>
      <c r="MC128" s="813"/>
      <c r="MD128" s="814"/>
      <c r="ME128" s="814"/>
      <c r="MF128" s="814"/>
      <c r="MG128" s="814"/>
      <c r="MH128" s="814"/>
      <c r="MI128" s="814"/>
      <c r="MJ128" s="814"/>
      <c r="MK128" s="814"/>
      <c r="ML128" s="814"/>
      <c r="MM128" s="813"/>
      <c r="MN128" s="813"/>
      <c r="MO128" s="813"/>
      <c r="MP128" s="813"/>
      <c r="MQ128" s="813"/>
      <c r="MR128" s="814"/>
      <c r="MS128" s="814"/>
      <c r="MT128" s="814"/>
      <c r="MU128" s="814"/>
      <c r="MV128" s="814"/>
      <c r="MW128" s="814"/>
      <c r="MX128" s="814"/>
      <c r="MY128" s="814"/>
      <c r="MZ128" s="814"/>
      <c r="NA128" s="813"/>
      <c r="NB128" s="813"/>
      <c r="NC128" s="813"/>
      <c r="ND128" s="813"/>
      <c r="NE128" s="813"/>
      <c r="NF128" s="814"/>
      <c r="NG128" s="814"/>
      <c r="NH128" s="814"/>
      <c r="NI128" s="814"/>
      <c r="NJ128" s="814"/>
      <c r="NK128" s="814"/>
      <c r="NL128" s="814"/>
      <c r="NM128" s="814"/>
      <c r="NN128" s="814"/>
      <c r="NO128" s="813"/>
      <c r="NP128" s="813"/>
      <c r="NQ128" s="813"/>
      <c r="NR128" s="813"/>
      <c r="NS128" s="813"/>
      <c r="NT128" s="814"/>
      <c r="NU128" s="814"/>
      <c r="NV128" s="814"/>
      <c r="NW128" s="814"/>
      <c r="NX128" s="814"/>
      <c r="NY128" s="814"/>
      <c r="NZ128" s="814"/>
      <c r="OA128" s="814"/>
      <c r="OB128" s="814"/>
      <c r="OC128" s="813"/>
      <c r="OD128" s="813"/>
      <c r="OE128" s="813"/>
      <c r="OF128" s="813"/>
      <c r="OG128" s="813"/>
      <c r="OH128" s="814"/>
      <c r="OI128" s="814"/>
      <c r="OJ128" s="814"/>
      <c r="OK128" s="814"/>
      <c r="OL128" s="814"/>
      <c r="OM128" s="814"/>
      <c r="ON128" s="814"/>
      <c r="OO128" s="814"/>
      <c r="OP128" s="814"/>
      <c r="OQ128" s="813"/>
      <c r="OR128" s="813"/>
      <c r="OS128" s="813"/>
      <c r="OT128" s="813"/>
      <c r="OU128" s="813"/>
      <c r="OV128" s="814"/>
      <c r="OW128" s="814"/>
      <c r="OX128" s="814"/>
      <c r="OY128" s="814"/>
      <c r="OZ128" s="814"/>
      <c r="PA128" s="814"/>
      <c r="PB128" s="814"/>
      <c r="PC128" s="814"/>
      <c r="PD128" s="814"/>
      <c r="PE128" s="813"/>
      <c r="PF128" s="813"/>
      <c r="PG128" s="813"/>
      <c r="PH128" s="813"/>
      <c r="PI128" s="813"/>
      <c r="PJ128" s="814"/>
      <c r="PK128" s="814"/>
      <c r="PL128" s="814"/>
      <c r="PM128" s="814"/>
      <c r="PN128" s="814"/>
      <c r="PO128" s="814"/>
      <c r="PP128" s="814"/>
      <c r="PQ128" s="814"/>
      <c r="PR128" s="814"/>
      <c r="PS128" s="813"/>
      <c r="PT128" s="813"/>
      <c r="PU128" s="813"/>
      <c r="PV128" s="813"/>
      <c r="PW128" s="813"/>
      <c r="PX128" s="814"/>
      <c r="PY128" s="814"/>
      <c r="PZ128" s="814"/>
      <c r="QA128" s="814"/>
      <c r="QB128" s="814"/>
      <c r="QC128" s="814"/>
      <c r="QD128" s="814"/>
      <c r="QE128" s="814"/>
      <c r="QF128" s="814"/>
      <c r="QG128" s="813"/>
      <c r="QH128" s="813"/>
      <c r="QI128" s="813"/>
      <c r="QJ128" s="813"/>
      <c r="QK128" s="813"/>
      <c r="QL128" s="814"/>
      <c r="QM128" s="814"/>
      <c r="QN128" s="814"/>
      <c r="QO128" s="814"/>
      <c r="QP128" s="814"/>
      <c r="QQ128" s="814"/>
      <c r="QR128" s="814"/>
      <c r="QS128" s="814"/>
      <c r="QT128" s="814"/>
      <c r="QU128" s="813"/>
      <c r="QV128" s="813"/>
      <c r="QW128" s="813"/>
      <c r="QX128" s="813"/>
      <c r="QY128" s="813"/>
      <c r="QZ128" s="814"/>
      <c r="RA128" s="814"/>
      <c r="RB128" s="814"/>
      <c r="RC128" s="814"/>
      <c r="RD128" s="814"/>
      <c r="RE128" s="814"/>
      <c r="RF128" s="814"/>
      <c r="RG128" s="814"/>
      <c r="RH128" s="814"/>
      <c r="RI128" s="813"/>
      <c r="RJ128" s="813"/>
      <c r="RK128" s="813"/>
      <c r="RL128" s="813"/>
      <c r="RM128" s="813"/>
      <c r="RN128" s="814"/>
      <c r="RO128" s="814"/>
      <c r="RP128" s="814"/>
      <c r="RQ128" s="814"/>
      <c r="RR128" s="814"/>
      <c r="RS128" s="814"/>
      <c r="RT128" s="814"/>
      <c r="RU128" s="814"/>
      <c r="RV128" s="814"/>
      <c r="RW128" s="813"/>
      <c r="RX128" s="813"/>
      <c r="RY128" s="813"/>
      <c r="RZ128" s="813"/>
      <c r="SA128" s="813"/>
      <c r="SB128" s="814"/>
      <c r="SC128" s="814"/>
      <c r="SD128" s="814"/>
      <c r="SE128" s="814"/>
      <c r="SF128" s="814"/>
      <c r="SG128" s="814"/>
      <c r="SH128" s="814"/>
      <c r="SI128" s="814"/>
      <c r="SJ128" s="814"/>
      <c r="SK128" s="813"/>
      <c r="SL128" s="813"/>
      <c r="SM128" s="813"/>
      <c r="SN128" s="813"/>
      <c r="SO128" s="813"/>
      <c r="SP128" s="814"/>
      <c r="SQ128" s="814"/>
      <c r="SR128" s="814"/>
      <c r="SS128" s="814"/>
      <c r="ST128" s="814"/>
      <c r="SU128" s="814"/>
      <c r="SV128" s="814"/>
      <c r="SW128" s="814"/>
      <c r="SX128" s="814"/>
      <c r="SY128" s="813"/>
      <c r="SZ128" s="813"/>
      <c r="TA128" s="813"/>
      <c r="TB128" s="813"/>
      <c r="TC128" s="813"/>
      <c r="TD128" s="814"/>
      <c r="TE128" s="814"/>
      <c r="TF128" s="814"/>
      <c r="TG128" s="814"/>
      <c r="TH128" s="814"/>
      <c r="TI128" s="814"/>
      <c r="TJ128" s="814"/>
      <c r="TK128" s="814"/>
      <c r="TL128" s="814"/>
      <c r="TM128" s="813"/>
      <c r="TN128" s="813"/>
      <c r="TO128" s="813"/>
      <c r="TP128" s="813"/>
      <c r="TQ128" s="813"/>
      <c r="TR128" s="814"/>
      <c r="TS128" s="814"/>
      <c r="TT128" s="814"/>
      <c r="TU128" s="814"/>
      <c r="TV128" s="814"/>
      <c r="TW128" s="814"/>
      <c r="TX128" s="814"/>
      <c r="TY128" s="814"/>
      <c r="TZ128" s="814"/>
      <c r="UA128" s="813"/>
      <c r="UB128" s="813"/>
      <c r="UC128" s="813"/>
      <c r="UD128" s="813"/>
      <c r="UE128" s="813"/>
      <c r="UF128" s="814"/>
      <c r="UG128" s="814"/>
      <c r="UH128" s="814"/>
      <c r="UI128" s="814"/>
      <c r="UJ128" s="814"/>
      <c r="UK128" s="814"/>
      <c r="UL128" s="814"/>
      <c r="UM128" s="814"/>
      <c r="UN128" s="814"/>
      <c r="UO128" s="813"/>
      <c r="UP128" s="813"/>
      <c r="UQ128" s="813"/>
      <c r="UR128" s="813"/>
      <c r="US128" s="813"/>
      <c r="UT128" s="814"/>
      <c r="UU128" s="814"/>
      <c r="UV128" s="814"/>
      <c r="UW128" s="814"/>
      <c r="UX128" s="814"/>
      <c r="UY128" s="814"/>
      <c r="UZ128" s="814"/>
      <c r="VA128" s="814"/>
      <c r="VB128" s="814"/>
      <c r="VC128" s="813"/>
      <c r="VD128" s="813"/>
      <c r="VE128" s="813"/>
      <c r="VF128" s="813"/>
      <c r="VG128" s="813"/>
      <c r="VH128" s="814"/>
      <c r="VI128" s="814"/>
      <c r="VJ128" s="814"/>
      <c r="VK128" s="814"/>
      <c r="VL128" s="814"/>
      <c r="VM128" s="814"/>
      <c r="VN128" s="814"/>
      <c r="VO128" s="814"/>
      <c r="VP128" s="814"/>
      <c r="VQ128" s="813"/>
      <c r="VR128" s="813"/>
      <c r="VS128" s="813"/>
      <c r="VT128" s="813"/>
      <c r="VU128" s="813"/>
      <c r="VV128" s="814"/>
      <c r="VW128" s="814"/>
      <c r="VX128" s="814"/>
      <c r="VY128" s="814"/>
      <c r="VZ128" s="814"/>
      <c r="WA128" s="814"/>
      <c r="WB128" s="814"/>
      <c r="WC128" s="814"/>
      <c r="WD128" s="814"/>
      <c r="WE128" s="813"/>
      <c r="WF128" s="813"/>
      <c r="WG128" s="813"/>
      <c r="WH128" s="813"/>
      <c r="WI128" s="813"/>
      <c r="WJ128" s="814"/>
      <c r="WK128" s="814"/>
      <c r="WL128" s="814"/>
      <c r="WM128" s="814"/>
      <c r="WN128" s="814"/>
      <c r="WO128" s="814"/>
      <c r="WP128" s="814"/>
      <c r="WQ128" s="814"/>
      <c r="WR128" s="814"/>
      <c r="WS128" s="813"/>
      <c r="WT128" s="813"/>
      <c r="WU128" s="813"/>
      <c r="WV128" s="813"/>
      <c r="WW128" s="813"/>
      <c r="WX128" s="814"/>
      <c r="WY128" s="814"/>
      <c r="WZ128" s="814"/>
      <c r="XA128" s="814"/>
      <c r="XB128" s="814"/>
      <c r="XC128" s="814"/>
      <c r="XD128" s="814"/>
      <c r="XE128" s="814"/>
      <c r="XF128" s="814"/>
      <c r="XG128" s="813"/>
      <c r="XH128" s="813"/>
      <c r="XI128" s="813"/>
      <c r="XJ128" s="813"/>
      <c r="XK128" s="813"/>
      <c r="XL128" s="814"/>
      <c r="XM128" s="814"/>
      <c r="XN128" s="814"/>
      <c r="XO128" s="814"/>
      <c r="XP128" s="814"/>
      <c r="XQ128" s="814"/>
      <c r="XR128" s="814"/>
      <c r="XS128" s="814"/>
      <c r="XT128" s="814"/>
      <c r="XU128" s="813"/>
      <c r="XV128" s="813"/>
      <c r="XW128" s="813"/>
      <c r="XX128" s="813"/>
      <c r="XY128" s="813"/>
      <c r="XZ128" s="814"/>
      <c r="YA128" s="814"/>
      <c r="YB128" s="814"/>
      <c r="YC128" s="814"/>
      <c r="YD128" s="814"/>
      <c r="YE128" s="814"/>
      <c r="YF128" s="814"/>
      <c r="YG128" s="814"/>
      <c r="YH128" s="814"/>
      <c r="YI128" s="813"/>
      <c r="YJ128" s="813"/>
      <c r="YK128" s="813"/>
      <c r="YL128" s="813"/>
      <c r="YM128" s="813"/>
      <c r="YN128" s="814"/>
      <c r="YO128" s="814"/>
      <c r="YP128" s="814"/>
      <c r="YQ128" s="814"/>
      <c r="YR128" s="814"/>
      <c r="YS128" s="814"/>
      <c r="YT128" s="814"/>
      <c r="YU128" s="814"/>
      <c r="YV128" s="814"/>
      <c r="YW128" s="813"/>
      <c r="YX128" s="813"/>
      <c r="YY128" s="813"/>
      <c r="YZ128" s="813"/>
      <c r="ZA128" s="813"/>
      <c r="ZB128" s="814"/>
      <c r="ZC128" s="814"/>
      <c r="ZD128" s="814"/>
      <c r="ZE128" s="814"/>
      <c r="ZF128" s="814"/>
      <c r="ZG128" s="814"/>
      <c r="ZH128" s="814"/>
      <c r="ZI128" s="814"/>
      <c r="ZJ128" s="814"/>
      <c r="ZK128" s="813"/>
      <c r="ZL128" s="813"/>
      <c r="ZM128" s="813"/>
      <c r="ZN128" s="813"/>
      <c r="ZO128" s="813"/>
      <c r="ZP128" s="814"/>
      <c r="ZQ128" s="814"/>
      <c r="ZR128" s="814"/>
      <c r="ZS128" s="814"/>
      <c r="ZT128" s="814"/>
      <c r="ZU128" s="814"/>
      <c r="ZV128" s="814"/>
      <c r="ZW128" s="814"/>
      <c r="ZX128" s="814"/>
      <c r="ZY128" s="813"/>
      <c r="ZZ128" s="813"/>
      <c r="AAA128" s="813"/>
      <c r="AAB128" s="813"/>
      <c r="AAC128" s="813"/>
      <c r="AAD128" s="814"/>
      <c r="AAE128" s="814"/>
      <c r="AAF128" s="814"/>
      <c r="AAG128" s="814"/>
      <c r="AAH128" s="814"/>
      <c r="AAI128" s="814"/>
      <c r="AAJ128" s="814"/>
      <c r="AAK128" s="814"/>
      <c r="AAL128" s="814"/>
      <c r="AAM128" s="813"/>
      <c r="AAN128" s="813"/>
      <c r="AAO128" s="813"/>
      <c r="AAP128" s="813"/>
      <c r="AAQ128" s="813"/>
      <c r="AAR128" s="814"/>
      <c r="AAS128" s="814"/>
      <c r="AAT128" s="814"/>
      <c r="AAU128" s="814"/>
      <c r="AAV128" s="814"/>
      <c r="AAW128" s="814"/>
      <c r="AAX128" s="814"/>
      <c r="AAY128" s="814"/>
      <c r="AAZ128" s="814"/>
      <c r="ABA128" s="813"/>
      <c r="ABB128" s="813"/>
      <c r="ABC128" s="813"/>
      <c r="ABD128" s="813"/>
      <c r="ABE128" s="813"/>
      <c r="ABF128" s="814"/>
      <c r="ABG128" s="814"/>
      <c r="ABH128" s="814"/>
      <c r="ABI128" s="814"/>
      <c r="ABJ128" s="814"/>
      <c r="ABK128" s="814"/>
      <c r="ABL128" s="814"/>
      <c r="ABM128" s="814"/>
      <c r="ABN128" s="814"/>
      <c r="ABO128" s="813"/>
      <c r="ABP128" s="813"/>
      <c r="ABQ128" s="813"/>
      <c r="ABR128" s="813"/>
      <c r="ABS128" s="813"/>
      <c r="ABT128" s="814"/>
      <c r="ABU128" s="814"/>
      <c r="ABV128" s="814"/>
      <c r="ABW128" s="814"/>
      <c r="ABX128" s="814"/>
      <c r="ABY128" s="814"/>
      <c r="ABZ128" s="814"/>
      <c r="ACA128" s="814"/>
      <c r="ACB128" s="814"/>
      <c r="ACC128" s="813"/>
      <c r="ACD128" s="813"/>
      <c r="ACE128" s="813"/>
      <c r="ACF128" s="813"/>
      <c r="ACG128" s="813"/>
      <c r="ACH128" s="814"/>
      <c r="ACI128" s="814"/>
      <c r="ACJ128" s="814"/>
      <c r="ACK128" s="814"/>
      <c r="ACL128" s="814"/>
      <c r="ACM128" s="814"/>
      <c r="ACN128" s="814"/>
      <c r="ACO128" s="814"/>
      <c r="ACP128" s="814"/>
      <c r="ACQ128" s="813"/>
      <c r="ACR128" s="813"/>
      <c r="ACS128" s="813"/>
      <c r="ACT128" s="813"/>
      <c r="ACU128" s="813"/>
      <c r="ACV128" s="814"/>
      <c r="ACW128" s="814"/>
      <c r="ACX128" s="814"/>
      <c r="ACY128" s="814"/>
      <c r="ACZ128" s="814"/>
      <c r="ADA128" s="814"/>
      <c r="ADB128" s="814"/>
      <c r="ADC128" s="814"/>
      <c r="ADD128" s="814"/>
      <c r="ADE128" s="813"/>
      <c r="ADF128" s="813"/>
      <c r="ADG128" s="813"/>
      <c r="ADH128" s="813"/>
      <c r="ADI128" s="813"/>
      <c r="ADJ128" s="814"/>
      <c r="ADK128" s="814"/>
      <c r="ADL128" s="814"/>
      <c r="ADM128" s="814"/>
      <c r="ADN128" s="814"/>
      <c r="ADO128" s="814"/>
      <c r="ADP128" s="814"/>
      <c r="ADQ128" s="814"/>
      <c r="ADR128" s="814"/>
      <c r="ADS128" s="813"/>
      <c r="ADT128" s="813"/>
      <c r="ADU128" s="813"/>
      <c r="ADV128" s="813"/>
      <c r="ADW128" s="813"/>
      <c r="ADX128" s="814"/>
      <c r="ADY128" s="814"/>
      <c r="ADZ128" s="814"/>
      <c r="AEA128" s="814"/>
      <c r="AEB128" s="814"/>
      <c r="AEC128" s="814"/>
      <c r="AED128" s="814"/>
      <c r="AEE128" s="814"/>
      <c r="AEF128" s="814"/>
      <c r="AEG128" s="813"/>
      <c r="AEH128" s="813"/>
      <c r="AEI128" s="813"/>
      <c r="AEJ128" s="813"/>
      <c r="AEK128" s="813"/>
      <c r="AEL128" s="814"/>
      <c r="AEM128" s="814"/>
      <c r="AEN128" s="814"/>
      <c r="AEO128" s="814"/>
      <c r="AEP128" s="814"/>
      <c r="AEQ128" s="814"/>
      <c r="AER128" s="814"/>
      <c r="AES128" s="814"/>
      <c r="AET128" s="814"/>
      <c r="AEU128" s="813"/>
      <c r="AEV128" s="813"/>
      <c r="AEW128" s="813"/>
      <c r="AEX128" s="813"/>
      <c r="AEY128" s="813"/>
      <c r="AEZ128" s="814"/>
      <c r="AFA128" s="814"/>
      <c r="AFB128" s="814"/>
      <c r="AFC128" s="814"/>
      <c r="AFD128" s="814"/>
      <c r="AFE128" s="814"/>
      <c r="AFF128" s="814"/>
      <c r="AFG128" s="814"/>
      <c r="AFH128" s="814"/>
      <c r="AFI128" s="813"/>
      <c r="AFJ128" s="813"/>
      <c r="AFK128" s="813"/>
      <c r="AFL128" s="813"/>
      <c r="AFM128" s="813"/>
      <c r="AFN128" s="814"/>
      <c r="AFO128" s="814"/>
      <c r="AFP128" s="814"/>
      <c r="AFQ128" s="814"/>
      <c r="AFR128" s="814"/>
      <c r="AFS128" s="814"/>
      <c r="AFT128" s="814"/>
      <c r="AFU128" s="814"/>
      <c r="AFV128" s="814"/>
      <c r="AFW128" s="813"/>
      <c r="AFX128" s="813"/>
      <c r="AFY128" s="813"/>
      <c r="AFZ128" s="813"/>
      <c r="AGA128" s="813"/>
      <c r="AGB128" s="814"/>
      <c r="AGC128" s="814"/>
      <c r="AGD128" s="814"/>
      <c r="AGE128" s="814"/>
      <c r="AGF128" s="814"/>
      <c r="AGG128" s="814"/>
      <c r="AGH128" s="814"/>
      <c r="AGI128" s="814"/>
      <c r="AGJ128" s="814"/>
      <c r="AGK128" s="813"/>
      <c r="AGL128" s="813"/>
      <c r="AGM128" s="813"/>
      <c r="AGN128" s="813"/>
      <c r="AGO128" s="813"/>
      <c r="AGP128" s="814"/>
      <c r="AGQ128" s="814"/>
      <c r="AGR128" s="814"/>
      <c r="AGS128" s="814"/>
      <c r="AGT128" s="814"/>
      <c r="AGU128" s="814"/>
      <c r="AGV128" s="814"/>
      <c r="AGW128" s="814"/>
      <c r="AGX128" s="814"/>
      <c r="AGY128" s="813"/>
      <c r="AGZ128" s="813"/>
      <c r="AHA128" s="813"/>
      <c r="AHB128" s="813"/>
      <c r="AHC128" s="813"/>
      <c r="AHD128" s="814"/>
      <c r="AHE128" s="814"/>
      <c r="AHF128" s="814"/>
      <c r="AHG128" s="814"/>
      <c r="AHH128" s="814"/>
      <c r="AHI128" s="814"/>
      <c r="AHJ128" s="814"/>
      <c r="AHK128" s="814"/>
      <c r="AHL128" s="814"/>
      <c r="AHM128" s="813"/>
      <c r="AHN128" s="813"/>
      <c r="AHO128" s="813"/>
      <c r="AHP128" s="813"/>
      <c r="AHQ128" s="813"/>
      <c r="AHR128" s="814"/>
      <c r="AHS128" s="814"/>
      <c r="AHT128" s="814"/>
      <c r="AHU128" s="814"/>
      <c r="AHV128" s="814"/>
      <c r="AHW128" s="814"/>
      <c r="AHX128" s="814"/>
      <c r="AHY128" s="814"/>
      <c r="AHZ128" s="814"/>
      <c r="AIA128" s="813"/>
      <c r="AIB128" s="813"/>
      <c r="AIC128" s="813"/>
      <c r="AID128" s="813"/>
      <c r="AIE128" s="813"/>
      <c r="AIF128" s="814"/>
      <c r="AIG128" s="814"/>
      <c r="AIH128" s="814"/>
      <c r="AII128" s="814"/>
      <c r="AIJ128" s="814"/>
      <c r="AIK128" s="814"/>
      <c r="AIL128" s="814"/>
      <c r="AIM128" s="814"/>
      <c r="AIN128" s="814"/>
      <c r="AIO128" s="813"/>
      <c r="AIP128" s="813"/>
      <c r="AIQ128" s="813"/>
      <c r="AIR128" s="813"/>
      <c r="AIS128" s="813"/>
      <c r="AIT128" s="814"/>
      <c r="AIU128" s="814"/>
      <c r="AIV128" s="814"/>
      <c r="AIW128" s="814"/>
      <c r="AIX128" s="814"/>
      <c r="AIY128" s="814"/>
      <c r="AIZ128" s="814"/>
      <c r="AJA128" s="814"/>
      <c r="AJB128" s="814"/>
      <c r="AJC128" s="813"/>
      <c r="AJD128" s="813"/>
      <c r="AJE128" s="813"/>
      <c r="AJF128" s="813"/>
      <c r="AJG128" s="813"/>
      <c r="AJH128" s="814"/>
      <c r="AJI128" s="814"/>
      <c r="AJJ128" s="814"/>
      <c r="AJK128" s="814"/>
      <c r="AJL128" s="814"/>
      <c r="AJM128" s="814"/>
      <c r="AJN128" s="814"/>
      <c r="AJO128" s="814"/>
      <c r="AJP128" s="814"/>
      <c r="AJQ128" s="813"/>
      <c r="AJR128" s="813"/>
      <c r="AJS128" s="813"/>
      <c r="AJT128" s="813"/>
      <c r="AJU128" s="813"/>
      <c r="AJV128" s="814"/>
      <c r="AJW128" s="814"/>
      <c r="AJX128" s="814"/>
      <c r="AJY128" s="814"/>
      <c r="AJZ128" s="814"/>
      <c r="AKA128" s="814"/>
      <c r="AKB128" s="814"/>
      <c r="AKC128" s="814"/>
      <c r="AKD128" s="814"/>
      <c r="AKE128" s="813"/>
      <c r="AKF128" s="813"/>
      <c r="AKG128" s="813"/>
      <c r="AKH128" s="813"/>
      <c r="AKI128" s="813"/>
      <c r="AKJ128" s="814"/>
      <c r="AKK128" s="814"/>
      <c r="AKL128" s="814"/>
      <c r="AKM128" s="814"/>
      <c r="AKN128" s="814"/>
      <c r="AKO128" s="814"/>
      <c r="AKP128" s="814"/>
      <c r="AKQ128" s="814"/>
      <c r="AKR128" s="814"/>
      <c r="AKS128" s="813"/>
      <c r="AKT128" s="813"/>
      <c r="AKU128" s="813"/>
      <c r="AKV128" s="813"/>
      <c r="AKW128" s="813"/>
      <c r="AKX128" s="814"/>
      <c r="AKY128" s="814"/>
      <c r="AKZ128" s="814"/>
      <c r="ALA128" s="814"/>
      <c r="ALB128" s="814"/>
      <c r="ALC128" s="814"/>
      <c r="ALD128" s="814"/>
      <c r="ALE128" s="814"/>
      <c r="ALF128" s="814"/>
      <c r="ALG128" s="813"/>
      <c r="ALH128" s="813"/>
      <c r="ALI128" s="813"/>
      <c r="ALJ128" s="813"/>
      <c r="ALK128" s="813"/>
      <c r="ALL128" s="814"/>
      <c r="ALM128" s="814"/>
      <c r="ALN128" s="814"/>
      <c r="ALO128" s="814"/>
      <c r="ALP128" s="814"/>
      <c r="ALQ128" s="814"/>
      <c r="ALR128" s="814"/>
      <c r="ALS128" s="814"/>
      <c r="ALT128" s="814"/>
      <c r="ALU128" s="813"/>
      <c r="ALV128" s="813"/>
      <c r="ALW128" s="813"/>
      <c r="ALX128" s="813"/>
      <c r="ALY128" s="813"/>
      <c r="ALZ128" s="814"/>
      <c r="AMA128" s="814"/>
      <c r="AMB128" s="814"/>
      <c r="AMC128" s="814"/>
      <c r="AMD128" s="814"/>
      <c r="AME128" s="814"/>
      <c r="AMF128" s="814"/>
      <c r="AMG128" s="814"/>
      <c r="AMH128" s="814"/>
      <c r="AMI128" s="813"/>
      <c r="AMJ128" s="813"/>
      <c r="AMK128" s="813"/>
      <c r="AML128" s="813"/>
      <c r="AMM128" s="813"/>
      <c r="AMN128" s="814"/>
      <c r="AMO128" s="814"/>
      <c r="AMP128" s="814"/>
      <c r="AMQ128" s="814"/>
      <c r="AMR128" s="814"/>
      <c r="AMS128" s="814"/>
      <c r="AMT128" s="814"/>
      <c r="AMU128" s="814"/>
      <c r="AMV128" s="814"/>
      <c r="AMW128" s="813"/>
      <c r="AMX128" s="813"/>
      <c r="AMY128" s="813"/>
      <c r="AMZ128" s="813"/>
      <c r="ANA128" s="813"/>
      <c r="ANB128" s="814"/>
      <c r="ANC128" s="814"/>
      <c r="AND128" s="814"/>
      <c r="ANE128" s="814"/>
      <c r="ANF128" s="814"/>
      <c r="ANG128" s="814"/>
      <c r="ANH128" s="814"/>
      <c r="ANI128" s="814"/>
      <c r="ANJ128" s="814"/>
      <c r="ANK128" s="813"/>
      <c r="ANL128" s="813"/>
      <c r="ANM128" s="813"/>
      <c r="ANN128" s="813"/>
      <c r="ANO128" s="813"/>
      <c r="ANP128" s="814"/>
      <c r="ANQ128" s="814"/>
      <c r="ANR128" s="814"/>
      <c r="ANS128" s="814"/>
      <c r="ANT128" s="814"/>
      <c r="ANU128" s="814"/>
      <c r="ANV128" s="814"/>
      <c r="ANW128" s="814"/>
      <c r="ANX128" s="814"/>
      <c r="ANY128" s="813"/>
      <c r="ANZ128" s="813"/>
      <c r="AOA128" s="813"/>
      <c r="AOB128" s="813"/>
      <c r="AOC128" s="813"/>
      <c r="AOD128" s="814"/>
      <c r="AOE128" s="814"/>
      <c r="AOF128" s="814"/>
      <c r="AOG128" s="814"/>
      <c r="AOH128" s="814"/>
      <c r="AOI128" s="814"/>
      <c r="AOJ128" s="814"/>
      <c r="AOK128" s="814"/>
      <c r="AOL128" s="814"/>
      <c r="AOM128" s="813"/>
      <c r="AON128" s="813"/>
      <c r="AOO128" s="813"/>
      <c r="AOP128" s="813"/>
      <c r="AOQ128" s="813"/>
      <c r="AOR128" s="814"/>
      <c r="AOS128" s="814"/>
      <c r="AOT128" s="814"/>
      <c r="AOU128" s="814"/>
      <c r="AOV128" s="814"/>
      <c r="AOW128" s="814"/>
      <c r="AOX128" s="814"/>
      <c r="AOY128" s="814"/>
      <c r="AOZ128" s="814"/>
      <c r="APA128" s="813"/>
      <c r="APB128" s="813"/>
      <c r="APC128" s="813"/>
      <c r="APD128" s="813"/>
      <c r="APE128" s="813"/>
      <c r="APF128" s="814"/>
      <c r="APG128" s="814"/>
      <c r="APH128" s="814"/>
      <c r="API128" s="814"/>
      <c r="APJ128" s="814"/>
      <c r="APK128" s="814"/>
      <c r="APL128" s="814"/>
      <c r="APM128" s="814"/>
      <c r="APN128" s="814"/>
      <c r="APO128" s="813"/>
      <c r="APP128" s="813"/>
      <c r="APQ128" s="813"/>
      <c r="APR128" s="813"/>
      <c r="APS128" s="813"/>
      <c r="APT128" s="814"/>
      <c r="APU128" s="814"/>
      <c r="APV128" s="814"/>
      <c r="APW128" s="814"/>
      <c r="APX128" s="814"/>
      <c r="APY128" s="814"/>
      <c r="APZ128" s="814"/>
      <c r="AQA128" s="814"/>
      <c r="AQB128" s="814"/>
      <c r="AQC128" s="813"/>
      <c r="AQD128" s="813"/>
      <c r="AQE128" s="813"/>
      <c r="AQF128" s="813"/>
      <c r="AQG128" s="813"/>
      <c r="AQH128" s="814"/>
      <c r="AQI128" s="814"/>
      <c r="AQJ128" s="814"/>
      <c r="AQK128" s="814"/>
      <c r="AQL128" s="814"/>
      <c r="AQM128" s="814"/>
      <c r="AQN128" s="814"/>
      <c r="AQO128" s="814"/>
      <c r="AQP128" s="814"/>
      <c r="AQQ128" s="813"/>
      <c r="AQR128" s="813"/>
      <c r="AQS128" s="813"/>
      <c r="AQT128" s="813"/>
      <c r="AQU128" s="813"/>
      <c r="AQV128" s="814"/>
      <c r="AQW128" s="814"/>
      <c r="AQX128" s="814"/>
      <c r="AQY128" s="814"/>
      <c r="AQZ128" s="814"/>
      <c r="ARA128" s="814"/>
      <c r="ARB128" s="814"/>
      <c r="ARC128" s="814"/>
      <c r="ARD128" s="814"/>
      <c r="ARE128" s="813"/>
      <c r="ARF128" s="813"/>
      <c r="ARG128" s="813"/>
      <c r="ARH128" s="813"/>
      <c r="ARI128" s="813"/>
      <c r="ARJ128" s="814"/>
      <c r="ARK128" s="814"/>
      <c r="ARL128" s="814"/>
      <c r="ARM128" s="814"/>
      <c r="ARN128" s="814"/>
      <c r="ARO128" s="814"/>
      <c r="ARP128" s="814"/>
      <c r="ARQ128" s="814"/>
      <c r="ARR128" s="814"/>
      <c r="ARS128" s="813"/>
      <c r="ART128" s="813"/>
      <c r="ARU128" s="813"/>
      <c r="ARV128" s="813"/>
      <c r="ARW128" s="813"/>
      <c r="ARX128" s="814"/>
      <c r="ARY128" s="814"/>
      <c r="ARZ128" s="814"/>
      <c r="ASA128" s="814"/>
      <c r="ASB128" s="814"/>
      <c r="ASC128" s="814"/>
      <c r="ASD128" s="814"/>
      <c r="ASE128" s="814"/>
      <c r="ASF128" s="814"/>
      <c r="ASG128" s="813"/>
      <c r="ASH128" s="813"/>
      <c r="ASI128" s="813"/>
      <c r="ASJ128" s="813"/>
      <c r="ASK128" s="813"/>
      <c r="ASL128" s="814"/>
      <c r="ASM128" s="814"/>
      <c r="ASN128" s="814"/>
      <c r="ASO128" s="814"/>
      <c r="ASP128" s="814"/>
      <c r="ASQ128" s="814"/>
      <c r="ASR128" s="814"/>
      <c r="ASS128" s="814"/>
      <c r="AST128" s="814"/>
      <c r="ASU128" s="813"/>
      <c r="ASV128" s="813"/>
      <c r="ASW128" s="813"/>
      <c r="ASX128" s="813"/>
      <c r="ASY128" s="813"/>
      <c r="ASZ128" s="814"/>
      <c r="ATA128" s="814"/>
      <c r="ATB128" s="814"/>
      <c r="ATC128" s="814"/>
      <c r="ATD128" s="814"/>
      <c r="ATE128" s="814"/>
      <c r="ATF128" s="814"/>
      <c r="ATG128" s="814"/>
      <c r="ATH128" s="814"/>
      <c r="ATI128" s="813"/>
      <c r="ATJ128" s="813"/>
      <c r="ATK128" s="813"/>
      <c r="ATL128" s="813"/>
      <c r="ATM128" s="813"/>
      <c r="ATN128" s="814"/>
      <c r="ATO128" s="814"/>
      <c r="ATP128" s="814"/>
      <c r="ATQ128" s="814"/>
      <c r="ATR128" s="814"/>
      <c r="ATS128" s="814"/>
      <c r="ATT128" s="814"/>
      <c r="ATU128" s="814"/>
      <c r="ATV128" s="814"/>
      <c r="ATW128" s="813"/>
      <c r="ATX128" s="813"/>
      <c r="ATY128" s="813"/>
      <c r="ATZ128" s="813"/>
      <c r="AUA128" s="813"/>
      <c r="AUB128" s="814"/>
      <c r="AUC128" s="814"/>
      <c r="AUD128" s="814"/>
      <c r="AUE128" s="814"/>
      <c r="AUF128" s="814"/>
      <c r="AUG128" s="814"/>
      <c r="AUH128" s="814"/>
      <c r="AUI128" s="814"/>
      <c r="AUJ128" s="814"/>
      <c r="AUK128" s="813"/>
      <c r="AUL128" s="813"/>
      <c r="AUM128" s="813"/>
      <c r="AUN128" s="813"/>
      <c r="AUO128" s="813"/>
      <c r="AUP128" s="814"/>
      <c r="AUQ128" s="814"/>
      <c r="AUR128" s="814"/>
      <c r="AUS128" s="814"/>
      <c r="AUT128" s="814"/>
      <c r="AUU128" s="814"/>
      <c r="AUV128" s="814"/>
      <c r="AUW128" s="814"/>
      <c r="AUX128" s="814"/>
      <c r="AUY128" s="813"/>
      <c r="AUZ128" s="813"/>
      <c r="AVA128" s="813"/>
      <c r="AVB128" s="813"/>
      <c r="AVC128" s="813"/>
      <c r="AVD128" s="814"/>
      <c r="AVE128" s="814"/>
      <c r="AVF128" s="814"/>
      <c r="AVG128" s="814"/>
      <c r="AVH128" s="814"/>
      <c r="AVI128" s="814"/>
      <c r="AVJ128" s="814"/>
      <c r="AVK128" s="814"/>
      <c r="AVL128" s="814"/>
      <c r="AVM128" s="813"/>
      <c r="AVN128" s="813"/>
      <c r="AVO128" s="813"/>
      <c r="AVP128" s="813"/>
      <c r="AVQ128" s="813"/>
      <c r="AVR128" s="814"/>
      <c r="AVS128" s="814"/>
      <c r="AVT128" s="814"/>
      <c r="AVU128" s="814"/>
      <c r="AVV128" s="814"/>
      <c r="AVW128" s="814"/>
      <c r="AVX128" s="814"/>
      <c r="AVY128" s="814"/>
      <c r="AVZ128" s="814"/>
      <c r="AWA128" s="813"/>
      <c r="AWB128" s="813"/>
      <c r="AWC128" s="813"/>
      <c r="AWD128" s="813"/>
      <c r="AWE128" s="813"/>
      <c r="AWF128" s="814"/>
      <c r="AWG128" s="814"/>
      <c r="AWH128" s="814"/>
      <c r="AWI128" s="814"/>
      <c r="AWJ128" s="814"/>
      <c r="AWK128" s="814"/>
      <c r="AWL128" s="814"/>
      <c r="AWM128" s="814"/>
      <c r="AWN128" s="814"/>
      <c r="AWO128" s="813"/>
      <c r="AWP128" s="813"/>
      <c r="AWQ128" s="813"/>
      <c r="AWR128" s="813"/>
      <c r="AWS128" s="813"/>
      <c r="AWT128" s="814"/>
      <c r="AWU128" s="814"/>
      <c r="AWV128" s="814"/>
      <c r="AWW128" s="814"/>
      <c r="AWX128" s="814"/>
      <c r="AWY128" s="814"/>
      <c r="AWZ128" s="814"/>
      <c r="AXA128" s="814"/>
      <c r="AXB128" s="814"/>
      <c r="AXC128" s="813"/>
      <c r="AXD128" s="813"/>
      <c r="AXE128" s="813"/>
      <c r="AXF128" s="813"/>
      <c r="AXG128" s="813"/>
      <c r="AXH128" s="814"/>
      <c r="AXI128" s="814"/>
      <c r="AXJ128" s="814"/>
      <c r="AXK128" s="814"/>
      <c r="AXL128" s="814"/>
      <c r="AXM128" s="814"/>
      <c r="AXN128" s="814"/>
      <c r="AXO128" s="814"/>
      <c r="AXP128" s="814"/>
      <c r="AXQ128" s="813"/>
      <c r="AXR128" s="813"/>
      <c r="AXS128" s="813"/>
      <c r="AXT128" s="813"/>
      <c r="AXU128" s="813"/>
      <c r="AXV128" s="814"/>
      <c r="AXW128" s="814"/>
      <c r="AXX128" s="814"/>
      <c r="AXY128" s="814"/>
      <c r="AXZ128" s="814"/>
      <c r="AYA128" s="814"/>
      <c r="AYB128" s="814"/>
      <c r="AYC128" s="814"/>
      <c r="AYD128" s="814"/>
      <c r="AYE128" s="813"/>
      <c r="AYF128" s="813"/>
      <c r="AYG128" s="813"/>
      <c r="AYH128" s="813"/>
      <c r="AYI128" s="813"/>
      <c r="AYJ128" s="814"/>
      <c r="AYK128" s="814"/>
      <c r="AYL128" s="814"/>
      <c r="AYM128" s="814"/>
      <c r="AYN128" s="814"/>
      <c r="AYO128" s="814"/>
      <c r="AYP128" s="814"/>
      <c r="AYQ128" s="814"/>
      <c r="AYR128" s="814"/>
      <c r="AYS128" s="813"/>
      <c r="AYT128" s="813"/>
      <c r="AYU128" s="813"/>
      <c r="AYV128" s="813"/>
      <c r="AYW128" s="813"/>
      <c r="AYX128" s="814"/>
      <c r="AYY128" s="814"/>
      <c r="AYZ128" s="814"/>
      <c r="AZA128" s="814"/>
      <c r="AZB128" s="814"/>
      <c r="AZC128" s="814"/>
      <c r="AZD128" s="814"/>
      <c r="AZE128" s="814"/>
      <c r="AZF128" s="814"/>
      <c r="AZG128" s="813"/>
      <c r="AZH128" s="813"/>
      <c r="AZI128" s="813"/>
      <c r="AZJ128" s="813"/>
      <c r="AZK128" s="813"/>
      <c r="AZL128" s="814"/>
      <c r="AZM128" s="814"/>
      <c r="AZN128" s="814"/>
      <c r="AZO128" s="814"/>
      <c r="AZP128" s="814"/>
      <c r="AZQ128" s="814"/>
      <c r="AZR128" s="814"/>
      <c r="AZS128" s="814"/>
      <c r="AZT128" s="814"/>
      <c r="AZU128" s="813"/>
      <c r="AZV128" s="813"/>
      <c r="AZW128" s="813"/>
      <c r="AZX128" s="813"/>
      <c r="AZY128" s="813"/>
      <c r="AZZ128" s="814"/>
      <c r="BAA128" s="814"/>
      <c r="BAB128" s="814"/>
      <c r="BAC128" s="814"/>
      <c r="BAD128" s="814"/>
      <c r="BAE128" s="814"/>
      <c r="BAF128" s="814"/>
      <c r="BAG128" s="814"/>
      <c r="BAH128" s="814"/>
      <c r="BAI128" s="813"/>
      <c r="BAJ128" s="813"/>
      <c r="BAK128" s="813"/>
      <c r="BAL128" s="813"/>
      <c r="BAM128" s="813"/>
      <c r="BAN128" s="814"/>
      <c r="BAO128" s="814"/>
      <c r="BAP128" s="814"/>
      <c r="BAQ128" s="814"/>
      <c r="BAR128" s="814"/>
      <c r="BAS128" s="814"/>
      <c r="BAT128" s="814"/>
      <c r="BAU128" s="814"/>
      <c r="BAV128" s="814"/>
      <c r="BAW128" s="813"/>
      <c r="BAX128" s="813"/>
      <c r="BAY128" s="813"/>
      <c r="BAZ128" s="813"/>
      <c r="BBA128" s="813"/>
      <c r="BBB128" s="814"/>
      <c r="BBC128" s="814"/>
      <c r="BBD128" s="814"/>
      <c r="BBE128" s="814"/>
      <c r="BBF128" s="814"/>
      <c r="BBG128" s="814"/>
      <c r="BBH128" s="814"/>
      <c r="BBI128" s="814"/>
      <c r="BBJ128" s="814"/>
      <c r="BBK128" s="813"/>
      <c r="BBL128" s="813"/>
      <c r="BBM128" s="813"/>
      <c r="BBN128" s="813"/>
      <c r="BBO128" s="813"/>
      <c r="BBP128" s="814"/>
      <c r="BBQ128" s="814"/>
      <c r="BBR128" s="814"/>
      <c r="BBS128" s="814"/>
      <c r="BBT128" s="814"/>
      <c r="BBU128" s="814"/>
      <c r="BBV128" s="814"/>
      <c r="BBW128" s="814"/>
      <c r="BBX128" s="814"/>
      <c r="BBY128" s="813"/>
      <c r="BBZ128" s="813"/>
      <c r="BCA128" s="813"/>
      <c r="BCB128" s="813"/>
      <c r="BCC128" s="813"/>
      <c r="BCD128" s="814"/>
      <c r="BCE128" s="814"/>
      <c r="BCF128" s="814"/>
      <c r="BCG128" s="814"/>
      <c r="BCH128" s="814"/>
      <c r="BCI128" s="814"/>
      <c r="BCJ128" s="814"/>
      <c r="BCK128" s="814"/>
      <c r="BCL128" s="814"/>
      <c r="BCM128" s="813"/>
      <c r="BCN128" s="813"/>
      <c r="BCO128" s="813"/>
      <c r="BCP128" s="813"/>
      <c r="BCQ128" s="813"/>
      <c r="BCR128" s="814"/>
      <c r="BCS128" s="814"/>
      <c r="BCT128" s="814"/>
      <c r="BCU128" s="814"/>
      <c r="BCV128" s="814"/>
      <c r="BCW128" s="814"/>
      <c r="BCX128" s="814"/>
      <c r="BCY128" s="814"/>
      <c r="BCZ128" s="814"/>
      <c r="BDA128" s="813"/>
      <c r="BDB128" s="813"/>
      <c r="BDC128" s="813"/>
      <c r="BDD128" s="813"/>
      <c r="BDE128" s="813"/>
      <c r="BDF128" s="814"/>
      <c r="BDG128" s="814"/>
      <c r="BDH128" s="814"/>
      <c r="BDI128" s="814"/>
      <c r="BDJ128" s="814"/>
      <c r="BDK128" s="814"/>
      <c r="BDL128" s="814"/>
      <c r="BDM128" s="814"/>
      <c r="BDN128" s="814"/>
      <c r="BDO128" s="813"/>
      <c r="BDP128" s="813"/>
      <c r="BDQ128" s="813"/>
      <c r="BDR128" s="813"/>
      <c r="BDS128" s="813"/>
      <c r="BDT128" s="814"/>
      <c r="BDU128" s="814"/>
      <c r="BDV128" s="814"/>
      <c r="BDW128" s="814"/>
      <c r="BDX128" s="814"/>
      <c r="BDY128" s="814"/>
      <c r="BDZ128" s="814"/>
      <c r="BEA128" s="814"/>
      <c r="BEB128" s="814"/>
      <c r="BEC128" s="813"/>
      <c r="BED128" s="813"/>
      <c r="BEE128" s="813"/>
      <c r="BEF128" s="813"/>
      <c r="BEG128" s="813"/>
      <c r="BEH128" s="814"/>
      <c r="BEI128" s="814"/>
      <c r="BEJ128" s="814"/>
      <c r="BEK128" s="814"/>
      <c r="BEL128" s="814"/>
      <c r="BEM128" s="814"/>
      <c r="BEN128" s="814"/>
      <c r="BEO128" s="814"/>
      <c r="BEP128" s="814"/>
      <c r="BEQ128" s="813"/>
      <c r="BER128" s="813"/>
      <c r="BES128" s="813"/>
      <c r="BET128" s="813"/>
      <c r="BEU128" s="813"/>
      <c r="BEV128" s="814"/>
      <c r="BEW128" s="814"/>
      <c r="BEX128" s="814"/>
      <c r="BEY128" s="814"/>
      <c r="BEZ128" s="814"/>
      <c r="BFA128" s="814"/>
      <c r="BFB128" s="814"/>
      <c r="BFC128" s="814"/>
      <c r="BFD128" s="814"/>
      <c r="BFE128" s="813"/>
      <c r="BFF128" s="813"/>
      <c r="BFG128" s="813"/>
      <c r="BFH128" s="813"/>
      <c r="BFI128" s="813"/>
      <c r="BFJ128" s="814"/>
      <c r="BFK128" s="814"/>
      <c r="BFL128" s="814"/>
      <c r="BFM128" s="814"/>
      <c r="BFN128" s="814"/>
      <c r="BFO128" s="814"/>
      <c r="BFP128" s="814"/>
      <c r="BFQ128" s="814"/>
      <c r="BFR128" s="814"/>
      <c r="BFS128" s="813"/>
      <c r="BFT128" s="813"/>
      <c r="BFU128" s="813"/>
      <c r="BFV128" s="813"/>
      <c r="BFW128" s="813"/>
      <c r="BFX128" s="814"/>
      <c r="BFY128" s="814"/>
      <c r="BFZ128" s="814"/>
      <c r="BGA128" s="814"/>
      <c r="BGB128" s="814"/>
      <c r="BGC128" s="814"/>
      <c r="BGD128" s="814"/>
      <c r="BGE128" s="814"/>
      <c r="BGF128" s="814"/>
      <c r="BGG128" s="813"/>
      <c r="BGH128" s="813"/>
      <c r="BGI128" s="813"/>
      <c r="BGJ128" s="813"/>
      <c r="BGK128" s="813"/>
      <c r="BGL128" s="814"/>
      <c r="BGM128" s="814"/>
      <c r="BGN128" s="814"/>
      <c r="BGO128" s="814"/>
      <c r="BGP128" s="814"/>
      <c r="BGQ128" s="814"/>
      <c r="BGR128" s="814"/>
      <c r="BGS128" s="814"/>
      <c r="BGT128" s="814"/>
      <c r="BGU128" s="813"/>
      <c r="BGV128" s="813"/>
      <c r="BGW128" s="813"/>
      <c r="BGX128" s="813"/>
      <c r="BGY128" s="813"/>
      <c r="BGZ128" s="814"/>
      <c r="BHA128" s="814"/>
      <c r="BHB128" s="814"/>
      <c r="BHC128" s="814"/>
      <c r="BHD128" s="814"/>
      <c r="BHE128" s="814"/>
      <c r="BHF128" s="814"/>
      <c r="BHG128" s="814"/>
      <c r="BHH128" s="814"/>
      <c r="BHI128" s="813"/>
      <c r="BHJ128" s="813"/>
      <c r="BHK128" s="813"/>
      <c r="BHL128" s="813"/>
      <c r="BHM128" s="813"/>
      <c r="BHN128" s="814"/>
      <c r="BHO128" s="814"/>
      <c r="BHP128" s="814"/>
      <c r="BHQ128" s="814"/>
      <c r="BHR128" s="814"/>
      <c r="BHS128" s="814"/>
      <c r="BHT128" s="814"/>
      <c r="BHU128" s="814"/>
      <c r="BHV128" s="814"/>
      <c r="BHW128" s="813"/>
      <c r="BHX128" s="813"/>
      <c r="BHY128" s="813"/>
      <c r="BHZ128" s="813"/>
      <c r="BIA128" s="813"/>
      <c r="BIB128" s="814"/>
      <c r="BIC128" s="814"/>
      <c r="BID128" s="814"/>
      <c r="BIE128" s="814"/>
      <c r="BIF128" s="814"/>
      <c r="BIG128" s="814"/>
      <c r="BIH128" s="814"/>
      <c r="BII128" s="814"/>
      <c r="BIJ128" s="814"/>
      <c r="BIK128" s="813"/>
      <c r="BIL128" s="813"/>
      <c r="BIM128" s="813"/>
      <c r="BIN128" s="813"/>
      <c r="BIO128" s="813"/>
      <c r="BIP128" s="814"/>
      <c r="BIQ128" s="814"/>
      <c r="BIR128" s="814"/>
      <c r="BIS128" s="814"/>
      <c r="BIT128" s="814"/>
      <c r="BIU128" s="814"/>
      <c r="BIV128" s="814"/>
      <c r="BIW128" s="814"/>
      <c r="BIX128" s="814"/>
      <c r="BIY128" s="813"/>
      <c r="BIZ128" s="813"/>
      <c r="BJA128" s="813"/>
      <c r="BJB128" s="813"/>
      <c r="BJC128" s="813"/>
      <c r="BJD128" s="814"/>
      <c r="BJE128" s="814"/>
      <c r="BJF128" s="814"/>
      <c r="BJG128" s="814"/>
      <c r="BJH128" s="814"/>
      <c r="BJI128" s="814"/>
      <c r="BJJ128" s="814"/>
      <c r="BJK128" s="814"/>
      <c r="BJL128" s="814"/>
      <c r="BJM128" s="813"/>
      <c r="BJN128" s="813"/>
      <c r="BJO128" s="813"/>
      <c r="BJP128" s="813"/>
      <c r="BJQ128" s="813"/>
      <c r="BJR128" s="814"/>
      <c r="BJS128" s="814"/>
      <c r="BJT128" s="814"/>
      <c r="BJU128" s="814"/>
      <c r="BJV128" s="814"/>
      <c r="BJW128" s="814"/>
      <c r="BJX128" s="814"/>
      <c r="BJY128" s="814"/>
      <c r="BJZ128" s="814"/>
      <c r="BKA128" s="813"/>
      <c r="BKB128" s="813"/>
      <c r="BKC128" s="813"/>
      <c r="BKD128" s="813"/>
      <c r="BKE128" s="813"/>
      <c r="BKF128" s="814"/>
      <c r="BKG128" s="814"/>
      <c r="BKH128" s="814"/>
      <c r="BKI128" s="814"/>
      <c r="BKJ128" s="814"/>
      <c r="BKK128" s="814"/>
      <c r="BKL128" s="814"/>
      <c r="BKM128" s="814"/>
      <c r="BKN128" s="814"/>
      <c r="BKO128" s="813"/>
      <c r="BKP128" s="813"/>
      <c r="BKQ128" s="813"/>
      <c r="BKR128" s="813"/>
      <c r="BKS128" s="813"/>
      <c r="BKT128" s="814"/>
      <c r="BKU128" s="814"/>
      <c r="BKV128" s="814"/>
      <c r="BKW128" s="814"/>
      <c r="BKX128" s="814"/>
      <c r="BKY128" s="814"/>
      <c r="BKZ128" s="814"/>
      <c r="BLA128" s="814"/>
      <c r="BLB128" s="814"/>
      <c r="BLC128" s="813"/>
      <c r="BLD128" s="813"/>
      <c r="BLE128" s="813"/>
      <c r="BLF128" s="813"/>
      <c r="BLG128" s="813"/>
      <c r="BLH128" s="814"/>
      <c r="BLI128" s="814"/>
      <c r="BLJ128" s="814"/>
      <c r="BLK128" s="814"/>
      <c r="BLL128" s="814"/>
      <c r="BLM128" s="814"/>
      <c r="BLN128" s="814"/>
      <c r="BLO128" s="814"/>
      <c r="BLP128" s="814"/>
      <c r="BLQ128" s="813"/>
      <c r="BLR128" s="813"/>
      <c r="BLS128" s="813"/>
      <c r="BLT128" s="813"/>
      <c r="BLU128" s="813"/>
      <c r="BLV128" s="814"/>
      <c r="BLW128" s="814"/>
      <c r="BLX128" s="814"/>
      <c r="BLY128" s="814"/>
      <c r="BLZ128" s="814"/>
      <c r="BMA128" s="814"/>
      <c r="BMB128" s="814"/>
      <c r="BMC128" s="814"/>
      <c r="BMD128" s="814"/>
      <c r="BME128" s="813"/>
      <c r="BMF128" s="813"/>
      <c r="BMG128" s="813"/>
      <c r="BMH128" s="813"/>
      <c r="BMI128" s="813"/>
      <c r="BMJ128" s="814"/>
      <c r="BMK128" s="814"/>
      <c r="BML128" s="814"/>
      <c r="BMM128" s="814"/>
      <c r="BMN128" s="814"/>
      <c r="BMO128" s="814"/>
      <c r="BMP128" s="814"/>
      <c r="BMQ128" s="814"/>
      <c r="BMR128" s="814"/>
      <c r="BMS128" s="813"/>
      <c r="BMT128" s="813"/>
      <c r="BMU128" s="813"/>
      <c r="BMV128" s="813"/>
      <c r="BMW128" s="813"/>
      <c r="BMX128" s="814"/>
      <c r="BMY128" s="814"/>
      <c r="BMZ128" s="814"/>
      <c r="BNA128" s="814"/>
      <c r="BNB128" s="814"/>
      <c r="BNC128" s="814"/>
      <c r="BND128" s="814"/>
      <c r="BNE128" s="814"/>
      <c r="BNF128" s="814"/>
      <c r="BNG128" s="813"/>
      <c r="BNH128" s="813"/>
      <c r="BNI128" s="813"/>
      <c r="BNJ128" s="813"/>
      <c r="BNK128" s="813"/>
      <c r="BNL128" s="814"/>
      <c r="BNM128" s="814"/>
      <c r="BNN128" s="814"/>
      <c r="BNO128" s="814"/>
      <c r="BNP128" s="814"/>
      <c r="BNQ128" s="814"/>
      <c r="BNR128" s="814"/>
      <c r="BNS128" s="814"/>
      <c r="BNT128" s="814"/>
      <c r="BNU128" s="813"/>
      <c r="BNV128" s="813"/>
      <c r="BNW128" s="813"/>
      <c r="BNX128" s="813"/>
      <c r="BNY128" s="813"/>
      <c r="BNZ128" s="814"/>
      <c r="BOA128" s="814"/>
      <c r="BOB128" s="814"/>
      <c r="BOC128" s="814"/>
      <c r="BOD128" s="814"/>
      <c r="BOE128" s="814"/>
      <c r="BOF128" s="814"/>
      <c r="BOG128" s="814"/>
      <c r="BOH128" s="814"/>
      <c r="BOI128" s="813"/>
      <c r="BOJ128" s="813"/>
      <c r="BOK128" s="813"/>
      <c r="BOL128" s="813"/>
      <c r="BOM128" s="813"/>
      <c r="BON128" s="814"/>
      <c r="BOO128" s="814"/>
      <c r="BOP128" s="814"/>
      <c r="BOQ128" s="814"/>
      <c r="BOR128" s="814"/>
      <c r="BOS128" s="814"/>
      <c r="BOT128" s="814"/>
      <c r="BOU128" s="814"/>
      <c r="BOV128" s="814"/>
      <c r="BOW128" s="813"/>
      <c r="BOX128" s="813"/>
      <c r="BOY128" s="813"/>
      <c r="BOZ128" s="813"/>
      <c r="BPA128" s="813"/>
      <c r="BPB128" s="814"/>
      <c r="BPC128" s="814"/>
      <c r="BPD128" s="814"/>
      <c r="BPE128" s="814"/>
      <c r="BPF128" s="814"/>
      <c r="BPG128" s="814"/>
      <c r="BPH128" s="814"/>
      <c r="BPI128" s="814"/>
      <c r="BPJ128" s="814"/>
      <c r="BPK128" s="813"/>
      <c r="BPL128" s="813"/>
      <c r="BPM128" s="813"/>
      <c r="BPN128" s="813"/>
      <c r="BPO128" s="813"/>
      <c r="BPP128" s="814"/>
      <c r="BPQ128" s="814"/>
      <c r="BPR128" s="814"/>
      <c r="BPS128" s="814"/>
      <c r="BPT128" s="814"/>
      <c r="BPU128" s="814"/>
      <c r="BPV128" s="814"/>
      <c r="BPW128" s="814"/>
      <c r="BPX128" s="814"/>
      <c r="BPY128" s="813"/>
      <c r="BPZ128" s="813"/>
      <c r="BQA128" s="813"/>
      <c r="BQB128" s="813"/>
      <c r="BQC128" s="813"/>
      <c r="BQD128" s="814"/>
      <c r="BQE128" s="814"/>
      <c r="BQF128" s="814"/>
      <c r="BQG128" s="814"/>
      <c r="BQH128" s="814"/>
      <c r="BQI128" s="814"/>
      <c r="BQJ128" s="814"/>
      <c r="BQK128" s="814"/>
      <c r="BQL128" s="814"/>
      <c r="BQM128" s="813"/>
      <c r="BQN128" s="813"/>
      <c r="BQO128" s="813"/>
      <c r="BQP128" s="813"/>
      <c r="BQQ128" s="813"/>
      <c r="BQR128" s="814"/>
      <c r="BQS128" s="814"/>
      <c r="BQT128" s="814"/>
      <c r="BQU128" s="814"/>
      <c r="BQV128" s="814"/>
      <c r="BQW128" s="814"/>
      <c r="BQX128" s="814"/>
      <c r="BQY128" s="814"/>
      <c r="BQZ128" s="814"/>
      <c r="BRA128" s="813"/>
      <c r="BRB128" s="813"/>
      <c r="BRC128" s="813"/>
      <c r="BRD128" s="813"/>
      <c r="BRE128" s="813"/>
      <c r="BRF128" s="814"/>
      <c r="BRG128" s="814"/>
      <c r="BRH128" s="814"/>
      <c r="BRI128" s="814"/>
      <c r="BRJ128" s="814"/>
      <c r="BRK128" s="814"/>
      <c r="BRL128" s="814"/>
      <c r="BRM128" s="814"/>
      <c r="BRN128" s="814"/>
      <c r="BRO128" s="813"/>
      <c r="BRP128" s="813"/>
      <c r="BRQ128" s="813"/>
      <c r="BRR128" s="813"/>
      <c r="BRS128" s="813"/>
      <c r="BRT128" s="814"/>
      <c r="BRU128" s="814"/>
      <c r="BRV128" s="814"/>
      <c r="BRW128" s="814"/>
      <c r="BRX128" s="814"/>
      <c r="BRY128" s="814"/>
      <c r="BRZ128" s="814"/>
      <c r="BSA128" s="814"/>
      <c r="BSB128" s="814"/>
      <c r="BSC128" s="813"/>
      <c r="BSD128" s="813"/>
      <c r="BSE128" s="813"/>
      <c r="BSF128" s="813"/>
      <c r="BSG128" s="813"/>
      <c r="BSH128" s="814"/>
      <c r="BSI128" s="814"/>
      <c r="BSJ128" s="814"/>
      <c r="BSK128" s="814"/>
      <c r="BSL128" s="814"/>
      <c r="BSM128" s="814"/>
      <c r="BSN128" s="814"/>
      <c r="BSO128" s="814"/>
      <c r="BSP128" s="814"/>
      <c r="BSQ128" s="813"/>
      <c r="BSR128" s="813"/>
      <c r="BSS128" s="813"/>
      <c r="BST128" s="813"/>
      <c r="BSU128" s="813"/>
      <c r="BSV128" s="814"/>
      <c r="BSW128" s="814"/>
      <c r="BSX128" s="814"/>
      <c r="BSY128" s="814"/>
      <c r="BSZ128" s="814"/>
      <c r="BTA128" s="814"/>
      <c r="BTB128" s="814"/>
      <c r="BTC128" s="814"/>
      <c r="BTD128" s="814"/>
      <c r="BTE128" s="813"/>
      <c r="BTF128" s="813"/>
      <c r="BTG128" s="813"/>
      <c r="BTH128" s="813"/>
      <c r="BTI128" s="813"/>
      <c r="BTJ128" s="814"/>
      <c r="BTK128" s="814"/>
      <c r="BTL128" s="814"/>
      <c r="BTM128" s="814"/>
      <c r="BTN128" s="814"/>
      <c r="BTO128" s="814"/>
      <c r="BTP128" s="814"/>
      <c r="BTQ128" s="814"/>
      <c r="BTR128" s="814"/>
      <c r="BTS128" s="813"/>
      <c r="BTT128" s="813"/>
      <c r="BTU128" s="813"/>
      <c r="BTV128" s="813"/>
      <c r="BTW128" s="813"/>
      <c r="BTX128" s="814"/>
      <c r="BTY128" s="814"/>
      <c r="BTZ128" s="814"/>
      <c r="BUA128" s="814"/>
      <c r="BUB128" s="814"/>
      <c r="BUC128" s="814"/>
      <c r="BUD128" s="814"/>
      <c r="BUE128" s="814"/>
      <c r="BUF128" s="814"/>
      <c r="BUG128" s="813"/>
      <c r="BUH128" s="813"/>
      <c r="BUI128" s="813"/>
      <c r="BUJ128" s="813"/>
      <c r="BUK128" s="813"/>
      <c r="BUL128" s="814"/>
      <c r="BUM128" s="814"/>
      <c r="BUN128" s="814"/>
      <c r="BUO128" s="814"/>
      <c r="BUP128" s="814"/>
      <c r="BUQ128" s="814"/>
      <c r="BUR128" s="814"/>
      <c r="BUS128" s="814"/>
      <c r="BUT128" s="814"/>
      <c r="BUU128" s="813"/>
      <c r="BUV128" s="813"/>
      <c r="BUW128" s="813"/>
      <c r="BUX128" s="813"/>
      <c r="BUY128" s="813"/>
      <c r="BUZ128" s="814"/>
      <c r="BVA128" s="814"/>
      <c r="BVB128" s="814"/>
      <c r="BVC128" s="814"/>
      <c r="BVD128" s="814"/>
      <c r="BVE128" s="814"/>
      <c r="BVF128" s="814"/>
      <c r="BVG128" s="814"/>
      <c r="BVH128" s="814"/>
      <c r="BVI128" s="813"/>
      <c r="BVJ128" s="813"/>
      <c r="BVK128" s="813"/>
      <c r="BVL128" s="813"/>
      <c r="BVM128" s="813"/>
      <c r="BVN128" s="814"/>
      <c r="BVO128" s="814"/>
      <c r="BVP128" s="814"/>
      <c r="BVQ128" s="814"/>
      <c r="BVR128" s="814"/>
      <c r="BVS128" s="814"/>
      <c r="BVT128" s="814"/>
      <c r="BVU128" s="814"/>
      <c r="BVV128" s="814"/>
      <c r="BVW128" s="813"/>
      <c r="BVX128" s="813"/>
      <c r="BVY128" s="813"/>
      <c r="BVZ128" s="813"/>
      <c r="BWA128" s="813"/>
      <c r="BWB128" s="814"/>
      <c r="BWC128" s="814"/>
      <c r="BWD128" s="814"/>
      <c r="BWE128" s="814"/>
      <c r="BWF128" s="814"/>
      <c r="BWG128" s="814"/>
      <c r="BWH128" s="814"/>
      <c r="BWI128" s="814"/>
      <c r="BWJ128" s="814"/>
      <c r="BWK128" s="813"/>
      <c r="BWL128" s="813"/>
      <c r="BWM128" s="813"/>
      <c r="BWN128" s="813"/>
      <c r="BWO128" s="813"/>
      <c r="BWP128" s="814"/>
      <c r="BWQ128" s="814"/>
      <c r="BWR128" s="814"/>
      <c r="BWS128" s="814"/>
      <c r="BWT128" s="814"/>
      <c r="BWU128" s="814"/>
      <c r="BWV128" s="814"/>
      <c r="BWW128" s="814"/>
      <c r="BWX128" s="814"/>
      <c r="BWY128" s="813"/>
      <c r="BWZ128" s="813"/>
      <c r="BXA128" s="813"/>
      <c r="BXB128" s="813"/>
      <c r="BXC128" s="813"/>
      <c r="BXD128" s="814"/>
      <c r="BXE128" s="814"/>
      <c r="BXF128" s="814"/>
      <c r="BXG128" s="814"/>
      <c r="BXH128" s="814"/>
      <c r="BXI128" s="814"/>
      <c r="BXJ128" s="814"/>
      <c r="BXK128" s="814"/>
      <c r="BXL128" s="814"/>
      <c r="BXM128" s="813"/>
      <c r="BXN128" s="813"/>
      <c r="BXO128" s="813"/>
      <c r="BXP128" s="813"/>
      <c r="BXQ128" s="813"/>
      <c r="BXR128" s="814"/>
      <c r="BXS128" s="814"/>
      <c r="BXT128" s="814"/>
      <c r="BXU128" s="814"/>
      <c r="BXV128" s="814"/>
      <c r="BXW128" s="814"/>
      <c r="BXX128" s="814"/>
      <c r="BXY128" s="814"/>
      <c r="BXZ128" s="814"/>
      <c r="BYA128" s="813"/>
      <c r="BYB128" s="813"/>
      <c r="BYC128" s="813"/>
      <c r="BYD128" s="813"/>
      <c r="BYE128" s="813"/>
      <c r="BYF128" s="814"/>
      <c r="BYG128" s="814"/>
      <c r="BYH128" s="814"/>
      <c r="BYI128" s="814"/>
      <c r="BYJ128" s="814"/>
      <c r="BYK128" s="814"/>
      <c r="BYL128" s="814"/>
      <c r="BYM128" s="814"/>
      <c r="BYN128" s="814"/>
      <c r="BYO128" s="813"/>
      <c r="BYP128" s="813"/>
      <c r="BYQ128" s="813"/>
      <c r="BYR128" s="813"/>
      <c r="BYS128" s="813"/>
      <c r="BYT128" s="814"/>
      <c r="BYU128" s="814"/>
      <c r="BYV128" s="814"/>
      <c r="BYW128" s="814"/>
      <c r="BYX128" s="814"/>
      <c r="BYY128" s="814"/>
      <c r="BYZ128" s="814"/>
      <c r="BZA128" s="814"/>
      <c r="BZB128" s="814"/>
      <c r="BZC128" s="813"/>
      <c r="BZD128" s="813"/>
      <c r="BZE128" s="813"/>
      <c r="BZF128" s="813"/>
      <c r="BZG128" s="813"/>
      <c r="BZH128" s="814"/>
      <c r="BZI128" s="814"/>
      <c r="BZJ128" s="814"/>
      <c r="BZK128" s="814"/>
      <c r="BZL128" s="814"/>
      <c r="BZM128" s="814"/>
      <c r="BZN128" s="814"/>
      <c r="BZO128" s="814"/>
      <c r="BZP128" s="814"/>
      <c r="BZQ128" s="813"/>
      <c r="BZR128" s="813"/>
      <c r="BZS128" s="813"/>
      <c r="BZT128" s="813"/>
      <c r="BZU128" s="813"/>
      <c r="BZV128" s="814"/>
      <c r="BZW128" s="814"/>
      <c r="BZX128" s="814"/>
      <c r="BZY128" s="814"/>
      <c r="BZZ128" s="814"/>
      <c r="CAA128" s="814"/>
      <c r="CAB128" s="814"/>
      <c r="CAC128" s="814"/>
      <c r="CAD128" s="814"/>
      <c r="CAE128" s="813"/>
      <c r="CAF128" s="813"/>
      <c r="CAG128" s="813"/>
      <c r="CAH128" s="813"/>
      <c r="CAI128" s="813"/>
      <c r="CAJ128" s="814"/>
      <c r="CAK128" s="814"/>
      <c r="CAL128" s="814"/>
      <c r="CAM128" s="814"/>
      <c r="CAN128" s="814"/>
      <c r="CAO128" s="814"/>
      <c r="CAP128" s="814"/>
      <c r="CAQ128" s="814"/>
      <c r="CAR128" s="814"/>
      <c r="CAS128" s="813"/>
      <c r="CAT128" s="813"/>
      <c r="CAU128" s="813"/>
      <c r="CAV128" s="813"/>
      <c r="CAW128" s="813"/>
      <c r="CAX128" s="814"/>
      <c r="CAY128" s="814"/>
      <c r="CAZ128" s="814"/>
      <c r="CBA128" s="814"/>
      <c r="CBB128" s="814"/>
      <c r="CBC128" s="814"/>
      <c r="CBD128" s="814"/>
      <c r="CBE128" s="814"/>
      <c r="CBF128" s="814"/>
      <c r="CBG128" s="813"/>
      <c r="CBH128" s="813"/>
      <c r="CBI128" s="813"/>
      <c r="CBJ128" s="813"/>
      <c r="CBK128" s="813"/>
      <c r="CBL128" s="814"/>
      <c r="CBM128" s="814"/>
      <c r="CBN128" s="814"/>
      <c r="CBO128" s="814"/>
      <c r="CBP128" s="814"/>
      <c r="CBQ128" s="814"/>
      <c r="CBR128" s="814"/>
      <c r="CBS128" s="814"/>
      <c r="CBT128" s="814"/>
      <c r="CBU128" s="813"/>
      <c r="CBV128" s="813"/>
      <c r="CBW128" s="813"/>
      <c r="CBX128" s="813"/>
      <c r="CBY128" s="813"/>
      <c r="CBZ128" s="814"/>
      <c r="CCA128" s="814"/>
      <c r="CCB128" s="814"/>
      <c r="CCC128" s="814"/>
      <c r="CCD128" s="814"/>
      <c r="CCE128" s="814"/>
      <c r="CCF128" s="814"/>
      <c r="CCG128" s="814"/>
      <c r="CCH128" s="814"/>
      <c r="CCI128" s="813"/>
      <c r="CCJ128" s="813"/>
      <c r="CCK128" s="813"/>
      <c r="CCL128" s="813"/>
      <c r="CCM128" s="813"/>
      <c r="CCN128" s="814"/>
      <c r="CCO128" s="814"/>
      <c r="CCP128" s="814"/>
      <c r="CCQ128" s="814"/>
      <c r="CCR128" s="814"/>
      <c r="CCS128" s="814"/>
      <c r="CCT128" s="814"/>
      <c r="CCU128" s="814"/>
      <c r="CCV128" s="814"/>
      <c r="CCW128" s="813"/>
      <c r="CCX128" s="813"/>
      <c r="CCY128" s="813"/>
      <c r="CCZ128" s="813"/>
      <c r="CDA128" s="813"/>
      <c r="CDB128" s="814"/>
      <c r="CDC128" s="814"/>
      <c r="CDD128" s="814"/>
      <c r="CDE128" s="814"/>
      <c r="CDF128" s="814"/>
      <c r="CDG128" s="814"/>
      <c r="CDH128" s="814"/>
      <c r="CDI128" s="814"/>
      <c r="CDJ128" s="814"/>
      <c r="CDK128" s="813"/>
      <c r="CDL128" s="813"/>
      <c r="CDM128" s="813"/>
      <c r="CDN128" s="813"/>
      <c r="CDO128" s="813"/>
      <c r="CDP128" s="814"/>
      <c r="CDQ128" s="814"/>
      <c r="CDR128" s="814"/>
      <c r="CDS128" s="814"/>
      <c r="CDT128" s="814"/>
      <c r="CDU128" s="814"/>
      <c r="CDV128" s="814"/>
      <c r="CDW128" s="814"/>
      <c r="CDX128" s="814"/>
      <c r="CDY128" s="813"/>
      <c r="CDZ128" s="813"/>
      <c r="CEA128" s="813"/>
      <c r="CEB128" s="813"/>
      <c r="CEC128" s="813"/>
      <c r="CED128" s="814"/>
      <c r="CEE128" s="814"/>
      <c r="CEF128" s="814"/>
      <c r="CEG128" s="814"/>
      <c r="CEH128" s="814"/>
      <c r="CEI128" s="814"/>
      <c r="CEJ128" s="814"/>
      <c r="CEK128" s="814"/>
      <c r="CEL128" s="814"/>
      <c r="CEM128" s="813"/>
      <c r="CEN128" s="813"/>
      <c r="CEO128" s="813"/>
      <c r="CEP128" s="813"/>
      <c r="CEQ128" s="813"/>
      <c r="CER128" s="814"/>
      <c r="CES128" s="814"/>
      <c r="CET128" s="814"/>
      <c r="CEU128" s="814"/>
      <c r="CEV128" s="814"/>
      <c r="CEW128" s="814"/>
      <c r="CEX128" s="814"/>
      <c r="CEY128" s="814"/>
      <c r="CEZ128" s="814"/>
      <c r="CFA128" s="813"/>
      <c r="CFB128" s="813"/>
      <c r="CFC128" s="813"/>
      <c r="CFD128" s="813"/>
      <c r="CFE128" s="813"/>
      <c r="CFF128" s="814"/>
      <c r="CFG128" s="814"/>
      <c r="CFH128" s="814"/>
      <c r="CFI128" s="814"/>
      <c r="CFJ128" s="814"/>
      <c r="CFK128" s="814"/>
      <c r="CFL128" s="814"/>
      <c r="CFM128" s="814"/>
      <c r="CFN128" s="814"/>
      <c r="CFO128" s="813"/>
      <c r="CFP128" s="813"/>
      <c r="CFQ128" s="813"/>
      <c r="CFR128" s="813"/>
      <c r="CFS128" s="813"/>
      <c r="CFT128" s="814"/>
      <c r="CFU128" s="814"/>
      <c r="CFV128" s="814"/>
      <c r="CFW128" s="814"/>
      <c r="CFX128" s="814"/>
      <c r="CFY128" s="814"/>
      <c r="CFZ128" s="814"/>
      <c r="CGA128" s="814"/>
      <c r="CGB128" s="814"/>
      <c r="CGC128" s="813"/>
      <c r="CGD128" s="813"/>
      <c r="CGE128" s="813"/>
      <c r="CGF128" s="813"/>
      <c r="CGG128" s="813"/>
      <c r="CGH128" s="814"/>
      <c r="CGI128" s="814"/>
      <c r="CGJ128" s="814"/>
      <c r="CGK128" s="814"/>
      <c r="CGL128" s="814"/>
      <c r="CGM128" s="814"/>
      <c r="CGN128" s="814"/>
      <c r="CGO128" s="814"/>
      <c r="CGP128" s="814"/>
      <c r="CGQ128" s="813"/>
      <c r="CGR128" s="813"/>
      <c r="CGS128" s="813"/>
      <c r="CGT128" s="813"/>
      <c r="CGU128" s="813"/>
      <c r="CGV128" s="814"/>
      <c r="CGW128" s="814"/>
      <c r="CGX128" s="814"/>
      <c r="CGY128" s="814"/>
      <c r="CGZ128" s="814"/>
      <c r="CHA128" s="814"/>
      <c r="CHB128" s="814"/>
      <c r="CHC128" s="814"/>
      <c r="CHD128" s="814"/>
      <c r="CHE128" s="813"/>
      <c r="CHF128" s="813"/>
      <c r="CHG128" s="813"/>
      <c r="CHH128" s="813"/>
      <c r="CHI128" s="813"/>
      <c r="CHJ128" s="814"/>
      <c r="CHK128" s="814"/>
      <c r="CHL128" s="814"/>
      <c r="CHM128" s="814"/>
      <c r="CHN128" s="814"/>
      <c r="CHO128" s="814"/>
      <c r="CHP128" s="814"/>
      <c r="CHQ128" s="814"/>
      <c r="CHR128" s="814"/>
      <c r="CHS128" s="813"/>
      <c r="CHT128" s="813"/>
      <c r="CHU128" s="813"/>
      <c r="CHV128" s="813"/>
      <c r="CHW128" s="813"/>
      <c r="CHX128" s="814"/>
      <c r="CHY128" s="814"/>
      <c r="CHZ128" s="814"/>
      <c r="CIA128" s="814"/>
      <c r="CIB128" s="814"/>
      <c r="CIC128" s="814"/>
      <c r="CID128" s="814"/>
      <c r="CIE128" s="814"/>
      <c r="CIF128" s="814"/>
      <c r="CIG128" s="813"/>
      <c r="CIH128" s="813"/>
      <c r="CII128" s="813"/>
      <c r="CIJ128" s="813"/>
      <c r="CIK128" s="813"/>
      <c r="CIL128" s="814"/>
      <c r="CIM128" s="814"/>
      <c r="CIN128" s="814"/>
      <c r="CIO128" s="814"/>
      <c r="CIP128" s="814"/>
      <c r="CIQ128" s="814"/>
      <c r="CIR128" s="814"/>
      <c r="CIS128" s="814"/>
      <c r="CIT128" s="814"/>
      <c r="CIU128" s="813"/>
      <c r="CIV128" s="813"/>
      <c r="CIW128" s="813"/>
      <c r="CIX128" s="813"/>
      <c r="CIY128" s="813"/>
      <c r="CIZ128" s="814"/>
      <c r="CJA128" s="814"/>
      <c r="CJB128" s="814"/>
      <c r="CJC128" s="814"/>
      <c r="CJD128" s="814"/>
      <c r="CJE128" s="814"/>
      <c r="CJF128" s="814"/>
      <c r="CJG128" s="814"/>
      <c r="CJH128" s="814"/>
      <c r="CJI128" s="813"/>
      <c r="CJJ128" s="813"/>
      <c r="CJK128" s="813"/>
      <c r="CJL128" s="813"/>
      <c r="CJM128" s="813"/>
      <c r="CJN128" s="814"/>
      <c r="CJO128" s="814"/>
      <c r="CJP128" s="814"/>
      <c r="CJQ128" s="814"/>
      <c r="CJR128" s="814"/>
      <c r="CJS128" s="814"/>
      <c r="CJT128" s="814"/>
      <c r="CJU128" s="814"/>
      <c r="CJV128" s="814"/>
      <c r="CJW128" s="813"/>
      <c r="CJX128" s="813"/>
      <c r="CJY128" s="813"/>
      <c r="CJZ128" s="813"/>
      <c r="CKA128" s="813"/>
      <c r="CKB128" s="814"/>
      <c r="CKC128" s="814"/>
      <c r="CKD128" s="814"/>
      <c r="CKE128" s="814"/>
      <c r="CKF128" s="814"/>
      <c r="CKG128" s="814"/>
      <c r="CKH128" s="814"/>
      <c r="CKI128" s="814"/>
      <c r="CKJ128" s="814"/>
      <c r="CKK128" s="813"/>
      <c r="CKL128" s="813"/>
      <c r="CKM128" s="813"/>
      <c r="CKN128" s="813"/>
      <c r="CKO128" s="813"/>
      <c r="CKP128" s="814"/>
      <c r="CKQ128" s="814"/>
      <c r="CKR128" s="814"/>
      <c r="CKS128" s="814"/>
      <c r="CKT128" s="814"/>
      <c r="CKU128" s="814"/>
      <c r="CKV128" s="814"/>
      <c r="CKW128" s="814"/>
      <c r="CKX128" s="814"/>
      <c r="CKY128" s="813"/>
      <c r="CKZ128" s="813"/>
      <c r="CLA128" s="813"/>
      <c r="CLB128" s="813"/>
      <c r="CLC128" s="813"/>
      <c r="CLD128" s="814"/>
      <c r="CLE128" s="814"/>
      <c r="CLF128" s="814"/>
      <c r="CLG128" s="814"/>
      <c r="CLH128" s="814"/>
      <c r="CLI128" s="814"/>
      <c r="CLJ128" s="814"/>
      <c r="CLK128" s="814"/>
      <c r="CLL128" s="814"/>
      <c r="CLM128" s="813"/>
      <c r="CLN128" s="813"/>
      <c r="CLO128" s="813"/>
      <c r="CLP128" s="813"/>
      <c r="CLQ128" s="813"/>
      <c r="CLR128" s="814"/>
      <c r="CLS128" s="814"/>
      <c r="CLT128" s="814"/>
      <c r="CLU128" s="814"/>
      <c r="CLV128" s="814"/>
      <c r="CLW128" s="814"/>
      <c r="CLX128" s="814"/>
      <c r="CLY128" s="814"/>
      <c r="CLZ128" s="814"/>
      <c r="CMA128" s="813"/>
      <c r="CMB128" s="813"/>
      <c r="CMC128" s="813"/>
      <c r="CMD128" s="813"/>
      <c r="CME128" s="813"/>
      <c r="CMF128" s="814"/>
      <c r="CMG128" s="814"/>
      <c r="CMH128" s="814"/>
      <c r="CMI128" s="814"/>
      <c r="CMJ128" s="814"/>
      <c r="CMK128" s="814"/>
      <c r="CML128" s="814"/>
      <c r="CMM128" s="814"/>
      <c r="CMN128" s="814"/>
      <c r="CMO128" s="813"/>
      <c r="CMP128" s="813"/>
      <c r="CMQ128" s="813"/>
      <c r="CMR128" s="813"/>
      <c r="CMS128" s="813"/>
      <c r="CMT128" s="814"/>
      <c r="CMU128" s="814"/>
      <c r="CMV128" s="814"/>
      <c r="CMW128" s="814"/>
      <c r="CMX128" s="814"/>
      <c r="CMY128" s="814"/>
      <c r="CMZ128" s="814"/>
      <c r="CNA128" s="814"/>
      <c r="CNB128" s="814"/>
      <c r="CNC128" s="813"/>
      <c r="CND128" s="813"/>
      <c r="CNE128" s="813"/>
      <c r="CNF128" s="813"/>
      <c r="CNG128" s="813"/>
      <c r="CNH128" s="814"/>
      <c r="CNI128" s="814"/>
      <c r="CNJ128" s="814"/>
      <c r="CNK128" s="814"/>
      <c r="CNL128" s="814"/>
      <c r="CNM128" s="814"/>
      <c r="CNN128" s="814"/>
      <c r="CNO128" s="814"/>
      <c r="CNP128" s="814"/>
      <c r="CNQ128" s="813"/>
      <c r="CNR128" s="813"/>
      <c r="CNS128" s="813"/>
      <c r="CNT128" s="813"/>
      <c r="CNU128" s="813"/>
      <c r="CNV128" s="814"/>
      <c r="CNW128" s="814"/>
      <c r="CNX128" s="814"/>
      <c r="CNY128" s="814"/>
      <c r="CNZ128" s="814"/>
      <c r="COA128" s="814"/>
      <c r="COB128" s="814"/>
      <c r="COC128" s="814"/>
      <c r="COD128" s="814"/>
      <c r="COE128" s="813"/>
      <c r="COF128" s="813"/>
      <c r="COG128" s="813"/>
      <c r="COH128" s="813"/>
      <c r="COI128" s="813"/>
      <c r="COJ128" s="814"/>
      <c r="COK128" s="814"/>
      <c r="COL128" s="814"/>
      <c r="COM128" s="814"/>
      <c r="CON128" s="814"/>
      <c r="COO128" s="814"/>
      <c r="COP128" s="814"/>
      <c r="COQ128" s="814"/>
      <c r="COR128" s="814"/>
      <c r="COS128" s="813"/>
      <c r="COT128" s="813"/>
      <c r="COU128" s="813"/>
      <c r="COV128" s="813"/>
      <c r="COW128" s="813"/>
      <c r="COX128" s="814"/>
      <c r="COY128" s="814"/>
      <c r="COZ128" s="814"/>
      <c r="CPA128" s="814"/>
      <c r="CPB128" s="814"/>
      <c r="CPC128" s="814"/>
      <c r="CPD128" s="814"/>
      <c r="CPE128" s="814"/>
      <c r="CPF128" s="814"/>
      <c r="CPG128" s="813"/>
      <c r="CPH128" s="813"/>
      <c r="CPI128" s="813"/>
      <c r="CPJ128" s="813"/>
      <c r="CPK128" s="813"/>
      <c r="CPL128" s="814"/>
      <c r="CPM128" s="814"/>
      <c r="CPN128" s="814"/>
      <c r="CPO128" s="814"/>
      <c r="CPP128" s="814"/>
      <c r="CPQ128" s="814"/>
      <c r="CPR128" s="814"/>
      <c r="CPS128" s="814"/>
      <c r="CPT128" s="814"/>
      <c r="CPU128" s="813"/>
      <c r="CPV128" s="813"/>
      <c r="CPW128" s="813"/>
      <c r="CPX128" s="813"/>
      <c r="CPY128" s="813"/>
      <c r="CPZ128" s="814"/>
      <c r="CQA128" s="814"/>
      <c r="CQB128" s="814"/>
      <c r="CQC128" s="814"/>
      <c r="CQD128" s="814"/>
      <c r="CQE128" s="814"/>
      <c r="CQF128" s="814"/>
      <c r="CQG128" s="814"/>
      <c r="CQH128" s="814"/>
      <c r="CQI128" s="813"/>
      <c r="CQJ128" s="813"/>
      <c r="CQK128" s="813"/>
      <c r="CQL128" s="813"/>
      <c r="CQM128" s="813"/>
      <c r="CQN128" s="814"/>
      <c r="CQO128" s="814"/>
      <c r="CQP128" s="814"/>
      <c r="CQQ128" s="814"/>
      <c r="CQR128" s="814"/>
      <c r="CQS128" s="814"/>
      <c r="CQT128" s="814"/>
      <c r="CQU128" s="814"/>
      <c r="CQV128" s="814"/>
      <c r="CQW128" s="813"/>
      <c r="CQX128" s="813"/>
      <c r="CQY128" s="813"/>
      <c r="CQZ128" s="813"/>
      <c r="CRA128" s="813"/>
      <c r="CRB128" s="814"/>
      <c r="CRC128" s="814"/>
      <c r="CRD128" s="814"/>
      <c r="CRE128" s="814"/>
      <c r="CRF128" s="814"/>
      <c r="CRG128" s="814"/>
      <c r="CRH128" s="814"/>
      <c r="CRI128" s="814"/>
      <c r="CRJ128" s="814"/>
      <c r="CRK128" s="813"/>
      <c r="CRL128" s="813"/>
      <c r="CRM128" s="813"/>
      <c r="CRN128" s="813"/>
      <c r="CRO128" s="813"/>
      <c r="CRP128" s="814"/>
      <c r="CRQ128" s="814"/>
      <c r="CRR128" s="814"/>
      <c r="CRS128" s="814"/>
      <c r="CRT128" s="814"/>
      <c r="CRU128" s="814"/>
      <c r="CRV128" s="814"/>
      <c r="CRW128" s="814"/>
      <c r="CRX128" s="814"/>
      <c r="CRY128" s="813"/>
      <c r="CRZ128" s="813"/>
      <c r="CSA128" s="813"/>
      <c r="CSB128" s="813"/>
      <c r="CSC128" s="813"/>
      <c r="CSD128" s="814"/>
      <c r="CSE128" s="814"/>
      <c r="CSF128" s="814"/>
      <c r="CSG128" s="814"/>
      <c r="CSH128" s="814"/>
      <c r="CSI128" s="814"/>
      <c r="CSJ128" s="814"/>
      <c r="CSK128" s="814"/>
      <c r="CSL128" s="814"/>
      <c r="CSM128" s="813"/>
      <c r="CSN128" s="813"/>
      <c r="CSO128" s="813"/>
      <c r="CSP128" s="813"/>
      <c r="CSQ128" s="813"/>
      <c r="CSR128" s="814"/>
      <c r="CSS128" s="814"/>
      <c r="CST128" s="814"/>
      <c r="CSU128" s="814"/>
      <c r="CSV128" s="814"/>
      <c r="CSW128" s="814"/>
      <c r="CSX128" s="814"/>
      <c r="CSY128" s="814"/>
      <c r="CSZ128" s="814"/>
      <c r="CTA128" s="813"/>
      <c r="CTB128" s="813"/>
      <c r="CTC128" s="813"/>
      <c r="CTD128" s="813"/>
      <c r="CTE128" s="813"/>
      <c r="CTF128" s="814"/>
      <c r="CTG128" s="814"/>
      <c r="CTH128" s="814"/>
      <c r="CTI128" s="814"/>
      <c r="CTJ128" s="814"/>
      <c r="CTK128" s="814"/>
      <c r="CTL128" s="814"/>
      <c r="CTM128" s="814"/>
      <c r="CTN128" s="814"/>
      <c r="CTO128" s="813"/>
      <c r="CTP128" s="813"/>
      <c r="CTQ128" s="813"/>
      <c r="CTR128" s="813"/>
      <c r="CTS128" s="813"/>
      <c r="CTT128" s="814"/>
      <c r="CTU128" s="814"/>
      <c r="CTV128" s="814"/>
      <c r="CTW128" s="814"/>
      <c r="CTX128" s="814"/>
      <c r="CTY128" s="814"/>
      <c r="CTZ128" s="814"/>
      <c r="CUA128" s="814"/>
      <c r="CUB128" s="814"/>
      <c r="CUC128" s="813"/>
      <c r="CUD128" s="813"/>
      <c r="CUE128" s="813"/>
      <c r="CUF128" s="813"/>
      <c r="CUG128" s="813"/>
      <c r="CUH128" s="814"/>
      <c r="CUI128" s="814"/>
      <c r="CUJ128" s="814"/>
      <c r="CUK128" s="814"/>
      <c r="CUL128" s="814"/>
      <c r="CUM128" s="814"/>
      <c r="CUN128" s="814"/>
      <c r="CUO128" s="814"/>
      <c r="CUP128" s="814"/>
      <c r="CUQ128" s="813"/>
      <c r="CUR128" s="813"/>
      <c r="CUS128" s="813"/>
      <c r="CUT128" s="813"/>
      <c r="CUU128" s="813"/>
      <c r="CUV128" s="814"/>
      <c r="CUW128" s="814"/>
      <c r="CUX128" s="814"/>
      <c r="CUY128" s="814"/>
      <c r="CUZ128" s="814"/>
      <c r="CVA128" s="814"/>
      <c r="CVB128" s="814"/>
      <c r="CVC128" s="814"/>
      <c r="CVD128" s="814"/>
      <c r="CVE128" s="813"/>
      <c r="CVF128" s="813"/>
      <c r="CVG128" s="813"/>
      <c r="CVH128" s="813"/>
      <c r="CVI128" s="813"/>
      <c r="CVJ128" s="814"/>
      <c r="CVK128" s="814"/>
      <c r="CVL128" s="814"/>
      <c r="CVM128" s="814"/>
      <c r="CVN128" s="814"/>
      <c r="CVO128" s="814"/>
      <c r="CVP128" s="814"/>
      <c r="CVQ128" s="814"/>
      <c r="CVR128" s="814"/>
      <c r="CVS128" s="813"/>
      <c r="CVT128" s="813"/>
      <c r="CVU128" s="813"/>
      <c r="CVV128" s="813"/>
      <c r="CVW128" s="813"/>
      <c r="CVX128" s="814"/>
      <c r="CVY128" s="814"/>
      <c r="CVZ128" s="814"/>
      <c r="CWA128" s="814"/>
      <c r="CWB128" s="814"/>
      <c r="CWC128" s="814"/>
      <c r="CWD128" s="814"/>
      <c r="CWE128" s="814"/>
      <c r="CWF128" s="814"/>
      <c r="CWG128" s="813"/>
      <c r="CWH128" s="813"/>
      <c r="CWI128" s="813"/>
      <c r="CWJ128" s="813"/>
      <c r="CWK128" s="813"/>
      <c r="CWL128" s="814"/>
      <c r="CWM128" s="814"/>
      <c r="CWN128" s="814"/>
      <c r="CWO128" s="814"/>
      <c r="CWP128" s="814"/>
      <c r="CWQ128" s="814"/>
      <c r="CWR128" s="814"/>
      <c r="CWS128" s="814"/>
      <c r="CWT128" s="814"/>
      <c r="CWU128" s="813"/>
      <c r="CWV128" s="813"/>
      <c r="CWW128" s="813"/>
      <c r="CWX128" s="813"/>
      <c r="CWY128" s="813"/>
      <c r="CWZ128" s="814"/>
      <c r="CXA128" s="814"/>
      <c r="CXB128" s="814"/>
      <c r="CXC128" s="814"/>
      <c r="CXD128" s="814"/>
      <c r="CXE128" s="814"/>
      <c r="CXF128" s="814"/>
      <c r="CXG128" s="814"/>
      <c r="CXH128" s="814"/>
      <c r="CXI128" s="813"/>
      <c r="CXJ128" s="813"/>
      <c r="CXK128" s="813"/>
      <c r="CXL128" s="813"/>
      <c r="CXM128" s="813"/>
      <c r="CXN128" s="814"/>
      <c r="CXO128" s="814"/>
      <c r="CXP128" s="814"/>
      <c r="CXQ128" s="814"/>
      <c r="CXR128" s="814"/>
      <c r="CXS128" s="814"/>
      <c r="CXT128" s="814"/>
      <c r="CXU128" s="814"/>
      <c r="CXV128" s="814"/>
      <c r="CXW128" s="813"/>
      <c r="CXX128" s="813"/>
      <c r="CXY128" s="813"/>
      <c r="CXZ128" s="813"/>
      <c r="CYA128" s="813"/>
      <c r="CYB128" s="814"/>
      <c r="CYC128" s="814"/>
      <c r="CYD128" s="814"/>
      <c r="CYE128" s="814"/>
      <c r="CYF128" s="814"/>
      <c r="CYG128" s="814"/>
      <c r="CYH128" s="814"/>
      <c r="CYI128" s="814"/>
      <c r="CYJ128" s="814"/>
      <c r="CYK128" s="813"/>
      <c r="CYL128" s="813"/>
      <c r="CYM128" s="813"/>
      <c r="CYN128" s="813"/>
      <c r="CYO128" s="813"/>
      <c r="CYP128" s="814"/>
      <c r="CYQ128" s="814"/>
      <c r="CYR128" s="814"/>
      <c r="CYS128" s="814"/>
      <c r="CYT128" s="814"/>
      <c r="CYU128" s="814"/>
      <c r="CYV128" s="814"/>
      <c r="CYW128" s="814"/>
      <c r="CYX128" s="814"/>
      <c r="CYY128" s="813"/>
      <c r="CYZ128" s="813"/>
      <c r="CZA128" s="813"/>
      <c r="CZB128" s="813"/>
      <c r="CZC128" s="813"/>
      <c r="CZD128" s="814"/>
      <c r="CZE128" s="814"/>
      <c r="CZF128" s="814"/>
      <c r="CZG128" s="814"/>
      <c r="CZH128" s="814"/>
      <c r="CZI128" s="814"/>
      <c r="CZJ128" s="814"/>
      <c r="CZK128" s="814"/>
      <c r="CZL128" s="814"/>
      <c r="CZM128" s="813"/>
      <c r="CZN128" s="813"/>
      <c r="CZO128" s="813"/>
      <c r="CZP128" s="813"/>
      <c r="CZQ128" s="813"/>
      <c r="CZR128" s="814"/>
      <c r="CZS128" s="814"/>
      <c r="CZT128" s="814"/>
      <c r="CZU128" s="814"/>
      <c r="CZV128" s="814"/>
      <c r="CZW128" s="814"/>
      <c r="CZX128" s="814"/>
      <c r="CZY128" s="814"/>
      <c r="CZZ128" s="814"/>
      <c r="DAA128" s="813"/>
      <c r="DAB128" s="813"/>
      <c r="DAC128" s="813"/>
      <c r="DAD128" s="813"/>
      <c r="DAE128" s="813"/>
      <c r="DAF128" s="814"/>
      <c r="DAG128" s="814"/>
      <c r="DAH128" s="814"/>
      <c r="DAI128" s="814"/>
      <c r="DAJ128" s="814"/>
      <c r="DAK128" s="814"/>
      <c r="DAL128" s="814"/>
      <c r="DAM128" s="814"/>
      <c r="DAN128" s="814"/>
      <c r="DAO128" s="813"/>
      <c r="DAP128" s="813"/>
      <c r="DAQ128" s="813"/>
      <c r="DAR128" s="813"/>
      <c r="DAS128" s="813"/>
      <c r="DAT128" s="814"/>
      <c r="DAU128" s="814"/>
      <c r="DAV128" s="814"/>
      <c r="DAW128" s="814"/>
      <c r="DAX128" s="814"/>
      <c r="DAY128" s="814"/>
      <c r="DAZ128" s="814"/>
      <c r="DBA128" s="814"/>
      <c r="DBB128" s="814"/>
      <c r="DBC128" s="813"/>
      <c r="DBD128" s="813"/>
      <c r="DBE128" s="813"/>
      <c r="DBF128" s="813"/>
      <c r="DBG128" s="813"/>
      <c r="DBH128" s="814"/>
      <c r="DBI128" s="814"/>
      <c r="DBJ128" s="814"/>
      <c r="DBK128" s="814"/>
      <c r="DBL128" s="814"/>
      <c r="DBM128" s="814"/>
      <c r="DBN128" s="814"/>
      <c r="DBO128" s="814"/>
      <c r="DBP128" s="814"/>
      <c r="DBQ128" s="813"/>
      <c r="DBR128" s="813"/>
      <c r="DBS128" s="813"/>
      <c r="DBT128" s="813"/>
      <c r="DBU128" s="813"/>
      <c r="DBV128" s="814"/>
      <c r="DBW128" s="814"/>
      <c r="DBX128" s="814"/>
      <c r="DBY128" s="814"/>
      <c r="DBZ128" s="814"/>
      <c r="DCA128" s="814"/>
      <c r="DCB128" s="814"/>
      <c r="DCC128" s="814"/>
      <c r="DCD128" s="814"/>
      <c r="DCE128" s="813"/>
      <c r="DCF128" s="813"/>
      <c r="DCG128" s="813"/>
      <c r="DCH128" s="813"/>
      <c r="DCI128" s="813"/>
      <c r="DCJ128" s="814"/>
      <c r="DCK128" s="814"/>
      <c r="DCL128" s="814"/>
      <c r="DCM128" s="814"/>
      <c r="DCN128" s="814"/>
      <c r="DCO128" s="814"/>
      <c r="DCP128" s="814"/>
      <c r="DCQ128" s="814"/>
      <c r="DCR128" s="814"/>
      <c r="DCS128" s="813"/>
      <c r="DCT128" s="813"/>
      <c r="DCU128" s="813"/>
      <c r="DCV128" s="813"/>
      <c r="DCW128" s="813"/>
      <c r="DCX128" s="814"/>
      <c r="DCY128" s="814"/>
      <c r="DCZ128" s="814"/>
      <c r="DDA128" s="814"/>
      <c r="DDB128" s="814"/>
      <c r="DDC128" s="814"/>
      <c r="DDD128" s="814"/>
      <c r="DDE128" s="814"/>
      <c r="DDF128" s="814"/>
      <c r="DDG128" s="813"/>
      <c r="DDH128" s="813"/>
      <c r="DDI128" s="813"/>
      <c r="DDJ128" s="813"/>
      <c r="DDK128" s="813"/>
      <c r="DDL128" s="814"/>
      <c r="DDM128" s="814"/>
      <c r="DDN128" s="814"/>
      <c r="DDO128" s="814"/>
      <c r="DDP128" s="814"/>
      <c r="DDQ128" s="814"/>
      <c r="DDR128" s="814"/>
      <c r="DDS128" s="814"/>
      <c r="DDT128" s="814"/>
      <c r="DDU128" s="813"/>
      <c r="DDV128" s="813"/>
      <c r="DDW128" s="813"/>
      <c r="DDX128" s="813"/>
      <c r="DDY128" s="813"/>
      <c r="DDZ128" s="814"/>
      <c r="DEA128" s="814"/>
      <c r="DEB128" s="814"/>
      <c r="DEC128" s="814"/>
      <c r="DED128" s="814"/>
      <c r="DEE128" s="814"/>
      <c r="DEF128" s="814"/>
      <c r="DEG128" s="814"/>
      <c r="DEH128" s="814"/>
      <c r="DEI128" s="813"/>
      <c r="DEJ128" s="813"/>
      <c r="DEK128" s="813"/>
      <c r="DEL128" s="813"/>
      <c r="DEM128" s="813"/>
      <c r="DEN128" s="814"/>
      <c r="DEO128" s="814"/>
      <c r="DEP128" s="814"/>
      <c r="DEQ128" s="814"/>
      <c r="DER128" s="814"/>
      <c r="DES128" s="814"/>
      <c r="DET128" s="814"/>
      <c r="DEU128" s="814"/>
      <c r="DEV128" s="814"/>
      <c r="DEW128" s="813"/>
      <c r="DEX128" s="813"/>
      <c r="DEY128" s="813"/>
      <c r="DEZ128" s="813"/>
      <c r="DFA128" s="813"/>
      <c r="DFB128" s="814"/>
      <c r="DFC128" s="814"/>
      <c r="DFD128" s="814"/>
      <c r="DFE128" s="814"/>
      <c r="DFF128" s="814"/>
      <c r="DFG128" s="814"/>
      <c r="DFH128" s="814"/>
      <c r="DFI128" s="814"/>
      <c r="DFJ128" s="814"/>
      <c r="DFK128" s="813"/>
      <c r="DFL128" s="813"/>
      <c r="DFM128" s="813"/>
      <c r="DFN128" s="813"/>
      <c r="DFO128" s="813"/>
      <c r="DFP128" s="814"/>
      <c r="DFQ128" s="814"/>
      <c r="DFR128" s="814"/>
      <c r="DFS128" s="814"/>
      <c r="DFT128" s="814"/>
      <c r="DFU128" s="814"/>
      <c r="DFV128" s="814"/>
      <c r="DFW128" s="814"/>
      <c r="DFX128" s="814"/>
      <c r="DFY128" s="813"/>
      <c r="DFZ128" s="813"/>
      <c r="DGA128" s="813"/>
      <c r="DGB128" s="813"/>
      <c r="DGC128" s="813"/>
      <c r="DGD128" s="814"/>
      <c r="DGE128" s="814"/>
      <c r="DGF128" s="814"/>
      <c r="DGG128" s="814"/>
      <c r="DGH128" s="814"/>
      <c r="DGI128" s="814"/>
      <c r="DGJ128" s="814"/>
      <c r="DGK128" s="814"/>
      <c r="DGL128" s="814"/>
      <c r="DGM128" s="813"/>
      <c r="DGN128" s="813"/>
      <c r="DGO128" s="813"/>
      <c r="DGP128" s="813"/>
      <c r="DGQ128" s="813"/>
      <c r="DGR128" s="814"/>
      <c r="DGS128" s="814"/>
      <c r="DGT128" s="814"/>
      <c r="DGU128" s="814"/>
      <c r="DGV128" s="814"/>
      <c r="DGW128" s="814"/>
      <c r="DGX128" s="814"/>
      <c r="DGY128" s="814"/>
      <c r="DGZ128" s="814"/>
      <c r="DHA128" s="813"/>
      <c r="DHB128" s="813"/>
      <c r="DHC128" s="813"/>
      <c r="DHD128" s="813"/>
      <c r="DHE128" s="813"/>
      <c r="DHF128" s="814"/>
      <c r="DHG128" s="814"/>
      <c r="DHH128" s="814"/>
      <c r="DHI128" s="814"/>
      <c r="DHJ128" s="814"/>
      <c r="DHK128" s="814"/>
      <c r="DHL128" s="814"/>
      <c r="DHM128" s="814"/>
      <c r="DHN128" s="814"/>
      <c r="DHO128" s="813"/>
      <c r="DHP128" s="813"/>
      <c r="DHQ128" s="813"/>
      <c r="DHR128" s="813"/>
      <c r="DHS128" s="813"/>
      <c r="DHT128" s="814"/>
      <c r="DHU128" s="814"/>
      <c r="DHV128" s="814"/>
      <c r="DHW128" s="814"/>
      <c r="DHX128" s="814"/>
      <c r="DHY128" s="814"/>
      <c r="DHZ128" s="814"/>
      <c r="DIA128" s="814"/>
      <c r="DIB128" s="814"/>
      <c r="DIC128" s="813"/>
      <c r="DID128" s="813"/>
      <c r="DIE128" s="813"/>
      <c r="DIF128" s="813"/>
      <c r="DIG128" s="813"/>
      <c r="DIH128" s="814"/>
      <c r="DII128" s="814"/>
      <c r="DIJ128" s="814"/>
      <c r="DIK128" s="814"/>
      <c r="DIL128" s="814"/>
      <c r="DIM128" s="814"/>
      <c r="DIN128" s="814"/>
      <c r="DIO128" s="814"/>
      <c r="DIP128" s="814"/>
      <c r="DIQ128" s="813"/>
      <c r="DIR128" s="813"/>
      <c r="DIS128" s="813"/>
      <c r="DIT128" s="813"/>
      <c r="DIU128" s="813"/>
      <c r="DIV128" s="814"/>
      <c r="DIW128" s="814"/>
      <c r="DIX128" s="814"/>
      <c r="DIY128" s="814"/>
      <c r="DIZ128" s="814"/>
      <c r="DJA128" s="814"/>
      <c r="DJB128" s="814"/>
      <c r="DJC128" s="814"/>
      <c r="DJD128" s="814"/>
      <c r="DJE128" s="813"/>
      <c r="DJF128" s="813"/>
      <c r="DJG128" s="813"/>
      <c r="DJH128" s="813"/>
      <c r="DJI128" s="813"/>
      <c r="DJJ128" s="814"/>
      <c r="DJK128" s="814"/>
      <c r="DJL128" s="814"/>
      <c r="DJM128" s="814"/>
      <c r="DJN128" s="814"/>
      <c r="DJO128" s="814"/>
      <c r="DJP128" s="814"/>
      <c r="DJQ128" s="814"/>
      <c r="DJR128" s="814"/>
      <c r="DJS128" s="813"/>
      <c r="DJT128" s="813"/>
      <c r="DJU128" s="813"/>
      <c r="DJV128" s="813"/>
      <c r="DJW128" s="813"/>
      <c r="DJX128" s="814"/>
      <c r="DJY128" s="814"/>
      <c r="DJZ128" s="814"/>
      <c r="DKA128" s="814"/>
      <c r="DKB128" s="814"/>
      <c r="DKC128" s="814"/>
      <c r="DKD128" s="814"/>
      <c r="DKE128" s="814"/>
      <c r="DKF128" s="814"/>
      <c r="DKG128" s="813"/>
      <c r="DKH128" s="813"/>
      <c r="DKI128" s="813"/>
      <c r="DKJ128" s="813"/>
      <c r="DKK128" s="813"/>
      <c r="DKL128" s="814"/>
      <c r="DKM128" s="814"/>
      <c r="DKN128" s="814"/>
      <c r="DKO128" s="814"/>
      <c r="DKP128" s="814"/>
      <c r="DKQ128" s="814"/>
      <c r="DKR128" s="814"/>
      <c r="DKS128" s="814"/>
      <c r="DKT128" s="814"/>
      <c r="DKU128" s="813"/>
      <c r="DKV128" s="813"/>
      <c r="DKW128" s="813"/>
      <c r="DKX128" s="813"/>
      <c r="DKY128" s="813"/>
      <c r="DKZ128" s="814"/>
      <c r="DLA128" s="814"/>
      <c r="DLB128" s="814"/>
      <c r="DLC128" s="814"/>
      <c r="DLD128" s="814"/>
      <c r="DLE128" s="814"/>
      <c r="DLF128" s="814"/>
      <c r="DLG128" s="814"/>
      <c r="DLH128" s="814"/>
      <c r="DLI128" s="813"/>
      <c r="DLJ128" s="813"/>
      <c r="DLK128" s="813"/>
      <c r="DLL128" s="813"/>
      <c r="DLM128" s="813"/>
      <c r="DLN128" s="814"/>
      <c r="DLO128" s="814"/>
      <c r="DLP128" s="814"/>
      <c r="DLQ128" s="814"/>
      <c r="DLR128" s="814"/>
      <c r="DLS128" s="814"/>
      <c r="DLT128" s="814"/>
      <c r="DLU128" s="814"/>
      <c r="DLV128" s="814"/>
      <c r="DLW128" s="813"/>
      <c r="DLX128" s="813"/>
      <c r="DLY128" s="813"/>
      <c r="DLZ128" s="813"/>
      <c r="DMA128" s="813"/>
      <c r="DMB128" s="814"/>
      <c r="DMC128" s="814"/>
      <c r="DMD128" s="814"/>
      <c r="DME128" s="814"/>
      <c r="DMF128" s="814"/>
      <c r="DMG128" s="814"/>
      <c r="DMH128" s="814"/>
      <c r="DMI128" s="814"/>
      <c r="DMJ128" s="814"/>
      <c r="DMK128" s="813"/>
      <c r="DML128" s="813"/>
      <c r="DMM128" s="813"/>
      <c r="DMN128" s="813"/>
      <c r="DMO128" s="813"/>
      <c r="DMP128" s="814"/>
      <c r="DMQ128" s="814"/>
      <c r="DMR128" s="814"/>
      <c r="DMS128" s="814"/>
      <c r="DMT128" s="814"/>
      <c r="DMU128" s="814"/>
      <c r="DMV128" s="814"/>
      <c r="DMW128" s="814"/>
      <c r="DMX128" s="814"/>
      <c r="DMY128" s="813"/>
      <c r="DMZ128" s="813"/>
      <c r="DNA128" s="813"/>
      <c r="DNB128" s="813"/>
      <c r="DNC128" s="813"/>
      <c r="DND128" s="814"/>
      <c r="DNE128" s="814"/>
      <c r="DNF128" s="814"/>
      <c r="DNG128" s="814"/>
      <c r="DNH128" s="814"/>
      <c r="DNI128" s="814"/>
      <c r="DNJ128" s="814"/>
      <c r="DNK128" s="814"/>
      <c r="DNL128" s="814"/>
      <c r="DNM128" s="813"/>
      <c r="DNN128" s="813"/>
      <c r="DNO128" s="813"/>
      <c r="DNP128" s="813"/>
      <c r="DNQ128" s="813"/>
      <c r="DNR128" s="814"/>
      <c r="DNS128" s="814"/>
      <c r="DNT128" s="814"/>
      <c r="DNU128" s="814"/>
      <c r="DNV128" s="814"/>
      <c r="DNW128" s="814"/>
      <c r="DNX128" s="814"/>
      <c r="DNY128" s="814"/>
      <c r="DNZ128" s="814"/>
      <c r="DOA128" s="813"/>
      <c r="DOB128" s="813"/>
      <c r="DOC128" s="813"/>
      <c r="DOD128" s="813"/>
      <c r="DOE128" s="813"/>
      <c r="DOF128" s="814"/>
      <c r="DOG128" s="814"/>
      <c r="DOH128" s="814"/>
      <c r="DOI128" s="814"/>
      <c r="DOJ128" s="814"/>
      <c r="DOK128" s="814"/>
      <c r="DOL128" s="814"/>
      <c r="DOM128" s="814"/>
      <c r="DON128" s="814"/>
      <c r="DOO128" s="813"/>
      <c r="DOP128" s="813"/>
      <c r="DOQ128" s="813"/>
      <c r="DOR128" s="813"/>
      <c r="DOS128" s="813"/>
      <c r="DOT128" s="814"/>
      <c r="DOU128" s="814"/>
      <c r="DOV128" s="814"/>
      <c r="DOW128" s="814"/>
      <c r="DOX128" s="814"/>
      <c r="DOY128" s="814"/>
      <c r="DOZ128" s="814"/>
      <c r="DPA128" s="814"/>
      <c r="DPB128" s="814"/>
      <c r="DPC128" s="813"/>
      <c r="DPD128" s="813"/>
      <c r="DPE128" s="813"/>
      <c r="DPF128" s="813"/>
      <c r="DPG128" s="813"/>
      <c r="DPH128" s="814"/>
      <c r="DPI128" s="814"/>
      <c r="DPJ128" s="814"/>
      <c r="DPK128" s="814"/>
      <c r="DPL128" s="814"/>
      <c r="DPM128" s="814"/>
      <c r="DPN128" s="814"/>
      <c r="DPO128" s="814"/>
      <c r="DPP128" s="814"/>
      <c r="DPQ128" s="813"/>
      <c r="DPR128" s="813"/>
      <c r="DPS128" s="813"/>
      <c r="DPT128" s="813"/>
      <c r="DPU128" s="813"/>
      <c r="DPV128" s="814"/>
      <c r="DPW128" s="814"/>
      <c r="DPX128" s="814"/>
      <c r="DPY128" s="814"/>
      <c r="DPZ128" s="814"/>
      <c r="DQA128" s="814"/>
      <c r="DQB128" s="814"/>
      <c r="DQC128" s="814"/>
      <c r="DQD128" s="814"/>
      <c r="DQE128" s="813"/>
      <c r="DQF128" s="813"/>
      <c r="DQG128" s="813"/>
      <c r="DQH128" s="813"/>
      <c r="DQI128" s="813"/>
      <c r="DQJ128" s="814"/>
      <c r="DQK128" s="814"/>
      <c r="DQL128" s="814"/>
      <c r="DQM128" s="814"/>
      <c r="DQN128" s="814"/>
      <c r="DQO128" s="814"/>
      <c r="DQP128" s="814"/>
      <c r="DQQ128" s="814"/>
      <c r="DQR128" s="814"/>
      <c r="DQS128" s="813"/>
      <c r="DQT128" s="813"/>
      <c r="DQU128" s="813"/>
      <c r="DQV128" s="813"/>
      <c r="DQW128" s="813"/>
      <c r="DQX128" s="814"/>
      <c r="DQY128" s="814"/>
      <c r="DQZ128" s="814"/>
      <c r="DRA128" s="814"/>
      <c r="DRB128" s="814"/>
      <c r="DRC128" s="814"/>
      <c r="DRD128" s="814"/>
      <c r="DRE128" s="814"/>
      <c r="DRF128" s="814"/>
      <c r="DRG128" s="813"/>
      <c r="DRH128" s="813"/>
      <c r="DRI128" s="813"/>
      <c r="DRJ128" s="813"/>
      <c r="DRK128" s="813"/>
      <c r="DRL128" s="814"/>
      <c r="DRM128" s="814"/>
      <c r="DRN128" s="814"/>
      <c r="DRO128" s="814"/>
      <c r="DRP128" s="814"/>
      <c r="DRQ128" s="814"/>
      <c r="DRR128" s="814"/>
      <c r="DRS128" s="814"/>
      <c r="DRT128" s="814"/>
      <c r="DRU128" s="813"/>
      <c r="DRV128" s="813"/>
      <c r="DRW128" s="813"/>
      <c r="DRX128" s="813"/>
      <c r="DRY128" s="813"/>
      <c r="DRZ128" s="814"/>
      <c r="DSA128" s="814"/>
      <c r="DSB128" s="814"/>
      <c r="DSC128" s="814"/>
      <c r="DSD128" s="814"/>
      <c r="DSE128" s="814"/>
      <c r="DSF128" s="814"/>
      <c r="DSG128" s="814"/>
      <c r="DSH128" s="814"/>
      <c r="DSI128" s="813"/>
      <c r="DSJ128" s="813"/>
      <c r="DSK128" s="813"/>
      <c r="DSL128" s="813"/>
      <c r="DSM128" s="813"/>
      <c r="DSN128" s="814"/>
      <c r="DSO128" s="814"/>
      <c r="DSP128" s="814"/>
      <c r="DSQ128" s="814"/>
      <c r="DSR128" s="814"/>
      <c r="DSS128" s="814"/>
      <c r="DST128" s="814"/>
      <c r="DSU128" s="814"/>
      <c r="DSV128" s="814"/>
      <c r="DSW128" s="813"/>
      <c r="DSX128" s="813"/>
      <c r="DSY128" s="813"/>
      <c r="DSZ128" s="813"/>
      <c r="DTA128" s="813"/>
      <c r="DTB128" s="814"/>
      <c r="DTC128" s="814"/>
      <c r="DTD128" s="814"/>
      <c r="DTE128" s="814"/>
      <c r="DTF128" s="814"/>
      <c r="DTG128" s="814"/>
      <c r="DTH128" s="814"/>
      <c r="DTI128" s="814"/>
      <c r="DTJ128" s="814"/>
      <c r="DTK128" s="813"/>
      <c r="DTL128" s="813"/>
      <c r="DTM128" s="813"/>
      <c r="DTN128" s="813"/>
      <c r="DTO128" s="813"/>
      <c r="DTP128" s="814"/>
      <c r="DTQ128" s="814"/>
      <c r="DTR128" s="814"/>
      <c r="DTS128" s="814"/>
      <c r="DTT128" s="814"/>
      <c r="DTU128" s="814"/>
      <c r="DTV128" s="814"/>
      <c r="DTW128" s="814"/>
      <c r="DTX128" s="814"/>
      <c r="DTY128" s="813"/>
      <c r="DTZ128" s="813"/>
      <c r="DUA128" s="813"/>
      <c r="DUB128" s="813"/>
      <c r="DUC128" s="813"/>
      <c r="DUD128" s="814"/>
      <c r="DUE128" s="814"/>
      <c r="DUF128" s="814"/>
      <c r="DUG128" s="814"/>
      <c r="DUH128" s="814"/>
      <c r="DUI128" s="814"/>
      <c r="DUJ128" s="814"/>
      <c r="DUK128" s="814"/>
      <c r="DUL128" s="814"/>
      <c r="DUM128" s="813"/>
      <c r="DUN128" s="813"/>
      <c r="DUO128" s="813"/>
      <c r="DUP128" s="813"/>
      <c r="DUQ128" s="813"/>
      <c r="DUR128" s="814"/>
      <c r="DUS128" s="814"/>
      <c r="DUT128" s="814"/>
      <c r="DUU128" s="814"/>
      <c r="DUV128" s="814"/>
      <c r="DUW128" s="814"/>
      <c r="DUX128" s="814"/>
      <c r="DUY128" s="814"/>
      <c r="DUZ128" s="814"/>
      <c r="DVA128" s="813"/>
      <c r="DVB128" s="813"/>
      <c r="DVC128" s="813"/>
      <c r="DVD128" s="813"/>
      <c r="DVE128" s="813"/>
      <c r="DVF128" s="814"/>
      <c r="DVG128" s="814"/>
      <c r="DVH128" s="814"/>
      <c r="DVI128" s="814"/>
      <c r="DVJ128" s="814"/>
      <c r="DVK128" s="814"/>
      <c r="DVL128" s="814"/>
      <c r="DVM128" s="814"/>
      <c r="DVN128" s="814"/>
      <c r="DVO128" s="813"/>
      <c r="DVP128" s="813"/>
      <c r="DVQ128" s="813"/>
      <c r="DVR128" s="813"/>
      <c r="DVS128" s="813"/>
      <c r="DVT128" s="814"/>
      <c r="DVU128" s="814"/>
      <c r="DVV128" s="814"/>
      <c r="DVW128" s="814"/>
      <c r="DVX128" s="814"/>
      <c r="DVY128" s="814"/>
      <c r="DVZ128" s="814"/>
      <c r="DWA128" s="814"/>
      <c r="DWB128" s="814"/>
      <c r="DWC128" s="813"/>
      <c r="DWD128" s="813"/>
      <c r="DWE128" s="813"/>
      <c r="DWF128" s="813"/>
      <c r="DWG128" s="813"/>
      <c r="DWH128" s="814"/>
      <c r="DWI128" s="814"/>
      <c r="DWJ128" s="814"/>
      <c r="DWK128" s="814"/>
      <c r="DWL128" s="814"/>
      <c r="DWM128" s="814"/>
      <c r="DWN128" s="814"/>
      <c r="DWO128" s="814"/>
      <c r="DWP128" s="814"/>
      <c r="DWQ128" s="813"/>
      <c r="DWR128" s="813"/>
      <c r="DWS128" s="813"/>
      <c r="DWT128" s="813"/>
      <c r="DWU128" s="813"/>
      <c r="DWV128" s="814"/>
      <c r="DWW128" s="814"/>
      <c r="DWX128" s="814"/>
      <c r="DWY128" s="814"/>
      <c r="DWZ128" s="814"/>
      <c r="DXA128" s="814"/>
      <c r="DXB128" s="814"/>
      <c r="DXC128" s="814"/>
      <c r="DXD128" s="814"/>
      <c r="DXE128" s="813"/>
      <c r="DXF128" s="813"/>
      <c r="DXG128" s="813"/>
      <c r="DXH128" s="813"/>
      <c r="DXI128" s="813"/>
      <c r="DXJ128" s="814"/>
      <c r="DXK128" s="814"/>
      <c r="DXL128" s="814"/>
      <c r="DXM128" s="814"/>
      <c r="DXN128" s="814"/>
      <c r="DXO128" s="814"/>
      <c r="DXP128" s="814"/>
      <c r="DXQ128" s="814"/>
      <c r="DXR128" s="814"/>
      <c r="DXS128" s="813"/>
      <c r="DXT128" s="813"/>
      <c r="DXU128" s="813"/>
      <c r="DXV128" s="813"/>
      <c r="DXW128" s="813"/>
      <c r="DXX128" s="814"/>
      <c r="DXY128" s="814"/>
      <c r="DXZ128" s="814"/>
      <c r="DYA128" s="814"/>
      <c r="DYB128" s="814"/>
      <c r="DYC128" s="814"/>
      <c r="DYD128" s="814"/>
      <c r="DYE128" s="814"/>
      <c r="DYF128" s="814"/>
      <c r="DYG128" s="813"/>
      <c r="DYH128" s="813"/>
      <c r="DYI128" s="813"/>
      <c r="DYJ128" s="813"/>
      <c r="DYK128" s="813"/>
      <c r="DYL128" s="814"/>
      <c r="DYM128" s="814"/>
      <c r="DYN128" s="814"/>
      <c r="DYO128" s="814"/>
      <c r="DYP128" s="814"/>
      <c r="DYQ128" s="814"/>
      <c r="DYR128" s="814"/>
      <c r="DYS128" s="814"/>
      <c r="DYT128" s="814"/>
      <c r="DYU128" s="813"/>
      <c r="DYV128" s="813"/>
      <c r="DYW128" s="813"/>
      <c r="DYX128" s="813"/>
      <c r="DYY128" s="813"/>
      <c r="DYZ128" s="814"/>
      <c r="DZA128" s="814"/>
      <c r="DZB128" s="814"/>
      <c r="DZC128" s="814"/>
      <c r="DZD128" s="814"/>
      <c r="DZE128" s="814"/>
      <c r="DZF128" s="814"/>
      <c r="DZG128" s="814"/>
      <c r="DZH128" s="814"/>
      <c r="DZI128" s="813"/>
      <c r="DZJ128" s="813"/>
      <c r="DZK128" s="813"/>
      <c r="DZL128" s="813"/>
      <c r="DZM128" s="813"/>
      <c r="DZN128" s="814"/>
      <c r="DZO128" s="814"/>
      <c r="DZP128" s="814"/>
      <c r="DZQ128" s="814"/>
      <c r="DZR128" s="814"/>
      <c r="DZS128" s="814"/>
      <c r="DZT128" s="814"/>
      <c r="DZU128" s="814"/>
      <c r="DZV128" s="814"/>
      <c r="DZW128" s="813"/>
      <c r="DZX128" s="813"/>
      <c r="DZY128" s="813"/>
      <c r="DZZ128" s="813"/>
      <c r="EAA128" s="813"/>
      <c r="EAB128" s="814"/>
      <c r="EAC128" s="814"/>
      <c r="EAD128" s="814"/>
      <c r="EAE128" s="814"/>
      <c r="EAF128" s="814"/>
      <c r="EAG128" s="814"/>
      <c r="EAH128" s="814"/>
      <c r="EAI128" s="814"/>
      <c r="EAJ128" s="814"/>
      <c r="EAK128" s="813"/>
      <c r="EAL128" s="813"/>
      <c r="EAM128" s="813"/>
      <c r="EAN128" s="813"/>
      <c r="EAO128" s="813"/>
      <c r="EAP128" s="814"/>
      <c r="EAQ128" s="814"/>
      <c r="EAR128" s="814"/>
      <c r="EAS128" s="814"/>
      <c r="EAT128" s="814"/>
      <c r="EAU128" s="814"/>
      <c r="EAV128" s="814"/>
      <c r="EAW128" s="814"/>
      <c r="EAX128" s="814"/>
      <c r="EAY128" s="813"/>
      <c r="EAZ128" s="813"/>
      <c r="EBA128" s="813"/>
      <c r="EBB128" s="813"/>
      <c r="EBC128" s="813"/>
      <c r="EBD128" s="814"/>
      <c r="EBE128" s="814"/>
      <c r="EBF128" s="814"/>
      <c r="EBG128" s="814"/>
      <c r="EBH128" s="814"/>
      <c r="EBI128" s="814"/>
      <c r="EBJ128" s="814"/>
      <c r="EBK128" s="814"/>
      <c r="EBL128" s="814"/>
      <c r="EBM128" s="813"/>
      <c r="EBN128" s="813"/>
      <c r="EBO128" s="813"/>
      <c r="EBP128" s="813"/>
      <c r="EBQ128" s="813"/>
      <c r="EBR128" s="814"/>
      <c r="EBS128" s="814"/>
      <c r="EBT128" s="814"/>
      <c r="EBU128" s="814"/>
      <c r="EBV128" s="814"/>
      <c r="EBW128" s="814"/>
      <c r="EBX128" s="814"/>
      <c r="EBY128" s="814"/>
      <c r="EBZ128" s="814"/>
      <c r="ECA128" s="813"/>
      <c r="ECB128" s="813"/>
      <c r="ECC128" s="813"/>
      <c r="ECD128" s="813"/>
      <c r="ECE128" s="813"/>
      <c r="ECF128" s="814"/>
      <c r="ECG128" s="814"/>
      <c r="ECH128" s="814"/>
      <c r="ECI128" s="814"/>
      <c r="ECJ128" s="814"/>
      <c r="ECK128" s="814"/>
      <c r="ECL128" s="814"/>
      <c r="ECM128" s="814"/>
      <c r="ECN128" s="814"/>
      <c r="ECO128" s="813"/>
      <c r="ECP128" s="813"/>
      <c r="ECQ128" s="813"/>
      <c r="ECR128" s="813"/>
      <c r="ECS128" s="813"/>
      <c r="ECT128" s="814"/>
      <c r="ECU128" s="814"/>
      <c r="ECV128" s="814"/>
      <c r="ECW128" s="814"/>
      <c r="ECX128" s="814"/>
      <c r="ECY128" s="814"/>
      <c r="ECZ128" s="814"/>
      <c r="EDA128" s="814"/>
      <c r="EDB128" s="814"/>
      <c r="EDC128" s="813"/>
      <c r="EDD128" s="813"/>
      <c r="EDE128" s="813"/>
      <c r="EDF128" s="813"/>
      <c r="EDG128" s="813"/>
      <c r="EDH128" s="814"/>
      <c r="EDI128" s="814"/>
      <c r="EDJ128" s="814"/>
      <c r="EDK128" s="814"/>
      <c r="EDL128" s="814"/>
      <c r="EDM128" s="814"/>
      <c r="EDN128" s="814"/>
      <c r="EDO128" s="814"/>
      <c r="EDP128" s="814"/>
      <c r="EDQ128" s="813"/>
      <c r="EDR128" s="813"/>
      <c r="EDS128" s="813"/>
      <c r="EDT128" s="813"/>
      <c r="EDU128" s="813"/>
      <c r="EDV128" s="814"/>
      <c r="EDW128" s="814"/>
      <c r="EDX128" s="814"/>
      <c r="EDY128" s="814"/>
      <c r="EDZ128" s="814"/>
      <c r="EEA128" s="814"/>
      <c r="EEB128" s="814"/>
      <c r="EEC128" s="814"/>
      <c r="EED128" s="814"/>
      <c r="EEE128" s="813"/>
      <c r="EEF128" s="813"/>
      <c r="EEG128" s="813"/>
      <c r="EEH128" s="813"/>
      <c r="EEI128" s="813"/>
      <c r="EEJ128" s="814"/>
      <c r="EEK128" s="814"/>
      <c r="EEL128" s="814"/>
      <c r="EEM128" s="814"/>
      <c r="EEN128" s="814"/>
      <c r="EEO128" s="814"/>
      <c r="EEP128" s="814"/>
      <c r="EEQ128" s="814"/>
      <c r="EER128" s="814"/>
      <c r="EES128" s="813"/>
      <c r="EET128" s="813"/>
      <c r="EEU128" s="813"/>
      <c r="EEV128" s="813"/>
      <c r="EEW128" s="813"/>
      <c r="EEX128" s="814"/>
      <c r="EEY128" s="814"/>
      <c r="EEZ128" s="814"/>
      <c r="EFA128" s="814"/>
      <c r="EFB128" s="814"/>
      <c r="EFC128" s="814"/>
      <c r="EFD128" s="814"/>
      <c r="EFE128" s="814"/>
      <c r="EFF128" s="814"/>
      <c r="EFG128" s="813"/>
      <c r="EFH128" s="813"/>
      <c r="EFI128" s="813"/>
      <c r="EFJ128" s="813"/>
      <c r="EFK128" s="813"/>
      <c r="EFL128" s="814"/>
      <c r="EFM128" s="814"/>
      <c r="EFN128" s="814"/>
      <c r="EFO128" s="814"/>
      <c r="EFP128" s="814"/>
      <c r="EFQ128" s="814"/>
      <c r="EFR128" s="814"/>
      <c r="EFS128" s="814"/>
      <c r="EFT128" s="814"/>
      <c r="EFU128" s="813"/>
      <c r="EFV128" s="813"/>
      <c r="EFW128" s="813"/>
      <c r="EFX128" s="813"/>
      <c r="EFY128" s="813"/>
      <c r="EFZ128" s="814"/>
      <c r="EGA128" s="814"/>
      <c r="EGB128" s="814"/>
      <c r="EGC128" s="814"/>
      <c r="EGD128" s="814"/>
      <c r="EGE128" s="814"/>
      <c r="EGF128" s="814"/>
      <c r="EGG128" s="814"/>
      <c r="EGH128" s="814"/>
      <c r="EGI128" s="813"/>
      <c r="EGJ128" s="813"/>
      <c r="EGK128" s="813"/>
      <c r="EGL128" s="813"/>
      <c r="EGM128" s="813"/>
      <c r="EGN128" s="814"/>
      <c r="EGO128" s="814"/>
      <c r="EGP128" s="814"/>
      <c r="EGQ128" s="814"/>
      <c r="EGR128" s="814"/>
      <c r="EGS128" s="814"/>
      <c r="EGT128" s="814"/>
      <c r="EGU128" s="814"/>
      <c r="EGV128" s="814"/>
      <c r="EGW128" s="813"/>
      <c r="EGX128" s="813"/>
      <c r="EGY128" s="813"/>
      <c r="EGZ128" s="813"/>
      <c r="EHA128" s="813"/>
      <c r="EHB128" s="814"/>
      <c r="EHC128" s="814"/>
      <c r="EHD128" s="814"/>
      <c r="EHE128" s="814"/>
      <c r="EHF128" s="814"/>
      <c r="EHG128" s="814"/>
      <c r="EHH128" s="814"/>
      <c r="EHI128" s="814"/>
      <c r="EHJ128" s="814"/>
      <c r="EHK128" s="813"/>
      <c r="EHL128" s="813"/>
      <c r="EHM128" s="813"/>
      <c r="EHN128" s="813"/>
      <c r="EHO128" s="813"/>
      <c r="EHP128" s="814"/>
      <c r="EHQ128" s="814"/>
      <c r="EHR128" s="814"/>
      <c r="EHS128" s="814"/>
      <c r="EHT128" s="814"/>
      <c r="EHU128" s="814"/>
      <c r="EHV128" s="814"/>
      <c r="EHW128" s="814"/>
      <c r="EHX128" s="814"/>
      <c r="EHY128" s="813"/>
      <c r="EHZ128" s="813"/>
      <c r="EIA128" s="813"/>
      <c r="EIB128" s="813"/>
      <c r="EIC128" s="813"/>
      <c r="EID128" s="814"/>
      <c r="EIE128" s="814"/>
      <c r="EIF128" s="814"/>
      <c r="EIG128" s="814"/>
      <c r="EIH128" s="814"/>
      <c r="EII128" s="814"/>
      <c r="EIJ128" s="814"/>
      <c r="EIK128" s="814"/>
      <c r="EIL128" s="814"/>
      <c r="EIM128" s="813"/>
      <c r="EIN128" s="813"/>
      <c r="EIO128" s="813"/>
      <c r="EIP128" s="813"/>
      <c r="EIQ128" s="813"/>
      <c r="EIR128" s="814"/>
      <c r="EIS128" s="814"/>
      <c r="EIT128" s="814"/>
      <c r="EIU128" s="814"/>
      <c r="EIV128" s="814"/>
      <c r="EIW128" s="814"/>
      <c r="EIX128" s="814"/>
      <c r="EIY128" s="814"/>
      <c r="EIZ128" s="814"/>
      <c r="EJA128" s="813"/>
      <c r="EJB128" s="813"/>
      <c r="EJC128" s="813"/>
      <c r="EJD128" s="813"/>
      <c r="EJE128" s="813"/>
      <c r="EJF128" s="814"/>
      <c r="EJG128" s="814"/>
      <c r="EJH128" s="814"/>
      <c r="EJI128" s="814"/>
      <c r="EJJ128" s="814"/>
      <c r="EJK128" s="814"/>
      <c r="EJL128" s="814"/>
      <c r="EJM128" s="814"/>
      <c r="EJN128" s="814"/>
      <c r="EJO128" s="813"/>
      <c r="EJP128" s="813"/>
      <c r="EJQ128" s="813"/>
      <c r="EJR128" s="813"/>
      <c r="EJS128" s="813"/>
      <c r="EJT128" s="814"/>
      <c r="EJU128" s="814"/>
      <c r="EJV128" s="814"/>
      <c r="EJW128" s="814"/>
      <c r="EJX128" s="814"/>
      <c r="EJY128" s="814"/>
      <c r="EJZ128" s="814"/>
      <c r="EKA128" s="814"/>
      <c r="EKB128" s="814"/>
      <c r="EKC128" s="813"/>
      <c r="EKD128" s="813"/>
      <c r="EKE128" s="813"/>
      <c r="EKF128" s="813"/>
      <c r="EKG128" s="813"/>
      <c r="EKH128" s="814"/>
      <c r="EKI128" s="814"/>
      <c r="EKJ128" s="814"/>
      <c r="EKK128" s="814"/>
      <c r="EKL128" s="814"/>
      <c r="EKM128" s="814"/>
      <c r="EKN128" s="814"/>
      <c r="EKO128" s="814"/>
      <c r="EKP128" s="814"/>
      <c r="EKQ128" s="813"/>
      <c r="EKR128" s="813"/>
      <c r="EKS128" s="813"/>
      <c r="EKT128" s="813"/>
      <c r="EKU128" s="813"/>
      <c r="EKV128" s="814"/>
      <c r="EKW128" s="814"/>
      <c r="EKX128" s="814"/>
      <c r="EKY128" s="814"/>
      <c r="EKZ128" s="814"/>
      <c r="ELA128" s="814"/>
      <c r="ELB128" s="814"/>
      <c r="ELC128" s="814"/>
      <c r="ELD128" s="814"/>
      <c r="ELE128" s="813"/>
      <c r="ELF128" s="813"/>
      <c r="ELG128" s="813"/>
      <c r="ELH128" s="813"/>
      <c r="ELI128" s="813"/>
      <c r="ELJ128" s="814"/>
      <c r="ELK128" s="814"/>
      <c r="ELL128" s="814"/>
      <c r="ELM128" s="814"/>
      <c r="ELN128" s="814"/>
      <c r="ELO128" s="814"/>
      <c r="ELP128" s="814"/>
      <c r="ELQ128" s="814"/>
      <c r="ELR128" s="814"/>
      <c r="ELS128" s="813"/>
      <c r="ELT128" s="813"/>
      <c r="ELU128" s="813"/>
      <c r="ELV128" s="813"/>
      <c r="ELW128" s="813"/>
      <c r="ELX128" s="814"/>
      <c r="ELY128" s="814"/>
      <c r="ELZ128" s="814"/>
      <c r="EMA128" s="814"/>
      <c r="EMB128" s="814"/>
      <c r="EMC128" s="814"/>
      <c r="EMD128" s="814"/>
      <c r="EME128" s="814"/>
      <c r="EMF128" s="814"/>
      <c r="EMG128" s="813"/>
      <c r="EMH128" s="813"/>
      <c r="EMI128" s="813"/>
      <c r="EMJ128" s="813"/>
      <c r="EMK128" s="813"/>
      <c r="EML128" s="814"/>
      <c r="EMM128" s="814"/>
      <c r="EMN128" s="814"/>
      <c r="EMO128" s="814"/>
      <c r="EMP128" s="814"/>
      <c r="EMQ128" s="814"/>
      <c r="EMR128" s="814"/>
      <c r="EMS128" s="814"/>
      <c r="EMT128" s="814"/>
      <c r="EMU128" s="813"/>
      <c r="EMV128" s="813"/>
      <c r="EMW128" s="813"/>
      <c r="EMX128" s="813"/>
      <c r="EMY128" s="813"/>
      <c r="EMZ128" s="814"/>
      <c r="ENA128" s="814"/>
      <c r="ENB128" s="814"/>
      <c r="ENC128" s="814"/>
      <c r="END128" s="814"/>
      <c r="ENE128" s="814"/>
      <c r="ENF128" s="814"/>
      <c r="ENG128" s="814"/>
      <c r="ENH128" s="814"/>
      <c r="ENI128" s="813"/>
      <c r="ENJ128" s="813"/>
      <c r="ENK128" s="813"/>
      <c r="ENL128" s="813"/>
      <c r="ENM128" s="813"/>
      <c r="ENN128" s="814"/>
      <c r="ENO128" s="814"/>
      <c r="ENP128" s="814"/>
      <c r="ENQ128" s="814"/>
      <c r="ENR128" s="814"/>
      <c r="ENS128" s="814"/>
      <c r="ENT128" s="814"/>
      <c r="ENU128" s="814"/>
      <c r="ENV128" s="814"/>
      <c r="ENW128" s="813"/>
      <c r="ENX128" s="813"/>
      <c r="ENY128" s="813"/>
      <c r="ENZ128" s="813"/>
      <c r="EOA128" s="813"/>
      <c r="EOB128" s="814"/>
      <c r="EOC128" s="814"/>
      <c r="EOD128" s="814"/>
      <c r="EOE128" s="814"/>
      <c r="EOF128" s="814"/>
      <c r="EOG128" s="814"/>
      <c r="EOH128" s="814"/>
      <c r="EOI128" s="814"/>
      <c r="EOJ128" s="814"/>
      <c r="EOK128" s="813"/>
      <c r="EOL128" s="813"/>
      <c r="EOM128" s="813"/>
      <c r="EON128" s="813"/>
      <c r="EOO128" s="813"/>
      <c r="EOP128" s="814"/>
      <c r="EOQ128" s="814"/>
      <c r="EOR128" s="814"/>
      <c r="EOS128" s="814"/>
      <c r="EOT128" s="814"/>
      <c r="EOU128" s="814"/>
      <c r="EOV128" s="814"/>
      <c r="EOW128" s="814"/>
      <c r="EOX128" s="814"/>
      <c r="EOY128" s="813"/>
      <c r="EOZ128" s="813"/>
      <c r="EPA128" s="813"/>
      <c r="EPB128" s="813"/>
      <c r="EPC128" s="813"/>
      <c r="EPD128" s="814"/>
      <c r="EPE128" s="814"/>
      <c r="EPF128" s="814"/>
      <c r="EPG128" s="814"/>
      <c r="EPH128" s="814"/>
      <c r="EPI128" s="814"/>
      <c r="EPJ128" s="814"/>
      <c r="EPK128" s="814"/>
      <c r="EPL128" s="814"/>
      <c r="EPM128" s="813"/>
      <c r="EPN128" s="813"/>
      <c r="EPO128" s="813"/>
      <c r="EPP128" s="813"/>
      <c r="EPQ128" s="813"/>
      <c r="EPR128" s="814"/>
      <c r="EPS128" s="814"/>
      <c r="EPT128" s="814"/>
      <c r="EPU128" s="814"/>
      <c r="EPV128" s="814"/>
      <c r="EPW128" s="814"/>
      <c r="EPX128" s="814"/>
      <c r="EPY128" s="814"/>
      <c r="EPZ128" s="814"/>
      <c r="EQA128" s="813"/>
      <c r="EQB128" s="813"/>
      <c r="EQC128" s="813"/>
      <c r="EQD128" s="813"/>
      <c r="EQE128" s="813"/>
      <c r="EQF128" s="814"/>
      <c r="EQG128" s="814"/>
      <c r="EQH128" s="814"/>
      <c r="EQI128" s="814"/>
      <c r="EQJ128" s="814"/>
      <c r="EQK128" s="814"/>
      <c r="EQL128" s="814"/>
      <c r="EQM128" s="814"/>
      <c r="EQN128" s="814"/>
      <c r="EQO128" s="813"/>
      <c r="EQP128" s="813"/>
      <c r="EQQ128" s="813"/>
      <c r="EQR128" s="813"/>
      <c r="EQS128" s="813"/>
      <c r="EQT128" s="814"/>
      <c r="EQU128" s="814"/>
      <c r="EQV128" s="814"/>
      <c r="EQW128" s="814"/>
      <c r="EQX128" s="814"/>
      <c r="EQY128" s="814"/>
      <c r="EQZ128" s="814"/>
      <c r="ERA128" s="814"/>
      <c r="ERB128" s="814"/>
      <c r="ERC128" s="813"/>
      <c r="ERD128" s="813"/>
      <c r="ERE128" s="813"/>
      <c r="ERF128" s="813"/>
      <c r="ERG128" s="813"/>
      <c r="ERH128" s="814"/>
      <c r="ERI128" s="814"/>
      <c r="ERJ128" s="814"/>
      <c r="ERK128" s="814"/>
      <c r="ERL128" s="814"/>
      <c r="ERM128" s="814"/>
      <c r="ERN128" s="814"/>
      <c r="ERO128" s="814"/>
      <c r="ERP128" s="814"/>
      <c r="ERQ128" s="813"/>
      <c r="ERR128" s="813"/>
      <c r="ERS128" s="813"/>
      <c r="ERT128" s="813"/>
      <c r="ERU128" s="813"/>
      <c r="ERV128" s="814"/>
      <c r="ERW128" s="814"/>
      <c r="ERX128" s="814"/>
      <c r="ERY128" s="814"/>
      <c r="ERZ128" s="814"/>
      <c r="ESA128" s="814"/>
      <c r="ESB128" s="814"/>
      <c r="ESC128" s="814"/>
      <c r="ESD128" s="814"/>
      <c r="ESE128" s="813"/>
      <c r="ESF128" s="813"/>
      <c r="ESG128" s="813"/>
      <c r="ESH128" s="813"/>
      <c r="ESI128" s="813"/>
      <c r="ESJ128" s="814"/>
      <c r="ESK128" s="814"/>
      <c r="ESL128" s="814"/>
      <c r="ESM128" s="814"/>
      <c r="ESN128" s="814"/>
      <c r="ESO128" s="814"/>
      <c r="ESP128" s="814"/>
      <c r="ESQ128" s="814"/>
      <c r="ESR128" s="814"/>
      <c r="ESS128" s="813"/>
      <c r="EST128" s="813"/>
      <c r="ESU128" s="813"/>
      <c r="ESV128" s="813"/>
      <c r="ESW128" s="813"/>
      <c r="ESX128" s="814"/>
      <c r="ESY128" s="814"/>
      <c r="ESZ128" s="814"/>
      <c r="ETA128" s="814"/>
      <c r="ETB128" s="814"/>
      <c r="ETC128" s="814"/>
      <c r="ETD128" s="814"/>
      <c r="ETE128" s="814"/>
      <c r="ETF128" s="814"/>
      <c r="ETG128" s="813"/>
      <c r="ETH128" s="813"/>
      <c r="ETI128" s="813"/>
      <c r="ETJ128" s="813"/>
      <c r="ETK128" s="813"/>
      <c r="ETL128" s="814"/>
      <c r="ETM128" s="814"/>
      <c r="ETN128" s="814"/>
      <c r="ETO128" s="814"/>
      <c r="ETP128" s="814"/>
      <c r="ETQ128" s="814"/>
      <c r="ETR128" s="814"/>
      <c r="ETS128" s="814"/>
      <c r="ETT128" s="814"/>
      <c r="ETU128" s="813"/>
      <c r="ETV128" s="813"/>
      <c r="ETW128" s="813"/>
      <c r="ETX128" s="813"/>
      <c r="ETY128" s="813"/>
      <c r="ETZ128" s="814"/>
      <c r="EUA128" s="814"/>
      <c r="EUB128" s="814"/>
      <c r="EUC128" s="814"/>
      <c r="EUD128" s="814"/>
      <c r="EUE128" s="814"/>
      <c r="EUF128" s="814"/>
      <c r="EUG128" s="814"/>
      <c r="EUH128" s="814"/>
      <c r="EUI128" s="813"/>
      <c r="EUJ128" s="813"/>
      <c r="EUK128" s="813"/>
      <c r="EUL128" s="813"/>
      <c r="EUM128" s="813"/>
      <c r="EUN128" s="814"/>
      <c r="EUO128" s="814"/>
      <c r="EUP128" s="814"/>
      <c r="EUQ128" s="814"/>
      <c r="EUR128" s="814"/>
      <c r="EUS128" s="814"/>
      <c r="EUT128" s="814"/>
      <c r="EUU128" s="814"/>
      <c r="EUV128" s="814"/>
      <c r="EUW128" s="813"/>
      <c r="EUX128" s="813"/>
      <c r="EUY128" s="813"/>
      <c r="EUZ128" s="813"/>
      <c r="EVA128" s="813"/>
      <c r="EVB128" s="814"/>
      <c r="EVC128" s="814"/>
      <c r="EVD128" s="814"/>
      <c r="EVE128" s="814"/>
      <c r="EVF128" s="814"/>
      <c r="EVG128" s="814"/>
      <c r="EVH128" s="814"/>
      <c r="EVI128" s="814"/>
      <c r="EVJ128" s="814"/>
      <c r="EVK128" s="813"/>
      <c r="EVL128" s="813"/>
      <c r="EVM128" s="813"/>
      <c r="EVN128" s="813"/>
      <c r="EVO128" s="813"/>
      <c r="EVP128" s="814"/>
      <c r="EVQ128" s="814"/>
      <c r="EVR128" s="814"/>
      <c r="EVS128" s="814"/>
      <c r="EVT128" s="814"/>
      <c r="EVU128" s="814"/>
      <c r="EVV128" s="814"/>
      <c r="EVW128" s="814"/>
      <c r="EVX128" s="814"/>
      <c r="EVY128" s="813"/>
      <c r="EVZ128" s="813"/>
      <c r="EWA128" s="813"/>
      <c r="EWB128" s="813"/>
      <c r="EWC128" s="813"/>
      <c r="EWD128" s="814"/>
      <c r="EWE128" s="814"/>
      <c r="EWF128" s="814"/>
      <c r="EWG128" s="814"/>
      <c r="EWH128" s="814"/>
      <c r="EWI128" s="814"/>
      <c r="EWJ128" s="814"/>
      <c r="EWK128" s="814"/>
      <c r="EWL128" s="814"/>
      <c r="EWM128" s="813"/>
      <c r="EWN128" s="813"/>
      <c r="EWO128" s="813"/>
      <c r="EWP128" s="813"/>
      <c r="EWQ128" s="813"/>
      <c r="EWR128" s="814"/>
      <c r="EWS128" s="814"/>
      <c r="EWT128" s="814"/>
      <c r="EWU128" s="814"/>
      <c r="EWV128" s="814"/>
      <c r="EWW128" s="814"/>
      <c r="EWX128" s="814"/>
      <c r="EWY128" s="814"/>
      <c r="EWZ128" s="814"/>
      <c r="EXA128" s="813"/>
      <c r="EXB128" s="813"/>
      <c r="EXC128" s="813"/>
      <c r="EXD128" s="813"/>
      <c r="EXE128" s="813"/>
      <c r="EXF128" s="814"/>
      <c r="EXG128" s="814"/>
      <c r="EXH128" s="814"/>
      <c r="EXI128" s="814"/>
      <c r="EXJ128" s="814"/>
      <c r="EXK128" s="814"/>
      <c r="EXL128" s="814"/>
      <c r="EXM128" s="814"/>
      <c r="EXN128" s="814"/>
      <c r="EXO128" s="813"/>
      <c r="EXP128" s="813"/>
      <c r="EXQ128" s="813"/>
      <c r="EXR128" s="813"/>
      <c r="EXS128" s="813"/>
      <c r="EXT128" s="814"/>
      <c r="EXU128" s="814"/>
      <c r="EXV128" s="814"/>
      <c r="EXW128" s="814"/>
      <c r="EXX128" s="814"/>
      <c r="EXY128" s="814"/>
      <c r="EXZ128" s="814"/>
      <c r="EYA128" s="814"/>
      <c r="EYB128" s="814"/>
      <c r="EYC128" s="813"/>
      <c r="EYD128" s="813"/>
      <c r="EYE128" s="813"/>
      <c r="EYF128" s="813"/>
      <c r="EYG128" s="813"/>
      <c r="EYH128" s="814"/>
      <c r="EYI128" s="814"/>
      <c r="EYJ128" s="814"/>
      <c r="EYK128" s="814"/>
      <c r="EYL128" s="814"/>
      <c r="EYM128" s="814"/>
      <c r="EYN128" s="814"/>
      <c r="EYO128" s="814"/>
      <c r="EYP128" s="814"/>
      <c r="EYQ128" s="813"/>
      <c r="EYR128" s="813"/>
      <c r="EYS128" s="813"/>
      <c r="EYT128" s="813"/>
      <c r="EYU128" s="813"/>
      <c r="EYV128" s="814"/>
      <c r="EYW128" s="814"/>
      <c r="EYX128" s="814"/>
      <c r="EYY128" s="814"/>
      <c r="EYZ128" s="814"/>
      <c r="EZA128" s="814"/>
      <c r="EZB128" s="814"/>
      <c r="EZC128" s="814"/>
      <c r="EZD128" s="814"/>
      <c r="EZE128" s="813"/>
      <c r="EZF128" s="813"/>
      <c r="EZG128" s="813"/>
      <c r="EZH128" s="813"/>
      <c r="EZI128" s="813"/>
      <c r="EZJ128" s="814"/>
      <c r="EZK128" s="814"/>
      <c r="EZL128" s="814"/>
      <c r="EZM128" s="814"/>
      <c r="EZN128" s="814"/>
      <c r="EZO128" s="814"/>
      <c r="EZP128" s="814"/>
      <c r="EZQ128" s="814"/>
      <c r="EZR128" s="814"/>
      <c r="EZS128" s="813"/>
      <c r="EZT128" s="813"/>
      <c r="EZU128" s="813"/>
      <c r="EZV128" s="813"/>
      <c r="EZW128" s="813"/>
      <c r="EZX128" s="814"/>
      <c r="EZY128" s="814"/>
      <c r="EZZ128" s="814"/>
      <c r="FAA128" s="814"/>
      <c r="FAB128" s="814"/>
      <c r="FAC128" s="814"/>
      <c r="FAD128" s="814"/>
      <c r="FAE128" s="814"/>
      <c r="FAF128" s="814"/>
      <c r="FAG128" s="813"/>
      <c r="FAH128" s="813"/>
      <c r="FAI128" s="813"/>
      <c r="FAJ128" s="813"/>
      <c r="FAK128" s="813"/>
      <c r="FAL128" s="814"/>
      <c r="FAM128" s="814"/>
      <c r="FAN128" s="814"/>
      <c r="FAO128" s="814"/>
      <c r="FAP128" s="814"/>
      <c r="FAQ128" s="814"/>
      <c r="FAR128" s="814"/>
      <c r="FAS128" s="814"/>
      <c r="FAT128" s="814"/>
      <c r="FAU128" s="813"/>
      <c r="FAV128" s="813"/>
      <c r="FAW128" s="813"/>
      <c r="FAX128" s="813"/>
      <c r="FAY128" s="813"/>
      <c r="FAZ128" s="814"/>
      <c r="FBA128" s="814"/>
      <c r="FBB128" s="814"/>
      <c r="FBC128" s="814"/>
      <c r="FBD128" s="814"/>
      <c r="FBE128" s="814"/>
      <c r="FBF128" s="814"/>
      <c r="FBG128" s="814"/>
      <c r="FBH128" s="814"/>
      <c r="FBI128" s="813"/>
      <c r="FBJ128" s="813"/>
      <c r="FBK128" s="813"/>
      <c r="FBL128" s="813"/>
      <c r="FBM128" s="813"/>
      <c r="FBN128" s="814"/>
      <c r="FBO128" s="814"/>
      <c r="FBP128" s="814"/>
      <c r="FBQ128" s="814"/>
      <c r="FBR128" s="814"/>
      <c r="FBS128" s="814"/>
      <c r="FBT128" s="814"/>
      <c r="FBU128" s="814"/>
      <c r="FBV128" s="814"/>
      <c r="FBW128" s="813"/>
      <c r="FBX128" s="813"/>
      <c r="FBY128" s="813"/>
      <c r="FBZ128" s="813"/>
      <c r="FCA128" s="813"/>
      <c r="FCB128" s="814"/>
      <c r="FCC128" s="814"/>
      <c r="FCD128" s="814"/>
      <c r="FCE128" s="814"/>
      <c r="FCF128" s="814"/>
      <c r="FCG128" s="814"/>
      <c r="FCH128" s="814"/>
      <c r="FCI128" s="814"/>
      <c r="FCJ128" s="814"/>
      <c r="FCK128" s="813"/>
      <c r="FCL128" s="813"/>
      <c r="FCM128" s="813"/>
      <c r="FCN128" s="813"/>
      <c r="FCO128" s="813"/>
      <c r="FCP128" s="814"/>
      <c r="FCQ128" s="814"/>
      <c r="FCR128" s="814"/>
      <c r="FCS128" s="814"/>
      <c r="FCT128" s="814"/>
      <c r="FCU128" s="814"/>
      <c r="FCV128" s="814"/>
      <c r="FCW128" s="814"/>
      <c r="FCX128" s="814"/>
      <c r="FCY128" s="813"/>
      <c r="FCZ128" s="813"/>
      <c r="FDA128" s="813"/>
      <c r="FDB128" s="813"/>
      <c r="FDC128" s="813"/>
      <c r="FDD128" s="814"/>
      <c r="FDE128" s="814"/>
      <c r="FDF128" s="814"/>
      <c r="FDG128" s="814"/>
      <c r="FDH128" s="814"/>
      <c r="FDI128" s="814"/>
      <c r="FDJ128" s="814"/>
      <c r="FDK128" s="814"/>
      <c r="FDL128" s="814"/>
      <c r="FDM128" s="813"/>
      <c r="FDN128" s="813"/>
      <c r="FDO128" s="813"/>
      <c r="FDP128" s="813"/>
      <c r="FDQ128" s="813"/>
      <c r="FDR128" s="814"/>
      <c r="FDS128" s="814"/>
      <c r="FDT128" s="814"/>
      <c r="FDU128" s="814"/>
      <c r="FDV128" s="814"/>
      <c r="FDW128" s="814"/>
      <c r="FDX128" s="814"/>
      <c r="FDY128" s="814"/>
      <c r="FDZ128" s="814"/>
      <c r="FEA128" s="813"/>
      <c r="FEB128" s="813"/>
      <c r="FEC128" s="813"/>
      <c r="FED128" s="813"/>
      <c r="FEE128" s="813"/>
      <c r="FEF128" s="814"/>
      <c r="FEG128" s="814"/>
      <c r="FEH128" s="814"/>
      <c r="FEI128" s="814"/>
      <c r="FEJ128" s="814"/>
      <c r="FEK128" s="814"/>
      <c r="FEL128" s="814"/>
      <c r="FEM128" s="814"/>
      <c r="FEN128" s="814"/>
      <c r="FEO128" s="813"/>
      <c r="FEP128" s="813"/>
      <c r="FEQ128" s="813"/>
      <c r="FER128" s="813"/>
      <c r="FES128" s="813"/>
      <c r="FET128" s="814"/>
      <c r="FEU128" s="814"/>
      <c r="FEV128" s="814"/>
      <c r="FEW128" s="814"/>
      <c r="FEX128" s="814"/>
      <c r="FEY128" s="814"/>
      <c r="FEZ128" s="814"/>
      <c r="FFA128" s="814"/>
      <c r="FFB128" s="814"/>
      <c r="FFC128" s="813"/>
      <c r="FFD128" s="813"/>
      <c r="FFE128" s="813"/>
      <c r="FFF128" s="813"/>
      <c r="FFG128" s="813"/>
      <c r="FFH128" s="814"/>
      <c r="FFI128" s="814"/>
      <c r="FFJ128" s="814"/>
      <c r="FFK128" s="814"/>
      <c r="FFL128" s="814"/>
      <c r="FFM128" s="814"/>
      <c r="FFN128" s="814"/>
      <c r="FFO128" s="814"/>
      <c r="FFP128" s="814"/>
      <c r="FFQ128" s="813"/>
      <c r="FFR128" s="813"/>
      <c r="FFS128" s="813"/>
      <c r="FFT128" s="813"/>
      <c r="FFU128" s="813"/>
      <c r="FFV128" s="814"/>
      <c r="FFW128" s="814"/>
      <c r="FFX128" s="814"/>
      <c r="FFY128" s="814"/>
      <c r="FFZ128" s="814"/>
      <c r="FGA128" s="814"/>
      <c r="FGB128" s="814"/>
      <c r="FGC128" s="814"/>
      <c r="FGD128" s="814"/>
      <c r="FGE128" s="813"/>
      <c r="FGF128" s="813"/>
      <c r="FGG128" s="813"/>
      <c r="FGH128" s="813"/>
      <c r="FGI128" s="813"/>
      <c r="FGJ128" s="814"/>
      <c r="FGK128" s="814"/>
      <c r="FGL128" s="814"/>
      <c r="FGM128" s="814"/>
      <c r="FGN128" s="814"/>
      <c r="FGO128" s="814"/>
      <c r="FGP128" s="814"/>
      <c r="FGQ128" s="814"/>
      <c r="FGR128" s="814"/>
      <c r="FGS128" s="813"/>
      <c r="FGT128" s="813"/>
      <c r="FGU128" s="813"/>
      <c r="FGV128" s="813"/>
      <c r="FGW128" s="813"/>
      <c r="FGX128" s="814"/>
      <c r="FGY128" s="814"/>
      <c r="FGZ128" s="814"/>
      <c r="FHA128" s="814"/>
      <c r="FHB128" s="814"/>
      <c r="FHC128" s="814"/>
      <c r="FHD128" s="814"/>
      <c r="FHE128" s="814"/>
      <c r="FHF128" s="814"/>
      <c r="FHG128" s="813"/>
      <c r="FHH128" s="813"/>
      <c r="FHI128" s="813"/>
      <c r="FHJ128" s="813"/>
      <c r="FHK128" s="813"/>
      <c r="FHL128" s="814"/>
      <c r="FHM128" s="814"/>
      <c r="FHN128" s="814"/>
      <c r="FHO128" s="814"/>
      <c r="FHP128" s="814"/>
      <c r="FHQ128" s="814"/>
      <c r="FHR128" s="814"/>
      <c r="FHS128" s="814"/>
      <c r="FHT128" s="814"/>
      <c r="FHU128" s="813"/>
      <c r="FHV128" s="813"/>
      <c r="FHW128" s="813"/>
      <c r="FHX128" s="813"/>
      <c r="FHY128" s="813"/>
      <c r="FHZ128" s="814"/>
      <c r="FIA128" s="814"/>
      <c r="FIB128" s="814"/>
      <c r="FIC128" s="814"/>
      <c r="FID128" s="814"/>
      <c r="FIE128" s="814"/>
      <c r="FIF128" s="814"/>
      <c r="FIG128" s="814"/>
      <c r="FIH128" s="814"/>
      <c r="FII128" s="813"/>
      <c r="FIJ128" s="813"/>
      <c r="FIK128" s="813"/>
      <c r="FIL128" s="813"/>
      <c r="FIM128" s="813"/>
      <c r="FIN128" s="814"/>
      <c r="FIO128" s="814"/>
      <c r="FIP128" s="814"/>
      <c r="FIQ128" s="814"/>
      <c r="FIR128" s="814"/>
      <c r="FIS128" s="814"/>
      <c r="FIT128" s="814"/>
      <c r="FIU128" s="814"/>
      <c r="FIV128" s="814"/>
      <c r="FIW128" s="813"/>
      <c r="FIX128" s="813"/>
      <c r="FIY128" s="813"/>
      <c r="FIZ128" s="813"/>
      <c r="FJA128" s="813"/>
      <c r="FJB128" s="814"/>
      <c r="FJC128" s="814"/>
      <c r="FJD128" s="814"/>
      <c r="FJE128" s="814"/>
      <c r="FJF128" s="814"/>
      <c r="FJG128" s="814"/>
      <c r="FJH128" s="814"/>
      <c r="FJI128" s="814"/>
      <c r="FJJ128" s="814"/>
      <c r="FJK128" s="813"/>
      <c r="FJL128" s="813"/>
      <c r="FJM128" s="813"/>
      <c r="FJN128" s="813"/>
      <c r="FJO128" s="813"/>
      <c r="FJP128" s="814"/>
      <c r="FJQ128" s="814"/>
      <c r="FJR128" s="814"/>
      <c r="FJS128" s="814"/>
      <c r="FJT128" s="814"/>
      <c r="FJU128" s="814"/>
      <c r="FJV128" s="814"/>
      <c r="FJW128" s="814"/>
      <c r="FJX128" s="814"/>
      <c r="FJY128" s="813"/>
      <c r="FJZ128" s="813"/>
      <c r="FKA128" s="813"/>
      <c r="FKB128" s="813"/>
      <c r="FKC128" s="813"/>
      <c r="FKD128" s="814"/>
      <c r="FKE128" s="814"/>
      <c r="FKF128" s="814"/>
      <c r="FKG128" s="814"/>
      <c r="FKH128" s="814"/>
      <c r="FKI128" s="814"/>
      <c r="FKJ128" s="814"/>
      <c r="FKK128" s="814"/>
      <c r="FKL128" s="814"/>
      <c r="FKM128" s="813"/>
      <c r="FKN128" s="813"/>
      <c r="FKO128" s="813"/>
      <c r="FKP128" s="813"/>
      <c r="FKQ128" s="813"/>
      <c r="FKR128" s="814"/>
      <c r="FKS128" s="814"/>
      <c r="FKT128" s="814"/>
      <c r="FKU128" s="814"/>
      <c r="FKV128" s="814"/>
      <c r="FKW128" s="814"/>
      <c r="FKX128" s="814"/>
      <c r="FKY128" s="814"/>
      <c r="FKZ128" s="814"/>
      <c r="FLA128" s="813"/>
      <c r="FLB128" s="813"/>
      <c r="FLC128" s="813"/>
      <c r="FLD128" s="813"/>
      <c r="FLE128" s="813"/>
      <c r="FLF128" s="814"/>
      <c r="FLG128" s="814"/>
      <c r="FLH128" s="814"/>
      <c r="FLI128" s="814"/>
      <c r="FLJ128" s="814"/>
      <c r="FLK128" s="814"/>
      <c r="FLL128" s="814"/>
      <c r="FLM128" s="814"/>
      <c r="FLN128" s="814"/>
      <c r="FLO128" s="813"/>
      <c r="FLP128" s="813"/>
      <c r="FLQ128" s="813"/>
      <c r="FLR128" s="813"/>
      <c r="FLS128" s="813"/>
      <c r="FLT128" s="814"/>
      <c r="FLU128" s="814"/>
      <c r="FLV128" s="814"/>
      <c r="FLW128" s="814"/>
      <c r="FLX128" s="814"/>
      <c r="FLY128" s="814"/>
      <c r="FLZ128" s="814"/>
      <c r="FMA128" s="814"/>
      <c r="FMB128" s="814"/>
      <c r="FMC128" s="813"/>
      <c r="FMD128" s="813"/>
      <c r="FME128" s="813"/>
      <c r="FMF128" s="813"/>
      <c r="FMG128" s="813"/>
      <c r="FMH128" s="814"/>
      <c r="FMI128" s="814"/>
      <c r="FMJ128" s="814"/>
      <c r="FMK128" s="814"/>
      <c r="FML128" s="814"/>
      <c r="FMM128" s="814"/>
      <c r="FMN128" s="814"/>
      <c r="FMO128" s="814"/>
      <c r="FMP128" s="814"/>
      <c r="FMQ128" s="813"/>
      <c r="FMR128" s="813"/>
      <c r="FMS128" s="813"/>
      <c r="FMT128" s="813"/>
      <c r="FMU128" s="813"/>
      <c r="FMV128" s="814"/>
      <c r="FMW128" s="814"/>
      <c r="FMX128" s="814"/>
      <c r="FMY128" s="814"/>
      <c r="FMZ128" s="814"/>
      <c r="FNA128" s="814"/>
      <c r="FNB128" s="814"/>
      <c r="FNC128" s="814"/>
      <c r="FND128" s="814"/>
      <c r="FNE128" s="813"/>
      <c r="FNF128" s="813"/>
      <c r="FNG128" s="813"/>
      <c r="FNH128" s="813"/>
      <c r="FNI128" s="813"/>
      <c r="FNJ128" s="814"/>
      <c r="FNK128" s="814"/>
      <c r="FNL128" s="814"/>
      <c r="FNM128" s="814"/>
      <c r="FNN128" s="814"/>
      <c r="FNO128" s="814"/>
      <c r="FNP128" s="814"/>
      <c r="FNQ128" s="814"/>
      <c r="FNR128" s="814"/>
      <c r="FNS128" s="813"/>
      <c r="FNT128" s="813"/>
      <c r="FNU128" s="813"/>
      <c r="FNV128" s="813"/>
      <c r="FNW128" s="813"/>
      <c r="FNX128" s="814"/>
      <c r="FNY128" s="814"/>
      <c r="FNZ128" s="814"/>
      <c r="FOA128" s="814"/>
      <c r="FOB128" s="814"/>
      <c r="FOC128" s="814"/>
      <c r="FOD128" s="814"/>
      <c r="FOE128" s="814"/>
      <c r="FOF128" s="814"/>
      <c r="FOG128" s="813"/>
      <c r="FOH128" s="813"/>
      <c r="FOI128" s="813"/>
      <c r="FOJ128" s="813"/>
      <c r="FOK128" s="813"/>
      <c r="FOL128" s="814"/>
      <c r="FOM128" s="814"/>
      <c r="FON128" s="814"/>
      <c r="FOO128" s="814"/>
      <c r="FOP128" s="814"/>
      <c r="FOQ128" s="814"/>
      <c r="FOR128" s="814"/>
      <c r="FOS128" s="814"/>
      <c r="FOT128" s="814"/>
      <c r="FOU128" s="813"/>
      <c r="FOV128" s="813"/>
      <c r="FOW128" s="813"/>
      <c r="FOX128" s="813"/>
      <c r="FOY128" s="813"/>
      <c r="FOZ128" s="814"/>
      <c r="FPA128" s="814"/>
      <c r="FPB128" s="814"/>
      <c r="FPC128" s="814"/>
      <c r="FPD128" s="814"/>
      <c r="FPE128" s="814"/>
      <c r="FPF128" s="814"/>
      <c r="FPG128" s="814"/>
      <c r="FPH128" s="814"/>
      <c r="FPI128" s="813"/>
      <c r="FPJ128" s="813"/>
      <c r="FPK128" s="813"/>
      <c r="FPL128" s="813"/>
      <c r="FPM128" s="813"/>
      <c r="FPN128" s="814"/>
      <c r="FPO128" s="814"/>
      <c r="FPP128" s="814"/>
      <c r="FPQ128" s="814"/>
      <c r="FPR128" s="814"/>
      <c r="FPS128" s="814"/>
      <c r="FPT128" s="814"/>
      <c r="FPU128" s="814"/>
      <c r="FPV128" s="814"/>
      <c r="FPW128" s="813"/>
      <c r="FPX128" s="813"/>
      <c r="FPY128" s="813"/>
      <c r="FPZ128" s="813"/>
      <c r="FQA128" s="813"/>
      <c r="FQB128" s="814"/>
      <c r="FQC128" s="814"/>
      <c r="FQD128" s="814"/>
      <c r="FQE128" s="814"/>
      <c r="FQF128" s="814"/>
      <c r="FQG128" s="814"/>
      <c r="FQH128" s="814"/>
      <c r="FQI128" s="814"/>
      <c r="FQJ128" s="814"/>
      <c r="FQK128" s="813"/>
      <c r="FQL128" s="813"/>
      <c r="FQM128" s="813"/>
      <c r="FQN128" s="813"/>
      <c r="FQO128" s="813"/>
      <c r="FQP128" s="814"/>
      <c r="FQQ128" s="814"/>
      <c r="FQR128" s="814"/>
      <c r="FQS128" s="814"/>
      <c r="FQT128" s="814"/>
      <c r="FQU128" s="814"/>
      <c r="FQV128" s="814"/>
      <c r="FQW128" s="814"/>
      <c r="FQX128" s="814"/>
      <c r="FQY128" s="813"/>
      <c r="FQZ128" s="813"/>
      <c r="FRA128" s="813"/>
      <c r="FRB128" s="813"/>
      <c r="FRC128" s="813"/>
      <c r="FRD128" s="814"/>
      <c r="FRE128" s="814"/>
      <c r="FRF128" s="814"/>
      <c r="FRG128" s="814"/>
      <c r="FRH128" s="814"/>
      <c r="FRI128" s="814"/>
      <c r="FRJ128" s="814"/>
      <c r="FRK128" s="814"/>
      <c r="FRL128" s="814"/>
      <c r="FRM128" s="813"/>
      <c r="FRN128" s="813"/>
      <c r="FRO128" s="813"/>
      <c r="FRP128" s="813"/>
      <c r="FRQ128" s="813"/>
      <c r="FRR128" s="814"/>
      <c r="FRS128" s="814"/>
      <c r="FRT128" s="814"/>
      <c r="FRU128" s="814"/>
      <c r="FRV128" s="814"/>
      <c r="FRW128" s="814"/>
      <c r="FRX128" s="814"/>
      <c r="FRY128" s="814"/>
      <c r="FRZ128" s="814"/>
      <c r="FSA128" s="813"/>
      <c r="FSB128" s="813"/>
      <c r="FSC128" s="813"/>
      <c r="FSD128" s="813"/>
      <c r="FSE128" s="813"/>
      <c r="FSF128" s="814"/>
      <c r="FSG128" s="814"/>
      <c r="FSH128" s="814"/>
      <c r="FSI128" s="814"/>
      <c r="FSJ128" s="814"/>
      <c r="FSK128" s="814"/>
      <c r="FSL128" s="814"/>
      <c r="FSM128" s="814"/>
      <c r="FSN128" s="814"/>
      <c r="FSO128" s="813"/>
      <c r="FSP128" s="813"/>
      <c r="FSQ128" s="813"/>
      <c r="FSR128" s="813"/>
      <c r="FSS128" s="813"/>
      <c r="FST128" s="814"/>
      <c r="FSU128" s="814"/>
      <c r="FSV128" s="814"/>
      <c r="FSW128" s="814"/>
      <c r="FSX128" s="814"/>
      <c r="FSY128" s="814"/>
      <c r="FSZ128" s="814"/>
      <c r="FTA128" s="814"/>
      <c r="FTB128" s="814"/>
      <c r="FTC128" s="813"/>
      <c r="FTD128" s="813"/>
      <c r="FTE128" s="813"/>
      <c r="FTF128" s="813"/>
      <c r="FTG128" s="813"/>
      <c r="FTH128" s="814"/>
      <c r="FTI128" s="814"/>
      <c r="FTJ128" s="814"/>
      <c r="FTK128" s="814"/>
      <c r="FTL128" s="814"/>
      <c r="FTM128" s="814"/>
      <c r="FTN128" s="814"/>
      <c r="FTO128" s="814"/>
      <c r="FTP128" s="814"/>
      <c r="FTQ128" s="813"/>
      <c r="FTR128" s="813"/>
      <c r="FTS128" s="813"/>
      <c r="FTT128" s="813"/>
      <c r="FTU128" s="813"/>
      <c r="FTV128" s="814"/>
      <c r="FTW128" s="814"/>
      <c r="FTX128" s="814"/>
      <c r="FTY128" s="814"/>
      <c r="FTZ128" s="814"/>
      <c r="FUA128" s="814"/>
      <c r="FUB128" s="814"/>
      <c r="FUC128" s="814"/>
      <c r="FUD128" s="814"/>
      <c r="FUE128" s="813"/>
      <c r="FUF128" s="813"/>
      <c r="FUG128" s="813"/>
      <c r="FUH128" s="813"/>
      <c r="FUI128" s="813"/>
      <c r="FUJ128" s="814"/>
      <c r="FUK128" s="814"/>
      <c r="FUL128" s="814"/>
      <c r="FUM128" s="814"/>
      <c r="FUN128" s="814"/>
      <c r="FUO128" s="814"/>
      <c r="FUP128" s="814"/>
      <c r="FUQ128" s="814"/>
      <c r="FUR128" s="814"/>
      <c r="FUS128" s="813"/>
      <c r="FUT128" s="813"/>
      <c r="FUU128" s="813"/>
      <c r="FUV128" s="813"/>
      <c r="FUW128" s="813"/>
      <c r="FUX128" s="814"/>
      <c r="FUY128" s="814"/>
      <c r="FUZ128" s="814"/>
      <c r="FVA128" s="814"/>
      <c r="FVB128" s="814"/>
      <c r="FVC128" s="814"/>
      <c r="FVD128" s="814"/>
      <c r="FVE128" s="814"/>
      <c r="FVF128" s="814"/>
      <c r="FVG128" s="813"/>
      <c r="FVH128" s="813"/>
      <c r="FVI128" s="813"/>
      <c r="FVJ128" s="813"/>
      <c r="FVK128" s="813"/>
      <c r="FVL128" s="814"/>
      <c r="FVM128" s="814"/>
      <c r="FVN128" s="814"/>
      <c r="FVO128" s="814"/>
      <c r="FVP128" s="814"/>
      <c r="FVQ128" s="814"/>
      <c r="FVR128" s="814"/>
      <c r="FVS128" s="814"/>
      <c r="FVT128" s="814"/>
      <c r="FVU128" s="813"/>
      <c r="FVV128" s="813"/>
      <c r="FVW128" s="813"/>
      <c r="FVX128" s="813"/>
      <c r="FVY128" s="813"/>
      <c r="FVZ128" s="814"/>
      <c r="FWA128" s="814"/>
      <c r="FWB128" s="814"/>
      <c r="FWC128" s="814"/>
      <c r="FWD128" s="814"/>
      <c r="FWE128" s="814"/>
      <c r="FWF128" s="814"/>
      <c r="FWG128" s="814"/>
      <c r="FWH128" s="814"/>
      <c r="FWI128" s="813"/>
      <c r="FWJ128" s="813"/>
      <c r="FWK128" s="813"/>
      <c r="FWL128" s="813"/>
      <c r="FWM128" s="813"/>
      <c r="FWN128" s="814"/>
      <c r="FWO128" s="814"/>
      <c r="FWP128" s="814"/>
      <c r="FWQ128" s="814"/>
      <c r="FWR128" s="814"/>
      <c r="FWS128" s="814"/>
      <c r="FWT128" s="814"/>
      <c r="FWU128" s="814"/>
      <c r="FWV128" s="814"/>
      <c r="FWW128" s="813"/>
      <c r="FWX128" s="813"/>
      <c r="FWY128" s="813"/>
      <c r="FWZ128" s="813"/>
      <c r="FXA128" s="813"/>
      <c r="FXB128" s="814"/>
      <c r="FXC128" s="814"/>
      <c r="FXD128" s="814"/>
      <c r="FXE128" s="814"/>
      <c r="FXF128" s="814"/>
      <c r="FXG128" s="814"/>
      <c r="FXH128" s="814"/>
      <c r="FXI128" s="814"/>
      <c r="FXJ128" s="814"/>
      <c r="FXK128" s="813"/>
      <c r="FXL128" s="813"/>
      <c r="FXM128" s="813"/>
      <c r="FXN128" s="813"/>
      <c r="FXO128" s="813"/>
      <c r="FXP128" s="814"/>
      <c r="FXQ128" s="814"/>
      <c r="FXR128" s="814"/>
      <c r="FXS128" s="814"/>
      <c r="FXT128" s="814"/>
      <c r="FXU128" s="814"/>
      <c r="FXV128" s="814"/>
      <c r="FXW128" s="814"/>
      <c r="FXX128" s="814"/>
      <c r="FXY128" s="813"/>
      <c r="FXZ128" s="813"/>
      <c r="FYA128" s="813"/>
      <c r="FYB128" s="813"/>
      <c r="FYC128" s="813"/>
      <c r="FYD128" s="814"/>
      <c r="FYE128" s="814"/>
      <c r="FYF128" s="814"/>
      <c r="FYG128" s="814"/>
      <c r="FYH128" s="814"/>
      <c r="FYI128" s="814"/>
      <c r="FYJ128" s="814"/>
      <c r="FYK128" s="814"/>
      <c r="FYL128" s="814"/>
      <c r="FYM128" s="813"/>
      <c r="FYN128" s="813"/>
      <c r="FYO128" s="813"/>
      <c r="FYP128" s="813"/>
      <c r="FYQ128" s="813"/>
      <c r="FYR128" s="814"/>
      <c r="FYS128" s="814"/>
      <c r="FYT128" s="814"/>
      <c r="FYU128" s="814"/>
      <c r="FYV128" s="814"/>
      <c r="FYW128" s="814"/>
      <c r="FYX128" s="814"/>
      <c r="FYY128" s="814"/>
      <c r="FYZ128" s="814"/>
      <c r="FZA128" s="813"/>
      <c r="FZB128" s="813"/>
      <c r="FZC128" s="813"/>
      <c r="FZD128" s="813"/>
      <c r="FZE128" s="813"/>
      <c r="FZF128" s="814"/>
      <c r="FZG128" s="814"/>
      <c r="FZH128" s="814"/>
      <c r="FZI128" s="814"/>
      <c r="FZJ128" s="814"/>
      <c r="FZK128" s="814"/>
      <c r="FZL128" s="814"/>
      <c r="FZM128" s="814"/>
      <c r="FZN128" s="814"/>
      <c r="FZO128" s="813"/>
      <c r="FZP128" s="813"/>
      <c r="FZQ128" s="813"/>
      <c r="FZR128" s="813"/>
      <c r="FZS128" s="813"/>
      <c r="FZT128" s="814"/>
      <c r="FZU128" s="814"/>
      <c r="FZV128" s="814"/>
      <c r="FZW128" s="814"/>
      <c r="FZX128" s="814"/>
      <c r="FZY128" s="814"/>
      <c r="FZZ128" s="814"/>
      <c r="GAA128" s="814"/>
      <c r="GAB128" s="814"/>
      <c r="GAC128" s="813"/>
      <c r="GAD128" s="813"/>
      <c r="GAE128" s="813"/>
      <c r="GAF128" s="813"/>
      <c r="GAG128" s="813"/>
      <c r="GAH128" s="814"/>
      <c r="GAI128" s="814"/>
      <c r="GAJ128" s="814"/>
      <c r="GAK128" s="814"/>
      <c r="GAL128" s="814"/>
      <c r="GAM128" s="814"/>
      <c r="GAN128" s="814"/>
      <c r="GAO128" s="814"/>
      <c r="GAP128" s="814"/>
      <c r="GAQ128" s="813"/>
      <c r="GAR128" s="813"/>
      <c r="GAS128" s="813"/>
      <c r="GAT128" s="813"/>
      <c r="GAU128" s="813"/>
      <c r="GAV128" s="814"/>
      <c r="GAW128" s="814"/>
      <c r="GAX128" s="814"/>
      <c r="GAY128" s="814"/>
      <c r="GAZ128" s="814"/>
      <c r="GBA128" s="814"/>
      <c r="GBB128" s="814"/>
      <c r="GBC128" s="814"/>
      <c r="GBD128" s="814"/>
      <c r="GBE128" s="813"/>
      <c r="GBF128" s="813"/>
      <c r="GBG128" s="813"/>
      <c r="GBH128" s="813"/>
      <c r="GBI128" s="813"/>
      <c r="GBJ128" s="814"/>
      <c r="GBK128" s="814"/>
      <c r="GBL128" s="814"/>
      <c r="GBM128" s="814"/>
      <c r="GBN128" s="814"/>
      <c r="GBO128" s="814"/>
      <c r="GBP128" s="814"/>
      <c r="GBQ128" s="814"/>
      <c r="GBR128" s="814"/>
      <c r="GBS128" s="813"/>
      <c r="GBT128" s="813"/>
      <c r="GBU128" s="813"/>
      <c r="GBV128" s="813"/>
      <c r="GBW128" s="813"/>
      <c r="GBX128" s="814"/>
      <c r="GBY128" s="814"/>
      <c r="GBZ128" s="814"/>
      <c r="GCA128" s="814"/>
      <c r="GCB128" s="814"/>
      <c r="GCC128" s="814"/>
      <c r="GCD128" s="814"/>
      <c r="GCE128" s="814"/>
      <c r="GCF128" s="814"/>
      <c r="GCG128" s="813"/>
      <c r="GCH128" s="813"/>
      <c r="GCI128" s="813"/>
      <c r="GCJ128" s="813"/>
      <c r="GCK128" s="813"/>
      <c r="GCL128" s="814"/>
      <c r="GCM128" s="814"/>
      <c r="GCN128" s="814"/>
      <c r="GCO128" s="814"/>
      <c r="GCP128" s="814"/>
      <c r="GCQ128" s="814"/>
      <c r="GCR128" s="814"/>
      <c r="GCS128" s="814"/>
      <c r="GCT128" s="814"/>
      <c r="GCU128" s="813"/>
      <c r="GCV128" s="813"/>
      <c r="GCW128" s="813"/>
      <c r="GCX128" s="813"/>
      <c r="GCY128" s="813"/>
      <c r="GCZ128" s="814"/>
      <c r="GDA128" s="814"/>
      <c r="GDB128" s="814"/>
      <c r="GDC128" s="814"/>
      <c r="GDD128" s="814"/>
      <c r="GDE128" s="814"/>
      <c r="GDF128" s="814"/>
      <c r="GDG128" s="814"/>
      <c r="GDH128" s="814"/>
      <c r="GDI128" s="813"/>
      <c r="GDJ128" s="813"/>
      <c r="GDK128" s="813"/>
      <c r="GDL128" s="813"/>
      <c r="GDM128" s="813"/>
      <c r="GDN128" s="814"/>
      <c r="GDO128" s="814"/>
      <c r="GDP128" s="814"/>
      <c r="GDQ128" s="814"/>
      <c r="GDR128" s="814"/>
      <c r="GDS128" s="814"/>
      <c r="GDT128" s="814"/>
      <c r="GDU128" s="814"/>
      <c r="GDV128" s="814"/>
      <c r="GDW128" s="813"/>
      <c r="GDX128" s="813"/>
      <c r="GDY128" s="813"/>
      <c r="GDZ128" s="813"/>
      <c r="GEA128" s="813"/>
      <c r="GEB128" s="814"/>
      <c r="GEC128" s="814"/>
      <c r="GED128" s="814"/>
      <c r="GEE128" s="814"/>
      <c r="GEF128" s="814"/>
      <c r="GEG128" s="814"/>
      <c r="GEH128" s="814"/>
      <c r="GEI128" s="814"/>
      <c r="GEJ128" s="814"/>
      <c r="GEK128" s="813"/>
      <c r="GEL128" s="813"/>
      <c r="GEM128" s="813"/>
      <c r="GEN128" s="813"/>
      <c r="GEO128" s="813"/>
      <c r="GEP128" s="814"/>
      <c r="GEQ128" s="814"/>
      <c r="GER128" s="814"/>
      <c r="GES128" s="814"/>
      <c r="GET128" s="814"/>
      <c r="GEU128" s="814"/>
      <c r="GEV128" s="814"/>
      <c r="GEW128" s="814"/>
      <c r="GEX128" s="814"/>
      <c r="GEY128" s="813"/>
      <c r="GEZ128" s="813"/>
      <c r="GFA128" s="813"/>
      <c r="GFB128" s="813"/>
      <c r="GFC128" s="813"/>
      <c r="GFD128" s="814"/>
      <c r="GFE128" s="814"/>
      <c r="GFF128" s="814"/>
      <c r="GFG128" s="814"/>
      <c r="GFH128" s="814"/>
      <c r="GFI128" s="814"/>
      <c r="GFJ128" s="814"/>
      <c r="GFK128" s="814"/>
      <c r="GFL128" s="814"/>
      <c r="GFM128" s="813"/>
      <c r="GFN128" s="813"/>
      <c r="GFO128" s="813"/>
      <c r="GFP128" s="813"/>
      <c r="GFQ128" s="813"/>
      <c r="GFR128" s="814"/>
      <c r="GFS128" s="814"/>
      <c r="GFT128" s="814"/>
      <c r="GFU128" s="814"/>
      <c r="GFV128" s="814"/>
      <c r="GFW128" s="814"/>
      <c r="GFX128" s="814"/>
      <c r="GFY128" s="814"/>
      <c r="GFZ128" s="814"/>
      <c r="GGA128" s="813"/>
      <c r="GGB128" s="813"/>
      <c r="GGC128" s="813"/>
      <c r="GGD128" s="813"/>
      <c r="GGE128" s="813"/>
      <c r="GGF128" s="814"/>
      <c r="GGG128" s="814"/>
      <c r="GGH128" s="814"/>
      <c r="GGI128" s="814"/>
      <c r="GGJ128" s="814"/>
      <c r="GGK128" s="814"/>
      <c r="GGL128" s="814"/>
      <c r="GGM128" s="814"/>
      <c r="GGN128" s="814"/>
      <c r="GGO128" s="813"/>
      <c r="GGP128" s="813"/>
      <c r="GGQ128" s="813"/>
      <c r="GGR128" s="813"/>
      <c r="GGS128" s="813"/>
      <c r="GGT128" s="814"/>
      <c r="GGU128" s="814"/>
      <c r="GGV128" s="814"/>
      <c r="GGW128" s="814"/>
      <c r="GGX128" s="814"/>
      <c r="GGY128" s="814"/>
      <c r="GGZ128" s="814"/>
      <c r="GHA128" s="814"/>
      <c r="GHB128" s="814"/>
      <c r="GHC128" s="813"/>
      <c r="GHD128" s="813"/>
      <c r="GHE128" s="813"/>
      <c r="GHF128" s="813"/>
      <c r="GHG128" s="813"/>
      <c r="GHH128" s="814"/>
      <c r="GHI128" s="814"/>
      <c r="GHJ128" s="814"/>
      <c r="GHK128" s="814"/>
      <c r="GHL128" s="814"/>
      <c r="GHM128" s="814"/>
      <c r="GHN128" s="814"/>
      <c r="GHO128" s="814"/>
      <c r="GHP128" s="814"/>
      <c r="GHQ128" s="813"/>
      <c r="GHR128" s="813"/>
      <c r="GHS128" s="813"/>
      <c r="GHT128" s="813"/>
      <c r="GHU128" s="813"/>
      <c r="GHV128" s="814"/>
      <c r="GHW128" s="814"/>
      <c r="GHX128" s="814"/>
      <c r="GHY128" s="814"/>
      <c r="GHZ128" s="814"/>
      <c r="GIA128" s="814"/>
      <c r="GIB128" s="814"/>
      <c r="GIC128" s="814"/>
      <c r="GID128" s="814"/>
      <c r="GIE128" s="813"/>
      <c r="GIF128" s="813"/>
      <c r="GIG128" s="813"/>
      <c r="GIH128" s="813"/>
      <c r="GII128" s="813"/>
      <c r="GIJ128" s="814"/>
      <c r="GIK128" s="814"/>
      <c r="GIL128" s="814"/>
      <c r="GIM128" s="814"/>
      <c r="GIN128" s="814"/>
      <c r="GIO128" s="814"/>
      <c r="GIP128" s="814"/>
      <c r="GIQ128" s="814"/>
      <c r="GIR128" s="814"/>
      <c r="GIS128" s="813"/>
      <c r="GIT128" s="813"/>
      <c r="GIU128" s="813"/>
      <c r="GIV128" s="813"/>
      <c r="GIW128" s="813"/>
      <c r="GIX128" s="814"/>
      <c r="GIY128" s="814"/>
      <c r="GIZ128" s="814"/>
      <c r="GJA128" s="814"/>
      <c r="GJB128" s="814"/>
      <c r="GJC128" s="814"/>
      <c r="GJD128" s="814"/>
      <c r="GJE128" s="814"/>
      <c r="GJF128" s="814"/>
      <c r="GJG128" s="813"/>
      <c r="GJH128" s="813"/>
      <c r="GJI128" s="813"/>
      <c r="GJJ128" s="813"/>
      <c r="GJK128" s="813"/>
      <c r="GJL128" s="814"/>
      <c r="GJM128" s="814"/>
      <c r="GJN128" s="814"/>
      <c r="GJO128" s="814"/>
      <c r="GJP128" s="814"/>
      <c r="GJQ128" s="814"/>
      <c r="GJR128" s="814"/>
      <c r="GJS128" s="814"/>
      <c r="GJT128" s="814"/>
      <c r="GJU128" s="813"/>
      <c r="GJV128" s="813"/>
      <c r="GJW128" s="813"/>
      <c r="GJX128" s="813"/>
      <c r="GJY128" s="813"/>
      <c r="GJZ128" s="814"/>
      <c r="GKA128" s="814"/>
      <c r="GKB128" s="814"/>
      <c r="GKC128" s="814"/>
      <c r="GKD128" s="814"/>
      <c r="GKE128" s="814"/>
      <c r="GKF128" s="814"/>
      <c r="GKG128" s="814"/>
      <c r="GKH128" s="814"/>
      <c r="GKI128" s="813"/>
      <c r="GKJ128" s="813"/>
      <c r="GKK128" s="813"/>
      <c r="GKL128" s="813"/>
      <c r="GKM128" s="813"/>
      <c r="GKN128" s="814"/>
      <c r="GKO128" s="814"/>
      <c r="GKP128" s="814"/>
      <c r="GKQ128" s="814"/>
      <c r="GKR128" s="814"/>
      <c r="GKS128" s="814"/>
      <c r="GKT128" s="814"/>
      <c r="GKU128" s="814"/>
      <c r="GKV128" s="814"/>
      <c r="GKW128" s="813"/>
      <c r="GKX128" s="813"/>
      <c r="GKY128" s="813"/>
      <c r="GKZ128" s="813"/>
      <c r="GLA128" s="813"/>
      <c r="GLB128" s="814"/>
      <c r="GLC128" s="814"/>
      <c r="GLD128" s="814"/>
      <c r="GLE128" s="814"/>
      <c r="GLF128" s="814"/>
      <c r="GLG128" s="814"/>
      <c r="GLH128" s="814"/>
      <c r="GLI128" s="814"/>
      <c r="GLJ128" s="814"/>
      <c r="GLK128" s="813"/>
      <c r="GLL128" s="813"/>
      <c r="GLM128" s="813"/>
      <c r="GLN128" s="813"/>
      <c r="GLO128" s="813"/>
      <c r="GLP128" s="814"/>
      <c r="GLQ128" s="814"/>
      <c r="GLR128" s="814"/>
      <c r="GLS128" s="814"/>
      <c r="GLT128" s="814"/>
      <c r="GLU128" s="814"/>
      <c r="GLV128" s="814"/>
      <c r="GLW128" s="814"/>
      <c r="GLX128" s="814"/>
      <c r="GLY128" s="813"/>
      <c r="GLZ128" s="813"/>
      <c r="GMA128" s="813"/>
      <c r="GMB128" s="813"/>
      <c r="GMC128" s="813"/>
      <c r="GMD128" s="814"/>
      <c r="GME128" s="814"/>
      <c r="GMF128" s="814"/>
      <c r="GMG128" s="814"/>
      <c r="GMH128" s="814"/>
      <c r="GMI128" s="814"/>
      <c r="GMJ128" s="814"/>
      <c r="GMK128" s="814"/>
      <c r="GML128" s="814"/>
      <c r="GMM128" s="813"/>
      <c r="GMN128" s="813"/>
      <c r="GMO128" s="813"/>
      <c r="GMP128" s="813"/>
      <c r="GMQ128" s="813"/>
      <c r="GMR128" s="814"/>
      <c r="GMS128" s="814"/>
      <c r="GMT128" s="814"/>
      <c r="GMU128" s="814"/>
      <c r="GMV128" s="814"/>
      <c r="GMW128" s="814"/>
      <c r="GMX128" s="814"/>
      <c r="GMY128" s="814"/>
      <c r="GMZ128" s="814"/>
      <c r="GNA128" s="813"/>
      <c r="GNB128" s="813"/>
      <c r="GNC128" s="813"/>
      <c r="GND128" s="813"/>
      <c r="GNE128" s="813"/>
      <c r="GNF128" s="814"/>
      <c r="GNG128" s="814"/>
      <c r="GNH128" s="814"/>
      <c r="GNI128" s="814"/>
      <c r="GNJ128" s="814"/>
      <c r="GNK128" s="814"/>
      <c r="GNL128" s="814"/>
      <c r="GNM128" s="814"/>
      <c r="GNN128" s="814"/>
      <c r="GNO128" s="813"/>
      <c r="GNP128" s="813"/>
      <c r="GNQ128" s="813"/>
      <c r="GNR128" s="813"/>
      <c r="GNS128" s="813"/>
      <c r="GNT128" s="814"/>
      <c r="GNU128" s="814"/>
      <c r="GNV128" s="814"/>
      <c r="GNW128" s="814"/>
      <c r="GNX128" s="814"/>
      <c r="GNY128" s="814"/>
      <c r="GNZ128" s="814"/>
      <c r="GOA128" s="814"/>
      <c r="GOB128" s="814"/>
      <c r="GOC128" s="813"/>
      <c r="GOD128" s="813"/>
      <c r="GOE128" s="813"/>
      <c r="GOF128" s="813"/>
      <c r="GOG128" s="813"/>
      <c r="GOH128" s="814"/>
      <c r="GOI128" s="814"/>
      <c r="GOJ128" s="814"/>
      <c r="GOK128" s="814"/>
      <c r="GOL128" s="814"/>
      <c r="GOM128" s="814"/>
      <c r="GON128" s="814"/>
      <c r="GOO128" s="814"/>
      <c r="GOP128" s="814"/>
      <c r="GOQ128" s="813"/>
      <c r="GOR128" s="813"/>
      <c r="GOS128" s="813"/>
      <c r="GOT128" s="813"/>
      <c r="GOU128" s="813"/>
      <c r="GOV128" s="814"/>
      <c r="GOW128" s="814"/>
      <c r="GOX128" s="814"/>
      <c r="GOY128" s="814"/>
      <c r="GOZ128" s="814"/>
      <c r="GPA128" s="814"/>
      <c r="GPB128" s="814"/>
      <c r="GPC128" s="814"/>
      <c r="GPD128" s="814"/>
      <c r="GPE128" s="813"/>
      <c r="GPF128" s="813"/>
      <c r="GPG128" s="813"/>
      <c r="GPH128" s="813"/>
      <c r="GPI128" s="813"/>
      <c r="GPJ128" s="814"/>
      <c r="GPK128" s="814"/>
      <c r="GPL128" s="814"/>
      <c r="GPM128" s="814"/>
      <c r="GPN128" s="814"/>
      <c r="GPO128" s="814"/>
      <c r="GPP128" s="814"/>
      <c r="GPQ128" s="814"/>
      <c r="GPR128" s="814"/>
      <c r="GPS128" s="813"/>
      <c r="GPT128" s="813"/>
      <c r="GPU128" s="813"/>
      <c r="GPV128" s="813"/>
      <c r="GPW128" s="813"/>
      <c r="GPX128" s="814"/>
      <c r="GPY128" s="814"/>
      <c r="GPZ128" s="814"/>
      <c r="GQA128" s="814"/>
      <c r="GQB128" s="814"/>
      <c r="GQC128" s="814"/>
      <c r="GQD128" s="814"/>
      <c r="GQE128" s="814"/>
      <c r="GQF128" s="814"/>
      <c r="GQG128" s="813"/>
      <c r="GQH128" s="813"/>
      <c r="GQI128" s="813"/>
      <c r="GQJ128" s="813"/>
      <c r="GQK128" s="813"/>
      <c r="GQL128" s="814"/>
      <c r="GQM128" s="814"/>
      <c r="GQN128" s="814"/>
      <c r="GQO128" s="814"/>
      <c r="GQP128" s="814"/>
      <c r="GQQ128" s="814"/>
      <c r="GQR128" s="814"/>
      <c r="GQS128" s="814"/>
      <c r="GQT128" s="814"/>
      <c r="GQU128" s="813"/>
      <c r="GQV128" s="813"/>
      <c r="GQW128" s="813"/>
      <c r="GQX128" s="813"/>
      <c r="GQY128" s="813"/>
      <c r="GQZ128" s="814"/>
      <c r="GRA128" s="814"/>
      <c r="GRB128" s="814"/>
      <c r="GRC128" s="814"/>
      <c r="GRD128" s="814"/>
      <c r="GRE128" s="814"/>
      <c r="GRF128" s="814"/>
      <c r="GRG128" s="814"/>
      <c r="GRH128" s="814"/>
      <c r="GRI128" s="813"/>
      <c r="GRJ128" s="813"/>
      <c r="GRK128" s="813"/>
      <c r="GRL128" s="813"/>
      <c r="GRM128" s="813"/>
      <c r="GRN128" s="814"/>
      <c r="GRO128" s="814"/>
      <c r="GRP128" s="814"/>
      <c r="GRQ128" s="814"/>
      <c r="GRR128" s="814"/>
      <c r="GRS128" s="814"/>
      <c r="GRT128" s="814"/>
      <c r="GRU128" s="814"/>
      <c r="GRV128" s="814"/>
      <c r="GRW128" s="813"/>
      <c r="GRX128" s="813"/>
      <c r="GRY128" s="813"/>
      <c r="GRZ128" s="813"/>
      <c r="GSA128" s="813"/>
      <c r="GSB128" s="814"/>
      <c r="GSC128" s="814"/>
      <c r="GSD128" s="814"/>
      <c r="GSE128" s="814"/>
      <c r="GSF128" s="814"/>
      <c r="GSG128" s="814"/>
      <c r="GSH128" s="814"/>
      <c r="GSI128" s="814"/>
      <c r="GSJ128" s="814"/>
      <c r="GSK128" s="813"/>
      <c r="GSL128" s="813"/>
      <c r="GSM128" s="813"/>
      <c r="GSN128" s="813"/>
      <c r="GSO128" s="813"/>
      <c r="GSP128" s="814"/>
      <c r="GSQ128" s="814"/>
      <c r="GSR128" s="814"/>
      <c r="GSS128" s="814"/>
      <c r="GST128" s="814"/>
      <c r="GSU128" s="814"/>
      <c r="GSV128" s="814"/>
      <c r="GSW128" s="814"/>
      <c r="GSX128" s="814"/>
      <c r="GSY128" s="813"/>
      <c r="GSZ128" s="813"/>
      <c r="GTA128" s="813"/>
      <c r="GTB128" s="813"/>
      <c r="GTC128" s="813"/>
      <c r="GTD128" s="814"/>
      <c r="GTE128" s="814"/>
      <c r="GTF128" s="814"/>
      <c r="GTG128" s="814"/>
      <c r="GTH128" s="814"/>
      <c r="GTI128" s="814"/>
      <c r="GTJ128" s="814"/>
      <c r="GTK128" s="814"/>
      <c r="GTL128" s="814"/>
      <c r="GTM128" s="813"/>
      <c r="GTN128" s="813"/>
      <c r="GTO128" s="813"/>
      <c r="GTP128" s="813"/>
      <c r="GTQ128" s="813"/>
      <c r="GTR128" s="814"/>
      <c r="GTS128" s="814"/>
      <c r="GTT128" s="814"/>
      <c r="GTU128" s="814"/>
      <c r="GTV128" s="814"/>
      <c r="GTW128" s="814"/>
      <c r="GTX128" s="814"/>
      <c r="GTY128" s="814"/>
      <c r="GTZ128" s="814"/>
      <c r="GUA128" s="813"/>
      <c r="GUB128" s="813"/>
      <c r="GUC128" s="813"/>
      <c r="GUD128" s="813"/>
      <c r="GUE128" s="813"/>
      <c r="GUF128" s="814"/>
      <c r="GUG128" s="814"/>
      <c r="GUH128" s="814"/>
      <c r="GUI128" s="814"/>
      <c r="GUJ128" s="814"/>
      <c r="GUK128" s="814"/>
      <c r="GUL128" s="814"/>
      <c r="GUM128" s="814"/>
      <c r="GUN128" s="814"/>
      <c r="GUO128" s="813"/>
      <c r="GUP128" s="813"/>
      <c r="GUQ128" s="813"/>
      <c r="GUR128" s="813"/>
      <c r="GUS128" s="813"/>
      <c r="GUT128" s="814"/>
      <c r="GUU128" s="814"/>
      <c r="GUV128" s="814"/>
      <c r="GUW128" s="814"/>
      <c r="GUX128" s="814"/>
      <c r="GUY128" s="814"/>
      <c r="GUZ128" s="814"/>
      <c r="GVA128" s="814"/>
      <c r="GVB128" s="814"/>
      <c r="GVC128" s="813"/>
      <c r="GVD128" s="813"/>
      <c r="GVE128" s="813"/>
      <c r="GVF128" s="813"/>
      <c r="GVG128" s="813"/>
      <c r="GVH128" s="814"/>
      <c r="GVI128" s="814"/>
      <c r="GVJ128" s="814"/>
      <c r="GVK128" s="814"/>
      <c r="GVL128" s="814"/>
      <c r="GVM128" s="814"/>
      <c r="GVN128" s="814"/>
      <c r="GVO128" s="814"/>
      <c r="GVP128" s="814"/>
      <c r="GVQ128" s="813"/>
      <c r="GVR128" s="813"/>
      <c r="GVS128" s="813"/>
      <c r="GVT128" s="813"/>
      <c r="GVU128" s="813"/>
      <c r="GVV128" s="814"/>
      <c r="GVW128" s="814"/>
      <c r="GVX128" s="814"/>
      <c r="GVY128" s="814"/>
      <c r="GVZ128" s="814"/>
      <c r="GWA128" s="814"/>
      <c r="GWB128" s="814"/>
      <c r="GWC128" s="814"/>
      <c r="GWD128" s="814"/>
      <c r="GWE128" s="813"/>
      <c r="GWF128" s="813"/>
      <c r="GWG128" s="813"/>
      <c r="GWH128" s="813"/>
      <c r="GWI128" s="813"/>
      <c r="GWJ128" s="814"/>
      <c r="GWK128" s="814"/>
      <c r="GWL128" s="814"/>
      <c r="GWM128" s="814"/>
      <c r="GWN128" s="814"/>
      <c r="GWO128" s="814"/>
      <c r="GWP128" s="814"/>
      <c r="GWQ128" s="814"/>
      <c r="GWR128" s="814"/>
      <c r="GWS128" s="813"/>
      <c r="GWT128" s="813"/>
      <c r="GWU128" s="813"/>
      <c r="GWV128" s="813"/>
      <c r="GWW128" s="813"/>
      <c r="GWX128" s="814"/>
      <c r="GWY128" s="814"/>
      <c r="GWZ128" s="814"/>
      <c r="GXA128" s="814"/>
      <c r="GXB128" s="814"/>
      <c r="GXC128" s="814"/>
      <c r="GXD128" s="814"/>
      <c r="GXE128" s="814"/>
      <c r="GXF128" s="814"/>
      <c r="GXG128" s="813"/>
      <c r="GXH128" s="813"/>
      <c r="GXI128" s="813"/>
      <c r="GXJ128" s="813"/>
      <c r="GXK128" s="813"/>
      <c r="GXL128" s="814"/>
      <c r="GXM128" s="814"/>
      <c r="GXN128" s="814"/>
      <c r="GXO128" s="814"/>
      <c r="GXP128" s="814"/>
      <c r="GXQ128" s="814"/>
      <c r="GXR128" s="814"/>
      <c r="GXS128" s="814"/>
      <c r="GXT128" s="814"/>
      <c r="GXU128" s="813"/>
      <c r="GXV128" s="813"/>
      <c r="GXW128" s="813"/>
      <c r="GXX128" s="813"/>
      <c r="GXY128" s="813"/>
      <c r="GXZ128" s="814"/>
      <c r="GYA128" s="814"/>
      <c r="GYB128" s="814"/>
      <c r="GYC128" s="814"/>
      <c r="GYD128" s="814"/>
      <c r="GYE128" s="814"/>
      <c r="GYF128" s="814"/>
      <c r="GYG128" s="814"/>
      <c r="GYH128" s="814"/>
      <c r="GYI128" s="813"/>
      <c r="GYJ128" s="813"/>
      <c r="GYK128" s="813"/>
      <c r="GYL128" s="813"/>
      <c r="GYM128" s="813"/>
      <c r="GYN128" s="814"/>
      <c r="GYO128" s="814"/>
      <c r="GYP128" s="814"/>
      <c r="GYQ128" s="814"/>
      <c r="GYR128" s="814"/>
      <c r="GYS128" s="814"/>
      <c r="GYT128" s="814"/>
      <c r="GYU128" s="814"/>
      <c r="GYV128" s="814"/>
      <c r="GYW128" s="813"/>
      <c r="GYX128" s="813"/>
      <c r="GYY128" s="813"/>
      <c r="GYZ128" s="813"/>
      <c r="GZA128" s="813"/>
      <c r="GZB128" s="814"/>
      <c r="GZC128" s="814"/>
      <c r="GZD128" s="814"/>
      <c r="GZE128" s="814"/>
      <c r="GZF128" s="814"/>
      <c r="GZG128" s="814"/>
      <c r="GZH128" s="814"/>
      <c r="GZI128" s="814"/>
      <c r="GZJ128" s="814"/>
      <c r="GZK128" s="813"/>
      <c r="GZL128" s="813"/>
      <c r="GZM128" s="813"/>
      <c r="GZN128" s="813"/>
      <c r="GZO128" s="813"/>
      <c r="GZP128" s="814"/>
      <c r="GZQ128" s="814"/>
      <c r="GZR128" s="814"/>
      <c r="GZS128" s="814"/>
      <c r="GZT128" s="814"/>
      <c r="GZU128" s="814"/>
      <c r="GZV128" s="814"/>
      <c r="GZW128" s="814"/>
      <c r="GZX128" s="814"/>
      <c r="GZY128" s="813"/>
      <c r="GZZ128" s="813"/>
      <c r="HAA128" s="813"/>
      <c r="HAB128" s="813"/>
      <c r="HAC128" s="813"/>
      <c r="HAD128" s="814"/>
      <c r="HAE128" s="814"/>
      <c r="HAF128" s="814"/>
      <c r="HAG128" s="814"/>
      <c r="HAH128" s="814"/>
      <c r="HAI128" s="814"/>
      <c r="HAJ128" s="814"/>
      <c r="HAK128" s="814"/>
      <c r="HAL128" s="814"/>
      <c r="HAM128" s="813"/>
      <c r="HAN128" s="813"/>
      <c r="HAO128" s="813"/>
      <c r="HAP128" s="813"/>
      <c r="HAQ128" s="813"/>
      <c r="HAR128" s="814"/>
      <c r="HAS128" s="814"/>
      <c r="HAT128" s="814"/>
      <c r="HAU128" s="814"/>
      <c r="HAV128" s="814"/>
      <c r="HAW128" s="814"/>
      <c r="HAX128" s="814"/>
      <c r="HAY128" s="814"/>
      <c r="HAZ128" s="814"/>
      <c r="HBA128" s="813"/>
      <c r="HBB128" s="813"/>
      <c r="HBC128" s="813"/>
      <c r="HBD128" s="813"/>
      <c r="HBE128" s="813"/>
      <c r="HBF128" s="814"/>
      <c r="HBG128" s="814"/>
      <c r="HBH128" s="814"/>
      <c r="HBI128" s="814"/>
      <c r="HBJ128" s="814"/>
      <c r="HBK128" s="814"/>
      <c r="HBL128" s="814"/>
      <c r="HBM128" s="814"/>
      <c r="HBN128" s="814"/>
      <c r="HBO128" s="813"/>
      <c r="HBP128" s="813"/>
      <c r="HBQ128" s="813"/>
      <c r="HBR128" s="813"/>
      <c r="HBS128" s="813"/>
      <c r="HBT128" s="814"/>
      <c r="HBU128" s="814"/>
      <c r="HBV128" s="814"/>
      <c r="HBW128" s="814"/>
      <c r="HBX128" s="814"/>
      <c r="HBY128" s="814"/>
      <c r="HBZ128" s="814"/>
      <c r="HCA128" s="814"/>
      <c r="HCB128" s="814"/>
      <c r="HCC128" s="813"/>
      <c r="HCD128" s="813"/>
      <c r="HCE128" s="813"/>
      <c r="HCF128" s="813"/>
      <c r="HCG128" s="813"/>
      <c r="HCH128" s="814"/>
      <c r="HCI128" s="814"/>
      <c r="HCJ128" s="814"/>
      <c r="HCK128" s="814"/>
      <c r="HCL128" s="814"/>
      <c r="HCM128" s="814"/>
      <c r="HCN128" s="814"/>
      <c r="HCO128" s="814"/>
      <c r="HCP128" s="814"/>
      <c r="HCQ128" s="813"/>
      <c r="HCR128" s="813"/>
      <c r="HCS128" s="813"/>
      <c r="HCT128" s="813"/>
      <c r="HCU128" s="813"/>
      <c r="HCV128" s="814"/>
      <c r="HCW128" s="814"/>
      <c r="HCX128" s="814"/>
      <c r="HCY128" s="814"/>
      <c r="HCZ128" s="814"/>
      <c r="HDA128" s="814"/>
      <c r="HDB128" s="814"/>
      <c r="HDC128" s="814"/>
      <c r="HDD128" s="814"/>
      <c r="HDE128" s="813"/>
      <c r="HDF128" s="813"/>
      <c r="HDG128" s="813"/>
      <c r="HDH128" s="813"/>
      <c r="HDI128" s="813"/>
      <c r="HDJ128" s="814"/>
      <c r="HDK128" s="814"/>
      <c r="HDL128" s="814"/>
      <c r="HDM128" s="814"/>
      <c r="HDN128" s="814"/>
      <c r="HDO128" s="814"/>
      <c r="HDP128" s="814"/>
      <c r="HDQ128" s="814"/>
      <c r="HDR128" s="814"/>
      <c r="HDS128" s="813"/>
      <c r="HDT128" s="813"/>
      <c r="HDU128" s="813"/>
      <c r="HDV128" s="813"/>
      <c r="HDW128" s="813"/>
      <c r="HDX128" s="814"/>
      <c r="HDY128" s="814"/>
      <c r="HDZ128" s="814"/>
      <c r="HEA128" s="814"/>
      <c r="HEB128" s="814"/>
      <c r="HEC128" s="814"/>
      <c r="HED128" s="814"/>
      <c r="HEE128" s="814"/>
      <c r="HEF128" s="814"/>
      <c r="HEG128" s="813"/>
      <c r="HEH128" s="813"/>
      <c r="HEI128" s="813"/>
      <c r="HEJ128" s="813"/>
      <c r="HEK128" s="813"/>
      <c r="HEL128" s="814"/>
      <c r="HEM128" s="814"/>
      <c r="HEN128" s="814"/>
      <c r="HEO128" s="814"/>
      <c r="HEP128" s="814"/>
      <c r="HEQ128" s="814"/>
      <c r="HER128" s="814"/>
      <c r="HES128" s="814"/>
      <c r="HET128" s="814"/>
      <c r="HEU128" s="813"/>
      <c r="HEV128" s="813"/>
      <c r="HEW128" s="813"/>
      <c r="HEX128" s="813"/>
      <c r="HEY128" s="813"/>
      <c r="HEZ128" s="814"/>
      <c r="HFA128" s="814"/>
      <c r="HFB128" s="814"/>
      <c r="HFC128" s="814"/>
      <c r="HFD128" s="814"/>
      <c r="HFE128" s="814"/>
      <c r="HFF128" s="814"/>
      <c r="HFG128" s="814"/>
      <c r="HFH128" s="814"/>
      <c r="HFI128" s="813"/>
      <c r="HFJ128" s="813"/>
      <c r="HFK128" s="813"/>
      <c r="HFL128" s="813"/>
      <c r="HFM128" s="813"/>
      <c r="HFN128" s="814"/>
      <c r="HFO128" s="814"/>
      <c r="HFP128" s="814"/>
      <c r="HFQ128" s="814"/>
      <c r="HFR128" s="814"/>
      <c r="HFS128" s="814"/>
      <c r="HFT128" s="814"/>
      <c r="HFU128" s="814"/>
      <c r="HFV128" s="814"/>
      <c r="HFW128" s="813"/>
      <c r="HFX128" s="813"/>
      <c r="HFY128" s="813"/>
      <c r="HFZ128" s="813"/>
      <c r="HGA128" s="813"/>
      <c r="HGB128" s="814"/>
      <c r="HGC128" s="814"/>
      <c r="HGD128" s="814"/>
      <c r="HGE128" s="814"/>
      <c r="HGF128" s="814"/>
      <c r="HGG128" s="814"/>
      <c r="HGH128" s="814"/>
      <c r="HGI128" s="814"/>
      <c r="HGJ128" s="814"/>
      <c r="HGK128" s="813"/>
      <c r="HGL128" s="813"/>
      <c r="HGM128" s="813"/>
      <c r="HGN128" s="813"/>
      <c r="HGO128" s="813"/>
      <c r="HGP128" s="814"/>
      <c r="HGQ128" s="814"/>
      <c r="HGR128" s="814"/>
      <c r="HGS128" s="814"/>
      <c r="HGT128" s="814"/>
      <c r="HGU128" s="814"/>
      <c r="HGV128" s="814"/>
      <c r="HGW128" s="814"/>
      <c r="HGX128" s="814"/>
      <c r="HGY128" s="813"/>
      <c r="HGZ128" s="813"/>
      <c r="HHA128" s="813"/>
      <c r="HHB128" s="813"/>
      <c r="HHC128" s="813"/>
      <c r="HHD128" s="814"/>
      <c r="HHE128" s="814"/>
      <c r="HHF128" s="814"/>
      <c r="HHG128" s="814"/>
      <c r="HHH128" s="814"/>
      <c r="HHI128" s="814"/>
      <c r="HHJ128" s="814"/>
      <c r="HHK128" s="814"/>
      <c r="HHL128" s="814"/>
      <c r="HHM128" s="813"/>
      <c r="HHN128" s="813"/>
      <c r="HHO128" s="813"/>
      <c r="HHP128" s="813"/>
      <c r="HHQ128" s="813"/>
      <c r="HHR128" s="814"/>
      <c r="HHS128" s="814"/>
      <c r="HHT128" s="814"/>
      <c r="HHU128" s="814"/>
      <c r="HHV128" s="814"/>
      <c r="HHW128" s="814"/>
      <c r="HHX128" s="814"/>
      <c r="HHY128" s="814"/>
      <c r="HHZ128" s="814"/>
      <c r="HIA128" s="813"/>
      <c r="HIB128" s="813"/>
      <c r="HIC128" s="813"/>
      <c r="HID128" s="813"/>
      <c r="HIE128" s="813"/>
      <c r="HIF128" s="814"/>
      <c r="HIG128" s="814"/>
      <c r="HIH128" s="814"/>
      <c r="HII128" s="814"/>
      <c r="HIJ128" s="814"/>
      <c r="HIK128" s="814"/>
      <c r="HIL128" s="814"/>
      <c r="HIM128" s="814"/>
      <c r="HIN128" s="814"/>
      <c r="HIO128" s="813"/>
      <c r="HIP128" s="813"/>
      <c r="HIQ128" s="813"/>
      <c r="HIR128" s="813"/>
      <c r="HIS128" s="813"/>
      <c r="HIT128" s="814"/>
      <c r="HIU128" s="814"/>
      <c r="HIV128" s="814"/>
      <c r="HIW128" s="814"/>
      <c r="HIX128" s="814"/>
      <c r="HIY128" s="814"/>
      <c r="HIZ128" s="814"/>
      <c r="HJA128" s="814"/>
      <c r="HJB128" s="814"/>
      <c r="HJC128" s="813"/>
      <c r="HJD128" s="813"/>
      <c r="HJE128" s="813"/>
      <c r="HJF128" s="813"/>
      <c r="HJG128" s="813"/>
      <c r="HJH128" s="814"/>
      <c r="HJI128" s="814"/>
      <c r="HJJ128" s="814"/>
      <c r="HJK128" s="814"/>
      <c r="HJL128" s="814"/>
      <c r="HJM128" s="814"/>
      <c r="HJN128" s="814"/>
      <c r="HJO128" s="814"/>
      <c r="HJP128" s="814"/>
      <c r="HJQ128" s="813"/>
      <c r="HJR128" s="813"/>
      <c r="HJS128" s="813"/>
      <c r="HJT128" s="813"/>
      <c r="HJU128" s="813"/>
      <c r="HJV128" s="814"/>
      <c r="HJW128" s="814"/>
      <c r="HJX128" s="814"/>
      <c r="HJY128" s="814"/>
      <c r="HJZ128" s="814"/>
      <c r="HKA128" s="814"/>
      <c r="HKB128" s="814"/>
      <c r="HKC128" s="814"/>
      <c r="HKD128" s="814"/>
      <c r="HKE128" s="813"/>
      <c r="HKF128" s="813"/>
      <c r="HKG128" s="813"/>
      <c r="HKH128" s="813"/>
      <c r="HKI128" s="813"/>
      <c r="HKJ128" s="814"/>
      <c r="HKK128" s="814"/>
      <c r="HKL128" s="814"/>
      <c r="HKM128" s="814"/>
      <c r="HKN128" s="814"/>
      <c r="HKO128" s="814"/>
      <c r="HKP128" s="814"/>
      <c r="HKQ128" s="814"/>
      <c r="HKR128" s="814"/>
      <c r="HKS128" s="813"/>
      <c r="HKT128" s="813"/>
      <c r="HKU128" s="813"/>
      <c r="HKV128" s="813"/>
      <c r="HKW128" s="813"/>
      <c r="HKX128" s="814"/>
      <c r="HKY128" s="814"/>
      <c r="HKZ128" s="814"/>
      <c r="HLA128" s="814"/>
      <c r="HLB128" s="814"/>
      <c r="HLC128" s="814"/>
      <c r="HLD128" s="814"/>
      <c r="HLE128" s="814"/>
      <c r="HLF128" s="814"/>
      <c r="HLG128" s="813"/>
      <c r="HLH128" s="813"/>
      <c r="HLI128" s="813"/>
      <c r="HLJ128" s="813"/>
      <c r="HLK128" s="813"/>
      <c r="HLL128" s="814"/>
      <c r="HLM128" s="814"/>
      <c r="HLN128" s="814"/>
      <c r="HLO128" s="814"/>
      <c r="HLP128" s="814"/>
      <c r="HLQ128" s="814"/>
      <c r="HLR128" s="814"/>
      <c r="HLS128" s="814"/>
      <c r="HLT128" s="814"/>
      <c r="HLU128" s="813"/>
      <c r="HLV128" s="813"/>
      <c r="HLW128" s="813"/>
      <c r="HLX128" s="813"/>
      <c r="HLY128" s="813"/>
      <c r="HLZ128" s="814"/>
      <c r="HMA128" s="814"/>
      <c r="HMB128" s="814"/>
      <c r="HMC128" s="814"/>
      <c r="HMD128" s="814"/>
      <c r="HME128" s="814"/>
      <c r="HMF128" s="814"/>
      <c r="HMG128" s="814"/>
      <c r="HMH128" s="814"/>
      <c r="HMI128" s="813"/>
      <c r="HMJ128" s="813"/>
      <c r="HMK128" s="813"/>
      <c r="HML128" s="813"/>
      <c r="HMM128" s="813"/>
      <c r="HMN128" s="814"/>
      <c r="HMO128" s="814"/>
      <c r="HMP128" s="814"/>
      <c r="HMQ128" s="814"/>
      <c r="HMR128" s="814"/>
      <c r="HMS128" s="814"/>
      <c r="HMT128" s="814"/>
      <c r="HMU128" s="814"/>
      <c r="HMV128" s="814"/>
      <c r="HMW128" s="813"/>
      <c r="HMX128" s="813"/>
      <c r="HMY128" s="813"/>
      <c r="HMZ128" s="813"/>
      <c r="HNA128" s="813"/>
      <c r="HNB128" s="814"/>
      <c r="HNC128" s="814"/>
      <c r="HND128" s="814"/>
      <c r="HNE128" s="814"/>
      <c r="HNF128" s="814"/>
      <c r="HNG128" s="814"/>
      <c r="HNH128" s="814"/>
      <c r="HNI128" s="814"/>
      <c r="HNJ128" s="814"/>
      <c r="HNK128" s="813"/>
      <c r="HNL128" s="813"/>
      <c r="HNM128" s="813"/>
      <c r="HNN128" s="813"/>
      <c r="HNO128" s="813"/>
      <c r="HNP128" s="814"/>
      <c r="HNQ128" s="814"/>
      <c r="HNR128" s="814"/>
      <c r="HNS128" s="814"/>
      <c r="HNT128" s="814"/>
      <c r="HNU128" s="814"/>
      <c r="HNV128" s="814"/>
      <c r="HNW128" s="814"/>
      <c r="HNX128" s="814"/>
      <c r="HNY128" s="813"/>
      <c r="HNZ128" s="813"/>
      <c r="HOA128" s="813"/>
      <c r="HOB128" s="813"/>
      <c r="HOC128" s="813"/>
      <c r="HOD128" s="814"/>
      <c r="HOE128" s="814"/>
      <c r="HOF128" s="814"/>
      <c r="HOG128" s="814"/>
      <c r="HOH128" s="814"/>
      <c r="HOI128" s="814"/>
      <c r="HOJ128" s="814"/>
      <c r="HOK128" s="814"/>
      <c r="HOL128" s="814"/>
      <c r="HOM128" s="813"/>
      <c r="HON128" s="813"/>
      <c r="HOO128" s="813"/>
      <c r="HOP128" s="813"/>
      <c r="HOQ128" s="813"/>
      <c r="HOR128" s="814"/>
      <c r="HOS128" s="814"/>
      <c r="HOT128" s="814"/>
      <c r="HOU128" s="814"/>
      <c r="HOV128" s="814"/>
      <c r="HOW128" s="814"/>
      <c r="HOX128" s="814"/>
      <c r="HOY128" s="814"/>
      <c r="HOZ128" s="814"/>
      <c r="HPA128" s="813"/>
      <c r="HPB128" s="813"/>
      <c r="HPC128" s="813"/>
      <c r="HPD128" s="813"/>
      <c r="HPE128" s="813"/>
      <c r="HPF128" s="814"/>
      <c r="HPG128" s="814"/>
      <c r="HPH128" s="814"/>
      <c r="HPI128" s="814"/>
      <c r="HPJ128" s="814"/>
      <c r="HPK128" s="814"/>
      <c r="HPL128" s="814"/>
      <c r="HPM128" s="814"/>
      <c r="HPN128" s="814"/>
      <c r="HPO128" s="813"/>
      <c r="HPP128" s="813"/>
      <c r="HPQ128" s="813"/>
      <c r="HPR128" s="813"/>
      <c r="HPS128" s="813"/>
      <c r="HPT128" s="814"/>
      <c r="HPU128" s="814"/>
      <c r="HPV128" s="814"/>
      <c r="HPW128" s="814"/>
      <c r="HPX128" s="814"/>
      <c r="HPY128" s="814"/>
      <c r="HPZ128" s="814"/>
      <c r="HQA128" s="814"/>
      <c r="HQB128" s="814"/>
      <c r="HQC128" s="813"/>
      <c r="HQD128" s="813"/>
      <c r="HQE128" s="813"/>
      <c r="HQF128" s="813"/>
      <c r="HQG128" s="813"/>
      <c r="HQH128" s="814"/>
      <c r="HQI128" s="814"/>
      <c r="HQJ128" s="814"/>
      <c r="HQK128" s="814"/>
      <c r="HQL128" s="814"/>
      <c r="HQM128" s="814"/>
      <c r="HQN128" s="814"/>
      <c r="HQO128" s="814"/>
      <c r="HQP128" s="814"/>
      <c r="HQQ128" s="813"/>
      <c r="HQR128" s="813"/>
      <c r="HQS128" s="813"/>
      <c r="HQT128" s="813"/>
      <c r="HQU128" s="813"/>
      <c r="HQV128" s="814"/>
      <c r="HQW128" s="814"/>
      <c r="HQX128" s="814"/>
      <c r="HQY128" s="814"/>
      <c r="HQZ128" s="814"/>
      <c r="HRA128" s="814"/>
      <c r="HRB128" s="814"/>
      <c r="HRC128" s="814"/>
      <c r="HRD128" s="814"/>
      <c r="HRE128" s="813"/>
      <c r="HRF128" s="813"/>
      <c r="HRG128" s="813"/>
      <c r="HRH128" s="813"/>
      <c r="HRI128" s="813"/>
      <c r="HRJ128" s="814"/>
      <c r="HRK128" s="814"/>
      <c r="HRL128" s="814"/>
      <c r="HRM128" s="814"/>
      <c r="HRN128" s="814"/>
      <c r="HRO128" s="814"/>
      <c r="HRP128" s="814"/>
      <c r="HRQ128" s="814"/>
      <c r="HRR128" s="814"/>
      <c r="HRS128" s="813"/>
      <c r="HRT128" s="813"/>
      <c r="HRU128" s="813"/>
      <c r="HRV128" s="813"/>
      <c r="HRW128" s="813"/>
      <c r="HRX128" s="814"/>
      <c r="HRY128" s="814"/>
      <c r="HRZ128" s="814"/>
      <c r="HSA128" s="814"/>
      <c r="HSB128" s="814"/>
      <c r="HSC128" s="814"/>
      <c r="HSD128" s="814"/>
      <c r="HSE128" s="814"/>
      <c r="HSF128" s="814"/>
      <c r="HSG128" s="813"/>
      <c r="HSH128" s="813"/>
      <c r="HSI128" s="813"/>
      <c r="HSJ128" s="813"/>
      <c r="HSK128" s="813"/>
      <c r="HSL128" s="814"/>
      <c r="HSM128" s="814"/>
      <c r="HSN128" s="814"/>
      <c r="HSO128" s="814"/>
      <c r="HSP128" s="814"/>
      <c r="HSQ128" s="814"/>
      <c r="HSR128" s="814"/>
      <c r="HSS128" s="814"/>
      <c r="HST128" s="814"/>
      <c r="HSU128" s="813"/>
      <c r="HSV128" s="813"/>
      <c r="HSW128" s="813"/>
      <c r="HSX128" s="813"/>
      <c r="HSY128" s="813"/>
      <c r="HSZ128" s="814"/>
      <c r="HTA128" s="814"/>
      <c r="HTB128" s="814"/>
      <c r="HTC128" s="814"/>
      <c r="HTD128" s="814"/>
      <c r="HTE128" s="814"/>
      <c r="HTF128" s="814"/>
      <c r="HTG128" s="814"/>
      <c r="HTH128" s="814"/>
      <c r="HTI128" s="813"/>
      <c r="HTJ128" s="813"/>
      <c r="HTK128" s="813"/>
      <c r="HTL128" s="813"/>
      <c r="HTM128" s="813"/>
      <c r="HTN128" s="814"/>
      <c r="HTO128" s="814"/>
      <c r="HTP128" s="814"/>
      <c r="HTQ128" s="814"/>
      <c r="HTR128" s="814"/>
      <c r="HTS128" s="814"/>
      <c r="HTT128" s="814"/>
      <c r="HTU128" s="814"/>
      <c r="HTV128" s="814"/>
      <c r="HTW128" s="813"/>
      <c r="HTX128" s="813"/>
      <c r="HTY128" s="813"/>
      <c r="HTZ128" s="813"/>
      <c r="HUA128" s="813"/>
      <c r="HUB128" s="814"/>
      <c r="HUC128" s="814"/>
      <c r="HUD128" s="814"/>
      <c r="HUE128" s="814"/>
      <c r="HUF128" s="814"/>
      <c r="HUG128" s="814"/>
      <c r="HUH128" s="814"/>
      <c r="HUI128" s="814"/>
      <c r="HUJ128" s="814"/>
      <c r="HUK128" s="813"/>
      <c r="HUL128" s="813"/>
      <c r="HUM128" s="813"/>
      <c r="HUN128" s="813"/>
      <c r="HUO128" s="813"/>
      <c r="HUP128" s="814"/>
      <c r="HUQ128" s="814"/>
      <c r="HUR128" s="814"/>
      <c r="HUS128" s="814"/>
      <c r="HUT128" s="814"/>
      <c r="HUU128" s="814"/>
      <c r="HUV128" s="814"/>
      <c r="HUW128" s="814"/>
      <c r="HUX128" s="814"/>
      <c r="HUY128" s="813"/>
      <c r="HUZ128" s="813"/>
      <c r="HVA128" s="813"/>
      <c r="HVB128" s="813"/>
      <c r="HVC128" s="813"/>
      <c r="HVD128" s="814"/>
      <c r="HVE128" s="814"/>
      <c r="HVF128" s="814"/>
      <c r="HVG128" s="814"/>
      <c r="HVH128" s="814"/>
      <c r="HVI128" s="814"/>
      <c r="HVJ128" s="814"/>
      <c r="HVK128" s="814"/>
      <c r="HVL128" s="814"/>
      <c r="HVM128" s="813"/>
      <c r="HVN128" s="813"/>
      <c r="HVO128" s="813"/>
      <c r="HVP128" s="813"/>
      <c r="HVQ128" s="813"/>
      <c r="HVR128" s="814"/>
      <c r="HVS128" s="814"/>
      <c r="HVT128" s="814"/>
      <c r="HVU128" s="814"/>
      <c r="HVV128" s="814"/>
      <c r="HVW128" s="814"/>
      <c r="HVX128" s="814"/>
      <c r="HVY128" s="814"/>
      <c r="HVZ128" s="814"/>
      <c r="HWA128" s="813"/>
      <c r="HWB128" s="813"/>
      <c r="HWC128" s="813"/>
      <c r="HWD128" s="813"/>
      <c r="HWE128" s="813"/>
      <c r="HWF128" s="814"/>
      <c r="HWG128" s="814"/>
      <c r="HWH128" s="814"/>
      <c r="HWI128" s="814"/>
      <c r="HWJ128" s="814"/>
      <c r="HWK128" s="814"/>
      <c r="HWL128" s="814"/>
      <c r="HWM128" s="814"/>
      <c r="HWN128" s="814"/>
      <c r="HWO128" s="813"/>
      <c r="HWP128" s="813"/>
      <c r="HWQ128" s="813"/>
      <c r="HWR128" s="813"/>
      <c r="HWS128" s="813"/>
      <c r="HWT128" s="814"/>
      <c r="HWU128" s="814"/>
      <c r="HWV128" s="814"/>
      <c r="HWW128" s="814"/>
      <c r="HWX128" s="814"/>
      <c r="HWY128" s="814"/>
      <c r="HWZ128" s="814"/>
      <c r="HXA128" s="814"/>
      <c r="HXB128" s="814"/>
      <c r="HXC128" s="813"/>
      <c r="HXD128" s="813"/>
      <c r="HXE128" s="813"/>
      <c r="HXF128" s="813"/>
      <c r="HXG128" s="813"/>
      <c r="HXH128" s="814"/>
      <c r="HXI128" s="814"/>
      <c r="HXJ128" s="814"/>
      <c r="HXK128" s="814"/>
      <c r="HXL128" s="814"/>
      <c r="HXM128" s="814"/>
      <c r="HXN128" s="814"/>
      <c r="HXO128" s="814"/>
      <c r="HXP128" s="814"/>
      <c r="HXQ128" s="813"/>
      <c r="HXR128" s="813"/>
      <c r="HXS128" s="813"/>
      <c r="HXT128" s="813"/>
      <c r="HXU128" s="813"/>
      <c r="HXV128" s="814"/>
      <c r="HXW128" s="814"/>
      <c r="HXX128" s="814"/>
      <c r="HXY128" s="814"/>
      <c r="HXZ128" s="814"/>
      <c r="HYA128" s="814"/>
      <c r="HYB128" s="814"/>
      <c r="HYC128" s="814"/>
      <c r="HYD128" s="814"/>
      <c r="HYE128" s="813"/>
      <c r="HYF128" s="813"/>
      <c r="HYG128" s="813"/>
      <c r="HYH128" s="813"/>
      <c r="HYI128" s="813"/>
      <c r="HYJ128" s="814"/>
      <c r="HYK128" s="814"/>
      <c r="HYL128" s="814"/>
      <c r="HYM128" s="814"/>
      <c r="HYN128" s="814"/>
      <c r="HYO128" s="814"/>
      <c r="HYP128" s="814"/>
      <c r="HYQ128" s="814"/>
      <c r="HYR128" s="814"/>
      <c r="HYS128" s="813"/>
      <c r="HYT128" s="813"/>
      <c r="HYU128" s="813"/>
      <c r="HYV128" s="813"/>
      <c r="HYW128" s="813"/>
      <c r="HYX128" s="814"/>
      <c r="HYY128" s="814"/>
      <c r="HYZ128" s="814"/>
      <c r="HZA128" s="814"/>
      <c r="HZB128" s="814"/>
      <c r="HZC128" s="814"/>
      <c r="HZD128" s="814"/>
      <c r="HZE128" s="814"/>
      <c r="HZF128" s="814"/>
      <c r="HZG128" s="813"/>
      <c r="HZH128" s="813"/>
      <c r="HZI128" s="813"/>
      <c r="HZJ128" s="813"/>
      <c r="HZK128" s="813"/>
      <c r="HZL128" s="814"/>
      <c r="HZM128" s="814"/>
      <c r="HZN128" s="814"/>
      <c r="HZO128" s="814"/>
      <c r="HZP128" s="814"/>
      <c r="HZQ128" s="814"/>
      <c r="HZR128" s="814"/>
      <c r="HZS128" s="814"/>
      <c r="HZT128" s="814"/>
      <c r="HZU128" s="813"/>
      <c r="HZV128" s="813"/>
      <c r="HZW128" s="813"/>
      <c r="HZX128" s="813"/>
      <c r="HZY128" s="813"/>
      <c r="HZZ128" s="814"/>
      <c r="IAA128" s="814"/>
      <c r="IAB128" s="814"/>
      <c r="IAC128" s="814"/>
      <c r="IAD128" s="814"/>
      <c r="IAE128" s="814"/>
      <c r="IAF128" s="814"/>
      <c r="IAG128" s="814"/>
      <c r="IAH128" s="814"/>
      <c r="IAI128" s="813"/>
      <c r="IAJ128" s="813"/>
      <c r="IAK128" s="813"/>
      <c r="IAL128" s="813"/>
      <c r="IAM128" s="813"/>
      <c r="IAN128" s="814"/>
      <c r="IAO128" s="814"/>
      <c r="IAP128" s="814"/>
      <c r="IAQ128" s="814"/>
      <c r="IAR128" s="814"/>
      <c r="IAS128" s="814"/>
      <c r="IAT128" s="814"/>
      <c r="IAU128" s="814"/>
      <c r="IAV128" s="814"/>
      <c r="IAW128" s="813"/>
      <c r="IAX128" s="813"/>
      <c r="IAY128" s="813"/>
      <c r="IAZ128" s="813"/>
      <c r="IBA128" s="813"/>
      <c r="IBB128" s="814"/>
      <c r="IBC128" s="814"/>
      <c r="IBD128" s="814"/>
      <c r="IBE128" s="814"/>
      <c r="IBF128" s="814"/>
      <c r="IBG128" s="814"/>
      <c r="IBH128" s="814"/>
      <c r="IBI128" s="814"/>
      <c r="IBJ128" s="814"/>
      <c r="IBK128" s="813"/>
      <c r="IBL128" s="813"/>
      <c r="IBM128" s="813"/>
      <c r="IBN128" s="813"/>
      <c r="IBO128" s="813"/>
      <c r="IBP128" s="814"/>
      <c r="IBQ128" s="814"/>
      <c r="IBR128" s="814"/>
      <c r="IBS128" s="814"/>
      <c r="IBT128" s="814"/>
      <c r="IBU128" s="814"/>
      <c r="IBV128" s="814"/>
      <c r="IBW128" s="814"/>
      <c r="IBX128" s="814"/>
      <c r="IBY128" s="813"/>
      <c r="IBZ128" s="813"/>
      <c r="ICA128" s="813"/>
      <c r="ICB128" s="813"/>
      <c r="ICC128" s="813"/>
      <c r="ICD128" s="814"/>
      <c r="ICE128" s="814"/>
      <c r="ICF128" s="814"/>
      <c r="ICG128" s="814"/>
      <c r="ICH128" s="814"/>
      <c r="ICI128" s="814"/>
      <c r="ICJ128" s="814"/>
      <c r="ICK128" s="814"/>
      <c r="ICL128" s="814"/>
      <c r="ICM128" s="813"/>
      <c r="ICN128" s="813"/>
      <c r="ICO128" s="813"/>
      <c r="ICP128" s="813"/>
      <c r="ICQ128" s="813"/>
      <c r="ICR128" s="814"/>
      <c r="ICS128" s="814"/>
      <c r="ICT128" s="814"/>
      <c r="ICU128" s="814"/>
      <c r="ICV128" s="814"/>
      <c r="ICW128" s="814"/>
      <c r="ICX128" s="814"/>
      <c r="ICY128" s="814"/>
      <c r="ICZ128" s="814"/>
      <c r="IDA128" s="813"/>
      <c r="IDB128" s="813"/>
      <c r="IDC128" s="813"/>
      <c r="IDD128" s="813"/>
      <c r="IDE128" s="813"/>
      <c r="IDF128" s="814"/>
      <c r="IDG128" s="814"/>
      <c r="IDH128" s="814"/>
      <c r="IDI128" s="814"/>
      <c r="IDJ128" s="814"/>
      <c r="IDK128" s="814"/>
      <c r="IDL128" s="814"/>
      <c r="IDM128" s="814"/>
      <c r="IDN128" s="814"/>
      <c r="IDO128" s="813"/>
      <c r="IDP128" s="813"/>
      <c r="IDQ128" s="813"/>
      <c r="IDR128" s="813"/>
      <c r="IDS128" s="813"/>
      <c r="IDT128" s="814"/>
      <c r="IDU128" s="814"/>
      <c r="IDV128" s="814"/>
      <c r="IDW128" s="814"/>
      <c r="IDX128" s="814"/>
      <c r="IDY128" s="814"/>
      <c r="IDZ128" s="814"/>
      <c r="IEA128" s="814"/>
      <c r="IEB128" s="814"/>
      <c r="IEC128" s="813"/>
      <c r="IED128" s="813"/>
      <c r="IEE128" s="813"/>
      <c r="IEF128" s="813"/>
      <c r="IEG128" s="813"/>
      <c r="IEH128" s="814"/>
      <c r="IEI128" s="814"/>
      <c r="IEJ128" s="814"/>
      <c r="IEK128" s="814"/>
      <c r="IEL128" s="814"/>
      <c r="IEM128" s="814"/>
      <c r="IEN128" s="814"/>
      <c r="IEO128" s="814"/>
      <c r="IEP128" s="814"/>
      <c r="IEQ128" s="813"/>
      <c r="IER128" s="813"/>
      <c r="IES128" s="813"/>
      <c r="IET128" s="813"/>
      <c r="IEU128" s="813"/>
      <c r="IEV128" s="814"/>
      <c r="IEW128" s="814"/>
      <c r="IEX128" s="814"/>
      <c r="IEY128" s="814"/>
      <c r="IEZ128" s="814"/>
      <c r="IFA128" s="814"/>
      <c r="IFB128" s="814"/>
      <c r="IFC128" s="814"/>
      <c r="IFD128" s="814"/>
      <c r="IFE128" s="813"/>
      <c r="IFF128" s="813"/>
      <c r="IFG128" s="813"/>
      <c r="IFH128" s="813"/>
      <c r="IFI128" s="813"/>
      <c r="IFJ128" s="814"/>
      <c r="IFK128" s="814"/>
      <c r="IFL128" s="814"/>
      <c r="IFM128" s="814"/>
      <c r="IFN128" s="814"/>
      <c r="IFO128" s="814"/>
      <c r="IFP128" s="814"/>
      <c r="IFQ128" s="814"/>
      <c r="IFR128" s="814"/>
      <c r="IFS128" s="813"/>
      <c r="IFT128" s="813"/>
      <c r="IFU128" s="813"/>
      <c r="IFV128" s="813"/>
      <c r="IFW128" s="813"/>
      <c r="IFX128" s="814"/>
      <c r="IFY128" s="814"/>
      <c r="IFZ128" s="814"/>
      <c r="IGA128" s="814"/>
      <c r="IGB128" s="814"/>
      <c r="IGC128" s="814"/>
      <c r="IGD128" s="814"/>
      <c r="IGE128" s="814"/>
      <c r="IGF128" s="814"/>
      <c r="IGG128" s="813"/>
      <c r="IGH128" s="813"/>
      <c r="IGI128" s="813"/>
      <c r="IGJ128" s="813"/>
      <c r="IGK128" s="813"/>
      <c r="IGL128" s="814"/>
      <c r="IGM128" s="814"/>
      <c r="IGN128" s="814"/>
      <c r="IGO128" s="814"/>
      <c r="IGP128" s="814"/>
      <c r="IGQ128" s="814"/>
      <c r="IGR128" s="814"/>
      <c r="IGS128" s="814"/>
      <c r="IGT128" s="814"/>
      <c r="IGU128" s="813"/>
      <c r="IGV128" s="813"/>
      <c r="IGW128" s="813"/>
      <c r="IGX128" s="813"/>
      <c r="IGY128" s="813"/>
      <c r="IGZ128" s="814"/>
      <c r="IHA128" s="814"/>
      <c r="IHB128" s="814"/>
      <c r="IHC128" s="814"/>
      <c r="IHD128" s="814"/>
      <c r="IHE128" s="814"/>
      <c r="IHF128" s="814"/>
      <c r="IHG128" s="814"/>
      <c r="IHH128" s="814"/>
      <c r="IHI128" s="813"/>
      <c r="IHJ128" s="813"/>
      <c r="IHK128" s="813"/>
      <c r="IHL128" s="813"/>
      <c r="IHM128" s="813"/>
      <c r="IHN128" s="814"/>
      <c r="IHO128" s="814"/>
      <c r="IHP128" s="814"/>
      <c r="IHQ128" s="814"/>
      <c r="IHR128" s="814"/>
      <c r="IHS128" s="814"/>
      <c r="IHT128" s="814"/>
      <c r="IHU128" s="814"/>
      <c r="IHV128" s="814"/>
      <c r="IHW128" s="813"/>
      <c r="IHX128" s="813"/>
      <c r="IHY128" s="813"/>
      <c r="IHZ128" s="813"/>
      <c r="IIA128" s="813"/>
      <c r="IIB128" s="814"/>
      <c r="IIC128" s="814"/>
      <c r="IID128" s="814"/>
      <c r="IIE128" s="814"/>
      <c r="IIF128" s="814"/>
      <c r="IIG128" s="814"/>
      <c r="IIH128" s="814"/>
      <c r="III128" s="814"/>
      <c r="IIJ128" s="814"/>
      <c r="IIK128" s="813"/>
      <c r="IIL128" s="813"/>
      <c r="IIM128" s="813"/>
      <c r="IIN128" s="813"/>
      <c r="IIO128" s="813"/>
      <c r="IIP128" s="814"/>
      <c r="IIQ128" s="814"/>
      <c r="IIR128" s="814"/>
      <c r="IIS128" s="814"/>
      <c r="IIT128" s="814"/>
      <c r="IIU128" s="814"/>
      <c r="IIV128" s="814"/>
      <c r="IIW128" s="814"/>
      <c r="IIX128" s="814"/>
      <c r="IIY128" s="813"/>
      <c r="IIZ128" s="813"/>
      <c r="IJA128" s="813"/>
      <c r="IJB128" s="813"/>
      <c r="IJC128" s="813"/>
      <c r="IJD128" s="814"/>
      <c r="IJE128" s="814"/>
      <c r="IJF128" s="814"/>
      <c r="IJG128" s="814"/>
      <c r="IJH128" s="814"/>
      <c r="IJI128" s="814"/>
      <c r="IJJ128" s="814"/>
      <c r="IJK128" s="814"/>
      <c r="IJL128" s="814"/>
      <c r="IJM128" s="813"/>
      <c r="IJN128" s="813"/>
      <c r="IJO128" s="813"/>
      <c r="IJP128" s="813"/>
      <c r="IJQ128" s="813"/>
      <c r="IJR128" s="814"/>
      <c r="IJS128" s="814"/>
      <c r="IJT128" s="814"/>
      <c r="IJU128" s="814"/>
      <c r="IJV128" s="814"/>
      <c r="IJW128" s="814"/>
      <c r="IJX128" s="814"/>
      <c r="IJY128" s="814"/>
      <c r="IJZ128" s="814"/>
      <c r="IKA128" s="813"/>
      <c r="IKB128" s="813"/>
      <c r="IKC128" s="813"/>
      <c r="IKD128" s="813"/>
      <c r="IKE128" s="813"/>
      <c r="IKF128" s="814"/>
      <c r="IKG128" s="814"/>
      <c r="IKH128" s="814"/>
      <c r="IKI128" s="814"/>
      <c r="IKJ128" s="814"/>
      <c r="IKK128" s="814"/>
      <c r="IKL128" s="814"/>
      <c r="IKM128" s="814"/>
      <c r="IKN128" s="814"/>
      <c r="IKO128" s="813"/>
      <c r="IKP128" s="813"/>
      <c r="IKQ128" s="813"/>
      <c r="IKR128" s="813"/>
      <c r="IKS128" s="813"/>
      <c r="IKT128" s="814"/>
      <c r="IKU128" s="814"/>
      <c r="IKV128" s="814"/>
      <c r="IKW128" s="814"/>
      <c r="IKX128" s="814"/>
      <c r="IKY128" s="814"/>
      <c r="IKZ128" s="814"/>
      <c r="ILA128" s="814"/>
      <c r="ILB128" s="814"/>
      <c r="ILC128" s="813"/>
      <c r="ILD128" s="813"/>
      <c r="ILE128" s="813"/>
      <c r="ILF128" s="813"/>
      <c r="ILG128" s="813"/>
      <c r="ILH128" s="814"/>
      <c r="ILI128" s="814"/>
      <c r="ILJ128" s="814"/>
      <c r="ILK128" s="814"/>
      <c r="ILL128" s="814"/>
      <c r="ILM128" s="814"/>
      <c r="ILN128" s="814"/>
      <c r="ILO128" s="814"/>
      <c r="ILP128" s="814"/>
      <c r="ILQ128" s="813"/>
      <c r="ILR128" s="813"/>
      <c r="ILS128" s="813"/>
      <c r="ILT128" s="813"/>
      <c r="ILU128" s="813"/>
      <c r="ILV128" s="814"/>
      <c r="ILW128" s="814"/>
      <c r="ILX128" s="814"/>
      <c r="ILY128" s="814"/>
      <c r="ILZ128" s="814"/>
      <c r="IMA128" s="814"/>
      <c r="IMB128" s="814"/>
      <c r="IMC128" s="814"/>
      <c r="IMD128" s="814"/>
      <c r="IME128" s="813"/>
      <c r="IMF128" s="813"/>
      <c r="IMG128" s="813"/>
      <c r="IMH128" s="813"/>
      <c r="IMI128" s="813"/>
      <c r="IMJ128" s="814"/>
      <c r="IMK128" s="814"/>
      <c r="IML128" s="814"/>
      <c r="IMM128" s="814"/>
      <c r="IMN128" s="814"/>
      <c r="IMO128" s="814"/>
      <c r="IMP128" s="814"/>
      <c r="IMQ128" s="814"/>
      <c r="IMR128" s="814"/>
      <c r="IMS128" s="813"/>
      <c r="IMT128" s="813"/>
      <c r="IMU128" s="813"/>
      <c r="IMV128" s="813"/>
      <c r="IMW128" s="813"/>
      <c r="IMX128" s="814"/>
      <c r="IMY128" s="814"/>
      <c r="IMZ128" s="814"/>
      <c r="INA128" s="814"/>
      <c r="INB128" s="814"/>
      <c r="INC128" s="814"/>
      <c r="IND128" s="814"/>
      <c r="INE128" s="814"/>
      <c r="INF128" s="814"/>
      <c r="ING128" s="813"/>
      <c r="INH128" s="813"/>
      <c r="INI128" s="813"/>
      <c r="INJ128" s="813"/>
      <c r="INK128" s="813"/>
      <c r="INL128" s="814"/>
      <c r="INM128" s="814"/>
      <c r="INN128" s="814"/>
      <c r="INO128" s="814"/>
      <c r="INP128" s="814"/>
      <c r="INQ128" s="814"/>
      <c r="INR128" s="814"/>
      <c r="INS128" s="814"/>
      <c r="INT128" s="814"/>
      <c r="INU128" s="813"/>
      <c r="INV128" s="813"/>
      <c r="INW128" s="813"/>
      <c r="INX128" s="813"/>
      <c r="INY128" s="813"/>
      <c r="INZ128" s="814"/>
      <c r="IOA128" s="814"/>
      <c r="IOB128" s="814"/>
      <c r="IOC128" s="814"/>
      <c r="IOD128" s="814"/>
      <c r="IOE128" s="814"/>
      <c r="IOF128" s="814"/>
      <c r="IOG128" s="814"/>
      <c r="IOH128" s="814"/>
      <c r="IOI128" s="813"/>
      <c r="IOJ128" s="813"/>
      <c r="IOK128" s="813"/>
      <c r="IOL128" s="813"/>
      <c r="IOM128" s="813"/>
      <c r="ION128" s="814"/>
      <c r="IOO128" s="814"/>
      <c r="IOP128" s="814"/>
      <c r="IOQ128" s="814"/>
      <c r="IOR128" s="814"/>
      <c r="IOS128" s="814"/>
      <c r="IOT128" s="814"/>
      <c r="IOU128" s="814"/>
      <c r="IOV128" s="814"/>
      <c r="IOW128" s="813"/>
      <c r="IOX128" s="813"/>
      <c r="IOY128" s="813"/>
      <c r="IOZ128" s="813"/>
      <c r="IPA128" s="813"/>
      <c r="IPB128" s="814"/>
      <c r="IPC128" s="814"/>
      <c r="IPD128" s="814"/>
      <c r="IPE128" s="814"/>
      <c r="IPF128" s="814"/>
      <c r="IPG128" s="814"/>
      <c r="IPH128" s="814"/>
      <c r="IPI128" s="814"/>
      <c r="IPJ128" s="814"/>
      <c r="IPK128" s="813"/>
      <c r="IPL128" s="813"/>
      <c r="IPM128" s="813"/>
      <c r="IPN128" s="813"/>
      <c r="IPO128" s="813"/>
      <c r="IPP128" s="814"/>
      <c r="IPQ128" s="814"/>
      <c r="IPR128" s="814"/>
      <c r="IPS128" s="814"/>
      <c r="IPT128" s="814"/>
      <c r="IPU128" s="814"/>
      <c r="IPV128" s="814"/>
      <c r="IPW128" s="814"/>
      <c r="IPX128" s="814"/>
      <c r="IPY128" s="813"/>
      <c r="IPZ128" s="813"/>
      <c r="IQA128" s="813"/>
      <c r="IQB128" s="813"/>
      <c r="IQC128" s="813"/>
      <c r="IQD128" s="814"/>
      <c r="IQE128" s="814"/>
      <c r="IQF128" s="814"/>
      <c r="IQG128" s="814"/>
      <c r="IQH128" s="814"/>
      <c r="IQI128" s="814"/>
      <c r="IQJ128" s="814"/>
      <c r="IQK128" s="814"/>
      <c r="IQL128" s="814"/>
      <c r="IQM128" s="813"/>
      <c r="IQN128" s="813"/>
      <c r="IQO128" s="813"/>
      <c r="IQP128" s="813"/>
      <c r="IQQ128" s="813"/>
      <c r="IQR128" s="814"/>
      <c r="IQS128" s="814"/>
      <c r="IQT128" s="814"/>
      <c r="IQU128" s="814"/>
      <c r="IQV128" s="814"/>
      <c r="IQW128" s="814"/>
      <c r="IQX128" s="814"/>
      <c r="IQY128" s="814"/>
      <c r="IQZ128" s="814"/>
      <c r="IRA128" s="813"/>
      <c r="IRB128" s="813"/>
      <c r="IRC128" s="813"/>
      <c r="IRD128" s="813"/>
      <c r="IRE128" s="813"/>
      <c r="IRF128" s="814"/>
      <c r="IRG128" s="814"/>
      <c r="IRH128" s="814"/>
      <c r="IRI128" s="814"/>
      <c r="IRJ128" s="814"/>
      <c r="IRK128" s="814"/>
      <c r="IRL128" s="814"/>
      <c r="IRM128" s="814"/>
      <c r="IRN128" s="814"/>
      <c r="IRO128" s="813"/>
      <c r="IRP128" s="813"/>
      <c r="IRQ128" s="813"/>
      <c r="IRR128" s="813"/>
      <c r="IRS128" s="813"/>
      <c r="IRT128" s="814"/>
      <c r="IRU128" s="814"/>
      <c r="IRV128" s="814"/>
      <c r="IRW128" s="814"/>
      <c r="IRX128" s="814"/>
      <c r="IRY128" s="814"/>
      <c r="IRZ128" s="814"/>
      <c r="ISA128" s="814"/>
      <c r="ISB128" s="814"/>
      <c r="ISC128" s="813"/>
      <c r="ISD128" s="813"/>
      <c r="ISE128" s="813"/>
      <c r="ISF128" s="813"/>
      <c r="ISG128" s="813"/>
      <c r="ISH128" s="814"/>
      <c r="ISI128" s="814"/>
      <c r="ISJ128" s="814"/>
      <c r="ISK128" s="814"/>
      <c r="ISL128" s="814"/>
      <c r="ISM128" s="814"/>
      <c r="ISN128" s="814"/>
      <c r="ISO128" s="814"/>
      <c r="ISP128" s="814"/>
      <c r="ISQ128" s="813"/>
      <c r="ISR128" s="813"/>
      <c r="ISS128" s="813"/>
      <c r="IST128" s="813"/>
      <c r="ISU128" s="813"/>
      <c r="ISV128" s="814"/>
      <c r="ISW128" s="814"/>
      <c r="ISX128" s="814"/>
      <c r="ISY128" s="814"/>
      <c r="ISZ128" s="814"/>
      <c r="ITA128" s="814"/>
      <c r="ITB128" s="814"/>
      <c r="ITC128" s="814"/>
      <c r="ITD128" s="814"/>
      <c r="ITE128" s="813"/>
      <c r="ITF128" s="813"/>
      <c r="ITG128" s="813"/>
      <c r="ITH128" s="813"/>
      <c r="ITI128" s="813"/>
      <c r="ITJ128" s="814"/>
      <c r="ITK128" s="814"/>
      <c r="ITL128" s="814"/>
      <c r="ITM128" s="814"/>
      <c r="ITN128" s="814"/>
      <c r="ITO128" s="814"/>
      <c r="ITP128" s="814"/>
      <c r="ITQ128" s="814"/>
      <c r="ITR128" s="814"/>
      <c r="ITS128" s="813"/>
      <c r="ITT128" s="813"/>
      <c r="ITU128" s="813"/>
      <c r="ITV128" s="813"/>
      <c r="ITW128" s="813"/>
      <c r="ITX128" s="814"/>
      <c r="ITY128" s="814"/>
      <c r="ITZ128" s="814"/>
      <c r="IUA128" s="814"/>
      <c r="IUB128" s="814"/>
      <c r="IUC128" s="814"/>
      <c r="IUD128" s="814"/>
      <c r="IUE128" s="814"/>
      <c r="IUF128" s="814"/>
      <c r="IUG128" s="813"/>
      <c r="IUH128" s="813"/>
      <c r="IUI128" s="813"/>
      <c r="IUJ128" s="813"/>
      <c r="IUK128" s="813"/>
      <c r="IUL128" s="814"/>
      <c r="IUM128" s="814"/>
      <c r="IUN128" s="814"/>
      <c r="IUO128" s="814"/>
      <c r="IUP128" s="814"/>
      <c r="IUQ128" s="814"/>
      <c r="IUR128" s="814"/>
      <c r="IUS128" s="814"/>
      <c r="IUT128" s="814"/>
      <c r="IUU128" s="813"/>
      <c r="IUV128" s="813"/>
      <c r="IUW128" s="813"/>
      <c r="IUX128" s="813"/>
      <c r="IUY128" s="813"/>
      <c r="IUZ128" s="814"/>
      <c r="IVA128" s="814"/>
      <c r="IVB128" s="814"/>
      <c r="IVC128" s="814"/>
      <c r="IVD128" s="814"/>
      <c r="IVE128" s="814"/>
      <c r="IVF128" s="814"/>
      <c r="IVG128" s="814"/>
      <c r="IVH128" s="814"/>
      <c r="IVI128" s="813"/>
      <c r="IVJ128" s="813"/>
      <c r="IVK128" s="813"/>
      <c r="IVL128" s="813"/>
      <c r="IVM128" s="813"/>
      <c r="IVN128" s="814"/>
      <c r="IVO128" s="814"/>
      <c r="IVP128" s="814"/>
      <c r="IVQ128" s="814"/>
      <c r="IVR128" s="814"/>
      <c r="IVS128" s="814"/>
      <c r="IVT128" s="814"/>
      <c r="IVU128" s="814"/>
      <c r="IVV128" s="814"/>
      <c r="IVW128" s="813"/>
      <c r="IVX128" s="813"/>
      <c r="IVY128" s="813"/>
      <c r="IVZ128" s="813"/>
      <c r="IWA128" s="813"/>
      <c r="IWB128" s="814"/>
      <c r="IWC128" s="814"/>
      <c r="IWD128" s="814"/>
      <c r="IWE128" s="814"/>
      <c r="IWF128" s="814"/>
      <c r="IWG128" s="814"/>
      <c r="IWH128" s="814"/>
      <c r="IWI128" s="814"/>
      <c r="IWJ128" s="814"/>
      <c r="IWK128" s="813"/>
      <c r="IWL128" s="813"/>
      <c r="IWM128" s="813"/>
      <c r="IWN128" s="813"/>
      <c r="IWO128" s="813"/>
      <c r="IWP128" s="814"/>
      <c r="IWQ128" s="814"/>
      <c r="IWR128" s="814"/>
      <c r="IWS128" s="814"/>
      <c r="IWT128" s="814"/>
      <c r="IWU128" s="814"/>
      <c r="IWV128" s="814"/>
      <c r="IWW128" s="814"/>
      <c r="IWX128" s="814"/>
      <c r="IWY128" s="813"/>
      <c r="IWZ128" s="813"/>
      <c r="IXA128" s="813"/>
      <c r="IXB128" s="813"/>
      <c r="IXC128" s="813"/>
      <c r="IXD128" s="814"/>
      <c r="IXE128" s="814"/>
      <c r="IXF128" s="814"/>
      <c r="IXG128" s="814"/>
      <c r="IXH128" s="814"/>
      <c r="IXI128" s="814"/>
      <c r="IXJ128" s="814"/>
      <c r="IXK128" s="814"/>
      <c r="IXL128" s="814"/>
      <c r="IXM128" s="813"/>
      <c r="IXN128" s="813"/>
      <c r="IXO128" s="813"/>
      <c r="IXP128" s="813"/>
      <c r="IXQ128" s="813"/>
      <c r="IXR128" s="814"/>
      <c r="IXS128" s="814"/>
      <c r="IXT128" s="814"/>
      <c r="IXU128" s="814"/>
      <c r="IXV128" s="814"/>
      <c r="IXW128" s="814"/>
      <c r="IXX128" s="814"/>
      <c r="IXY128" s="814"/>
      <c r="IXZ128" s="814"/>
      <c r="IYA128" s="813"/>
      <c r="IYB128" s="813"/>
      <c r="IYC128" s="813"/>
      <c r="IYD128" s="813"/>
      <c r="IYE128" s="813"/>
      <c r="IYF128" s="814"/>
      <c r="IYG128" s="814"/>
      <c r="IYH128" s="814"/>
      <c r="IYI128" s="814"/>
      <c r="IYJ128" s="814"/>
      <c r="IYK128" s="814"/>
      <c r="IYL128" s="814"/>
      <c r="IYM128" s="814"/>
      <c r="IYN128" s="814"/>
      <c r="IYO128" s="813"/>
      <c r="IYP128" s="813"/>
      <c r="IYQ128" s="813"/>
      <c r="IYR128" s="813"/>
      <c r="IYS128" s="813"/>
      <c r="IYT128" s="814"/>
      <c r="IYU128" s="814"/>
      <c r="IYV128" s="814"/>
      <c r="IYW128" s="814"/>
      <c r="IYX128" s="814"/>
      <c r="IYY128" s="814"/>
      <c r="IYZ128" s="814"/>
      <c r="IZA128" s="814"/>
      <c r="IZB128" s="814"/>
      <c r="IZC128" s="813"/>
      <c r="IZD128" s="813"/>
      <c r="IZE128" s="813"/>
      <c r="IZF128" s="813"/>
      <c r="IZG128" s="813"/>
      <c r="IZH128" s="814"/>
      <c r="IZI128" s="814"/>
      <c r="IZJ128" s="814"/>
      <c r="IZK128" s="814"/>
      <c r="IZL128" s="814"/>
      <c r="IZM128" s="814"/>
      <c r="IZN128" s="814"/>
      <c r="IZO128" s="814"/>
      <c r="IZP128" s="814"/>
      <c r="IZQ128" s="813"/>
      <c r="IZR128" s="813"/>
      <c r="IZS128" s="813"/>
      <c r="IZT128" s="813"/>
      <c r="IZU128" s="813"/>
      <c r="IZV128" s="814"/>
      <c r="IZW128" s="814"/>
      <c r="IZX128" s="814"/>
      <c r="IZY128" s="814"/>
      <c r="IZZ128" s="814"/>
      <c r="JAA128" s="814"/>
      <c r="JAB128" s="814"/>
      <c r="JAC128" s="814"/>
      <c r="JAD128" s="814"/>
      <c r="JAE128" s="813"/>
      <c r="JAF128" s="813"/>
      <c r="JAG128" s="813"/>
      <c r="JAH128" s="813"/>
      <c r="JAI128" s="813"/>
      <c r="JAJ128" s="814"/>
      <c r="JAK128" s="814"/>
      <c r="JAL128" s="814"/>
      <c r="JAM128" s="814"/>
      <c r="JAN128" s="814"/>
      <c r="JAO128" s="814"/>
      <c r="JAP128" s="814"/>
      <c r="JAQ128" s="814"/>
      <c r="JAR128" s="814"/>
      <c r="JAS128" s="813"/>
      <c r="JAT128" s="813"/>
      <c r="JAU128" s="813"/>
      <c r="JAV128" s="813"/>
      <c r="JAW128" s="813"/>
      <c r="JAX128" s="814"/>
      <c r="JAY128" s="814"/>
      <c r="JAZ128" s="814"/>
      <c r="JBA128" s="814"/>
      <c r="JBB128" s="814"/>
      <c r="JBC128" s="814"/>
      <c r="JBD128" s="814"/>
      <c r="JBE128" s="814"/>
      <c r="JBF128" s="814"/>
      <c r="JBG128" s="813"/>
      <c r="JBH128" s="813"/>
      <c r="JBI128" s="813"/>
      <c r="JBJ128" s="813"/>
      <c r="JBK128" s="813"/>
      <c r="JBL128" s="814"/>
      <c r="JBM128" s="814"/>
      <c r="JBN128" s="814"/>
      <c r="JBO128" s="814"/>
      <c r="JBP128" s="814"/>
      <c r="JBQ128" s="814"/>
      <c r="JBR128" s="814"/>
      <c r="JBS128" s="814"/>
      <c r="JBT128" s="814"/>
      <c r="JBU128" s="813"/>
      <c r="JBV128" s="813"/>
      <c r="JBW128" s="813"/>
      <c r="JBX128" s="813"/>
      <c r="JBY128" s="813"/>
      <c r="JBZ128" s="814"/>
      <c r="JCA128" s="814"/>
      <c r="JCB128" s="814"/>
      <c r="JCC128" s="814"/>
      <c r="JCD128" s="814"/>
      <c r="JCE128" s="814"/>
      <c r="JCF128" s="814"/>
      <c r="JCG128" s="814"/>
      <c r="JCH128" s="814"/>
      <c r="JCI128" s="813"/>
      <c r="JCJ128" s="813"/>
      <c r="JCK128" s="813"/>
      <c r="JCL128" s="813"/>
      <c r="JCM128" s="813"/>
      <c r="JCN128" s="814"/>
      <c r="JCO128" s="814"/>
      <c r="JCP128" s="814"/>
      <c r="JCQ128" s="814"/>
      <c r="JCR128" s="814"/>
      <c r="JCS128" s="814"/>
      <c r="JCT128" s="814"/>
      <c r="JCU128" s="814"/>
      <c r="JCV128" s="814"/>
      <c r="JCW128" s="813"/>
      <c r="JCX128" s="813"/>
      <c r="JCY128" s="813"/>
      <c r="JCZ128" s="813"/>
      <c r="JDA128" s="813"/>
      <c r="JDB128" s="814"/>
      <c r="JDC128" s="814"/>
      <c r="JDD128" s="814"/>
      <c r="JDE128" s="814"/>
      <c r="JDF128" s="814"/>
      <c r="JDG128" s="814"/>
      <c r="JDH128" s="814"/>
      <c r="JDI128" s="814"/>
      <c r="JDJ128" s="814"/>
      <c r="JDK128" s="813"/>
      <c r="JDL128" s="813"/>
      <c r="JDM128" s="813"/>
      <c r="JDN128" s="813"/>
      <c r="JDO128" s="813"/>
      <c r="JDP128" s="814"/>
      <c r="JDQ128" s="814"/>
      <c r="JDR128" s="814"/>
      <c r="JDS128" s="814"/>
      <c r="JDT128" s="814"/>
      <c r="JDU128" s="814"/>
      <c r="JDV128" s="814"/>
      <c r="JDW128" s="814"/>
      <c r="JDX128" s="814"/>
      <c r="JDY128" s="813"/>
      <c r="JDZ128" s="813"/>
      <c r="JEA128" s="813"/>
      <c r="JEB128" s="813"/>
      <c r="JEC128" s="813"/>
      <c r="JED128" s="814"/>
      <c r="JEE128" s="814"/>
      <c r="JEF128" s="814"/>
      <c r="JEG128" s="814"/>
      <c r="JEH128" s="814"/>
      <c r="JEI128" s="814"/>
      <c r="JEJ128" s="814"/>
      <c r="JEK128" s="814"/>
      <c r="JEL128" s="814"/>
      <c r="JEM128" s="813"/>
      <c r="JEN128" s="813"/>
      <c r="JEO128" s="813"/>
      <c r="JEP128" s="813"/>
      <c r="JEQ128" s="813"/>
      <c r="JER128" s="814"/>
      <c r="JES128" s="814"/>
      <c r="JET128" s="814"/>
      <c r="JEU128" s="814"/>
      <c r="JEV128" s="814"/>
      <c r="JEW128" s="814"/>
      <c r="JEX128" s="814"/>
      <c r="JEY128" s="814"/>
      <c r="JEZ128" s="814"/>
      <c r="JFA128" s="813"/>
      <c r="JFB128" s="813"/>
      <c r="JFC128" s="813"/>
      <c r="JFD128" s="813"/>
      <c r="JFE128" s="813"/>
      <c r="JFF128" s="814"/>
      <c r="JFG128" s="814"/>
      <c r="JFH128" s="814"/>
      <c r="JFI128" s="814"/>
      <c r="JFJ128" s="814"/>
      <c r="JFK128" s="814"/>
      <c r="JFL128" s="814"/>
      <c r="JFM128" s="814"/>
      <c r="JFN128" s="814"/>
      <c r="JFO128" s="813"/>
      <c r="JFP128" s="813"/>
      <c r="JFQ128" s="813"/>
      <c r="JFR128" s="813"/>
      <c r="JFS128" s="813"/>
      <c r="JFT128" s="814"/>
      <c r="JFU128" s="814"/>
      <c r="JFV128" s="814"/>
      <c r="JFW128" s="814"/>
      <c r="JFX128" s="814"/>
      <c r="JFY128" s="814"/>
      <c r="JFZ128" s="814"/>
      <c r="JGA128" s="814"/>
      <c r="JGB128" s="814"/>
      <c r="JGC128" s="813"/>
      <c r="JGD128" s="813"/>
      <c r="JGE128" s="813"/>
      <c r="JGF128" s="813"/>
      <c r="JGG128" s="813"/>
      <c r="JGH128" s="814"/>
      <c r="JGI128" s="814"/>
      <c r="JGJ128" s="814"/>
      <c r="JGK128" s="814"/>
      <c r="JGL128" s="814"/>
      <c r="JGM128" s="814"/>
      <c r="JGN128" s="814"/>
      <c r="JGO128" s="814"/>
      <c r="JGP128" s="814"/>
      <c r="JGQ128" s="813"/>
      <c r="JGR128" s="813"/>
      <c r="JGS128" s="813"/>
      <c r="JGT128" s="813"/>
      <c r="JGU128" s="813"/>
      <c r="JGV128" s="814"/>
      <c r="JGW128" s="814"/>
      <c r="JGX128" s="814"/>
      <c r="JGY128" s="814"/>
      <c r="JGZ128" s="814"/>
      <c r="JHA128" s="814"/>
      <c r="JHB128" s="814"/>
      <c r="JHC128" s="814"/>
      <c r="JHD128" s="814"/>
      <c r="JHE128" s="813"/>
      <c r="JHF128" s="813"/>
      <c r="JHG128" s="813"/>
      <c r="JHH128" s="813"/>
      <c r="JHI128" s="813"/>
      <c r="JHJ128" s="814"/>
      <c r="JHK128" s="814"/>
      <c r="JHL128" s="814"/>
      <c r="JHM128" s="814"/>
      <c r="JHN128" s="814"/>
      <c r="JHO128" s="814"/>
      <c r="JHP128" s="814"/>
      <c r="JHQ128" s="814"/>
      <c r="JHR128" s="814"/>
      <c r="JHS128" s="813"/>
      <c r="JHT128" s="813"/>
      <c r="JHU128" s="813"/>
      <c r="JHV128" s="813"/>
      <c r="JHW128" s="813"/>
      <c r="JHX128" s="814"/>
      <c r="JHY128" s="814"/>
      <c r="JHZ128" s="814"/>
      <c r="JIA128" s="814"/>
      <c r="JIB128" s="814"/>
      <c r="JIC128" s="814"/>
      <c r="JID128" s="814"/>
      <c r="JIE128" s="814"/>
      <c r="JIF128" s="814"/>
      <c r="JIG128" s="813"/>
      <c r="JIH128" s="813"/>
      <c r="JII128" s="813"/>
      <c r="JIJ128" s="813"/>
      <c r="JIK128" s="813"/>
      <c r="JIL128" s="814"/>
      <c r="JIM128" s="814"/>
      <c r="JIN128" s="814"/>
      <c r="JIO128" s="814"/>
      <c r="JIP128" s="814"/>
      <c r="JIQ128" s="814"/>
      <c r="JIR128" s="814"/>
      <c r="JIS128" s="814"/>
      <c r="JIT128" s="814"/>
      <c r="JIU128" s="813"/>
      <c r="JIV128" s="813"/>
      <c r="JIW128" s="813"/>
      <c r="JIX128" s="813"/>
      <c r="JIY128" s="813"/>
      <c r="JIZ128" s="814"/>
      <c r="JJA128" s="814"/>
      <c r="JJB128" s="814"/>
      <c r="JJC128" s="814"/>
      <c r="JJD128" s="814"/>
      <c r="JJE128" s="814"/>
      <c r="JJF128" s="814"/>
      <c r="JJG128" s="814"/>
      <c r="JJH128" s="814"/>
      <c r="JJI128" s="813"/>
      <c r="JJJ128" s="813"/>
      <c r="JJK128" s="813"/>
      <c r="JJL128" s="813"/>
      <c r="JJM128" s="813"/>
      <c r="JJN128" s="814"/>
      <c r="JJO128" s="814"/>
      <c r="JJP128" s="814"/>
      <c r="JJQ128" s="814"/>
      <c r="JJR128" s="814"/>
      <c r="JJS128" s="814"/>
      <c r="JJT128" s="814"/>
      <c r="JJU128" s="814"/>
      <c r="JJV128" s="814"/>
      <c r="JJW128" s="813"/>
      <c r="JJX128" s="813"/>
      <c r="JJY128" s="813"/>
      <c r="JJZ128" s="813"/>
      <c r="JKA128" s="813"/>
      <c r="JKB128" s="814"/>
      <c r="JKC128" s="814"/>
      <c r="JKD128" s="814"/>
      <c r="JKE128" s="814"/>
      <c r="JKF128" s="814"/>
      <c r="JKG128" s="814"/>
      <c r="JKH128" s="814"/>
      <c r="JKI128" s="814"/>
      <c r="JKJ128" s="814"/>
      <c r="JKK128" s="813"/>
      <c r="JKL128" s="813"/>
      <c r="JKM128" s="813"/>
      <c r="JKN128" s="813"/>
      <c r="JKO128" s="813"/>
      <c r="JKP128" s="814"/>
      <c r="JKQ128" s="814"/>
      <c r="JKR128" s="814"/>
      <c r="JKS128" s="814"/>
      <c r="JKT128" s="814"/>
      <c r="JKU128" s="814"/>
      <c r="JKV128" s="814"/>
      <c r="JKW128" s="814"/>
      <c r="JKX128" s="814"/>
      <c r="JKY128" s="813"/>
      <c r="JKZ128" s="813"/>
      <c r="JLA128" s="813"/>
      <c r="JLB128" s="813"/>
      <c r="JLC128" s="813"/>
      <c r="JLD128" s="814"/>
      <c r="JLE128" s="814"/>
      <c r="JLF128" s="814"/>
      <c r="JLG128" s="814"/>
      <c r="JLH128" s="814"/>
      <c r="JLI128" s="814"/>
      <c r="JLJ128" s="814"/>
      <c r="JLK128" s="814"/>
      <c r="JLL128" s="814"/>
      <c r="JLM128" s="813"/>
      <c r="JLN128" s="813"/>
      <c r="JLO128" s="813"/>
      <c r="JLP128" s="813"/>
      <c r="JLQ128" s="813"/>
      <c r="JLR128" s="814"/>
      <c r="JLS128" s="814"/>
      <c r="JLT128" s="814"/>
      <c r="JLU128" s="814"/>
      <c r="JLV128" s="814"/>
      <c r="JLW128" s="814"/>
      <c r="JLX128" s="814"/>
      <c r="JLY128" s="814"/>
      <c r="JLZ128" s="814"/>
      <c r="JMA128" s="813"/>
      <c r="JMB128" s="813"/>
      <c r="JMC128" s="813"/>
      <c r="JMD128" s="813"/>
      <c r="JME128" s="813"/>
      <c r="JMF128" s="814"/>
      <c r="JMG128" s="814"/>
      <c r="JMH128" s="814"/>
      <c r="JMI128" s="814"/>
      <c r="JMJ128" s="814"/>
      <c r="JMK128" s="814"/>
      <c r="JML128" s="814"/>
      <c r="JMM128" s="814"/>
      <c r="JMN128" s="814"/>
      <c r="JMO128" s="813"/>
      <c r="JMP128" s="813"/>
      <c r="JMQ128" s="813"/>
      <c r="JMR128" s="813"/>
      <c r="JMS128" s="813"/>
      <c r="JMT128" s="814"/>
      <c r="JMU128" s="814"/>
      <c r="JMV128" s="814"/>
      <c r="JMW128" s="814"/>
      <c r="JMX128" s="814"/>
      <c r="JMY128" s="814"/>
      <c r="JMZ128" s="814"/>
      <c r="JNA128" s="814"/>
      <c r="JNB128" s="814"/>
      <c r="JNC128" s="813"/>
      <c r="JND128" s="813"/>
      <c r="JNE128" s="813"/>
      <c r="JNF128" s="813"/>
      <c r="JNG128" s="813"/>
      <c r="JNH128" s="814"/>
      <c r="JNI128" s="814"/>
      <c r="JNJ128" s="814"/>
      <c r="JNK128" s="814"/>
      <c r="JNL128" s="814"/>
      <c r="JNM128" s="814"/>
      <c r="JNN128" s="814"/>
      <c r="JNO128" s="814"/>
      <c r="JNP128" s="814"/>
      <c r="JNQ128" s="813"/>
      <c r="JNR128" s="813"/>
      <c r="JNS128" s="813"/>
      <c r="JNT128" s="813"/>
      <c r="JNU128" s="813"/>
      <c r="JNV128" s="814"/>
      <c r="JNW128" s="814"/>
      <c r="JNX128" s="814"/>
      <c r="JNY128" s="814"/>
      <c r="JNZ128" s="814"/>
      <c r="JOA128" s="814"/>
      <c r="JOB128" s="814"/>
      <c r="JOC128" s="814"/>
      <c r="JOD128" s="814"/>
      <c r="JOE128" s="813"/>
      <c r="JOF128" s="813"/>
      <c r="JOG128" s="813"/>
      <c r="JOH128" s="813"/>
      <c r="JOI128" s="813"/>
      <c r="JOJ128" s="814"/>
      <c r="JOK128" s="814"/>
      <c r="JOL128" s="814"/>
      <c r="JOM128" s="814"/>
      <c r="JON128" s="814"/>
      <c r="JOO128" s="814"/>
      <c r="JOP128" s="814"/>
      <c r="JOQ128" s="814"/>
      <c r="JOR128" s="814"/>
      <c r="JOS128" s="813"/>
      <c r="JOT128" s="813"/>
      <c r="JOU128" s="813"/>
      <c r="JOV128" s="813"/>
      <c r="JOW128" s="813"/>
      <c r="JOX128" s="814"/>
      <c r="JOY128" s="814"/>
      <c r="JOZ128" s="814"/>
      <c r="JPA128" s="814"/>
      <c r="JPB128" s="814"/>
      <c r="JPC128" s="814"/>
      <c r="JPD128" s="814"/>
      <c r="JPE128" s="814"/>
      <c r="JPF128" s="814"/>
      <c r="JPG128" s="813"/>
      <c r="JPH128" s="813"/>
      <c r="JPI128" s="813"/>
      <c r="JPJ128" s="813"/>
      <c r="JPK128" s="813"/>
      <c r="JPL128" s="814"/>
      <c r="JPM128" s="814"/>
      <c r="JPN128" s="814"/>
      <c r="JPO128" s="814"/>
      <c r="JPP128" s="814"/>
      <c r="JPQ128" s="814"/>
      <c r="JPR128" s="814"/>
      <c r="JPS128" s="814"/>
      <c r="JPT128" s="814"/>
      <c r="JPU128" s="813"/>
      <c r="JPV128" s="813"/>
      <c r="JPW128" s="813"/>
      <c r="JPX128" s="813"/>
      <c r="JPY128" s="813"/>
      <c r="JPZ128" s="814"/>
      <c r="JQA128" s="814"/>
      <c r="JQB128" s="814"/>
      <c r="JQC128" s="814"/>
      <c r="JQD128" s="814"/>
      <c r="JQE128" s="814"/>
      <c r="JQF128" s="814"/>
      <c r="JQG128" s="814"/>
      <c r="JQH128" s="814"/>
      <c r="JQI128" s="813"/>
      <c r="JQJ128" s="813"/>
      <c r="JQK128" s="813"/>
      <c r="JQL128" s="813"/>
      <c r="JQM128" s="813"/>
      <c r="JQN128" s="814"/>
      <c r="JQO128" s="814"/>
      <c r="JQP128" s="814"/>
      <c r="JQQ128" s="814"/>
      <c r="JQR128" s="814"/>
      <c r="JQS128" s="814"/>
      <c r="JQT128" s="814"/>
      <c r="JQU128" s="814"/>
      <c r="JQV128" s="814"/>
      <c r="JQW128" s="813"/>
      <c r="JQX128" s="813"/>
      <c r="JQY128" s="813"/>
      <c r="JQZ128" s="813"/>
      <c r="JRA128" s="813"/>
      <c r="JRB128" s="814"/>
      <c r="JRC128" s="814"/>
      <c r="JRD128" s="814"/>
      <c r="JRE128" s="814"/>
      <c r="JRF128" s="814"/>
      <c r="JRG128" s="814"/>
      <c r="JRH128" s="814"/>
      <c r="JRI128" s="814"/>
      <c r="JRJ128" s="814"/>
      <c r="JRK128" s="813"/>
      <c r="JRL128" s="813"/>
      <c r="JRM128" s="813"/>
      <c r="JRN128" s="813"/>
      <c r="JRO128" s="813"/>
      <c r="JRP128" s="814"/>
      <c r="JRQ128" s="814"/>
      <c r="JRR128" s="814"/>
      <c r="JRS128" s="814"/>
      <c r="JRT128" s="814"/>
      <c r="JRU128" s="814"/>
      <c r="JRV128" s="814"/>
      <c r="JRW128" s="814"/>
      <c r="JRX128" s="814"/>
      <c r="JRY128" s="813"/>
      <c r="JRZ128" s="813"/>
      <c r="JSA128" s="813"/>
      <c r="JSB128" s="813"/>
      <c r="JSC128" s="813"/>
      <c r="JSD128" s="814"/>
      <c r="JSE128" s="814"/>
      <c r="JSF128" s="814"/>
      <c r="JSG128" s="814"/>
      <c r="JSH128" s="814"/>
      <c r="JSI128" s="814"/>
      <c r="JSJ128" s="814"/>
      <c r="JSK128" s="814"/>
      <c r="JSL128" s="814"/>
      <c r="JSM128" s="813"/>
      <c r="JSN128" s="813"/>
      <c r="JSO128" s="813"/>
      <c r="JSP128" s="813"/>
      <c r="JSQ128" s="813"/>
      <c r="JSR128" s="814"/>
      <c r="JSS128" s="814"/>
      <c r="JST128" s="814"/>
      <c r="JSU128" s="814"/>
      <c r="JSV128" s="814"/>
      <c r="JSW128" s="814"/>
      <c r="JSX128" s="814"/>
      <c r="JSY128" s="814"/>
      <c r="JSZ128" s="814"/>
      <c r="JTA128" s="813"/>
      <c r="JTB128" s="813"/>
      <c r="JTC128" s="813"/>
      <c r="JTD128" s="813"/>
      <c r="JTE128" s="813"/>
      <c r="JTF128" s="814"/>
      <c r="JTG128" s="814"/>
      <c r="JTH128" s="814"/>
      <c r="JTI128" s="814"/>
      <c r="JTJ128" s="814"/>
      <c r="JTK128" s="814"/>
      <c r="JTL128" s="814"/>
      <c r="JTM128" s="814"/>
      <c r="JTN128" s="814"/>
      <c r="JTO128" s="813"/>
      <c r="JTP128" s="813"/>
      <c r="JTQ128" s="813"/>
      <c r="JTR128" s="813"/>
      <c r="JTS128" s="813"/>
      <c r="JTT128" s="814"/>
      <c r="JTU128" s="814"/>
      <c r="JTV128" s="814"/>
      <c r="JTW128" s="814"/>
      <c r="JTX128" s="814"/>
      <c r="JTY128" s="814"/>
      <c r="JTZ128" s="814"/>
      <c r="JUA128" s="814"/>
      <c r="JUB128" s="814"/>
      <c r="JUC128" s="813"/>
      <c r="JUD128" s="813"/>
      <c r="JUE128" s="813"/>
      <c r="JUF128" s="813"/>
      <c r="JUG128" s="813"/>
      <c r="JUH128" s="814"/>
      <c r="JUI128" s="814"/>
      <c r="JUJ128" s="814"/>
      <c r="JUK128" s="814"/>
      <c r="JUL128" s="814"/>
      <c r="JUM128" s="814"/>
      <c r="JUN128" s="814"/>
      <c r="JUO128" s="814"/>
      <c r="JUP128" s="814"/>
      <c r="JUQ128" s="813"/>
      <c r="JUR128" s="813"/>
      <c r="JUS128" s="813"/>
      <c r="JUT128" s="813"/>
      <c r="JUU128" s="813"/>
      <c r="JUV128" s="814"/>
      <c r="JUW128" s="814"/>
      <c r="JUX128" s="814"/>
      <c r="JUY128" s="814"/>
      <c r="JUZ128" s="814"/>
      <c r="JVA128" s="814"/>
      <c r="JVB128" s="814"/>
      <c r="JVC128" s="814"/>
      <c r="JVD128" s="814"/>
      <c r="JVE128" s="813"/>
      <c r="JVF128" s="813"/>
      <c r="JVG128" s="813"/>
      <c r="JVH128" s="813"/>
      <c r="JVI128" s="813"/>
      <c r="JVJ128" s="814"/>
      <c r="JVK128" s="814"/>
      <c r="JVL128" s="814"/>
      <c r="JVM128" s="814"/>
      <c r="JVN128" s="814"/>
      <c r="JVO128" s="814"/>
      <c r="JVP128" s="814"/>
      <c r="JVQ128" s="814"/>
      <c r="JVR128" s="814"/>
      <c r="JVS128" s="813"/>
      <c r="JVT128" s="813"/>
      <c r="JVU128" s="813"/>
      <c r="JVV128" s="813"/>
      <c r="JVW128" s="813"/>
      <c r="JVX128" s="814"/>
      <c r="JVY128" s="814"/>
      <c r="JVZ128" s="814"/>
      <c r="JWA128" s="814"/>
      <c r="JWB128" s="814"/>
      <c r="JWC128" s="814"/>
      <c r="JWD128" s="814"/>
      <c r="JWE128" s="814"/>
      <c r="JWF128" s="814"/>
      <c r="JWG128" s="813"/>
      <c r="JWH128" s="813"/>
      <c r="JWI128" s="813"/>
      <c r="JWJ128" s="813"/>
      <c r="JWK128" s="813"/>
      <c r="JWL128" s="814"/>
      <c r="JWM128" s="814"/>
      <c r="JWN128" s="814"/>
      <c r="JWO128" s="814"/>
      <c r="JWP128" s="814"/>
      <c r="JWQ128" s="814"/>
      <c r="JWR128" s="814"/>
      <c r="JWS128" s="814"/>
      <c r="JWT128" s="814"/>
      <c r="JWU128" s="813"/>
      <c r="JWV128" s="813"/>
      <c r="JWW128" s="813"/>
      <c r="JWX128" s="813"/>
      <c r="JWY128" s="813"/>
      <c r="JWZ128" s="814"/>
      <c r="JXA128" s="814"/>
      <c r="JXB128" s="814"/>
      <c r="JXC128" s="814"/>
      <c r="JXD128" s="814"/>
      <c r="JXE128" s="814"/>
      <c r="JXF128" s="814"/>
      <c r="JXG128" s="814"/>
      <c r="JXH128" s="814"/>
      <c r="JXI128" s="813"/>
      <c r="JXJ128" s="813"/>
      <c r="JXK128" s="813"/>
      <c r="JXL128" s="813"/>
      <c r="JXM128" s="813"/>
      <c r="JXN128" s="814"/>
      <c r="JXO128" s="814"/>
      <c r="JXP128" s="814"/>
      <c r="JXQ128" s="814"/>
      <c r="JXR128" s="814"/>
      <c r="JXS128" s="814"/>
      <c r="JXT128" s="814"/>
      <c r="JXU128" s="814"/>
      <c r="JXV128" s="814"/>
      <c r="JXW128" s="813"/>
      <c r="JXX128" s="813"/>
      <c r="JXY128" s="813"/>
      <c r="JXZ128" s="813"/>
      <c r="JYA128" s="813"/>
      <c r="JYB128" s="814"/>
      <c r="JYC128" s="814"/>
      <c r="JYD128" s="814"/>
      <c r="JYE128" s="814"/>
      <c r="JYF128" s="814"/>
      <c r="JYG128" s="814"/>
      <c r="JYH128" s="814"/>
      <c r="JYI128" s="814"/>
      <c r="JYJ128" s="814"/>
      <c r="JYK128" s="813"/>
      <c r="JYL128" s="813"/>
      <c r="JYM128" s="813"/>
      <c r="JYN128" s="813"/>
      <c r="JYO128" s="813"/>
      <c r="JYP128" s="814"/>
      <c r="JYQ128" s="814"/>
      <c r="JYR128" s="814"/>
      <c r="JYS128" s="814"/>
      <c r="JYT128" s="814"/>
      <c r="JYU128" s="814"/>
      <c r="JYV128" s="814"/>
      <c r="JYW128" s="814"/>
      <c r="JYX128" s="814"/>
      <c r="JYY128" s="813"/>
      <c r="JYZ128" s="813"/>
      <c r="JZA128" s="813"/>
      <c r="JZB128" s="813"/>
      <c r="JZC128" s="813"/>
      <c r="JZD128" s="814"/>
      <c r="JZE128" s="814"/>
      <c r="JZF128" s="814"/>
      <c r="JZG128" s="814"/>
      <c r="JZH128" s="814"/>
      <c r="JZI128" s="814"/>
      <c r="JZJ128" s="814"/>
      <c r="JZK128" s="814"/>
      <c r="JZL128" s="814"/>
      <c r="JZM128" s="813"/>
      <c r="JZN128" s="813"/>
      <c r="JZO128" s="813"/>
      <c r="JZP128" s="813"/>
      <c r="JZQ128" s="813"/>
      <c r="JZR128" s="814"/>
      <c r="JZS128" s="814"/>
      <c r="JZT128" s="814"/>
      <c r="JZU128" s="814"/>
      <c r="JZV128" s="814"/>
      <c r="JZW128" s="814"/>
      <c r="JZX128" s="814"/>
      <c r="JZY128" s="814"/>
      <c r="JZZ128" s="814"/>
      <c r="KAA128" s="813"/>
      <c r="KAB128" s="813"/>
      <c r="KAC128" s="813"/>
      <c r="KAD128" s="813"/>
      <c r="KAE128" s="813"/>
      <c r="KAF128" s="814"/>
      <c r="KAG128" s="814"/>
      <c r="KAH128" s="814"/>
      <c r="KAI128" s="814"/>
      <c r="KAJ128" s="814"/>
      <c r="KAK128" s="814"/>
      <c r="KAL128" s="814"/>
      <c r="KAM128" s="814"/>
      <c r="KAN128" s="814"/>
      <c r="KAO128" s="813"/>
      <c r="KAP128" s="813"/>
      <c r="KAQ128" s="813"/>
      <c r="KAR128" s="813"/>
      <c r="KAS128" s="813"/>
      <c r="KAT128" s="814"/>
      <c r="KAU128" s="814"/>
      <c r="KAV128" s="814"/>
      <c r="KAW128" s="814"/>
      <c r="KAX128" s="814"/>
      <c r="KAY128" s="814"/>
      <c r="KAZ128" s="814"/>
      <c r="KBA128" s="814"/>
      <c r="KBB128" s="814"/>
      <c r="KBC128" s="813"/>
      <c r="KBD128" s="813"/>
      <c r="KBE128" s="813"/>
      <c r="KBF128" s="813"/>
      <c r="KBG128" s="813"/>
      <c r="KBH128" s="814"/>
      <c r="KBI128" s="814"/>
      <c r="KBJ128" s="814"/>
      <c r="KBK128" s="814"/>
      <c r="KBL128" s="814"/>
      <c r="KBM128" s="814"/>
      <c r="KBN128" s="814"/>
      <c r="KBO128" s="814"/>
      <c r="KBP128" s="814"/>
      <c r="KBQ128" s="813"/>
      <c r="KBR128" s="813"/>
      <c r="KBS128" s="813"/>
      <c r="KBT128" s="813"/>
      <c r="KBU128" s="813"/>
      <c r="KBV128" s="814"/>
      <c r="KBW128" s="814"/>
      <c r="KBX128" s="814"/>
      <c r="KBY128" s="814"/>
      <c r="KBZ128" s="814"/>
      <c r="KCA128" s="814"/>
      <c r="KCB128" s="814"/>
      <c r="KCC128" s="814"/>
      <c r="KCD128" s="814"/>
      <c r="KCE128" s="813"/>
      <c r="KCF128" s="813"/>
      <c r="KCG128" s="813"/>
      <c r="KCH128" s="813"/>
      <c r="KCI128" s="813"/>
      <c r="KCJ128" s="814"/>
      <c r="KCK128" s="814"/>
      <c r="KCL128" s="814"/>
      <c r="KCM128" s="814"/>
      <c r="KCN128" s="814"/>
      <c r="KCO128" s="814"/>
      <c r="KCP128" s="814"/>
      <c r="KCQ128" s="814"/>
      <c r="KCR128" s="814"/>
      <c r="KCS128" s="813"/>
      <c r="KCT128" s="813"/>
      <c r="KCU128" s="813"/>
      <c r="KCV128" s="813"/>
      <c r="KCW128" s="813"/>
      <c r="KCX128" s="814"/>
      <c r="KCY128" s="814"/>
      <c r="KCZ128" s="814"/>
      <c r="KDA128" s="814"/>
      <c r="KDB128" s="814"/>
      <c r="KDC128" s="814"/>
      <c r="KDD128" s="814"/>
      <c r="KDE128" s="814"/>
      <c r="KDF128" s="814"/>
      <c r="KDG128" s="813"/>
      <c r="KDH128" s="813"/>
      <c r="KDI128" s="813"/>
      <c r="KDJ128" s="813"/>
      <c r="KDK128" s="813"/>
      <c r="KDL128" s="814"/>
      <c r="KDM128" s="814"/>
      <c r="KDN128" s="814"/>
      <c r="KDO128" s="814"/>
      <c r="KDP128" s="814"/>
      <c r="KDQ128" s="814"/>
      <c r="KDR128" s="814"/>
      <c r="KDS128" s="814"/>
      <c r="KDT128" s="814"/>
      <c r="KDU128" s="813"/>
      <c r="KDV128" s="813"/>
      <c r="KDW128" s="813"/>
      <c r="KDX128" s="813"/>
      <c r="KDY128" s="813"/>
      <c r="KDZ128" s="814"/>
      <c r="KEA128" s="814"/>
      <c r="KEB128" s="814"/>
      <c r="KEC128" s="814"/>
      <c r="KED128" s="814"/>
      <c r="KEE128" s="814"/>
      <c r="KEF128" s="814"/>
      <c r="KEG128" s="814"/>
      <c r="KEH128" s="814"/>
      <c r="KEI128" s="813"/>
      <c r="KEJ128" s="813"/>
      <c r="KEK128" s="813"/>
      <c r="KEL128" s="813"/>
      <c r="KEM128" s="813"/>
      <c r="KEN128" s="814"/>
      <c r="KEO128" s="814"/>
      <c r="KEP128" s="814"/>
      <c r="KEQ128" s="814"/>
      <c r="KER128" s="814"/>
      <c r="KES128" s="814"/>
      <c r="KET128" s="814"/>
      <c r="KEU128" s="814"/>
      <c r="KEV128" s="814"/>
      <c r="KEW128" s="813"/>
      <c r="KEX128" s="813"/>
      <c r="KEY128" s="813"/>
      <c r="KEZ128" s="813"/>
      <c r="KFA128" s="813"/>
      <c r="KFB128" s="814"/>
      <c r="KFC128" s="814"/>
      <c r="KFD128" s="814"/>
      <c r="KFE128" s="814"/>
      <c r="KFF128" s="814"/>
      <c r="KFG128" s="814"/>
      <c r="KFH128" s="814"/>
      <c r="KFI128" s="814"/>
      <c r="KFJ128" s="814"/>
      <c r="KFK128" s="813"/>
      <c r="KFL128" s="813"/>
      <c r="KFM128" s="813"/>
      <c r="KFN128" s="813"/>
      <c r="KFO128" s="813"/>
      <c r="KFP128" s="814"/>
      <c r="KFQ128" s="814"/>
      <c r="KFR128" s="814"/>
      <c r="KFS128" s="814"/>
      <c r="KFT128" s="814"/>
      <c r="KFU128" s="814"/>
      <c r="KFV128" s="814"/>
      <c r="KFW128" s="814"/>
      <c r="KFX128" s="814"/>
      <c r="KFY128" s="813"/>
      <c r="KFZ128" s="813"/>
      <c r="KGA128" s="813"/>
      <c r="KGB128" s="813"/>
      <c r="KGC128" s="813"/>
      <c r="KGD128" s="814"/>
      <c r="KGE128" s="814"/>
      <c r="KGF128" s="814"/>
      <c r="KGG128" s="814"/>
      <c r="KGH128" s="814"/>
      <c r="KGI128" s="814"/>
      <c r="KGJ128" s="814"/>
      <c r="KGK128" s="814"/>
      <c r="KGL128" s="814"/>
      <c r="KGM128" s="813"/>
      <c r="KGN128" s="813"/>
      <c r="KGO128" s="813"/>
      <c r="KGP128" s="813"/>
      <c r="KGQ128" s="813"/>
      <c r="KGR128" s="814"/>
      <c r="KGS128" s="814"/>
      <c r="KGT128" s="814"/>
      <c r="KGU128" s="814"/>
      <c r="KGV128" s="814"/>
      <c r="KGW128" s="814"/>
      <c r="KGX128" s="814"/>
      <c r="KGY128" s="814"/>
      <c r="KGZ128" s="814"/>
      <c r="KHA128" s="813"/>
      <c r="KHB128" s="813"/>
      <c r="KHC128" s="813"/>
      <c r="KHD128" s="813"/>
      <c r="KHE128" s="813"/>
      <c r="KHF128" s="814"/>
      <c r="KHG128" s="814"/>
      <c r="KHH128" s="814"/>
      <c r="KHI128" s="814"/>
      <c r="KHJ128" s="814"/>
      <c r="KHK128" s="814"/>
      <c r="KHL128" s="814"/>
      <c r="KHM128" s="814"/>
      <c r="KHN128" s="814"/>
      <c r="KHO128" s="813"/>
      <c r="KHP128" s="813"/>
      <c r="KHQ128" s="813"/>
      <c r="KHR128" s="813"/>
      <c r="KHS128" s="813"/>
      <c r="KHT128" s="814"/>
      <c r="KHU128" s="814"/>
      <c r="KHV128" s="814"/>
      <c r="KHW128" s="814"/>
      <c r="KHX128" s="814"/>
      <c r="KHY128" s="814"/>
      <c r="KHZ128" s="814"/>
      <c r="KIA128" s="814"/>
      <c r="KIB128" s="814"/>
      <c r="KIC128" s="813"/>
      <c r="KID128" s="813"/>
      <c r="KIE128" s="813"/>
      <c r="KIF128" s="813"/>
      <c r="KIG128" s="813"/>
      <c r="KIH128" s="814"/>
      <c r="KII128" s="814"/>
      <c r="KIJ128" s="814"/>
      <c r="KIK128" s="814"/>
      <c r="KIL128" s="814"/>
      <c r="KIM128" s="814"/>
      <c r="KIN128" s="814"/>
      <c r="KIO128" s="814"/>
      <c r="KIP128" s="814"/>
      <c r="KIQ128" s="813"/>
      <c r="KIR128" s="813"/>
      <c r="KIS128" s="813"/>
      <c r="KIT128" s="813"/>
      <c r="KIU128" s="813"/>
      <c r="KIV128" s="814"/>
      <c r="KIW128" s="814"/>
      <c r="KIX128" s="814"/>
      <c r="KIY128" s="814"/>
      <c r="KIZ128" s="814"/>
      <c r="KJA128" s="814"/>
      <c r="KJB128" s="814"/>
      <c r="KJC128" s="814"/>
      <c r="KJD128" s="814"/>
      <c r="KJE128" s="813"/>
      <c r="KJF128" s="813"/>
      <c r="KJG128" s="813"/>
      <c r="KJH128" s="813"/>
      <c r="KJI128" s="813"/>
      <c r="KJJ128" s="814"/>
      <c r="KJK128" s="814"/>
      <c r="KJL128" s="814"/>
      <c r="KJM128" s="814"/>
      <c r="KJN128" s="814"/>
      <c r="KJO128" s="814"/>
      <c r="KJP128" s="814"/>
      <c r="KJQ128" s="814"/>
      <c r="KJR128" s="814"/>
      <c r="KJS128" s="813"/>
      <c r="KJT128" s="813"/>
      <c r="KJU128" s="813"/>
      <c r="KJV128" s="813"/>
      <c r="KJW128" s="813"/>
      <c r="KJX128" s="814"/>
      <c r="KJY128" s="814"/>
      <c r="KJZ128" s="814"/>
      <c r="KKA128" s="814"/>
      <c r="KKB128" s="814"/>
      <c r="KKC128" s="814"/>
      <c r="KKD128" s="814"/>
      <c r="KKE128" s="814"/>
      <c r="KKF128" s="814"/>
      <c r="KKG128" s="813"/>
      <c r="KKH128" s="813"/>
      <c r="KKI128" s="813"/>
      <c r="KKJ128" s="813"/>
      <c r="KKK128" s="813"/>
      <c r="KKL128" s="814"/>
      <c r="KKM128" s="814"/>
      <c r="KKN128" s="814"/>
      <c r="KKO128" s="814"/>
      <c r="KKP128" s="814"/>
      <c r="KKQ128" s="814"/>
      <c r="KKR128" s="814"/>
      <c r="KKS128" s="814"/>
      <c r="KKT128" s="814"/>
      <c r="KKU128" s="813"/>
      <c r="KKV128" s="813"/>
      <c r="KKW128" s="813"/>
      <c r="KKX128" s="813"/>
      <c r="KKY128" s="813"/>
      <c r="KKZ128" s="814"/>
      <c r="KLA128" s="814"/>
      <c r="KLB128" s="814"/>
      <c r="KLC128" s="814"/>
      <c r="KLD128" s="814"/>
      <c r="KLE128" s="814"/>
      <c r="KLF128" s="814"/>
      <c r="KLG128" s="814"/>
      <c r="KLH128" s="814"/>
      <c r="KLI128" s="813"/>
      <c r="KLJ128" s="813"/>
      <c r="KLK128" s="813"/>
      <c r="KLL128" s="813"/>
      <c r="KLM128" s="813"/>
      <c r="KLN128" s="814"/>
      <c r="KLO128" s="814"/>
      <c r="KLP128" s="814"/>
      <c r="KLQ128" s="814"/>
      <c r="KLR128" s="814"/>
      <c r="KLS128" s="814"/>
      <c r="KLT128" s="814"/>
      <c r="KLU128" s="814"/>
      <c r="KLV128" s="814"/>
      <c r="KLW128" s="813"/>
      <c r="KLX128" s="813"/>
      <c r="KLY128" s="813"/>
      <c r="KLZ128" s="813"/>
      <c r="KMA128" s="813"/>
      <c r="KMB128" s="814"/>
      <c r="KMC128" s="814"/>
      <c r="KMD128" s="814"/>
      <c r="KME128" s="814"/>
      <c r="KMF128" s="814"/>
      <c r="KMG128" s="814"/>
      <c r="KMH128" s="814"/>
      <c r="KMI128" s="814"/>
      <c r="KMJ128" s="814"/>
      <c r="KMK128" s="813"/>
      <c r="KML128" s="813"/>
      <c r="KMM128" s="813"/>
      <c r="KMN128" s="813"/>
      <c r="KMO128" s="813"/>
      <c r="KMP128" s="814"/>
      <c r="KMQ128" s="814"/>
      <c r="KMR128" s="814"/>
      <c r="KMS128" s="814"/>
      <c r="KMT128" s="814"/>
      <c r="KMU128" s="814"/>
      <c r="KMV128" s="814"/>
      <c r="KMW128" s="814"/>
      <c r="KMX128" s="814"/>
      <c r="KMY128" s="813"/>
      <c r="KMZ128" s="813"/>
      <c r="KNA128" s="813"/>
      <c r="KNB128" s="813"/>
      <c r="KNC128" s="813"/>
      <c r="KND128" s="814"/>
      <c r="KNE128" s="814"/>
      <c r="KNF128" s="814"/>
      <c r="KNG128" s="814"/>
      <c r="KNH128" s="814"/>
      <c r="KNI128" s="814"/>
      <c r="KNJ128" s="814"/>
      <c r="KNK128" s="814"/>
      <c r="KNL128" s="814"/>
      <c r="KNM128" s="813"/>
      <c r="KNN128" s="813"/>
      <c r="KNO128" s="813"/>
      <c r="KNP128" s="813"/>
      <c r="KNQ128" s="813"/>
      <c r="KNR128" s="814"/>
      <c r="KNS128" s="814"/>
      <c r="KNT128" s="814"/>
      <c r="KNU128" s="814"/>
      <c r="KNV128" s="814"/>
      <c r="KNW128" s="814"/>
      <c r="KNX128" s="814"/>
      <c r="KNY128" s="814"/>
      <c r="KNZ128" s="814"/>
      <c r="KOA128" s="813"/>
      <c r="KOB128" s="813"/>
      <c r="KOC128" s="813"/>
      <c r="KOD128" s="813"/>
      <c r="KOE128" s="813"/>
      <c r="KOF128" s="814"/>
      <c r="KOG128" s="814"/>
      <c r="KOH128" s="814"/>
      <c r="KOI128" s="814"/>
      <c r="KOJ128" s="814"/>
      <c r="KOK128" s="814"/>
      <c r="KOL128" s="814"/>
      <c r="KOM128" s="814"/>
      <c r="KON128" s="814"/>
      <c r="KOO128" s="813"/>
      <c r="KOP128" s="813"/>
      <c r="KOQ128" s="813"/>
      <c r="KOR128" s="813"/>
      <c r="KOS128" s="813"/>
      <c r="KOT128" s="814"/>
      <c r="KOU128" s="814"/>
      <c r="KOV128" s="814"/>
      <c r="KOW128" s="814"/>
      <c r="KOX128" s="814"/>
      <c r="KOY128" s="814"/>
      <c r="KOZ128" s="814"/>
      <c r="KPA128" s="814"/>
      <c r="KPB128" s="814"/>
      <c r="KPC128" s="813"/>
      <c r="KPD128" s="813"/>
      <c r="KPE128" s="813"/>
      <c r="KPF128" s="813"/>
      <c r="KPG128" s="813"/>
      <c r="KPH128" s="814"/>
      <c r="KPI128" s="814"/>
      <c r="KPJ128" s="814"/>
      <c r="KPK128" s="814"/>
      <c r="KPL128" s="814"/>
      <c r="KPM128" s="814"/>
      <c r="KPN128" s="814"/>
      <c r="KPO128" s="814"/>
      <c r="KPP128" s="814"/>
      <c r="KPQ128" s="813"/>
      <c r="KPR128" s="813"/>
      <c r="KPS128" s="813"/>
      <c r="KPT128" s="813"/>
      <c r="KPU128" s="813"/>
      <c r="KPV128" s="814"/>
      <c r="KPW128" s="814"/>
      <c r="KPX128" s="814"/>
      <c r="KPY128" s="814"/>
      <c r="KPZ128" s="814"/>
      <c r="KQA128" s="814"/>
      <c r="KQB128" s="814"/>
      <c r="KQC128" s="814"/>
      <c r="KQD128" s="814"/>
      <c r="KQE128" s="813"/>
      <c r="KQF128" s="813"/>
      <c r="KQG128" s="813"/>
      <c r="KQH128" s="813"/>
      <c r="KQI128" s="813"/>
      <c r="KQJ128" s="814"/>
      <c r="KQK128" s="814"/>
      <c r="KQL128" s="814"/>
      <c r="KQM128" s="814"/>
      <c r="KQN128" s="814"/>
      <c r="KQO128" s="814"/>
      <c r="KQP128" s="814"/>
      <c r="KQQ128" s="814"/>
      <c r="KQR128" s="814"/>
      <c r="KQS128" s="813"/>
      <c r="KQT128" s="813"/>
      <c r="KQU128" s="813"/>
      <c r="KQV128" s="813"/>
      <c r="KQW128" s="813"/>
      <c r="KQX128" s="814"/>
      <c r="KQY128" s="814"/>
      <c r="KQZ128" s="814"/>
      <c r="KRA128" s="814"/>
      <c r="KRB128" s="814"/>
      <c r="KRC128" s="814"/>
      <c r="KRD128" s="814"/>
      <c r="KRE128" s="814"/>
      <c r="KRF128" s="814"/>
      <c r="KRG128" s="813"/>
      <c r="KRH128" s="813"/>
      <c r="KRI128" s="813"/>
      <c r="KRJ128" s="813"/>
      <c r="KRK128" s="813"/>
      <c r="KRL128" s="814"/>
      <c r="KRM128" s="814"/>
      <c r="KRN128" s="814"/>
      <c r="KRO128" s="814"/>
      <c r="KRP128" s="814"/>
      <c r="KRQ128" s="814"/>
      <c r="KRR128" s="814"/>
      <c r="KRS128" s="814"/>
      <c r="KRT128" s="814"/>
      <c r="KRU128" s="813"/>
      <c r="KRV128" s="813"/>
      <c r="KRW128" s="813"/>
      <c r="KRX128" s="813"/>
      <c r="KRY128" s="813"/>
      <c r="KRZ128" s="814"/>
      <c r="KSA128" s="814"/>
      <c r="KSB128" s="814"/>
      <c r="KSC128" s="814"/>
      <c r="KSD128" s="814"/>
      <c r="KSE128" s="814"/>
      <c r="KSF128" s="814"/>
      <c r="KSG128" s="814"/>
      <c r="KSH128" s="814"/>
      <c r="KSI128" s="813"/>
      <c r="KSJ128" s="813"/>
      <c r="KSK128" s="813"/>
      <c r="KSL128" s="813"/>
      <c r="KSM128" s="813"/>
      <c r="KSN128" s="814"/>
      <c r="KSO128" s="814"/>
      <c r="KSP128" s="814"/>
      <c r="KSQ128" s="814"/>
      <c r="KSR128" s="814"/>
      <c r="KSS128" s="814"/>
      <c r="KST128" s="814"/>
      <c r="KSU128" s="814"/>
      <c r="KSV128" s="814"/>
      <c r="KSW128" s="813"/>
      <c r="KSX128" s="813"/>
      <c r="KSY128" s="813"/>
      <c r="KSZ128" s="813"/>
      <c r="KTA128" s="813"/>
      <c r="KTB128" s="814"/>
      <c r="KTC128" s="814"/>
      <c r="KTD128" s="814"/>
      <c r="KTE128" s="814"/>
      <c r="KTF128" s="814"/>
      <c r="KTG128" s="814"/>
      <c r="KTH128" s="814"/>
      <c r="KTI128" s="814"/>
      <c r="KTJ128" s="814"/>
      <c r="KTK128" s="813"/>
      <c r="KTL128" s="813"/>
      <c r="KTM128" s="813"/>
      <c r="KTN128" s="813"/>
      <c r="KTO128" s="813"/>
      <c r="KTP128" s="814"/>
      <c r="KTQ128" s="814"/>
      <c r="KTR128" s="814"/>
      <c r="KTS128" s="814"/>
      <c r="KTT128" s="814"/>
      <c r="KTU128" s="814"/>
      <c r="KTV128" s="814"/>
      <c r="KTW128" s="814"/>
      <c r="KTX128" s="814"/>
      <c r="KTY128" s="813"/>
      <c r="KTZ128" s="813"/>
      <c r="KUA128" s="813"/>
      <c r="KUB128" s="813"/>
      <c r="KUC128" s="813"/>
      <c r="KUD128" s="814"/>
      <c r="KUE128" s="814"/>
      <c r="KUF128" s="814"/>
      <c r="KUG128" s="814"/>
      <c r="KUH128" s="814"/>
      <c r="KUI128" s="814"/>
      <c r="KUJ128" s="814"/>
      <c r="KUK128" s="814"/>
      <c r="KUL128" s="814"/>
      <c r="KUM128" s="813"/>
      <c r="KUN128" s="813"/>
      <c r="KUO128" s="813"/>
      <c r="KUP128" s="813"/>
      <c r="KUQ128" s="813"/>
      <c r="KUR128" s="814"/>
      <c r="KUS128" s="814"/>
      <c r="KUT128" s="814"/>
      <c r="KUU128" s="814"/>
      <c r="KUV128" s="814"/>
      <c r="KUW128" s="814"/>
      <c r="KUX128" s="814"/>
      <c r="KUY128" s="814"/>
      <c r="KUZ128" s="814"/>
      <c r="KVA128" s="813"/>
      <c r="KVB128" s="813"/>
      <c r="KVC128" s="813"/>
      <c r="KVD128" s="813"/>
      <c r="KVE128" s="813"/>
      <c r="KVF128" s="814"/>
      <c r="KVG128" s="814"/>
      <c r="KVH128" s="814"/>
      <c r="KVI128" s="814"/>
      <c r="KVJ128" s="814"/>
      <c r="KVK128" s="814"/>
      <c r="KVL128" s="814"/>
      <c r="KVM128" s="814"/>
      <c r="KVN128" s="814"/>
      <c r="KVO128" s="813"/>
      <c r="KVP128" s="813"/>
      <c r="KVQ128" s="813"/>
      <c r="KVR128" s="813"/>
      <c r="KVS128" s="813"/>
      <c r="KVT128" s="814"/>
      <c r="KVU128" s="814"/>
      <c r="KVV128" s="814"/>
      <c r="KVW128" s="814"/>
      <c r="KVX128" s="814"/>
      <c r="KVY128" s="814"/>
      <c r="KVZ128" s="814"/>
      <c r="KWA128" s="814"/>
      <c r="KWB128" s="814"/>
      <c r="KWC128" s="813"/>
      <c r="KWD128" s="813"/>
      <c r="KWE128" s="813"/>
      <c r="KWF128" s="813"/>
      <c r="KWG128" s="813"/>
      <c r="KWH128" s="814"/>
      <c r="KWI128" s="814"/>
      <c r="KWJ128" s="814"/>
      <c r="KWK128" s="814"/>
      <c r="KWL128" s="814"/>
      <c r="KWM128" s="814"/>
      <c r="KWN128" s="814"/>
      <c r="KWO128" s="814"/>
      <c r="KWP128" s="814"/>
      <c r="KWQ128" s="813"/>
      <c r="KWR128" s="813"/>
      <c r="KWS128" s="813"/>
      <c r="KWT128" s="813"/>
      <c r="KWU128" s="813"/>
      <c r="KWV128" s="814"/>
      <c r="KWW128" s="814"/>
      <c r="KWX128" s="814"/>
      <c r="KWY128" s="814"/>
      <c r="KWZ128" s="814"/>
      <c r="KXA128" s="814"/>
      <c r="KXB128" s="814"/>
      <c r="KXC128" s="814"/>
      <c r="KXD128" s="814"/>
      <c r="KXE128" s="813"/>
      <c r="KXF128" s="813"/>
      <c r="KXG128" s="813"/>
      <c r="KXH128" s="813"/>
      <c r="KXI128" s="813"/>
      <c r="KXJ128" s="814"/>
      <c r="KXK128" s="814"/>
      <c r="KXL128" s="814"/>
      <c r="KXM128" s="814"/>
      <c r="KXN128" s="814"/>
      <c r="KXO128" s="814"/>
      <c r="KXP128" s="814"/>
      <c r="KXQ128" s="814"/>
      <c r="KXR128" s="814"/>
      <c r="KXS128" s="813"/>
      <c r="KXT128" s="813"/>
      <c r="KXU128" s="813"/>
      <c r="KXV128" s="813"/>
      <c r="KXW128" s="813"/>
      <c r="KXX128" s="814"/>
      <c r="KXY128" s="814"/>
      <c r="KXZ128" s="814"/>
      <c r="KYA128" s="814"/>
      <c r="KYB128" s="814"/>
      <c r="KYC128" s="814"/>
      <c r="KYD128" s="814"/>
      <c r="KYE128" s="814"/>
      <c r="KYF128" s="814"/>
      <c r="KYG128" s="813"/>
      <c r="KYH128" s="813"/>
      <c r="KYI128" s="813"/>
      <c r="KYJ128" s="813"/>
      <c r="KYK128" s="813"/>
      <c r="KYL128" s="814"/>
      <c r="KYM128" s="814"/>
      <c r="KYN128" s="814"/>
      <c r="KYO128" s="814"/>
      <c r="KYP128" s="814"/>
      <c r="KYQ128" s="814"/>
      <c r="KYR128" s="814"/>
      <c r="KYS128" s="814"/>
      <c r="KYT128" s="814"/>
      <c r="KYU128" s="813"/>
      <c r="KYV128" s="813"/>
      <c r="KYW128" s="813"/>
      <c r="KYX128" s="813"/>
      <c r="KYY128" s="813"/>
      <c r="KYZ128" s="814"/>
      <c r="KZA128" s="814"/>
      <c r="KZB128" s="814"/>
      <c r="KZC128" s="814"/>
      <c r="KZD128" s="814"/>
      <c r="KZE128" s="814"/>
      <c r="KZF128" s="814"/>
      <c r="KZG128" s="814"/>
      <c r="KZH128" s="814"/>
      <c r="KZI128" s="813"/>
      <c r="KZJ128" s="813"/>
      <c r="KZK128" s="813"/>
      <c r="KZL128" s="813"/>
      <c r="KZM128" s="813"/>
      <c r="KZN128" s="814"/>
      <c r="KZO128" s="814"/>
      <c r="KZP128" s="814"/>
      <c r="KZQ128" s="814"/>
      <c r="KZR128" s="814"/>
      <c r="KZS128" s="814"/>
      <c r="KZT128" s="814"/>
      <c r="KZU128" s="814"/>
      <c r="KZV128" s="814"/>
      <c r="KZW128" s="813"/>
      <c r="KZX128" s="813"/>
      <c r="KZY128" s="813"/>
      <c r="KZZ128" s="813"/>
      <c r="LAA128" s="813"/>
      <c r="LAB128" s="814"/>
      <c r="LAC128" s="814"/>
      <c r="LAD128" s="814"/>
      <c r="LAE128" s="814"/>
      <c r="LAF128" s="814"/>
      <c r="LAG128" s="814"/>
      <c r="LAH128" s="814"/>
      <c r="LAI128" s="814"/>
      <c r="LAJ128" s="814"/>
      <c r="LAK128" s="813"/>
      <c r="LAL128" s="813"/>
      <c r="LAM128" s="813"/>
      <c r="LAN128" s="813"/>
      <c r="LAO128" s="813"/>
      <c r="LAP128" s="814"/>
      <c r="LAQ128" s="814"/>
      <c r="LAR128" s="814"/>
      <c r="LAS128" s="814"/>
      <c r="LAT128" s="814"/>
      <c r="LAU128" s="814"/>
      <c r="LAV128" s="814"/>
      <c r="LAW128" s="814"/>
      <c r="LAX128" s="814"/>
      <c r="LAY128" s="813"/>
      <c r="LAZ128" s="813"/>
      <c r="LBA128" s="813"/>
      <c r="LBB128" s="813"/>
      <c r="LBC128" s="813"/>
      <c r="LBD128" s="814"/>
      <c r="LBE128" s="814"/>
      <c r="LBF128" s="814"/>
      <c r="LBG128" s="814"/>
      <c r="LBH128" s="814"/>
      <c r="LBI128" s="814"/>
      <c r="LBJ128" s="814"/>
      <c r="LBK128" s="814"/>
      <c r="LBL128" s="814"/>
      <c r="LBM128" s="813"/>
      <c r="LBN128" s="813"/>
      <c r="LBO128" s="813"/>
      <c r="LBP128" s="813"/>
      <c r="LBQ128" s="813"/>
      <c r="LBR128" s="814"/>
      <c r="LBS128" s="814"/>
      <c r="LBT128" s="814"/>
      <c r="LBU128" s="814"/>
      <c r="LBV128" s="814"/>
      <c r="LBW128" s="814"/>
      <c r="LBX128" s="814"/>
      <c r="LBY128" s="814"/>
      <c r="LBZ128" s="814"/>
      <c r="LCA128" s="813"/>
      <c r="LCB128" s="813"/>
      <c r="LCC128" s="813"/>
      <c r="LCD128" s="813"/>
      <c r="LCE128" s="813"/>
      <c r="LCF128" s="814"/>
      <c r="LCG128" s="814"/>
      <c r="LCH128" s="814"/>
      <c r="LCI128" s="814"/>
      <c r="LCJ128" s="814"/>
      <c r="LCK128" s="814"/>
      <c r="LCL128" s="814"/>
      <c r="LCM128" s="814"/>
      <c r="LCN128" s="814"/>
      <c r="LCO128" s="813"/>
      <c r="LCP128" s="813"/>
      <c r="LCQ128" s="813"/>
      <c r="LCR128" s="813"/>
      <c r="LCS128" s="813"/>
      <c r="LCT128" s="814"/>
      <c r="LCU128" s="814"/>
      <c r="LCV128" s="814"/>
      <c r="LCW128" s="814"/>
      <c r="LCX128" s="814"/>
      <c r="LCY128" s="814"/>
      <c r="LCZ128" s="814"/>
      <c r="LDA128" s="814"/>
      <c r="LDB128" s="814"/>
      <c r="LDC128" s="813"/>
      <c r="LDD128" s="813"/>
      <c r="LDE128" s="813"/>
      <c r="LDF128" s="813"/>
      <c r="LDG128" s="813"/>
      <c r="LDH128" s="814"/>
      <c r="LDI128" s="814"/>
      <c r="LDJ128" s="814"/>
      <c r="LDK128" s="814"/>
      <c r="LDL128" s="814"/>
      <c r="LDM128" s="814"/>
      <c r="LDN128" s="814"/>
      <c r="LDO128" s="814"/>
      <c r="LDP128" s="814"/>
      <c r="LDQ128" s="813"/>
      <c r="LDR128" s="813"/>
      <c r="LDS128" s="813"/>
      <c r="LDT128" s="813"/>
      <c r="LDU128" s="813"/>
      <c r="LDV128" s="814"/>
      <c r="LDW128" s="814"/>
      <c r="LDX128" s="814"/>
      <c r="LDY128" s="814"/>
      <c r="LDZ128" s="814"/>
      <c r="LEA128" s="814"/>
      <c r="LEB128" s="814"/>
      <c r="LEC128" s="814"/>
      <c r="LED128" s="814"/>
      <c r="LEE128" s="813"/>
      <c r="LEF128" s="813"/>
      <c r="LEG128" s="813"/>
      <c r="LEH128" s="813"/>
      <c r="LEI128" s="813"/>
      <c r="LEJ128" s="814"/>
      <c r="LEK128" s="814"/>
      <c r="LEL128" s="814"/>
      <c r="LEM128" s="814"/>
      <c r="LEN128" s="814"/>
      <c r="LEO128" s="814"/>
      <c r="LEP128" s="814"/>
      <c r="LEQ128" s="814"/>
      <c r="LER128" s="814"/>
      <c r="LES128" s="813"/>
      <c r="LET128" s="813"/>
      <c r="LEU128" s="813"/>
      <c r="LEV128" s="813"/>
      <c r="LEW128" s="813"/>
      <c r="LEX128" s="814"/>
      <c r="LEY128" s="814"/>
      <c r="LEZ128" s="814"/>
      <c r="LFA128" s="814"/>
      <c r="LFB128" s="814"/>
      <c r="LFC128" s="814"/>
      <c r="LFD128" s="814"/>
      <c r="LFE128" s="814"/>
      <c r="LFF128" s="814"/>
      <c r="LFG128" s="813"/>
      <c r="LFH128" s="813"/>
      <c r="LFI128" s="813"/>
      <c r="LFJ128" s="813"/>
      <c r="LFK128" s="813"/>
      <c r="LFL128" s="814"/>
      <c r="LFM128" s="814"/>
      <c r="LFN128" s="814"/>
      <c r="LFO128" s="814"/>
      <c r="LFP128" s="814"/>
      <c r="LFQ128" s="814"/>
      <c r="LFR128" s="814"/>
      <c r="LFS128" s="814"/>
      <c r="LFT128" s="814"/>
      <c r="LFU128" s="813"/>
      <c r="LFV128" s="813"/>
      <c r="LFW128" s="813"/>
      <c r="LFX128" s="813"/>
      <c r="LFY128" s="813"/>
      <c r="LFZ128" s="814"/>
      <c r="LGA128" s="814"/>
      <c r="LGB128" s="814"/>
      <c r="LGC128" s="814"/>
      <c r="LGD128" s="814"/>
      <c r="LGE128" s="814"/>
      <c r="LGF128" s="814"/>
      <c r="LGG128" s="814"/>
      <c r="LGH128" s="814"/>
      <c r="LGI128" s="813"/>
      <c r="LGJ128" s="813"/>
      <c r="LGK128" s="813"/>
      <c r="LGL128" s="813"/>
      <c r="LGM128" s="813"/>
      <c r="LGN128" s="814"/>
      <c r="LGO128" s="814"/>
      <c r="LGP128" s="814"/>
      <c r="LGQ128" s="814"/>
      <c r="LGR128" s="814"/>
      <c r="LGS128" s="814"/>
      <c r="LGT128" s="814"/>
      <c r="LGU128" s="814"/>
      <c r="LGV128" s="814"/>
      <c r="LGW128" s="813"/>
      <c r="LGX128" s="813"/>
      <c r="LGY128" s="813"/>
      <c r="LGZ128" s="813"/>
      <c r="LHA128" s="813"/>
      <c r="LHB128" s="814"/>
      <c r="LHC128" s="814"/>
      <c r="LHD128" s="814"/>
      <c r="LHE128" s="814"/>
      <c r="LHF128" s="814"/>
      <c r="LHG128" s="814"/>
      <c r="LHH128" s="814"/>
      <c r="LHI128" s="814"/>
      <c r="LHJ128" s="814"/>
      <c r="LHK128" s="813"/>
      <c r="LHL128" s="813"/>
      <c r="LHM128" s="813"/>
      <c r="LHN128" s="813"/>
      <c r="LHO128" s="813"/>
      <c r="LHP128" s="814"/>
      <c r="LHQ128" s="814"/>
      <c r="LHR128" s="814"/>
      <c r="LHS128" s="814"/>
      <c r="LHT128" s="814"/>
      <c r="LHU128" s="814"/>
      <c r="LHV128" s="814"/>
      <c r="LHW128" s="814"/>
      <c r="LHX128" s="814"/>
      <c r="LHY128" s="813"/>
      <c r="LHZ128" s="813"/>
      <c r="LIA128" s="813"/>
      <c r="LIB128" s="813"/>
      <c r="LIC128" s="813"/>
      <c r="LID128" s="814"/>
      <c r="LIE128" s="814"/>
      <c r="LIF128" s="814"/>
      <c r="LIG128" s="814"/>
      <c r="LIH128" s="814"/>
      <c r="LII128" s="814"/>
      <c r="LIJ128" s="814"/>
      <c r="LIK128" s="814"/>
      <c r="LIL128" s="814"/>
      <c r="LIM128" s="813"/>
      <c r="LIN128" s="813"/>
      <c r="LIO128" s="813"/>
      <c r="LIP128" s="813"/>
      <c r="LIQ128" s="813"/>
      <c r="LIR128" s="814"/>
      <c r="LIS128" s="814"/>
      <c r="LIT128" s="814"/>
      <c r="LIU128" s="814"/>
      <c r="LIV128" s="814"/>
      <c r="LIW128" s="814"/>
      <c r="LIX128" s="814"/>
      <c r="LIY128" s="814"/>
      <c r="LIZ128" s="814"/>
      <c r="LJA128" s="813"/>
      <c r="LJB128" s="813"/>
      <c r="LJC128" s="813"/>
      <c r="LJD128" s="813"/>
      <c r="LJE128" s="813"/>
      <c r="LJF128" s="814"/>
      <c r="LJG128" s="814"/>
      <c r="LJH128" s="814"/>
      <c r="LJI128" s="814"/>
      <c r="LJJ128" s="814"/>
      <c r="LJK128" s="814"/>
      <c r="LJL128" s="814"/>
      <c r="LJM128" s="814"/>
      <c r="LJN128" s="814"/>
      <c r="LJO128" s="813"/>
      <c r="LJP128" s="813"/>
      <c r="LJQ128" s="813"/>
      <c r="LJR128" s="813"/>
      <c r="LJS128" s="813"/>
      <c r="LJT128" s="814"/>
      <c r="LJU128" s="814"/>
      <c r="LJV128" s="814"/>
      <c r="LJW128" s="814"/>
      <c r="LJX128" s="814"/>
      <c r="LJY128" s="814"/>
      <c r="LJZ128" s="814"/>
      <c r="LKA128" s="814"/>
      <c r="LKB128" s="814"/>
      <c r="LKC128" s="813"/>
      <c r="LKD128" s="813"/>
      <c r="LKE128" s="813"/>
      <c r="LKF128" s="813"/>
      <c r="LKG128" s="813"/>
      <c r="LKH128" s="814"/>
      <c r="LKI128" s="814"/>
      <c r="LKJ128" s="814"/>
      <c r="LKK128" s="814"/>
      <c r="LKL128" s="814"/>
      <c r="LKM128" s="814"/>
      <c r="LKN128" s="814"/>
      <c r="LKO128" s="814"/>
      <c r="LKP128" s="814"/>
      <c r="LKQ128" s="813"/>
      <c r="LKR128" s="813"/>
      <c r="LKS128" s="813"/>
      <c r="LKT128" s="813"/>
      <c r="LKU128" s="813"/>
      <c r="LKV128" s="814"/>
      <c r="LKW128" s="814"/>
      <c r="LKX128" s="814"/>
      <c r="LKY128" s="814"/>
      <c r="LKZ128" s="814"/>
      <c r="LLA128" s="814"/>
      <c r="LLB128" s="814"/>
      <c r="LLC128" s="814"/>
      <c r="LLD128" s="814"/>
      <c r="LLE128" s="813"/>
      <c r="LLF128" s="813"/>
      <c r="LLG128" s="813"/>
      <c r="LLH128" s="813"/>
      <c r="LLI128" s="813"/>
      <c r="LLJ128" s="814"/>
      <c r="LLK128" s="814"/>
      <c r="LLL128" s="814"/>
      <c r="LLM128" s="814"/>
      <c r="LLN128" s="814"/>
      <c r="LLO128" s="814"/>
      <c r="LLP128" s="814"/>
      <c r="LLQ128" s="814"/>
      <c r="LLR128" s="814"/>
      <c r="LLS128" s="813"/>
      <c r="LLT128" s="813"/>
      <c r="LLU128" s="813"/>
      <c r="LLV128" s="813"/>
      <c r="LLW128" s="813"/>
      <c r="LLX128" s="814"/>
      <c r="LLY128" s="814"/>
      <c r="LLZ128" s="814"/>
      <c r="LMA128" s="814"/>
      <c r="LMB128" s="814"/>
      <c r="LMC128" s="814"/>
      <c r="LMD128" s="814"/>
      <c r="LME128" s="814"/>
      <c r="LMF128" s="814"/>
      <c r="LMG128" s="813"/>
      <c r="LMH128" s="813"/>
      <c r="LMI128" s="813"/>
      <c r="LMJ128" s="813"/>
      <c r="LMK128" s="813"/>
      <c r="LML128" s="814"/>
      <c r="LMM128" s="814"/>
      <c r="LMN128" s="814"/>
      <c r="LMO128" s="814"/>
      <c r="LMP128" s="814"/>
      <c r="LMQ128" s="814"/>
      <c r="LMR128" s="814"/>
      <c r="LMS128" s="814"/>
      <c r="LMT128" s="814"/>
      <c r="LMU128" s="813"/>
      <c r="LMV128" s="813"/>
      <c r="LMW128" s="813"/>
      <c r="LMX128" s="813"/>
      <c r="LMY128" s="813"/>
      <c r="LMZ128" s="814"/>
      <c r="LNA128" s="814"/>
      <c r="LNB128" s="814"/>
      <c r="LNC128" s="814"/>
      <c r="LND128" s="814"/>
      <c r="LNE128" s="814"/>
      <c r="LNF128" s="814"/>
      <c r="LNG128" s="814"/>
      <c r="LNH128" s="814"/>
      <c r="LNI128" s="813"/>
      <c r="LNJ128" s="813"/>
      <c r="LNK128" s="813"/>
      <c r="LNL128" s="813"/>
      <c r="LNM128" s="813"/>
      <c r="LNN128" s="814"/>
      <c r="LNO128" s="814"/>
      <c r="LNP128" s="814"/>
      <c r="LNQ128" s="814"/>
      <c r="LNR128" s="814"/>
      <c r="LNS128" s="814"/>
      <c r="LNT128" s="814"/>
      <c r="LNU128" s="814"/>
      <c r="LNV128" s="814"/>
      <c r="LNW128" s="813"/>
      <c r="LNX128" s="813"/>
      <c r="LNY128" s="813"/>
      <c r="LNZ128" s="813"/>
      <c r="LOA128" s="813"/>
      <c r="LOB128" s="814"/>
      <c r="LOC128" s="814"/>
      <c r="LOD128" s="814"/>
      <c r="LOE128" s="814"/>
      <c r="LOF128" s="814"/>
      <c r="LOG128" s="814"/>
      <c r="LOH128" s="814"/>
      <c r="LOI128" s="814"/>
      <c r="LOJ128" s="814"/>
      <c r="LOK128" s="813"/>
      <c r="LOL128" s="813"/>
      <c r="LOM128" s="813"/>
      <c r="LON128" s="813"/>
      <c r="LOO128" s="813"/>
      <c r="LOP128" s="814"/>
      <c r="LOQ128" s="814"/>
      <c r="LOR128" s="814"/>
      <c r="LOS128" s="814"/>
      <c r="LOT128" s="814"/>
      <c r="LOU128" s="814"/>
      <c r="LOV128" s="814"/>
      <c r="LOW128" s="814"/>
      <c r="LOX128" s="814"/>
      <c r="LOY128" s="813"/>
      <c r="LOZ128" s="813"/>
      <c r="LPA128" s="813"/>
      <c r="LPB128" s="813"/>
      <c r="LPC128" s="813"/>
      <c r="LPD128" s="814"/>
      <c r="LPE128" s="814"/>
      <c r="LPF128" s="814"/>
      <c r="LPG128" s="814"/>
      <c r="LPH128" s="814"/>
      <c r="LPI128" s="814"/>
      <c r="LPJ128" s="814"/>
      <c r="LPK128" s="814"/>
      <c r="LPL128" s="814"/>
      <c r="LPM128" s="813"/>
      <c r="LPN128" s="813"/>
      <c r="LPO128" s="813"/>
      <c r="LPP128" s="813"/>
      <c r="LPQ128" s="813"/>
      <c r="LPR128" s="814"/>
      <c r="LPS128" s="814"/>
      <c r="LPT128" s="814"/>
      <c r="LPU128" s="814"/>
      <c r="LPV128" s="814"/>
      <c r="LPW128" s="814"/>
      <c r="LPX128" s="814"/>
      <c r="LPY128" s="814"/>
      <c r="LPZ128" s="814"/>
      <c r="LQA128" s="813"/>
      <c r="LQB128" s="813"/>
      <c r="LQC128" s="813"/>
      <c r="LQD128" s="813"/>
      <c r="LQE128" s="813"/>
      <c r="LQF128" s="814"/>
      <c r="LQG128" s="814"/>
      <c r="LQH128" s="814"/>
      <c r="LQI128" s="814"/>
      <c r="LQJ128" s="814"/>
      <c r="LQK128" s="814"/>
      <c r="LQL128" s="814"/>
      <c r="LQM128" s="814"/>
      <c r="LQN128" s="814"/>
      <c r="LQO128" s="813"/>
      <c r="LQP128" s="813"/>
      <c r="LQQ128" s="813"/>
      <c r="LQR128" s="813"/>
      <c r="LQS128" s="813"/>
      <c r="LQT128" s="814"/>
      <c r="LQU128" s="814"/>
      <c r="LQV128" s="814"/>
      <c r="LQW128" s="814"/>
      <c r="LQX128" s="814"/>
      <c r="LQY128" s="814"/>
      <c r="LQZ128" s="814"/>
      <c r="LRA128" s="814"/>
      <c r="LRB128" s="814"/>
      <c r="LRC128" s="813"/>
      <c r="LRD128" s="813"/>
      <c r="LRE128" s="813"/>
      <c r="LRF128" s="813"/>
      <c r="LRG128" s="813"/>
      <c r="LRH128" s="814"/>
      <c r="LRI128" s="814"/>
      <c r="LRJ128" s="814"/>
      <c r="LRK128" s="814"/>
      <c r="LRL128" s="814"/>
      <c r="LRM128" s="814"/>
      <c r="LRN128" s="814"/>
      <c r="LRO128" s="814"/>
      <c r="LRP128" s="814"/>
      <c r="LRQ128" s="813"/>
      <c r="LRR128" s="813"/>
      <c r="LRS128" s="813"/>
      <c r="LRT128" s="813"/>
      <c r="LRU128" s="813"/>
      <c r="LRV128" s="814"/>
      <c r="LRW128" s="814"/>
      <c r="LRX128" s="814"/>
      <c r="LRY128" s="814"/>
      <c r="LRZ128" s="814"/>
      <c r="LSA128" s="814"/>
      <c r="LSB128" s="814"/>
      <c r="LSC128" s="814"/>
      <c r="LSD128" s="814"/>
      <c r="LSE128" s="813"/>
      <c r="LSF128" s="813"/>
      <c r="LSG128" s="813"/>
      <c r="LSH128" s="813"/>
      <c r="LSI128" s="813"/>
      <c r="LSJ128" s="814"/>
      <c r="LSK128" s="814"/>
      <c r="LSL128" s="814"/>
      <c r="LSM128" s="814"/>
      <c r="LSN128" s="814"/>
      <c r="LSO128" s="814"/>
      <c r="LSP128" s="814"/>
      <c r="LSQ128" s="814"/>
      <c r="LSR128" s="814"/>
      <c r="LSS128" s="813"/>
      <c r="LST128" s="813"/>
      <c r="LSU128" s="813"/>
      <c r="LSV128" s="813"/>
      <c r="LSW128" s="813"/>
      <c r="LSX128" s="814"/>
      <c r="LSY128" s="814"/>
      <c r="LSZ128" s="814"/>
      <c r="LTA128" s="814"/>
      <c r="LTB128" s="814"/>
      <c r="LTC128" s="814"/>
      <c r="LTD128" s="814"/>
      <c r="LTE128" s="814"/>
      <c r="LTF128" s="814"/>
      <c r="LTG128" s="813"/>
      <c r="LTH128" s="813"/>
      <c r="LTI128" s="813"/>
      <c r="LTJ128" s="813"/>
      <c r="LTK128" s="813"/>
      <c r="LTL128" s="814"/>
      <c r="LTM128" s="814"/>
      <c r="LTN128" s="814"/>
      <c r="LTO128" s="814"/>
      <c r="LTP128" s="814"/>
      <c r="LTQ128" s="814"/>
      <c r="LTR128" s="814"/>
      <c r="LTS128" s="814"/>
      <c r="LTT128" s="814"/>
      <c r="LTU128" s="813"/>
      <c r="LTV128" s="813"/>
      <c r="LTW128" s="813"/>
      <c r="LTX128" s="813"/>
      <c r="LTY128" s="813"/>
      <c r="LTZ128" s="814"/>
      <c r="LUA128" s="814"/>
      <c r="LUB128" s="814"/>
      <c r="LUC128" s="814"/>
      <c r="LUD128" s="814"/>
      <c r="LUE128" s="814"/>
      <c r="LUF128" s="814"/>
      <c r="LUG128" s="814"/>
      <c r="LUH128" s="814"/>
      <c r="LUI128" s="813"/>
      <c r="LUJ128" s="813"/>
      <c r="LUK128" s="813"/>
      <c r="LUL128" s="813"/>
      <c r="LUM128" s="813"/>
      <c r="LUN128" s="814"/>
      <c r="LUO128" s="814"/>
      <c r="LUP128" s="814"/>
      <c r="LUQ128" s="814"/>
      <c r="LUR128" s="814"/>
      <c r="LUS128" s="814"/>
      <c r="LUT128" s="814"/>
      <c r="LUU128" s="814"/>
      <c r="LUV128" s="814"/>
      <c r="LUW128" s="813"/>
      <c r="LUX128" s="813"/>
      <c r="LUY128" s="813"/>
      <c r="LUZ128" s="813"/>
      <c r="LVA128" s="813"/>
      <c r="LVB128" s="814"/>
      <c r="LVC128" s="814"/>
      <c r="LVD128" s="814"/>
      <c r="LVE128" s="814"/>
      <c r="LVF128" s="814"/>
      <c r="LVG128" s="814"/>
      <c r="LVH128" s="814"/>
      <c r="LVI128" s="814"/>
      <c r="LVJ128" s="814"/>
      <c r="LVK128" s="813"/>
      <c r="LVL128" s="813"/>
      <c r="LVM128" s="813"/>
      <c r="LVN128" s="813"/>
      <c r="LVO128" s="813"/>
      <c r="LVP128" s="814"/>
      <c r="LVQ128" s="814"/>
      <c r="LVR128" s="814"/>
      <c r="LVS128" s="814"/>
      <c r="LVT128" s="814"/>
      <c r="LVU128" s="814"/>
      <c r="LVV128" s="814"/>
      <c r="LVW128" s="814"/>
      <c r="LVX128" s="814"/>
      <c r="LVY128" s="813"/>
      <c r="LVZ128" s="813"/>
      <c r="LWA128" s="813"/>
      <c r="LWB128" s="813"/>
      <c r="LWC128" s="813"/>
      <c r="LWD128" s="814"/>
      <c r="LWE128" s="814"/>
      <c r="LWF128" s="814"/>
      <c r="LWG128" s="814"/>
      <c r="LWH128" s="814"/>
      <c r="LWI128" s="814"/>
      <c r="LWJ128" s="814"/>
      <c r="LWK128" s="814"/>
      <c r="LWL128" s="814"/>
      <c r="LWM128" s="813"/>
      <c r="LWN128" s="813"/>
      <c r="LWO128" s="813"/>
      <c r="LWP128" s="813"/>
      <c r="LWQ128" s="813"/>
      <c r="LWR128" s="814"/>
      <c r="LWS128" s="814"/>
      <c r="LWT128" s="814"/>
      <c r="LWU128" s="814"/>
      <c r="LWV128" s="814"/>
      <c r="LWW128" s="814"/>
      <c r="LWX128" s="814"/>
      <c r="LWY128" s="814"/>
      <c r="LWZ128" s="814"/>
      <c r="LXA128" s="813"/>
      <c r="LXB128" s="813"/>
      <c r="LXC128" s="813"/>
      <c r="LXD128" s="813"/>
      <c r="LXE128" s="813"/>
      <c r="LXF128" s="814"/>
      <c r="LXG128" s="814"/>
      <c r="LXH128" s="814"/>
      <c r="LXI128" s="814"/>
      <c r="LXJ128" s="814"/>
      <c r="LXK128" s="814"/>
      <c r="LXL128" s="814"/>
      <c r="LXM128" s="814"/>
      <c r="LXN128" s="814"/>
      <c r="LXO128" s="813"/>
      <c r="LXP128" s="813"/>
      <c r="LXQ128" s="813"/>
      <c r="LXR128" s="813"/>
      <c r="LXS128" s="813"/>
      <c r="LXT128" s="814"/>
      <c r="LXU128" s="814"/>
      <c r="LXV128" s="814"/>
      <c r="LXW128" s="814"/>
      <c r="LXX128" s="814"/>
      <c r="LXY128" s="814"/>
      <c r="LXZ128" s="814"/>
      <c r="LYA128" s="814"/>
      <c r="LYB128" s="814"/>
      <c r="LYC128" s="813"/>
      <c r="LYD128" s="813"/>
      <c r="LYE128" s="813"/>
      <c r="LYF128" s="813"/>
      <c r="LYG128" s="813"/>
      <c r="LYH128" s="814"/>
      <c r="LYI128" s="814"/>
      <c r="LYJ128" s="814"/>
      <c r="LYK128" s="814"/>
      <c r="LYL128" s="814"/>
      <c r="LYM128" s="814"/>
      <c r="LYN128" s="814"/>
      <c r="LYO128" s="814"/>
      <c r="LYP128" s="814"/>
      <c r="LYQ128" s="813"/>
      <c r="LYR128" s="813"/>
      <c r="LYS128" s="813"/>
      <c r="LYT128" s="813"/>
      <c r="LYU128" s="813"/>
      <c r="LYV128" s="814"/>
      <c r="LYW128" s="814"/>
      <c r="LYX128" s="814"/>
      <c r="LYY128" s="814"/>
      <c r="LYZ128" s="814"/>
      <c r="LZA128" s="814"/>
      <c r="LZB128" s="814"/>
      <c r="LZC128" s="814"/>
      <c r="LZD128" s="814"/>
      <c r="LZE128" s="813"/>
      <c r="LZF128" s="813"/>
      <c r="LZG128" s="813"/>
      <c r="LZH128" s="813"/>
      <c r="LZI128" s="813"/>
      <c r="LZJ128" s="814"/>
      <c r="LZK128" s="814"/>
      <c r="LZL128" s="814"/>
      <c r="LZM128" s="814"/>
      <c r="LZN128" s="814"/>
      <c r="LZO128" s="814"/>
      <c r="LZP128" s="814"/>
      <c r="LZQ128" s="814"/>
      <c r="LZR128" s="814"/>
      <c r="LZS128" s="813"/>
      <c r="LZT128" s="813"/>
      <c r="LZU128" s="813"/>
      <c r="LZV128" s="813"/>
      <c r="LZW128" s="813"/>
      <c r="LZX128" s="814"/>
      <c r="LZY128" s="814"/>
      <c r="LZZ128" s="814"/>
      <c r="MAA128" s="814"/>
      <c r="MAB128" s="814"/>
      <c r="MAC128" s="814"/>
      <c r="MAD128" s="814"/>
      <c r="MAE128" s="814"/>
      <c r="MAF128" s="814"/>
      <c r="MAG128" s="813"/>
      <c r="MAH128" s="813"/>
      <c r="MAI128" s="813"/>
      <c r="MAJ128" s="813"/>
      <c r="MAK128" s="813"/>
      <c r="MAL128" s="814"/>
      <c r="MAM128" s="814"/>
      <c r="MAN128" s="814"/>
      <c r="MAO128" s="814"/>
      <c r="MAP128" s="814"/>
      <c r="MAQ128" s="814"/>
      <c r="MAR128" s="814"/>
      <c r="MAS128" s="814"/>
      <c r="MAT128" s="814"/>
      <c r="MAU128" s="813"/>
      <c r="MAV128" s="813"/>
      <c r="MAW128" s="813"/>
      <c r="MAX128" s="813"/>
      <c r="MAY128" s="813"/>
      <c r="MAZ128" s="814"/>
      <c r="MBA128" s="814"/>
      <c r="MBB128" s="814"/>
      <c r="MBC128" s="814"/>
      <c r="MBD128" s="814"/>
      <c r="MBE128" s="814"/>
      <c r="MBF128" s="814"/>
      <c r="MBG128" s="814"/>
      <c r="MBH128" s="814"/>
      <c r="MBI128" s="813"/>
      <c r="MBJ128" s="813"/>
      <c r="MBK128" s="813"/>
      <c r="MBL128" s="813"/>
      <c r="MBM128" s="813"/>
      <c r="MBN128" s="814"/>
      <c r="MBO128" s="814"/>
      <c r="MBP128" s="814"/>
      <c r="MBQ128" s="814"/>
      <c r="MBR128" s="814"/>
      <c r="MBS128" s="814"/>
      <c r="MBT128" s="814"/>
      <c r="MBU128" s="814"/>
      <c r="MBV128" s="814"/>
      <c r="MBW128" s="813"/>
      <c r="MBX128" s="813"/>
      <c r="MBY128" s="813"/>
      <c r="MBZ128" s="813"/>
      <c r="MCA128" s="813"/>
      <c r="MCB128" s="814"/>
      <c r="MCC128" s="814"/>
      <c r="MCD128" s="814"/>
      <c r="MCE128" s="814"/>
      <c r="MCF128" s="814"/>
      <c r="MCG128" s="814"/>
      <c r="MCH128" s="814"/>
      <c r="MCI128" s="814"/>
      <c r="MCJ128" s="814"/>
      <c r="MCK128" s="813"/>
      <c r="MCL128" s="813"/>
      <c r="MCM128" s="813"/>
      <c r="MCN128" s="813"/>
      <c r="MCO128" s="813"/>
      <c r="MCP128" s="814"/>
      <c r="MCQ128" s="814"/>
      <c r="MCR128" s="814"/>
      <c r="MCS128" s="814"/>
      <c r="MCT128" s="814"/>
      <c r="MCU128" s="814"/>
      <c r="MCV128" s="814"/>
      <c r="MCW128" s="814"/>
      <c r="MCX128" s="814"/>
      <c r="MCY128" s="813"/>
      <c r="MCZ128" s="813"/>
      <c r="MDA128" s="813"/>
      <c r="MDB128" s="813"/>
      <c r="MDC128" s="813"/>
      <c r="MDD128" s="814"/>
      <c r="MDE128" s="814"/>
      <c r="MDF128" s="814"/>
      <c r="MDG128" s="814"/>
      <c r="MDH128" s="814"/>
      <c r="MDI128" s="814"/>
      <c r="MDJ128" s="814"/>
      <c r="MDK128" s="814"/>
      <c r="MDL128" s="814"/>
      <c r="MDM128" s="813"/>
      <c r="MDN128" s="813"/>
      <c r="MDO128" s="813"/>
      <c r="MDP128" s="813"/>
      <c r="MDQ128" s="813"/>
      <c r="MDR128" s="814"/>
      <c r="MDS128" s="814"/>
      <c r="MDT128" s="814"/>
      <c r="MDU128" s="814"/>
      <c r="MDV128" s="814"/>
      <c r="MDW128" s="814"/>
      <c r="MDX128" s="814"/>
      <c r="MDY128" s="814"/>
      <c r="MDZ128" s="814"/>
      <c r="MEA128" s="813"/>
      <c r="MEB128" s="813"/>
      <c r="MEC128" s="813"/>
      <c r="MED128" s="813"/>
      <c r="MEE128" s="813"/>
      <c r="MEF128" s="814"/>
      <c r="MEG128" s="814"/>
      <c r="MEH128" s="814"/>
      <c r="MEI128" s="814"/>
      <c r="MEJ128" s="814"/>
      <c r="MEK128" s="814"/>
      <c r="MEL128" s="814"/>
      <c r="MEM128" s="814"/>
      <c r="MEN128" s="814"/>
      <c r="MEO128" s="813"/>
      <c r="MEP128" s="813"/>
      <c r="MEQ128" s="813"/>
      <c r="MER128" s="813"/>
      <c r="MES128" s="813"/>
      <c r="MET128" s="814"/>
      <c r="MEU128" s="814"/>
      <c r="MEV128" s="814"/>
      <c r="MEW128" s="814"/>
      <c r="MEX128" s="814"/>
      <c r="MEY128" s="814"/>
      <c r="MEZ128" s="814"/>
      <c r="MFA128" s="814"/>
      <c r="MFB128" s="814"/>
      <c r="MFC128" s="813"/>
      <c r="MFD128" s="813"/>
      <c r="MFE128" s="813"/>
      <c r="MFF128" s="813"/>
      <c r="MFG128" s="813"/>
      <c r="MFH128" s="814"/>
      <c r="MFI128" s="814"/>
      <c r="MFJ128" s="814"/>
      <c r="MFK128" s="814"/>
      <c r="MFL128" s="814"/>
      <c r="MFM128" s="814"/>
      <c r="MFN128" s="814"/>
      <c r="MFO128" s="814"/>
      <c r="MFP128" s="814"/>
      <c r="MFQ128" s="813"/>
      <c r="MFR128" s="813"/>
      <c r="MFS128" s="813"/>
      <c r="MFT128" s="813"/>
      <c r="MFU128" s="813"/>
      <c r="MFV128" s="814"/>
      <c r="MFW128" s="814"/>
      <c r="MFX128" s="814"/>
      <c r="MFY128" s="814"/>
      <c r="MFZ128" s="814"/>
      <c r="MGA128" s="814"/>
      <c r="MGB128" s="814"/>
      <c r="MGC128" s="814"/>
      <c r="MGD128" s="814"/>
      <c r="MGE128" s="813"/>
      <c r="MGF128" s="813"/>
      <c r="MGG128" s="813"/>
      <c r="MGH128" s="813"/>
      <c r="MGI128" s="813"/>
      <c r="MGJ128" s="814"/>
      <c r="MGK128" s="814"/>
      <c r="MGL128" s="814"/>
      <c r="MGM128" s="814"/>
      <c r="MGN128" s="814"/>
      <c r="MGO128" s="814"/>
      <c r="MGP128" s="814"/>
      <c r="MGQ128" s="814"/>
      <c r="MGR128" s="814"/>
      <c r="MGS128" s="813"/>
      <c r="MGT128" s="813"/>
      <c r="MGU128" s="813"/>
      <c r="MGV128" s="813"/>
      <c r="MGW128" s="813"/>
      <c r="MGX128" s="814"/>
      <c r="MGY128" s="814"/>
      <c r="MGZ128" s="814"/>
      <c r="MHA128" s="814"/>
      <c r="MHB128" s="814"/>
      <c r="MHC128" s="814"/>
      <c r="MHD128" s="814"/>
      <c r="MHE128" s="814"/>
      <c r="MHF128" s="814"/>
      <c r="MHG128" s="813"/>
      <c r="MHH128" s="813"/>
      <c r="MHI128" s="813"/>
      <c r="MHJ128" s="813"/>
      <c r="MHK128" s="813"/>
      <c r="MHL128" s="814"/>
      <c r="MHM128" s="814"/>
      <c r="MHN128" s="814"/>
      <c r="MHO128" s="814"/>
      <c r="MHP128" s="814"/>
      <c r="MHQ128" s="814"/>
      <c r="MHR128" s="814"/>
      <c r="MHS128" s="814"/>
      <c r="MHT128" s="814"/>
      <c r="MHU128" s="813"/>
      <c r="MHV128" s="813"/>
      <c r="MHW128" s="813"/>
      <c r="MHX128" s="813"/>
      <c r="MHY128" s="813"/>
      <c r="MHZ128" s="814"/>
      <c r="MIA128" s="814"/>
      <c r="MIB128" s="814"/>
      <c r="MIC128" s="814"/>
      <c r="MID128" s="814"/>
      <c r="MIE128" s="814"/>
      <c r="MIF128" s="814"/>
      <c r="MIG128" s="814"/>
      <c r="MIH128" s="814"/>
      <c r="MII128" s="813"/>
      <c r="MIJ128" s="813"/>
      <c r="MIK128" s="813"/>
      <c r="MIL128" s="813"/>
      <c r="MIM128" s="813"/>
      <c r="MIN128" s="814"/>
      <c r="MIO128" s="814"/>
      <c r="MIP128" s="814"/>
      <c r="MIQ128" s="814"/>
      <c r="MIR128" s="814"/>
      <c r="MIS128" s="814"/>
      <c r="MIT128" s="814"/>
      <c r="MIU128" s="814"/>
      <c r="MIV128" s="814"/>
      <c r="MIW128" s="813"/>
      <c r="MIX128" s="813"/>
      <c r="MIY128" s="813"/>
      <c r="MIZ128" s="813"/>
      <c r="MJA128" s="813"/>
      <c r="MJB128" s="814"/>
      <c r="MJC128" s="814"/>
      <c r="MJD128" s="814"/>
      <c r="MJE128" s="814"/>
      <c r="MJF128" s="814"/>
      <c r="MJG128" s="814"/>
      <c r="MJH128" s="814"/>
      <c r="MJI128" s="814"/>
      <c r="MJJ128" s="814"/>
      <c r="MJK128" s="813"/>
      <c r="MJL128" s="813"/>
      <c r="MJM128" s="813"/>
      <c r="MJN128" s="813"/>
      <c r="MJO128" s="813"/>
      <c r="MJP128" s="814"/>
      <c r="MJQ128" s="814"/>
      <c r="MJR128" s="814"/>
      <c r="MJS128" s="814"/>
      <c r="MJT128" s="814"/>
      <c r="MJU128" s="814"/>
      <c r="MJV128" s="814"/>
      <c r="MJW128" s="814"/>
      <c r="MJX128" s="814"/>
      <c r="MJY128" s="813"/>
      <c r="MJZ128" s="813"/>
      <c r="MKA128" s="813"/>
      <c r="MKB128" s="813"/>
      <c r="MKC128" s="813"/>
      <c r="MKD128" s="814"/>
      <c r="MKE128" s="814"/>
      <c r="MKF128" s="814"/>
      <c r="MKG128" s="814"/>
      <c r="MKH128" s="814"/>
      <c r="MKI128" s="814"/>
      <c r="MKJ128" s="814"/>
      <c r="MKK128" s="814"/>
      <c r="MKL128" s="814"/>
      <c r="MKM128" s="813"/>
      <c r="MKN128" s="813"/>
      <c r="MKO128" s="813"/>
      <c r="MKP128" s="813"/>
      <c r="MKQ128" s="813"/>
      <c r="MKR128" s="814"/>
      <c r="MKS128" s="814"/>
      <c r="MKT128" s="814"/>
      <c r="MKU128" s="814"/>
      <c r="MKV128" s="814"/>
      <c r="MKW128" s="814"/>
      <c r="MKX128" s="814"/>
      <c r="MKY128" s="814"/>
      <c r="MKZ128" s="814"/>
      <c r="MLA128" s="813"/>
      <c r="MLB128" s="813"/>
      <c r="MLC128" s="813"/>
      <c r="MLD128" s="813"/>
      <c r="MLE128" s="813"/>
      <c r="MLF128" s="814"/>
      <c r="MLG128" s="814"/>
      <c r="MLH128" s="814"/>
      <c r="MLI128" s="814"/>
      <c r="MLJ128" s="814"/>
      <c r="MLK128" s="814"/>
      <c r="MLL128" s="814"/>
      <c r="MLM128" s="814"/>
      <c r="MLN128" s="814"/>
      <c r="MLO128" s="813"/>
      <c r="MLP128" s="813"/>
      <c r="MLQ128" s="813"/>
      <c r="MLR128" s="813"/>
      <c r="MLS128" s="813"/>
      <c r="MLT128" s="814"/>
      <c r="MLU128" s="814"/>
      <c r="MLV128" s="814"/>
      <c r="MLW128" s="814"/>
      <c r="MLX128" s="814"/>
      <c r="MLY128" s="814"/>
      <c r="MLZ128" s="814"/>
      <c r="MMA128" s="814"/>
      <c r="MMB128" s="814"/>
      <c r="MMC128" s="813"/>
      <c r="MMD128" s="813"/>
      <c r="MME128" s="813"/>
      <c r="MMF128" s="813"/>
      <c r="MMG128" s="813"/>
      <c r="MMH128" s="814"/>
      <c r="MMI128" s="814"/>
      <c r="MMJ128" s="814"/>
      <c r="MMK128" s="814"/>
      <c r="MML128" s="814"/>
      <c r="MMM128" s="814"/>
      <c r="MMN128" s="814"/>
      <c r="MMO128" s="814"/>
      <c r="MMP128" s="814"/>
      <c r="MMQ128" s="813"/>
      <c r="MMR128" s="813"/>
      <c r="MMS128" s="813"/>
      <c r="MMT128" s="813"/>
      <c r="MMU128" s="813"/>
      <c r="MMV128" s="814"/>
      <c r="MMW128" s="814"/>
      <c r="MMX128" s="814"/>
      <c r="MMY128" s="814"/>
      <c r="MMZ128" s="814"/>
      <c r="MNA128" s="814"/>
      <c r="MNB128" s="814"/>
      <c r="MNC128" s="814"/>
      <c r="MND128" s="814"/>
      <c r="MNE128" s="813"/>
      <c r="MNF128" s="813"/>
      <c r="MNG128" s="813"/>
      <c r="MNH128" s="813"/>
      <c r="MNI128" s="813"/>
      <c r="MNJ128" s="814"/>
      <c r="MNK128" s="814"/>
      <c r="MNL128" s="814"/>
      <c r="MNM128" s="814"/>
      <c r="MNN128" s="814"/>
      <c r="MNO128" s="814"/>
      <c r="MNP128" s="814"/>
      <c r="MNQ128" s="814"/>
      <c r="MNR128" s="814"/>
      <c r="MNS128" s="813"/>
      <c r="MNT128" s="813"/>
      <c r="MNU128" s="813"/>
      <c r="MNV128" s="813"/>
      <c r="MNW128" s="813"/>
      <c r="MNX128" s="814"/>
      <c r="MNY128" s="814"/>
      <c r="MNZ128" s="814"/>
      <c r="MOA128" s="814"/>
      <c r="MOB128" s="814"/>
      <c r="MOC128" s="814"/>
      <c r="MOD128" s="814"/>
      <c r="MOE128" s="814"/>
      <c r="MOF128" s="814"/>
      <c r="MOG128" s="813"/>
      <c r="MOH128" s="813"/>
      <c r="MOI128" s="813"/>
      <c r="MOJ128" s="813"/>
      <c r="MOK128" s="813"/>
      <c r="MOL128" s="814"/>
      <c r="MOM128" s="814"/>
      <c r="MON128" s="814"/>
      <c r="MOO128" s="814"/>
      <c r="MOP128" s="814"/>
      <c r="MOQ128" s="814"/>
      <c r="MOR128" s="814"/>
      <c r="MOS128" s="814"/>
      <c r="MOT128" s="814"/>
      <c r="MOU128" s="813"/>
      <c r="MOV128" s="813"/>
      <c r="MOW128" s="813"/>
      <c r="MOX128" s="813"/>
      <c r="MOY128" s="813"/>
      <c r="MOZ128" s="814"/>
      <c r="MPA128" s="814"/>
      <c r="MPB128" s="814"/>
      <c r="MPC128" s="814"/>
      <c r="MPD128" s="814"/>
      <c r="MPE128" s="814"/>
      <c r="MPF128" s="814"/>
      <c r="MPG128" s="814"/>
      <c r="MPH128" s="814"/>
      <c r="MPI128" s="813"/>
      <c r="MPJ128" s="813"/>
      <c r="MPK128" s="813"/>
      <c r="MPL128" s="813"/>
      <c r="MPM128" s="813"/>
      <c r="MPN128" s="814"/>
      <c r="MPO128" s="814"/>
      <c r="MPP128" s="814"/>
      <c r="MPQ128" s="814"/>
      <c r="MPR128" s="814"/>
      <c r="MPS128" s="814"/>
      <c r="MPT128" s="814"/>
      <c r="MPU128" s="814"/>
      <c r="MPV128" s="814"/>
      <c r="MPW128" s="813"/>
      <c r="MPX128" s="813"/>
      <c r="MPY128" s="813"/>
      <c r="MPZ128" s="813"/>
      <c r="MQA128" s="813"/>
      <c r="MQB128" s="814"/>
      <c r="MQC128" s="814"/>
      <c r="MQD128" s="814"/>
      <c r="MQE128" s="814"/>
      <c r="MQF128" s="814"/>
      <c r="MQG128" s="814"/>
      <c r="MQH128" s="814"/>
      <c r="MQI128" s="814"/>
      <c r="MQJ128" s="814"/>
      <c r="MQK128" s="813"/>
      <c r="MQL128" s="813"/>
      <c r="MQM128" s="813"/>
      <c r="MQN128" s="813"/>
      <c r="MQO128" s="813"/>
      <c r="MQP128" s="814"/>
      <c r="MQQ128" s="814"/>
      <c r="MQR128" s="814"/>
      <c r="MQS128" s="814"/>
      <c r="MQT128" s="814"/>
      <c r="MQU128" s="814"/>
      <c r="MQV128" s="814"/>
      <c r="MQW128" s="814"/>
      <c r="MQX128" s="814"/>
      <c r="MQY128" s="813"/>
      <c r="MQZ128" s="813"/>
      <c r="MRA128" s="813"/>
      <c r="MRB128" s="813"/>
      <c r="MRC128" s="813"/>
      <c r="MRD128" s="814"/>
      <c r="MRE128" s="814"/>
      <c r="MRF128" s="814"/>
      <c r="MRG128" s="814"/>
      <c r="MRH128" s="814"/>
      <c r="MRI128" s="814"/>
      <c r="MRJ128" s="814"/>
      <c r="MRK128" s="814"/>
      <c r="MRL128" s="814"/>
      <c r="MRM128" s="813"/>
      <c r="MRN128" s="813"/>
      <c r="MRO128" s="813"/>
      <c r="MRP128" s="813"/>
      <c r="MRQ128" s="813"/>
      <c r="MRR128" s="814"/>
      <c r="MRS128" s="814"/>
      <c r="MRT128" s="814"/>
      <c r="MRU128" s="814"/>
      <c r="MRV128" s="814"/>
      <c r="MRW128" s="814"/>
      <c r="MRX128" s="814"/>
      <c r="MRY128" s="814"/>
      <c r="MRZ128" s="814"/>
      <c r="MSA128" s="813"/>
      <c r="MSB128" s="813"/>
      <c r="MSC128" s="813"/>
      <c r="MSD128" s="813"/>
      <c r="MSE128" s="813"/>
      <c r="MSF128" s="814"/>
      <c r="MSG128" s="814"/>
      <c r="MSH128" s="814"/>
      <c r="MSI128" s="814"/>
      <c r="MSJ128" s="814"/>
      <c r="MSK128" s="814"/>
      <c r="MSL128" s="814"/>
      <c r="MSM128" s="814"/>
      <c r="MSN128" s="814"/>
      <c r="MSO128" s="813"/>
      <c r="MSP128" s="813"/>
      <c r="MSQ128" s="813"/>
      <c r="MSR128" s="813"/>
      <c r="MSS128" s="813"/>
      <c r="MST128" s="814"/>
      <c r="MSU128" s="814"/>
      <c r="MSV128" s="814"/>
      <c r="MSW128" s="814"/>
      <c r="MSX128" s="814"/>
      <c r="MSY128" s="814"/>
      <c r="MSZ128" s="814"/>
      <c r="MTA128" s="814"/>
      <c r="MTB128" s="814"/>
      <c r="MTC128" s="813"/>
      <c r="MTD128" s="813"/>
      <c r="MTE128" s="813"/>
      <c r="MTF128" s="813"/>
      <c r="MTG128" s="813"/>
      <c r="MTH128" s="814"/>
      <c r="MTI128" s="814"/>
      <c r="MTJ128" s="814"/>
      <c r="MTK128" s="814"/>
      <c r="MTL128" s="814"/>
      <c r="MTM128" s="814"/>
      <c r="MTN128" s="814"/>
      <c r="MTO128" s="814"/>
      <c r="MTP128" s="814"/>
      <c r="MTQ128" s="813"/>
      <c r="MTR128" s="813"/>
      <c r="MTS128" s="813"/>
      <c r="MTT128" s="813"/>
      <c r="MTU128" s="813"/>
      <c r="MTV128" s="814"/>
      <c r="MTW128" s="814"/>
      <c r="MTX128" s="814"/>
      <c r="MTY128" s="814"/>
      <c r="MTZ128" s="814"/>
      <c r="MUA128" s="814"/>
      <c r="MUB128" s="814"/>
      <c r="MUC128" s="814"/>
      <c r="MUD128" s="814"/>
      <c r="MUE128" s="813"/>
      <c r="MUF128" s="813"/>
      <c r="MUG128" s="813"/>
      <c r="MUH128" s="813"/>
      <c r="MUI128" s="813"/>
      <c r="MUJ128" s="814"/>
      <c r="MUK128" s="814"/>
      <c r="MUL128" s="814"/>
      <c r="MUM128" s="814"/>
      <c r="MUN128" s="814"/>
      <c r="MUO128" s="814"/>
      <c r="MUP128" s="814"/>
      <c r="MUQ128" s="814"/>
      <c r="MUR128" s="814"/>
      <c r="MUS128" s="813"/>
      <c r="MUT128" s="813"/>
      <c r="MUU128" s="813"/>
      <c r="MUV128" s="813"/>
      <c r="MUW128" s="813"/>
      <c r="MUX128" s="814"/>
      <c r="MUY128" s="814"/>
      <c r="MUZ128" s="814"/>
      <c r="MVA128" s="814"/>
      <c r="MVB128" s="814"/>
      <c r="MVC128" s="814"/>
      <c r="MVD128" s="814"/>
      <c r="MVE128" s="814"/>
      <c r="MVF128" s="814"/>
      <c r="MVG128" s="813"/>
      <c r="MVH128" s="813"/>
      <c r="MVI128" s="813"/>
      <c r="MVJ128" s="813"/>
      <c r="MVK128" s="813"/>
      <c r="MVL128" s="814"/>
      <c r="MVM128" s="814"/>
      <c r="MVN128" s="814"/>
      <c r="MVO128" s="814"/>
      <c r="MVP128" s="814"/>
      <c r="MVQ128" s="814"/>
      <c r="MVR128" s="814"/>
      <c r="MVS128" s="814"/>
      <c r="MVT128" s="814"/>
      <c r="MVU128" s="813"/>
      <c r="MVV128" s="813"/>
      <c r="MVW128" s="813"/>
      <c r="MVX128" s="813"/>
      <c r="MVY128" s="813"/>
      <c r="MVZ128" s="814"/>
      <c r="MWA128" s="814"/>
      <c r="MWB128" s="814"/>
      <c r="MWC128" s="814"/>
      <c r="MWD128" s="814"/>
      <c r="MWE128" s="814"/>
      <c r="MWF128" s="814"/>
      <c r="MWG128" s="814"/>
      <c r="MWH128" s="814"/>
      <c r="MWI128" s="813"/>
      <c r="MWJ128" s="813"/>
      <c r="MWK128" s="813"/>
      <c r="MWL128" s="813"/>
      <c r="MWM128" s="813"/>
      <c r="MWN128" s="814"/>
      <c r="MWO128" s="814"/>
      <c r="MWP128" s="814"/>
      <c r="MWQ128" s="814"/>
      <c r="MWR128" s="814"/>
      <c r="MWS128" s="814"/>
      <c r="MWT128" s="814"/>
      <c r="MWU128" s="814"/>
      <c r="MWV128" s="814"/>
      <c r="MWW128" s="813"/>
      <c r="MWX128" s="813"/>
      <c r="MWY128" s="813"/>
      <c r="MWZ128" s="813"/>
      <c r="MXA128" s="813"/>
      <c r="MXB128" s="814"/>
      <c r="MXC128" s="814"/>
      <c r="MXD128" s="814"/>
      <c r="MXE128" s="814"/>
      <c r="MXF128" s="814"/>
      <c r="MXG128" s="814"/>
      <c r="MXH128" s="814"/>
      <c r="MXI128" s="814"/>
      <c r="MXJ128" s="814"/>
      <c r="MXK128" s="813"/>
      <c r="MXL128" s="813"/>
      <c r="MXM128" s="813"/>
      <c r="MXN128" s="813"/>
      <c r="MXO128" s="813"/>
      <c r="MXP128" s="814"/>
      <c r="MXQ128" s="814"/>
      <c r="MXR128" s="814"/>
      <c r="MXS128" s="814"/>
      <c r="MXT128" s="814"/>
      <c r="MXU128" s="814"/>
      <c r="MXV128" s="814"/>
      <c r="MXW128" s="814"/>
      <c r="MXX128" s="814"/>
      <c r="MXY128" s="813"/>
      <c r="MXZ128" s="813"/>
      <c r="MYA128" s="813"/>
      <c r="MYB128" s="813"/>
      <c r="MYC128" s="813"/>
      <c r="MYD128" s="814"/>
      <c r="MYE128" s="814"/>
      <c r="MYF128" s="814"/>
      <c r="MYG128" s="814"/>
      <c r="MYH128" s="814"/>
      <c r="MYI128" s="814"/>
      <c r="MYJ128" s="814"/>
      <c r="MYK128" s="814"/>
      <c r="MYL128" s="814"/>
      <c r="MYM128" s="813"/>
      <c r="MYN128" s="813"/>
      <c r="MYO128" s="813"/>
      <c r="MYP128" s="813"/>
      <c r="MYQ128" s="813"/>
      <c r="MYR128" s="814"/>
      <c r="MYS128" s="814"/>
      <c r="MYT128" s="814"/>
      <c r="MYU128" s="814"/>
      <c r="MYV128" s="814"/>
      <c r="MYW128" s="814"/>
      <c r="MYX128" s="814"/>
      <c r="MYY128" s="814"/>
      <c r="MYZ128" s="814"/>
      <c r="MZA128" s="813"/>
      <c r="MZB128" s="813"/>
      <c r="MZC128" s="813"/>
      <c r="MZD128" s="813"/>
      <c r="MZE128" s="813"/>
      <c r="MZF128" s="814"/>
      <c r="MZG128" s="814"/>
      <c r="MZH128" s="814"/>
      <c r="MZI128" s="814"/>
      <c r="MZJ128" s="814"/>
      <c r="MZK128" s="814"/>
      <c r="MZL128" s="814"/>
      <c r="MZM128" s="814"/>
      <c r="MZN128" s="814"/>
      <c r="MZO128" s="813"/>
      <c r="MZP128" s="813"/>
      <c r="MZQ128" s="813"/>
      <c r="MZR128" s="813"/>
      <c r="MZS128" s="813"/>
      <c r="MZT128" s="814"/>
      <c r="MZU128" s="814"/>
      <c r="MZV128" s="814"/>
      <c r="MZW128" s="814"/>
      <c r="MZX128" s="814"/>
      <c r="MZY128" s="814"/>
      <c r="MZZ128" s="814"/>
      <c r="NAA128" s="814"/>
      <c r="NAB128" s="814"/>
      <c r="NAC128" s="813"/>
      <c r="NAD128" s="813"/>
      <c r="NAE128" s="813"/>
      <c r="NAF128" s="813"/>
      <c r="NAG128" s="813"/>
      <c r="NAH128" s="814"/>
      <c r="NAI128" s="814"/>
      <c r="NAJ128" s="814"/>
      <c r="NAK128" s="814"/>
      <c r="NAL128" s="814"/>
      <c r="NAM128" s="814"/>
      <c r="NAN128" s="814"/>
      <c r="NAO128" s="814"/>
      <c r="NAP128" s="814"/>
      <c r="NAQ128" s="813"/>
      <c r="NAR128" s="813"/>
      <c r="NAS128" s="813"/>
      <c r="NAT128" s="813"/>
      <c r="NAU128" s="813"/>
      <c r="NAV128" s="814"/>
      <c r="NAW128" s="814"/>
      <c r="NAX128" s="814"/>
      <c r="NAY128" s="814"/>
      <c r="NAZ128" s="814"/>
      <c r="NBA128" s="814"/>
      <c r="NBB128" s="814"/>
      <c r="NBC128" s="814"/>
      <c r="NBD128" s="814"/>
      <c r="NBE128" s="813"/>
      <c r="NBF128" s="813"/>
      <c r="NBG128" s="813"/>
      <c r="NBH128" s="813"/>
      <c r="NBI128" s="813"/>
      <c r="NBJ128" s="814"/>
      <c r="NBK128" s="814"/>
      <c r="NBL128" s="814"/>
      <c r="NBM128" s="814"/>
      <c r="NBN128" s="814"/>
      <c r="NBO128" s="814"/>
      <c r="NBP128" s="814"/>
      <c r="NBQ128" s="814"/>
      <c r="NBR128" s="814"/>
      <c r="NBS128" s="813"/>
      <c r="NBT128" s="813"/>
      <c r="NBU128" s="813"/>
      <c r="NBV128" s="813"/>
      <c r="NBW128" s="813"/>
      <c r="NBX128" s="814"/>
      <c r="NBY128" s="814"/>
      <c r="NBZ128" s="814"/>
      <c r="NCA128" s="814"/>
      <c r="NCB128" s="814"/>
      <c r="NCC128" s="814"/>
      <c r="NCD128" s="814"/>
      <c r="NCE128" s="814"/>
      <c r="NCF128" s="814"/>
      <c r="NCG128" s="813"/>
      <c r="NCH128" s="813"/>
      <c r="NCI128" s="813"/>
      <c r="NCJ128" s="813"/>
      <c r="NCK128" s="813"/>
      <c r="NCL128" s="814"/>
      <c r="NCM128" s="814"/>
      <c r="NCN128" s="814"/>
      <c r="NCO128" s="814"/>
      <c r="NCP128" s="814"/>
      <c r="NCQ128" s="814"/>
      <c r="NCR128" s="814"/>
      <c r="NCS128" s="814"/>
      <c r="NCT128" s="814"/>
      <c r="NCU128" s="813"/>
      <c r="NCV128" s="813"/>
      <c r="NCW128" s="813"/>
      <c r="NCX128" s="813"/>
      <c r="NCY128" s="813"/>
      <c r="NCZ128" s="814"/>
      <c r="NDA128" s="814"/>
      <c r="NDB128" s="814"/>
      <c r="NDC128" s="814"/>
      <c r="NDD128" s="814"/>
      <c r="NDE128" s="814"/>
      <c r="NDF128" s="814"/>
      <c r="NDG128" s="814"/>
      <c r="NDH128" s="814"/>
      <c r="NDI128" s="813"/>
      <c r="NDJ128" s="813"/>
      <c r="NDK128" s="813"/>
      <c r="NDL128" s="813"/>
      <c r="NDM128" s="813"/>
      <c r="NDN128" s="814"/>
      <c r="NDO128" s="814"/>
      <c r="NDP128" s="814"/>
      <c r="NDQ128" s="814"/>
      <c r="NDR128" s="814"/>
      <c r="NDS128" s="814"/>
      <c r="NDT128" s="814"/>
      <c r="NDU128" s="814"/>
      <c r="NDV128" s="814"/>
      <c r="NDW128" s="813"/>
      <c r="NDX128" s="813"/>
      <c r="NDY128" s="813"/>
      <c r="NDZ128" s="813"/>
      <c r="NEA128" s="813"/>
      <c r="NEB128" s="814"/>
      <c r="NEC128" s="814"/>
      <c r="NED128" s="814"/>
      <c r="NEE128" s="814"/>
      <c r="NEF128" s="814"/>
      <c r="NEG128" s="814"/>
      <c r="NEH128" s="814"/>
      <c r="NEI128" s="814"/>
      <c r="NEJ128" s="814"/>
      <c r="NEK128" s="813"/>
      <c r="NEL128" s="813"/>
      <c r="NEM128" s="813"/>
      <c r="NEN128" s="813"/>
      <c r="NEO128" s="813"/>
      <c r="NEP128" s="814"/>
      <c r="NEQ128" s="814"/>
      <c r="NER128" s="814"/>
      <c r="NES128" s="814"/>
      <c r="NET128" s="814"/>
      <c r="NEU128" s="814"/>
      <c r="NEV128" s="814"/>
      <c r="NEW128" s="814"/>
      <c r="NEX128" s="814"/>
      <c r="NEY128" s="813"/>
      <c r="NEZ128" s="813"/>
      <c r="NFA128" s="813"/>
      <c r="NFB128" s="813"/>
      <c r="NFC128" s="813"/>
      <c r="NFD128" s="814"/>
      <c r="NFE128" s="814"/>
      <c r="NFF128" s="814"/>
      <c r="NFG128" s="814"/>
      <c r="NFH128" s="814"/>
      <c r="NFI128" s="814"/>
      <c r="NFJ128" s="814"/>
      <c r="NFK128" s="814"/>
      <c r="NFL128" s="814"/>
      <c r="NFM128" s="813"/>
      <c r="NFN128" s="813"/>
      <c r="NFO128" s="813"/>
      <c r="NFP128" s="813"/>
      <c r="NFQ128" s="813"/>
      <c r="NFR128" s="814"/>
      <c r="NFS128" s="814"/>
      <c r="NFT128" s="814"/>
      <c r="NFU128" s="814"/>
      <c r="NFV128" s="814"/>
      <c r="NFW128" s="814"/>
      <c r="NFX128" s="814"/>
      <c r="NFY128" s="814"/>
      <c r="NFZ128" s="814"/>
      <c r="NGA128" s="813"/>
      <c r="NGB128" s="813"/>
      <c r="NGC128" s="813"/>
      <c r="NGD128" s="813"/>
      <c r="NGE128" s="813"/>
      <c r="NGF128" s="814"/>
      <c r="NGG128" s="814"/>
      <c r="NGH128" s="814"/>
      <c r="NGI128" s="814"/>
      <c r="NGJ128" s="814"/>
      <c r="NGK128" s="814"/>
      <c r="NGL128" s="814"/>
      <c r="NGM128" s="814"/>
      <c r="NGN128" s="814"/>
      <c r="NGO128" s="813"/>
      <c r="NGP128" s="813"/>
      <c r="NGQ128" s="813"/>
      <c r="NGR128" s="813"/>
      <c r="NGS128" s="813"/>
      <c r="NGT128" s="814"/>
      <c r="NGU128" s="814"/>
      <c r="NGV128" s="814"/>
      <c r="NGW128" s="814"/>
      <c r="NGX128" s="814"/>
      <c r="NGY128" s="814"/>
      <c r="NGZ128" s="814"/>
      <c r="NHA128" s="814"/>
      <c r="NHB128" s="814"/>
      <c r="NHC128" s="813"/>
      <c r="NHD128" s="813"/>
      <c r="NHE128" s="813"/>
      <c r="NHF128" s="813"/>
      <c r="NHG128" s="813"/>
      <c r="NHH128" s="814"/>
      <c r="NHI128" s="814"/>
      <c r="NHJ128" s="814"/>
      <c r="NHK128" s="814"/>
      <c r="NHL128" s="814"/>
      <c r="NHM128" s="814"/>
      <c r="NHN128" s="814"/>
      <c r="NHO128" s="814"/>
      <c r="NHP128" s="814"/>
      <c r="NHQ128" s="813"/>
      <c r="NHR128" s="813"/>
      <c r="NHS128" s="813"/>
      <c r="NHT128" s="813"/>
      <c r="NHU128" s="813"/>
      <c r="NHV128" s="814"/>
      <c r="NHW128" s="814"/>
      <c r="NHX128" s="814"/>
      <c r="NHY128" s="814"/>
      <c r="NHZ128" s="814"/>
      <c r="NIA128" s="814"/>
      <c r="NIB128" s="814"/>
      <c r="NIC128" s="814"/>
      <c r="NID128" s="814"/>
      <c r="NIE128" s="813"/>
      <c r="NIF128" s="813"/>
      <c r="NIG128" s="813"/>
      <c r="NIH128" s="813"/>
      <c r="NII128" s="813"/>
      <c r="NIJ128" s="814"/>
      <c r="NIK128" s="814"/>
      <c r="NIL128" s="814"/>
      <c r="NIM128" s="814"/>
      <c r="NIN128" s="814"/>
      <c r="NIO128" s="814"/>
      <c r="NIP128" s="814"/>
      <c r="NIQ128" s="814"/>
      <c r="NIR128" s="814"/>
      <c r="NIS128" s="813"/>
      <c r="NIT128" s="813"/>
      <c r="NIU128" s="813"/>
      <c r="NIV128" s="813"/>
      <c r="NIW128" s="813"/>
      <c r="NIX128" s="814"/>
      <c r="NIY128" s="814"/>
      <c r="NIZ128" s="814"/>
      <c r="NJA128" s="814"/>
      <c r="NJB128" s="814"/>
      <c r="NJC128" s="814"/>
      <c r="NJD128" s="814"/>
      <c r="NJE128" s="814"/>
      <c r="NJF128" s="814"/>
      <c r="NJG128" s="813"/>
      <c r="NJH128" s="813"/>
      <c r="NJI128" s="813"/>
      <c r="NJJ128" s="813"/>
      <c r="NJK128" s="813"/>
      <c r="NJL128" s="814"/>
      <c r="NJM128" s="814"/>
      <c r="NJN128" s="814"/>
      <c r="NJO128" s="814"/>
      <c r="NJP128" s="814"/>
      <c r="NJQ128" s="814"/>
      <c r="NJR128" s="814"/>
      <c r="NJS128" s="814"/>
      <c r="NJT128" s="814"/>
      <c r="NJU128" s="813"/>
      <c r="NJV128" s="813"/>
      <c r="NJW128" s="813"/>
      <c r="NJX128" s="813"/>
      <c r="NJY128" s="813"/>
      <c r="NJZ128" s="814"/>
      <c r="NKA128" s="814"/>
      <c r="NKB128" s="814"/>
      <c r="NKC128" s="814"/>
      <c r="NKD128" s="814"/>
      <c r="NKE128" s="814"/>
      <c r="NKF128" s="814"/>
      <c r="NKG128" s="814"/>
      <c r="NKH128" s="814"/>
      <c r="NKI128" s="813"/>
      <c r="NKJ128" s="813"/>
      <c r="NKK128" s="813"/>
      <c r="NKL128" s="813"/>
      <c r="NKM128" s="813"/>
      <c r="NKN128" s="814"/>
      <c r="NKO128" s="814"/>
      <c r="NKP128" s="814"/>
      <c r="NKQ128" s="814"/>
      <c r="NKR128" s="814"/>
      <c r="NKS128" s="814"/>
      <c r="NKT128" s="814"/>
      <c r="NKU128" s="814"/>
      <c r="NKV128" s="814"/>
      <c r="NKW128" s="813"/>
      <c r="NKX128" s="813"/>
      <c r="NKY128" s="813"/>
      <c r="NKZ128" s="813"/>
      <c r="NLA128" s="813"/>
      <c r="NLB128" s="814"/>
      <c r="NLC128" s="814"/>
      <c r="NLD128" s="814"/>
      <c r="NLE128" s="814"/>
      <c r="NLF128" s="814"/>
      <c r="NLG128" s="814"/>
      <c r="NLH128" s="814"/>
      <c r="NLI128" s="814"/>
      <c r="NLJ128" s="814"/>
      <c r="NLK128" s="813"/>
      <c r="NLL128" s="813"/>
      <c r="NLM128" s="813"/>
      <c r="NLN128" s="813"/>
      <c r="NLO128" s="813"/>
      <c r="NLP128" s="814"/>
      <c r="NLQ128" s="814"/>
      <c r="NLR128" s="814"/>
      <c r="NLS128" s="814"/>
      <c r="NLT128" s="814"/>
      <c r="NLU128" s="814"/>
      <c r="NLV128" s="814"/>
      <c r="NLW128" s="814"/>
      <c r="NLX128" s="814"/>
      <c r="NLY128" s="813"/>
      <c r="NLZ128" s="813"/>
      <c r="NMA128" s="813"/>
      <c r="NMB128" s="813"/>
      <c r="NMC128" s="813"/>
      <c r="NMD128" s="814"/>
      <c r="NME128" s="814"/>
      <c r="NMF128" s="814"/>
      <c r="NMG128" s="814"/>
      <c r="NMH128" s="814"/>
      <c r="NMI128" s="814"/>
      <c r="NMJ128" s="814"/>
      <c r="NMK128" s="814"/>
      <c r="NML128" s="814"/>
      <c r="NMM128" s="813"/>
      <c r="NMN128" s="813"/>
      <c r="NMO128" s="813"/>
      <c r="NMP128" s="813"/>
      <c r="NMQ128" s="813"/>
      <c r="NMR128" s="814"/>
      <c r="NMS128" s="814"/>
      <c r="NMT128" s="814"/>
      <c r="NMU128" s="814"/>
      <c r="NMV128" s="814"/>
      <c r="NMW128" s="814"/>
      <c r="NMX128" s="814"/>
      <c r="NMY128" s="814"/>
      <c r="NMZ128" s="814"/>
      <c r="NNA128" s="813"/>
      <c r="NNB128" s="813"/>
      <c r="NNC128" s="813"/>
      <c r="NND128" s="813"/>
      <c r="NNE128" s="813"/>
      <c r="NNF128" s="814"/>
      <c r="NNG128" s="814"/>
      <c r="NNH128" s="814"/>
      <c r="NNI128" s="814"/>
      <c r="NNJ128" s="814"/>
      <c r="NNK128" s="814"/>
      <c r="NNL128" s="814"/>
      <c r="NNM128" s="814"/>
      <c r="NNN128" s="814"/>
      <c r="NNO128" s="813"/>
      <c r="NNP128" s="813"/>
      <c r="NNQ128" s="813"/>
      <c r="NNR128" s="813"/>
      <c r="NNS128" s="813"/>
      <c r="NNT128" s="814"/>
      <c r="NNU128" s="814"/>
      <c r="NNV128" s="814"/>
      <c r="NNW128" s="814"/>
      <c r="NNX128" s="814"/>
      <c r="NNY128" s="814"/>
      <c r="NNZ128" s="814"/>
      <c r="NOA128" s="814"/>
      <c r="NOB128" s="814"/>
      <c r="NOC128" s="813"/>
      <c r="NOD128" s="813"/>
      <c r="NOE128" s="813"/>
      <c r="NOF128" s="813"/>
      <c r="NOG128" s="813"/>
      <c r="NOH128" s="814"/>
      <c r="NOI128" s="814"/>
      <c r="NOJ128" s="814"/>
      <c r="NOK128" s="814"/>
      <c r="NOL128" s="814"/>
      <c r="NOM128" s="814"/>
      <c r="NON128" s="814"/>
      <c r="NOO128" s="814"/>
      <c r="NOP128" s="814"/>
      <c r="NOQ128" s="813"/>
      <c r="NOR128" s="813"/>
      <c r="NOS128" s="813"/>
      <c r="NOT128" s="813"/>
      <c r="NOU128" s="813"/>
      <c r="NOV128" s="814"/>
      <c r="NOW128" s="814"/>
      <c r="NOX128" s="814"/>
      <c r="NOY128" s="814"/>
      <c r="NOZ128" s="814"/>
      <c r="NPA128" s="814"/>
      <c r="NPB128" s="814"/>
      <c r="NPC128" s="814"/>
      <c r="NPD128" s="814"/>
      <c r="NPE128" s="813"/>
      <c r="NPF128" s="813"/>
      <c r="NPG128" s="813"/>
      <c r="NPH128" s="813"/>
      <c r="NPI128" s="813"/>
      <c r="NPJ128" s="814"/>
      <c r="NPK128" s="814"/>
      <c r="NPL128" s="814"/>
      <c r="NPM128" s="814"/>
      <c r="NPN128" s="814"/>
      <c r="NPO128" s="814"/>
      <c r="NPP128" s="814"/>
      <c r="NPQ128" s="814"/>
      <c r="NPR128" s="814"/>
      <c r="NPS128" s="813"/>
      <c r="NPT128" s="813"/>
      <c r="NPU128" s="813"/>
      <c r="NPV128" s="813"/>
      <c r="NPW128" s="813"/>
      <c r="NPX128" s="814"/>
      <c r="NPY128" s="814"/>
      <c r="NPZ128" s="814"/>
      <c r="NQA128" s="814"/>
      <c r="NQB128" s="814"/>
      <c r="NQC128" s="814"/>
      <c r="NQD128" s="814"/>
      <c r="NQE128" s="814"/>
      <c r="NQF128" s="814"/>
      <c r="NQG128" s="813"/>
      <c r="NQH128" s="813"/>
      <c r="NQI128" s="813"/>
      <c r="NQJ128" s="813"/>
      <c r="NQK128" s="813"/>
      <c r="NQL128" s="814"/>
      <c r="NQM128" s="814"/>
      <c r="NQN128" s="814"/>
      <c r="NQO128" s="814"/>
      <c r="NQP128" s="814"/>
      <c r="NQQ128" s="814"/>
      <c r="NQR128" s="814"/>
      <c r="NQS128" s="814"/>
      <c r="NQT128" s="814"/>
      <c r="NQU128" s="813"/>
      <c r="NQV128" s="813"/>
      <c r="NQW128" s="813"/>
      <c r="NQX128" s="813"/>
      <c r="NQY128" s="813"/>
      <c r="NQZ128" s="814"/>
      <c r="NRA128" s="814"/>
      <c r="NRB128" s="814"/>
      <c r="NRC128" s="814"/>
      <c r="NRD128" s="814"/>
      <c r="NRE128" s="814"/>
      <c r="NRF128" s="814"/>
      <c r="NRG128" s="814"/>
      <c r="NRH128" s="814"/>
      <c r="NRI128" s="813"/>
      <c r="NRJ128" s="813"/>
      <c r="NRK128" s="813"/>
      <c r="NRL128" s="813"/>
      <c r="NRM128" s="813"/>
      <c r="NRN128" s="814"/>
      <c r="NRO128" s="814"/>
      <c r="NRP128" s="814"/>
      <c r="NRQ128" s="814"/>
      <c r="NRR128" s="814"/>
      <c r="NRS128" s="814"/>
      <c r="NRT128" s="814"/>
      <c r="NRU128" s="814"/>
      <c r="NRV128" s="814"/>
      <c r="NRW128" s="813"/>
      <c r="NRX128" s="813"/>
      <c r="NRY128" s="813"/>
      <c r="NRZ128" s="813"/>
      <c r="NSA128" s="813"/>
      <c r="NSB128" s="814"/>
      <c r="NSC128" s="814"/>
      <c r="NSD128" s="814"/>
      <c r="NSE128" s="814"/>
      <c r="NSF128" s="814"/>
      <c r="NSG128" s="814"/>
      <c r="NSH128" s="814"/>
      <c r="NSI128" s="814"/>
      <c r="NSJ128" s="814"/>
      <c r="NSK128" s="813"/>
      <c r="NSL128" s="813"/>
      <c r="NSM128" s="813"/>
      <c r="NSN128" s="813"/>
      <c r="NSO128" s="813"/>
      <c r="NSP128" s="814"/>
      <c r="NSQ128" s="814"/>
      <c r="NSR128" s="814"/>
      <c r="NSS128" s="814"/>
      <c r="NST128" s="814"/>
      <c r="NSU128" s="814"/>
      <c r="NSV128" s="814"/>
      <c r="NSW128" s="814"/>
      <c r="NSX128" s="814"/>
      <c r="NSY128" s="813"/>
      <c r="NSZ128" s="813"/>
      <c r="NTA128" s="813"/>
      <c r="NTB128" s="813"/>
      <c r="NTC128" s="813"/>
      <c r="NTD128" s="814"/>
      <c r="NTE128" s="814"/>
      <c r="NTF128" s="814"/>
      <c r="NTG128" s="814"/>
      <c r="NTH128" s="814"/>
      <c r="NTI128" s="814"/>
      <c r="NTJ128" s="814"/>
      <c r="NTK128" s="814"/>
      <c r="NTL128" s="814"/>
      <c r="NTM128" s="813"/>
      <c r="NTN128" s="813"/>
      <c r="NTO128" s="813"/>
      <c r="NTP128" s="813"/>
      <c r="NTQ128" s="813"/>
      <c r="NTR128" s="814"/>
      <c r="NTS128" s="814"/>
      <c r="NTT128" s="814"/>
      <c r="NTU128" s="814"/>
      <c r="NTV128" s="814"/>
      <c r="NTW128" s="814"/>
      <c r="NTX128" s="814"/>
      <c r="NTY128" s="814"/>
      <c r="NTZ128" s="814"/>
      <c r="NUA128" s="813"/>
      <c r="NUB128" s="813"/>
      <c r="NUC128" s="813"/>
      <c r="NUD128" s="813"/>
      <c r="NUE128" s="813"/>
      <c r="NUF128" s="814"/>
      <c r="NUG128" s="814"/>
      <c r="NUH128" s="814"/>
      <c r="NUI128" s="814"/>
      <c r="NUJ128" s="814"/>
      <c r="NUK128" s="814"/>
      <c r="NUL128" s="814"/>
      <c r="NUM128" s="814"/>
      <c r="NUN128" s="814"/>
      <c r="NUO128" s="813"/>
      <c r="NUP128" s="813"/>
      <c r="NUQ128" s="813"/>
      <c r="NUR128" s="813"/>
      <c r="NUS128" s="813"/>
      <c r="NUT128" s="814"/>
      <c r="NUU128" s="814"/>
      <c r="NUV128" s="814"/>
      <c r="NUW128" s="814"/>
      <c r="NUX128" s="814"/>
      <c r="NUY128" s="814"/>
      <c r="NUZ128" s="814"/>
      <c r="NVA128" s="814"/>
      <c r="NVB128" s="814"/>
      <c r="NVC128" s="813"/>
      <c r="NVD128" s="813"/>
      <c r="NVE128" s="813"/>
      <c r="NVF128" s="813"/>
      <c r="NVG128" s="813"/>
      <c r="NVH128" s="814"/>
      <c r="NVI128" s="814"/>
      <c r="NVJ128" s="814"/>
      <c r="NVK128" s="814"/>
      <c r="NVL128" s="814"/>
      <c r="NVM128" s="814"/>
      <c r="NVN128" s="814"/>
      <c r="NVO128" s="814"/>
      <c r="NVP128" s="814"/>
      <c r="NVQ128" s="813"/>
      <c r="NVR128" s="813"/>
      <c r="NVS128" s="813"/>
      <c r="NVT128" s="813"/>
      <c r="NVU128" s="813"/>
      <c r="NVV128" s="814"/>
      <c r="NVW128" s="814"/>
      <c r="NVX128" s="814"/>
      <c r="NVY128" s="814"/>
      <c r="NVZ128" s="814"/>
      <c r="NWA128" s="814"/>
      <c r="NWB128" s="814"/>
      <c r="NWC128" s="814"/>
      <c r="NWD128" s="814"/>
      <c r="NWE128" s="813"/>
      <c r="NWF128" s="813"/>
      <c r="NWG128" s="813"/>
      <c r="NWH128" s="813"/>
      <c r="NWI128" s="813"/>
      <c r="NWJ128" s="814"/>
      <c r="NWK128" s="814"/>
      <c r="NWL128" s="814"/>
      <c r="NWM128" s="814"/>
      <c r="NWN128" s="814"/>
      <c r="NWO128" s="814"/>
      <c r="NWP128" s="814"/>
      <c r="NWQ128" s="814"/>
      <c r="NWR128" s="814"/>
      <c r="NWS128" s="813"/>
      <c r="NWT128" s="813"/>
      <c r="NWU128" s="813"/>
      <c r="NWV128" s="813"/>
      <c r="NWW128" s="813"/>
      <c r="NWX128" s="814"/>
      <c r="NWY128" s="814"/>
      <c r="NWZ128" s="814"/>
      <c r="NXA128" s="814"/>
      <c r="NXB128" s="814"/>
      <c r="NXC128" s="814"/>
      <c r="NXD128" s="814"/>
      <c r="NXE128" s="814"/>
      <c r="NXF128" s="814"/>
      <c r="NXG128" s="813"/>
      <c r="NXH128" s="813"/>
      <c r="NXI128" s="813"/>
      <c r="NXJ128" s="813"/>
      <c r="NXK128" s="813"/>
      <c r="NXL128" s="814"/>
      <c r="NXM128" s="814"/>
      <c r="NXN128" s="814"/>
      <c r="NXO128" s="814"/>
      <c r="NXP128" s="814"/>
      <c r="NXQ128" s="814"/>
      <c r="NXR128" s="814"/>
      <c r="NXS128" s="814"/>
      <c r="NXT128" s="814"/>
      <c r="NXU128" s="813"/>
      <c r="NXV128" s="813"/>
      <c r="NXW128" s="813"/>
      <c r="NXX128" s="813"/>
      <c r="NXY128" s="813"/>
      <c r="NXZ128" s="814"/>
      <c r="NYA128" s="814"/>
      <c r="NYB128" s="814"/>
      <c r="NYC128" s="814"/>
      <c r="NYD128" s="814"/>
      <c r="NYE128" s="814"/>
      <c r="NYF128" s="814"/>
      <c r="NYG128" s="814"/>
      <c r="NYH128" s="814"/>
      <c r="NYI128" s="813"/>
      <c r="NYJ128" s="813"/>
      <c r="NYK128" s="813"/>
      <c r="NYL128" s="813"/>
      <c r="NYM128" s="813"/>
      <c r="NYN128" s="814"/>
      <c r="NYO128" s="814"/>
      <c r="NYP128" s="814"/>
      <c r="NYQ128" s="814"/>
      <c r="NYR128" s="814"/>
      <c r="NYS128" s="814"/>
      <c r="NYT128" s="814"/>
      <c r="NYU128" s="814"/>
      <c r="NYV128" s="814"/>
      <c r="NYW128" s="813"/>
      <c r="NYX128" s="813"/>
      <c r="NYY128" s="813"/>
      <c r="NYZ128" s="813"/>
      <c r="NZA128" s="813"/>
      <c r="NZB128" s="814"/>
      <c r="NZC128" s="814"/>
      <c r="NZD128" s="814"/>
      <c r="NZE128" s="814"/>
      <c r="NZF128" s="814"/>
      <c r="NZG128" s="814"/>
      <c r="NZH128" s="814"/>
      <c r="NZI128" s="814"/>
      <c r="NZJ128" s="814"/>
      <c r="NZK128" s="813"/>
      <c r="NZL128" s="813"/>
      <c r="NZM128" s="813"/>
      <c r="NZN128" s="813"/>
      <c r="NZO128" s="813"/>
      <c r="NZP128" s="814"/>
      <c r="NZQ128" s="814"/>
      <c r="NZR128" s="814"/>
      <c r="NZS128" s="814"/>
      <c r="NZT128" s="814"/>
      <c r="NZU128" s="814"/>
      <c r="NZV128" s="814"/>
      <c r="NZW128" s="814"/>
      <c r="NZX128" s="814"/>
      <c r="NZY128" s="813"/>
      <c r="NZZ128" s="813"/>
      <c r="OAA128" s="813"/>
      <c r="OAB128" s="813"/>
      <c r="OAC128" s="813"/>
      <c r="OAD128" s="814"/>
      <c r="OAE128" s="814"/>
      <c r="OAF128" s="814"/>
      <c r="OAG128" s="814"/>
      <c r="OAH128" s="814"/>
      <c r="OAI128" s="814"/>
      <c r="OAJ128" s="814"/>
      <c r="OAK128" s="814"/>
      <c r="OAL128" s="814"/>
      <c r="OAM128" s="813"/>
      <c r="OAN128" s="813"/>
      <c r="OAO128" s="813"/>
      <c r="OAP128" s="813"/>
      <c r="OAQ128" s="813"/>
      <c r="OAR128" s="814"/>
      <c r="OAS128" s="814"/>
      <c r="OAT128" s="814"/>
      <c r="OAU128" s="814"/>
      <c r="OAV128" s="814"/>
      <c r="OAW128" s="814"/>
      <c r="OAX128" s="814"/>
      <c r="OAY128" s="814"/>
      <c r="OAZ128" s="814"/>
      <c r="OBA128" s="813"/>
      <c r="OBB128" s="813"/>
      <c r="OBC128" s="813"/>
      <c r="OBD128" s="813"/>
      <c r="OBE128" s="813"/>
      <c r="OBF128" s="814"/>
      <c r="OBG128" s="814"/>
      <c r="OBH128" s="814"/>
      <c r="OBI128" s="814"/>
      <c r="OBJ128" s="814"/>
      <c r="OBK128" s="814"/>
      <c r="OBL128" s="814"/>
      <c r="OBM128" s="814"/>
      <c r="OBN128" s="814"/>
      <c r="OBO128" s="813"/>
      <c r="OBP128" s="813"/>
      <c r="OBQ128" s="813"/>
      <c r="OBR128" s="813"/>
      <c r="OBS128" s="813"/>
      <c r="OBT128" s="814"/>
      <c r="OBU128" s="814"/>
      <c r="OBV128" s="814"/>
      <c r="OBW128" s="814"/>
      <c r="OBX128" s="814"/>
      <c r="OBY128" s="814"/>
      <c r="OBZ128" s="814"/>
      <c r="OCA128" s="814"/>
      <c r="OCB128" s="814"/>
      <c r="OCC128" s="813"/>
      <c r="OCD128" s="813"/>
      <c r="OCE128" s="813"/>
      <c r="OCF128" s="813"/>
      <c r="OCG128" s="813"/>
      <c r="OCH128" s="814"/>
      <c r="OCI128" s="814"/>
      <c r="OCJ128" s="814"/>
      <c r="OCK128" s="814"/>
      <c r="OCL128" s="814"/>
      <c r="OCM128" s="814"/>
      <c r="OCN128" s="814"/>
      <c r="OCO128" s="814"/>
      <c r="OCP128" s="814"/>
      <c r="OCQ128" s="813"/>
      <c r="OCR128" s="813"/>
      <c r="OCS128" s="813"/>
      <c r="OCT128" s="813"/>
      <c r="OCU128" s="813"/>
      <c r="OCV128" s="814"/>
      <c r="OCW128" s="814"/>
      <c r="OCX128" s="814"/>
      <c r="OCY128" s="814"/>
      <c r="OCZ128" s="814"/>
      <c r="ODA128" s="814"/>
      <c r="ODB128" s="814"/>
      <c r="ODC128" s="814"/>
      <c r="ODD128" s="814"/>
      <c r="ODE128" s="813"/>
      <c r="ODF128" s="813"/>
      <c r="ODG128" s="813"/>
      <c r="ODH128" s="813"/>
      <c r="ODI128" s="813"/>
      <c r="ODJ128" s="814"/>
      <c r="ODK128" s="814"/>
      <c r="ODL128" s="814"/>
      <c r="ODM128" s="814"/>
      <c r="ODN128" s="814"/>
      <c r="ODO128" s="814"/>
      <c r="ODP128" s="814"/>
      <c r="ODQ128" s="814"/>
      <c r="ODR128" s="814"/>
      <c r="ODS128" s="813"/>
      <c r="ODT128" s="813"/>
      <c r="ODU128" s="813"/>
      <c r="ODV128" s="813"/>
      <c r="ODW128" s="813"/>
      <c r="ODX128" s="814"/>
      <c r="ODY128" s="814"/>
      <c r="ODZ128" s="814"/>
      <c r="OEA128" s="814"/>
      <c r="OEB128" s="814"/>
      <c r="OEC128" s="814"/>
      <c r="OED128" s="814"/>
      <c r="OEE128" s="814"/>
      <c r="OEF128" s="814"/>
      <c r="OEG128" s="813"/>
      <c r="OEH128" s="813"/>
      <c r="OEI128" s="813"/>
      <c r="OEJ128" s="813"/>
      <c r="OEK128" s="813"/>
      <c r="OEL128" s="814"/>
      <c r="OEM128" s="814"/>
      <c r="OEN128" s="814"/>
      <c r="OEO128" s="814"/>
      <c r="OEP128" s="814"/>
      <c r="OEQ128" s="814"/>
      <c r="OER128" s="814"/>
      <c r="OES128" s="814"/>
      <c r="OET128" s="814"/>
      <c r="OEU128" s="813"/>
      <c r="OEV128" s="813"/>
      <c r="OEW128" s="813"/>
      <c r="OEX128" s="813"/>
      <c r="OEY128" s="813"/>
      <c r="OEZ128" s="814"/>
      <c r="OFA128" s="814"/>
      <c r="OFB128" s="814"/>
      <c r="OFC128" s="814"/>
      <c r="OFD128" s="814"/>
      <c r="OFE128" s="814"/>
      <c r="OFF128" s="814"/>
      <c r="OFG128" s="814"/>
      <c r="OFH128" s="814"/>
      <c r="OFI128" s="813"/>
      <c r="OFJ128" s="813"/>
      <c r="OFK128" s="813"/>
      <c r="OFL128" s="813"/>
      <c r="OFM128" s="813"/>
      <c r="OFN128" s="814"/>
      <c r="OFO128" s="814"/>
      <c r="OFP128" s="814"/>
      <c r="OFQ128" s="814"/>
      <c r="OFR128" s="814"/>
      <c r="OFS128" s="814"/>
      <c r="OFT128" s="814"/>
      <c r="OFU128" s="814"/>
      <c r="OFV128" s="814"/>
      <c r="OFW128" s="813"/>
      <c r="OFX128" s="813"/>
      <c r="OFY128" s="813"/>
      <c r="OFZ128" s="813"/>
      <c r="OGA128" s="813"/>
      <c r="OGB128" s="814"/>
      <c r="OGC128" s="814"/>
      <c r="OGD128" s="814"/>
      <c r="OGE128" s="814"/>
      <c r="OGF128" s="814"/>
      <c r="OGG128" s="814"/>
      <c r="OGH128" s="814"/>
      <c r="OGI128" s="814"/>
      <c r="OGJ128" s="814"/>
      <c r="OGK128" s="813"/>
      <c r="OGL128" s="813"/>
      <c r="OGM128" s="813"/>
      <c r="OGN128" s="813"/>
      <c r="OGO128" s="813"/>
      <c r="OGP128" s="814"/>
      <c r="OGQ128" s="814"/>
      <c r="OGR128" s="814"/>
      <c r="OGS128" s="814"/>
      <c r="OGT128" s="814"/>
      <c r="OGU128" s="814"/>
      <c r="OGV128" s="814"/>
      <c r="OGW128" s="814"/>
      <c r="OGX128" s="814"/>
      <c r="OGY128" s="813"/>
      <c r="OGZ128" s="813"/>
      <c r="OHA128" s="813"/>
      <c r="OHB128" s="813"/>
      <c r="OHC128" s="813"/>
      <c r="OHD128" s="814"/>
      <c r="OHE128" s="814"/>
      <c r="OHF128" s="814"/>
      <c r="OHG128" s="814"/>
      <c r="OHH128" s="814"/>
      <c r="OHI128" s="814"/>
      <c r="OHJ128" s="814"/>
      <c r="OHK128" s="814"/>
      <c r="OHL128" s="814"/>
      <c r="OHM128" s="813"/>
      <c r="OHN128" s="813"/>
      <c r="OHO128" s="813"/>
      <c r="OHP128" s="813"/>
      <c r="OHQ128" s="813"/>
      <c r="OHR128" s="814"/>
      <c r="OHS128" s="814"/>
      <c r="OHT128" s="814"/>
      <c r="OHU128" s="814"/>
      <c r="OHV128" s="814"/>
      <c r="OHW128" s="814"/>
      <c r="OHX128" s="814"/>
      <c r="OHY128" s="814"/>
      <c r="OHZ128" s="814"/>
      <c r="OIA128" s="813"/>
      <c r="OIB128" s="813"/>
      <c r="OIC128" s="813"/>
      <c r="OID128" s="813"/>
      <c r="OIE128" s="813"/>
      <c r="OIF128" s="814"/>
      <c r="OIG128" s="814"/>
      <c r="OIH128" s="814"/>
      <c r="OII128" s="814"/>
      <c r="OIJ128" s="814"/>
      <c r="OIK128" s="814"/>
      <c r="OIL128" s="814"/>
      <c r="OIM128" s="814"/>
      <c r="OIN128" s="814"/>
      <c r="OIO128" s="813"/>
      <c r="OIP128" s="813"/>
      <c r="OIQ128" s="813"/>
      <c r="OIR128" s="813"/>
      <c r="OIS128" s="813"/>
      <c r="OIT128" s="814"/>
      <c r="OIU128" s="814"/>
      <c r="OIV128" s="814"/>
      <c r="OIW128" s="814"/>
      <c r="OIX128" s="814"/>
      <c r="OIY128" s="814"/>
      <c r="OIZ128" s="814"/>
      <c r="OJA128" s="814"/>
      <c r="OJB128" s="814"/>
      <c r="OJC128" s="813"/>
      <c r="OJD128" s="813"/>
      <c r="OJE128" s="813"/>
      <c r="OJF128" s="813"/>
      <c r="OJG128" s="813"/>
      <c r="OJH128" s="814"/>
      <c r="OJI128" s="814"/>
      <c r="OJJ128" s="814"/>
      <c r="OJK128" s="814"/>
      <c r="OJL128" s="814"/>
      <c r="OJM128" s="814"/>
      <c r="OJN128" s="814"/>
      <c r="OJO128" s="814"/>
      <c r="OJP128" s="814"/>
      <c r="OJQ128" s="813"/>
      <c r="OJR128" s="813"/>
      <c r="OJS128" s="813"/>
      <c r="OJT128" s="813"/>
      <c r="OJU128" s="813"/>
      <c r="OJV128" s="814"/>
      <c r="OJW128" s="814"/>
      <c r="OJX128" s="814"/>
      <c r="OJY128" s="814"/>
      <c r="OJZ128" s="814"/>
      <c r="OKA128" s="814"/>
      <c r="OKB128" s="814"/>
      <c r="OKC128" s="814"/>
      <c r="OKD128" s="814"/>
      <c r="OKE128" s="813"/>
      <c r="OKF128" s="813"/>
      <c r="OKG128" s="813"/>
      <c r="OKH128" s="813"/>
      <c r="OKI128" s="813"/>
      <c r="OKJ128" s="814"/>
      <c r="OKK128" s="814"/>
      <c r="OKL128" s="814"/>
      <c r="OKM128" s="814"/>
      <c r="OKN128" s="814"/>
      <c r="OKO128" s="814"/>
      <c r="OKP128" s="814"/>
      <c r="OKQ128" s="814"/>
      <c r="OKR128" s="814"/>
      <c r="OKS128" s="813"/>
      <c r="OKT128" s="813"/>
      <c r="OKU128" s="813"/>
      <c r="OKV128" s="813"/>
      <c r="OKW128" s="813"/>
      <c r="OKX128" s="814"/>
      <c r="OKY128" s="814"/>
      <c r="OKZ128" s="814"/>
      <c r="OLA128" s="814"/>
      <c r="OLB128" s="814"/>
      <c r="OLC128" s="814"/>
      <c r="OLD128" s="814"/>
      <c r="OLE128" s="814"/>
      <c r="OLF128" s="814"/>
      <c r="OLG128" s="813"/>
      <c r="OLH128" s="813"/>
      <c r="OLI128" s="813"/>
      <c r="OLJ128" s="813"/>
      <c r="OLK128" s="813"/>
      <c r="OLL128" s="814"/>
      <c r="OLM128" s="814"/>
      <c r="OLN128" s="814"/>
      <c r="OLO128" s="814"/>
      <c r="OLP128" s="814"/>
      <c r="OLQ128" s="814"/>
      <c r="OLR128" s="814"/>
      <c r="OLS128" s="814"/>
      <c r="OLT128" s="814"/>
      <c r="OLU128" s="813"/>
      <c r="OLV128" s="813"/>
      <c r="OLW128" s="813"/>
      <c r="OLX128" s="813"/>
      <c r="OLY128" s="813"/>
      <c r="OLZ128" s="814"/>
      <c r="OMA128" s="814"/>
      <c r="OMB128" s="814"/>
      <c r="OMC128" s="814"/>
      <c r="OMD128" s="814"/>
      <c r="OME128" s="814"/>
      <c r="OMF128" s="814"/>
      <c r="OMG128" s="814"/>
      <c r="OMH128" s="814"/>
      <c r="OMI128" s="813"/>
      <c r="OMJ128" s="813"/>
      <c r="OMK128" s="813"/>
      <c r="OML128" s="813"/>
      <c r="OMM128" s="813"/>
      <c r="OMN128" s="814"/>
      <c r="OMO128" s="814"/>
      <c r="OMP128" s="814"/>
      <c r="OMQ128" s="814"/>
      <c r="OMR128" s="814"/>
      <c r="OMS128" s="814"/>
      <c r="OMT128" s="814"/>
      <c r="OMU128" s="814"/>
      <c r="OMV128" s="814"/>
      <c r="OMW128" s="813"/>
      <c r="OMX128" s="813"/>
      <c r="OMY128" s="813"/>
      <c r="OMZ128" s="813"/>
      <c r="ONA128" s="813"/>
      <c r="ONB128" s="814"/>
      <c r="ONC128" s="814"/>
      <c r="OND128" s="814"/>
      <c r="ONE128" s="814"/>
      <c r="ONF128" s="814"/>
      <c r="ONG128" s="814"/>
      <c r="ONH128" s="814"/>
      <c r="ONI128" s="814"/>
      <c r="ONJ128" s="814"/>
      <c r="ONK128" s="813"/>
      <c r="ONL128" s="813"/>
      <c r="ONM128" s="813"/>
      <c r="ONN128" s="813"/>
      <c r="ONO128" s="813"/>
      <c r="ONP128" s="814"/>
      <c r="ONQ128" s="814"/>
      <c r="ONR128" s="814"/>
      <c r="ONS128" s="814"/>
      <c r="ONT128" s="814"/>
      <c r="ONU128" s="814"/>
      <c r="ONV128" s="814"/>
      <c r="ONW128" s="814"/>
      <c r="ONX128" s="814"/>
      <c r="ONY128" s="813"/>
      <c r="ONZ128" s="813"/>
      <c r="OOA128" s="813"/>
      <c r="OOB128" s="813"/>
      <c r="OOC128" s="813"/>
      <c r="OOD128" s="814"/>
      <c r="OOE128" s="814"/>
      <c r="OOF128" s="814"/>
      <c r="OOG128" s="814"/>
      <c r="OOH128" s="814"/>
      <c r="OOI128" s="814"/>
      <c r="OOJ128" s="814"/>
      <c r="OOK128" s="814"/>
      <c r="OOL128" s="814"/>
      <c r="OOM128" s="813"/>
      <c r="OON128" s="813"/>
      <c r="OOO128" s="813"/>
      <c r="OOP128" s="813"/>
      <c r="OOQ128" s="813"/>
      <c r="OOR128" s="814"/>
      <c r="OOS128" s="814"/>
      <c r="OOT128" s="814"/>
      <c r="OOU128" s="814"/>
      <c r="OOV128" s="814"/>
      <c r="OOW128" s="814"/>
      <c r="OOX128" s="814"/>
      <c r="OOY128" s="814"/>
      <c r="OOZ128" s="814"/>
      <c r="OPA128" s="813"/>
      <c r="OPB128" s="813"/>
      <c r="OPC128" s="813"/>
      <c r="OPD128" s="813"/>
      <c r="OPE128" s="813"/>
      <c r="OPF128" s="814"/>
      <c r="OPG128" s="814"/>
      <c r="OPH128" s="814"/>
      <c r="OPI128" s="814"/>
      <c r="OPJ128" s="814"/>
      <c r="OPK128" s="814"/>
      <c r="OPL128" s="814"/>
      <c r="OPM128" s="814"/>
      <c r="OPN128" s="814"/>
      <c r="OPO128" s="813"/>
      <c r="OPP128" s="813"/>
      <c r="OPQ128" s="813"/>
      <c r="OPR128" s="813"/>
      <c r="OPS128" s="813"/>
      <c r="OPT128" s="814"/>
      <c r="OPU128" s="814"/>
      <c r="OPV128" s="814"/>
      <c r="OPW128" s="814"/>
      <c r="OPX128" s="814"/>
      <c r="OPY128" s="814"/>
      <c r="OPZ128" s="814"/>
      <c r="OQA128" s="814"/>
      <c r="OQB128" s="814"/>
      <c r="OQC128" s="813"/>
      <c r="OQD128" s="813"/>
      <c r="OQE128" s="813"/>
      <c r="OQF128" s="813"/>
      <c r="OQG128" s="813"/>
      <c r="OQH128" s="814"/>
      <c r="OQI128" s="814"/>
      <c r="OQJ128" s="814"/>
      <c r="OQK128" s="814"/>
      <c r="OQL128" s="814"/>
      <c r="OQM128" s="814"/>
      <c r="OQN128" s="814"/>
      <c r="OQO128" s="814"/>
      <c r="OQP128" s="814"/>
      <c r="OQQ128" s="813"/>
      <c r="OQR128" s="813"/>
      <c r="OQS128" s="813"/>
      <c r="OQT128" s="813"/>
      <c r="OQU128" s="813"/>
      <c r="OQV128" s="814"/>
      <c r="OQW128" s="814"/>
      <c r="OQX128" s="814"/>
      <c r="OQY128" s="814"/>
      <c r="OQZ128" s="814"/>
      <c r="ORA128" s="814"/>
      <c r="ORB128" s="814"/>
      <c r="ORC128" s="814"/>
      <c r="ORD128" s="814"/>
      <c r="ORE128" s="813"/>
      <c r="ORF128" s="813"/>
      <c r="ORG128" s="813"/>
      <c r="ORH128" s="813"/>
      <c r="ORI128" s="813"/>
      <c r="ORJ128" s="814"/>
      <c r="ORK128" s="814"/>
      <c r="ORL128" s="814"/>
      <c r="ORM128" s="814"/>
      <c r="ORN128" s="814"/>
      <c r="ORO128" s="814"/>
      <c r="ORP128" s="814"/>
      <c r="ORQ128" s="814"/>
      <c r="ORR128" s="814"/>
      <c r="ORS128" s="813"/>
      <c r="ORT128" s="813"/>
      <c r="ORU128" s="813"/>
      <c r="ORV128" s="813"/>
      <c r="ORW128" s="813"/>
      <c r="ORX128" s="814"/>
      <c r="ORY128" s="814"/>
      <c r="ORZ128" s="814"/>
      <c r="OSA128" s="814"/>
      <c r="OSB128" s="814"/>
      <c r="OSC128" s="814"/>
      <c r="OSD128" s="814"/>
      <c r="OSE128" s="814"/>
      <c r="OSF128" s="814"/>
      <c r="OSG128" s="813"/>
      <c r="OSH128" s="813"/>
      <c r="OSI128" s="813"/>
      <c r="OSJ128" s="813"/>
      <c r="OSK128" s="813"/>
      <c r="OSL128" s="814"/>
      <c r="OSM128" s="814"/>
      <c r="OSN128" s="814"/>
      <c r="OSO128" s="814"/>
      <c r="OSP128" s="814"/>
      <c r="OSQ128" s="814"/>
      <c r="OSR128" s="814"/>
      <c r="OSS128" s="814"/>
      <c r="OST128" s="814"/>
      <c r="OSU128" s="813"/>
      <c r="OSV128" s="813"/>
      <c r="OSW128" s="813"/>
      <c r="OSX128" s="813"/>
      <c r="OSY128" s="813"/>
      <c r="OSZ128" s="814"/>
      <c r="OTA128" s="814"/>
      <c r="OTB128" s="814"/>
      <c r="OTC128" s="814"/>
      <c r="OTD128" s="814"/>
      <c r="OTE128" s="814"/>
      <c r="OTF128" s="814"/>
      <c r="OTG128" s="814"/>
      <c r="OTH128" s="814"/>
      <c r="OTI128" s="813"/>
      <c r="OTJ128" s="813"/>
      <c r="OTK128" s="813"/>
      <c r="OTL128" s="813"/>
      <c r="OTM128" s="813"/>
      <c r="OTN128" s="814"/>
      <c r="OTO128" s="814"/>
      <c r="OTP128" s="814"/>
      <c r="OTQ128" s="814"/>
      <c r="OTR128" s="814"/>
      <c r="OTS128" s="814"/>
      <c r="OTT128" s="814"/>
      <c r="OTU128" s="814"/>
      <c r="OTV128" s="814"/>
      <c r="OTW128" s="813"/>
      <c r="OTX128" s="813"/>
      <c r="OTY128" s="813"/>
      <c r="OTZ128" s="813"/>
      <c r="OUA128" s="813"/>
      <c r="OUB128" s="814"/>
      <c r="OUC128" s="814"/>
      <c r="OUD128" s="814"/>
      <c r="OUE128" s="814"/>
      <c r="OUF128" s="814"/>
      <c r="OUG128" s="814"/>
      <c r="OUH128" s="814"/>
      <c r="OUI128" s="814"/>
      <c r="OUJ128" s="814"/>
      <c r="OUK128" s="813"/>
      <c r="OUL128" s="813"/>
      <c r="OUM128" s="813"/>
      <c r="OUN128" s="813"/>
      <c r="OUO128" s="813"/>
      <c r="OUP128" s="814"/>
      <c r="OUQ128" s="814"/>
      <c r="OUR128" s="814"/>
      <c r="OUS128" s="814"/>
      <c r="OUT128" s="814"/>
      <c r="OUU128" s="814"/>
      <c r="OUV128" s="814"/>
      <c r="OUW128" s="814"/>
      <c r="OUX128" s="814"/>
      <c r="OUY128" s="813"/>
      <c r="OUZ128" s="813"/>
      <c r="OVA128" s="813"/>
      <c r="OVB128" s="813"/>
      <c r="OVC128" s="813"/>
      <c r="OVD128" s="814"/>
      <c r="OVE128" s="814"/>
      <c r="OVF128" s="814"/>
      <c r="OVG128" s="814"/>
      <c r="OVH128" s="814"/>
      <c r="OVI128" s="814"/>
      <c r="OVJ128" s="814"/>
      <c r="OVK128" s="814"/>
      <c r="OVL128" s="814"/>
      <c r="OVM128" s="813"/>
      <c r="OVN128" s="813"/>
      <c r="OVO128" s="813"/>
      <c r="OVP128" s="813"/>
      <c r="OVQ128" s="813"/>
      <c r="OVR128" s="814"/>
      <c r="OVS128" s="814"/>
      <c r="OVT128" s="814"/>
      <c r="OVU128" s="814"/>
      <c r="OVV128" s="814"/>
      <c r="OVW128" s="814"/>
      <c r="OVX128" s="814"/>
      <c r="OVY128" s="814"/>
      <c r="OVZ128" s="814"/>
      <c r="OWA128" s="813"/>
      <c r="OWB128" s="813"/>
      <c r="OWC128" s="813"/>
      <c r="OWD128" s="813"/>
      <c r="OWE128" s="813"/>
      <c r="OWF128" s="814"/>
      <c r="OWG128" s="814"/>
      <c r="OWH128" s="814"/>
      <c r="OWI128" s="814"/>
      <c r="OWJ128" s="814"/>
      <c r="OWK128" s="814"/>
      <c r="OWL128" s="814"/>
      <c r="OWM128" s="814"/>
      <c r="OWN128" s="814"/>
      <c r="OWO128" s="813"/>
      <c r="OWP128" s="813"/>
      <c r="OWQ128" s="813"/>
      <c r="OWR128" s="813"/>
      <c r="OWS128" s="813"/>
      <c r="OWT128" s="814"/>
      <c r="OWU128" s="814"/>
      <c r="OWV128" s="814"/>
      <c r="OWW128" s="814"/>
      <c r="OWX128" s="814"/>
      <c r="OWY128" s="814"/>
      <c r="OWZ128" s="814"/>
      <c r="OXA128" s="814"/>
      <c r="OXB128" s="814"/>
      <c r="OXC128" s="813"/>
      <c r="OXD128" s="813"/>
      <c r="OXE128" s="813"/>
      <c r="OXF128" s="813"/>
      <c r="OXG128" s="813"/>
      <c r="OXH128" s="814"/>
      <c r="OXI128" s="814"/>
      <c r="OXJ128" s="814"/>
      <c r="OXK128" s="814"/>
      <c r="OXL128" s="814"/>
      <c r="OXM128" s="814"/>
      <c r="OXN128" s="814"/>
      <c r="OXO128" s="814"/>
      <c r="OXP128" s="814"/>
      <c r="OXQ128" s="813"/>
      <c r="OXR128" s="813"/>
      <c r="OXS128" s="813"/>
      <c r="OXT128" s="813"/>
      <c r="OXU128" s="813"/>
      <c r="OXV128" s="814"/>
      <c r="OXW128" s="814"/>
      <c r="OXX128" s="814"/>
      <c r="OXY128" s="814"/>
      <c r="OXZ128" s="814"/>
      <c r="OYA128" s="814"/>
      <c r="OYB128" s="814"/>
      <c r="OYC128" s="814"/>
      <c r="OYD128" s="814"/>
      <c r="OYE128" s="813"/>
      <c r="OYF128" s="813"/>
      <c r="OYG128" s="813"/>
      <c r="OYH128" s="813"/>
      <c r="OYI128" s="813"/>
      <c r="OYJ128" s="814"/>
      <c r="OYK128" s="814"/>
      <c r="OYL128" s="814"/>
      <c r="OYM128" s="814"/>
      <c r="OYN128" s="814"/>
      <c r="OYO128" s="814"/>
      <c r="OYP128" s="814"/>
      <c r="OYQ128" s="814"/>
      <c r="OYR128" s="814"/>
      <c r="OYS128" s="813"/>
      <c r="OYT128" s="813"/>
      <c r="OYU128" s="813"/>
      <c r="OYV128" s="813"/>
      <c r="OYW128" s="813"/>
      <c r="OYX128" s="814"/>
      <c r="OYY128" s="814"/>
      <c r="OYZ128" s="814"/>
      <c r="OZA128" s="814"/>
      <c r="OZB128" s="814"/>
      <c r="OZC128" s="814"/>
      <c r="OZD128" s="814"/>
      <c r="OZE128" s="814"/>
      <c r="OZF128" s="814"/>
      <c r="OZG128" s="813"/>
      <c r="OZH128" s="813"/>
      <c r="OZI128" s="813"/>
      <c r="OZJ128" s="813"/>
      <c r="OZK128" s="813"/>
      <c r="OZL128" s="814"/>
      <c r="OZM128" s="814"/>
      <c r="OZN128" s="814"/>
      <c r="OZO128" s="814"/>
      <c r="OZP128" s="814"/>
      <c r="OZQ128" s="814"/>
      <c r="OZR128" s="814"/>
      <c r="OZS128" s="814"/>
      <c r="OZT128" s="814"/>
      <c r="OZU128" s="813"/>
      <c r="OZV128" s="813"/>
      <c r="OZW128" s="813"/>
      <c r="OZX128" s="813"/>
      <c r="OZY128" s="813"/>
      <c r="OZZ128" s="814"/>
      <c r="PAA128" s="814"/>
      <c r="PAB128" s="814"/>
      <c r="PAC128" s="814"/>
      <c r="PAD128" s="814"/>
      <c r="PAE128" s="814"/>
      <c r="PAF128" s="814"/>
      <c r="PAG128" s="814"/>
      <c r="PAH128" s="814"/>
      <c r="PAI128" s="813"/>
      <c r="PAJ128" s="813"/>
      <c r="PAK128" s="813"/>
      <c r="PAL128" s="813"/>
      <c r="PAM128" s="813"/>
      <c r="PAN128" s="814"/>
      <c r="PAO128" s="814"/>
      <c r="PAP128" s="814"/>
      <c r="PAQ128" s="814"/>
      <c r="PAR128" s="814"/>
      <c r="PAS128" s="814"/>
      <c r="PAT128" s="814"/>
      <c r="PAU128" s="814"/>
      <c r="PAV128" s="814"/>
      <c r="PAW128" s="813"/>
      <c r="PAX128" s="813"/>
      <c r="PAY128" s="813"/>
      <c r="PAZ128" s="813"/>
      <c r="PBA128" s="813"/>
      <c r="PBB128" s="814"/>
      <c r="PBC128" s="814"/>
      <c r="PBD128" s="814"/>
      <c r="PBE128" s="814"/>
      <c r="PBF128" s="814"/>
      <c r="PBG128" s="814"/>
      <c r="PBH128" s="814"/>
      <c r="PBI128" s="814"/>
      <c r="PBJ128" s="814"/>
      <c r="PBK128" s="813"/>
      <c r="PBL128" s="813"/>
      <c r="PBM128" s="813"/>
      <c r="PBN128" s="813"/>
      <c r="PBO128" s="813"/>
      <c r="PBP128" s="814"/>
      <c r="PBQ128" s="814"/>
      <c r="PBR128" s="814"/>
      <c r="PBS128" s="814"/>
      <c r="PBT128" s="814"/>
      <c r="PBU128" s="814"/>
      <c r="PBV128" s="814"/>
      <c r="PBW128" s="814"/>
      <c r="PBX128" s="814"/>
      <c r="PBY128" s="813"/>
      <c r="PBZ128" s="813"/>
      <c r="PCA128" s="813"/>
      <c r="PCB128" s="813"/>
      <c r="PCC128" s="813"/>
      <c r="PCD128" s="814"/>
      <c r="PCE128" s="814"/>
      <c r="PCF128" s="814"/>
      <c r="PCG128" s="814"/>
      <c r="PCH128" s="814"/>
      <c r="PCI128" s="814"/>
      <c r="PCJ128" s="814"/>
      <c r="PCK128" s="814"/>
      <c r="PCL128" s="814"/>
      <c r="PCM128" s="813"/>
      <c r="PCN128" s="813"/>
      <c r="PCO128" s="813"/>
      <c r="PCP128" s="813"/>
      <c r="PCQ128" s="813"/>
      <c r="PCR128" s="814"/>
      <c r="PCS128" s="814"/>
      <c r="PCT128" s="814"/>
      <c r="PCU128" s="814"/>
      <c r="PCV128" s="814"/>
      <c r="PCW128" s="814"/>
      <c r="PCX128" s="814"/>
      <c r="PCY128" s="814"/>
      <c r="PCZ128" s="814"/>
      <c r="PDA128" s="813"/>
      <c r="PDB128" s="813"/>
      <c r="PDC128" s="813"/>
      <c r="PDD128" s="813"/>
      <c r="PDE128" s="813"/>
      <c r="PDF128" s="814"/>
      <c r="PDG128" s="814"/>
      <c r="PDH128" s="814"/>
      <c r="PDI128" s="814"/>
      <c r="PDJ128" s="814"/>
      <c r="PDK128" s="814"/>
      <c r="PDL128" s="814"/>
      <c r="PDM128" s="814"/>
      <c r="PDN128" s="814"/>
      <c r="PDO128" s="813"/>
      <c r="PDP128" s="813"/>
      <c r="PDQ128" s="813"/>
      <c r="PDR128" s="813"/>
      <c r="PDS128" s="813"/>
      <c r="PDT128" s="814"/>
      <c r="PDU128" s="814"/>
      <c r="PDV128" s="814"/>
      <c r="PDW128" s="814"/>
      <c r="PDX128" s="814"/>
      <c r="PDY128" s="814"/>
      <c r="PDZ128" s="814"/>
      <c r="PEA128" s="814"/>
      <c r="PEB128" s="814"/>
      <c r="PEC128" s="813"/>
      <c r="PED128" s="813"/>
      <c r="PEE128" s="813"/>
      <c r="PEF128" s="813"/>
      <c r="PEG128" s="813"/>
      <c r="PEH128" s="814"/>
      <c r="PEI128" s="814"/>
      <c r="PEJ128" s="814"/>
      <c r="PEK128" s="814"/>
      <c r="PEL128" s="814"/>
      <c r="PEM128" s="814"/>
      <c r="PEN128" s="814"/>
      <c r="PEO128" s="814"/>
      <c r="PEP128" s="814"/>
      <c r="PEQ128" s="813"/>
      <c r="PER128" s="813"/>
      <c r="PES128" s="813"/>
      <c r="PET128" s="813"/>
      <c r="PEU128" s="813"/>
      <c r="PEV128" s="814"/>
      <c r="PEW128" s="814"/>
      <c r="PEX128" s="814"/>
      <c r="PEY128" s="814"/>
      <c r="PEZ128" s="814"/>
      <c r="PFA128" s="814"/>
      <c r="PFB128" s="814"/>
      <c r="PFC128" s="814"/>
      <c r="PFD128" s="814"/>
      <c r="PFE128" s="813"/>
      <c r="PFF128" s="813"/>
      <c r="PFG128" s="813"/>
      <c r="PFH128" s="813"/>
      <c r="PFI128" s="813"/>
      <c r="PFJ128" s="814"/>
      <c r="PFK128" s="814"/>
      <c r="PFL128" s="814"/>
      <c r="PFM128" s="814"/>
      <c r="PFN128" s="814"/>
      <c r="PFO128" s="814"/>
      <c r="PFP128" s="814"/>
      <c r="PFQ128" s="814"/>
      <c r="PFR128" s="814"/>
      <c r="PFS128" s="813"/>
      <c r="PFT128" s="813"/>
      <c r="PFU128" s="813"/>
      <c r="PFV128" s="813"/>
      <c r="PFW128" s="813"/>
      <c r="PFX128" s="814"/>
      <c r="PFY128" s="814"/>
      <c r="PFZ128" s="814"/>
      <c r="PGA128" s="814"/>
      <c r="PGB128" s="814"/>
      <c r="PGC128" s="814"/>
      <c r="PGD128" s="814"/>
      <c r="PGE128" s="814"/>
      <c r="PGF128" s="814"/>
      <c r="PGG128" s="813"/>
      <c r="PGH128" s="813"/>
      <c r="PGI128" s="813"/>
      <c r="PGJ128" s="813"/>
      <c r="PGK128" s="813"/>
      <c r="PGL128" s="814"/>
      <c r="PGM128" s="814"/>
      <c r="PGN128" s="814"/>
      <c r="PGO128" s="814"/>
      <c r="PGP128" s="814"/>
      <c r="PGQ128" s="814"/>
      <c r="PGR128" s="814"/>
      <c r="PGS128" s="814"/>
      <c r="PGT128" s="814"/>
      <c r="PGU128" s="813"/>
      <c r="PGV128" s="813"/>
      <c r="PGW128" s="813"/>
      <c r="PGX128" s="813"/>
      <c r="PGY128" s="813"/>
      <c r="PGZ128" s="814"/>
      <c r="PHA128" s="814"/>
      <c r="PHB128" s="814"/>
      <c r="PHC128" s="814"/>
      <c r="PHD128" s="814"/>
      <c r="PHE128" s="814"/>
      <c r="PHF128" s="814"/>
      <c r="PHG128" s="814"/>
      <c r="PHH128" s="814"/>
      <c r="PHI128" s="813"/>
      <c r="PHJ128" s="813"/>
      <c r="PHK128" s="813"/>
      <c r="PHL128" s="813"/>
      <c r="PHM128" s="813"/>
      <c r="PHN128" s="814"/>
      <c r="PHO128" s="814"/>
      <c r="PHP128" s="814"/>
      <c r="PHQ128" s="814"/>
      <c r="PHR128" s="814"/>
      <c r="PHS128" s="814"/>
      <c r="PHT128" s="814"/>
      <c r="PHU128" s="814"/>
      <c r="PHV128" s="814"/>
      <c r="PHW128" s="813"/>
      <c r="PHX128" s="813"/>
      <c r="PHY128" s="813"/>
      <c r="PHZ128" s="813"/>
      <c r="PIA128" s="813"/>
      <c r="PIB128" s="814"/>
      <c r="PIC128" s="814"/>
      <c r="PID128" s="814"/>
      <c r="PIE128" s="814"/>
      <c r="PIF128" s="814"/>
      <c r="PIG128" s="814"/>
      <c r="PIH128" s="814"/>
      <c r="PII128" s="814"/>
      <c r="PIJ128" s="814"/>
      <c r="PIK128" s="813"/>
      <c r="PIL128" s="813"/>
      <c r="PIM128" s="813"/>
      <c r="PIN128" s="813"/>
      <c r="PIO128" s="813"/>
      <c r="PIP128" s="814"/>
      <c r="PIQ128" s="814"/>
      <c r="PIR128" s="814"/>
      <c r="PIS128" s="814"/>
      <c r="PIT128" s="814"/>
      <c r="PIU128" s="814"/>
      <c r="PIV128" s="814"/>
      <c r="PIW128" s="814"/>
      <c r="PIX128" s="814"/>
      <c r="PIY128" s="813"/>
      <c r="PIZ128" s="813"/>
      <c r="PJA128" s="813"/>
      <c r="PJB128" s="813"/>
      <c r="PJC128" s="813"/>
      <c r="PJD128" s="814"/>
      <c r="PJE128" s="814"/>
      <c r="PJF128" s="814"/>
      <c r="PJG128" s="814"/>
      <c r="PJH128" s="814"/>
      <c r="PJI128" s="814"/>
      <c r="PJJ128" s="814"/>
      <c r="PJK128" s="814"/>
      <c r="PJL128" s="814"/>
      <c r="PJM128" s="813"/>
      <c r="PJN128" s="813"/>
      <c r="PJO128" s="813"/>
      <c r="PJP128" s="813"/>
      <c r="PJQ128" s="813"/>
      <c r="PJR128" s="814"/>
      <c r="PJS128" s="814"/>
      <c r="PJT128" s="814"/>
      <c r="PJU128" s="814"/>
      <c r="PJV128" s="814"/>
      <c r="PJW128" s="814"/>
      <c r="PJX128" s="814"/>
      <c r="PJY128" s="814"/>
      <c r="PJZ128" s="814"/>
      <c r="PKA128" s="813"/>
      <c r="PKB128" s="813"/>
      <c r="PKC128" s="813"/>
      <c r="PKD128" s="813"/>
      <c r="PKE128" s="813"/>
      <c r="PKF128" s="814"/>
      <c r="PKG128" s="814"/>
      <c r="PKH128" s="814"/>
      <c r="PKI128" s="814"/>
      <c r="PKJ128" s="814"/>
      <c r="PKK128" s="814"/>
      <c r="PKL128" s="814"/>
      <c r="PKM128" s="814"/>
      <c r="PKN128" s="814"/>
      <c r="PKO128" s="813"/>
      <c r="PKP128" s="813"/>
      <c r="PKQ128" s="813"/>
      <c r="PKR128" s="813"/>
      <c r="PKS128" s="813"/>
      <c r="PKT128" s="814"/>
      <c r="PKU128" s="814"/>
      <c r="PKV128" s="814"/>
      <c r="PKW128" s="814"/>
      <c r="PKX128" s="814"/>
      <c r="PKY128" s="814"/>
      <c r="PKZ128" s="814"/>
      <c r="PLA128" s="814"/>
      <c r="PLB128" s="814"/>
      <c r="PLC128" s="813"/>
      <c r="PLD128" s="813"/>
      <c r="PLE128" s="813"/>
      <c r="PLF128" s="813"/>
      <c r="PLG128" s="813"/>
      <c r="PLH128" s="814"/>
      <c r="PLI128" s="814"/>
      <c r="PLJ128" s="814"/>
      <c r="PLK128" s="814"/>
      <c r="PLL128" s="814"/>
      <c r="PLM128" s="814"/>
      <c r="PLN128" s="814"/>
      <c r="PLO128" s="814"/>
      <c r="PLP128" s="814"/>
      <c r="PLQ128" s="813"/>
      <c r="PLR128" s="813"/>
      <c r="PLS128" s="813"/>
      <c r="PLT128" s="813"/>
      <c r="PLU128" s="813"/>
      <c r="PLV128" s="814"/>
      <c r="PLW128" s="814"/>
      <c r="PLX128" s="814"/>
      <c r="PLY128" s="814"/>
      <c r="PLZ128" s="814"/>
      <c r="PMA128" s="814"/>
      <c r="PMB128" s="814"/>
      <c r="PMC128" s="814"/>
      <c r="PMD128" s="814"/>
      <c r="PME128" s="813"/>
      <c r="PMF128" s="813"/>
      <c r="PMG128" s="813"/>
      <c r="PMH128" s="813"/>
      <c r="PMI128" s="813"/>
      <c r="PMJ128" s="814"/>
      <c r="PMK128" s="814"/>
      <c r="PML128" s="814"/>
      <c r="PMM128" s="814"/>
      <c r="PMN128" s="814"/>
      <c r="PMO128" s="814"/>
      <c r="PMP128" s="814"/>
      <c r="PMQ128" s="814"/>
      <c r="PMR128" s="814"/>
      <c r="PMS128" s="813"/>
      <c r="PMT128" s="813"/>
      <c r="PMU128" s="813"/>
      <c r="PMV128" s="813"/>
      <c r="PMW128" s="813"/>
      <c r="PMX128" s="814"/>
      <c r="PMY128" s="814"/>
      <c r="PMZ128" s="814"/>
      <c r="PNA128" s="814"/>
      <c r="PNB128" s="814"/>
      <c r="PNC128" s="814"/>
      <c r="PND128" s="814"/>
      <c r="PNE128" s="814"/>
      <c r="PNF128" s="814"/>
      <c r="PNG128" s="813"/>
      <c r="PNH128" s="813"/>
      <c r="PNI128" s="813"/>
      <c r="PNJ128" s="813"/>
      <c r="PNK128" s="813"/>
      <c r="PNL128" s="814"/>
      <c r="PNM128" s="814"/>
      <c r="PNN128" s="814"/>
      <c r="PNO128" s="814"/>
      <c r="PNP128" s="814"/>
      <c r="PNQ128" s="814"/>
      <c r="PNR128" s="814"/>
      <c r="PNS128" s="814"/>
      <c r="PNT128" s="814"/>
      <c r="PNU128" s="813"/>
      <c r="PNV128" s="813"/>
      <c r="PNW128" s="813"/>
      <c r="PNX128" s="813"/>
      <c r="PNY128" s="813"/>
      <c r="PNZ128" s="814"/>
      <c r="POA128" s="814"/>
      <c r="POB128" s="814"/>
      <c r="POC128" s="814"/>
      <c r="POD128" s="814"/>
      <c r="POE128" s="814"/>
      <c r="POF128" s="814"/>
      <c r="POG128" s="814"/>
      <c r="POH128" s="814"/>
      <c r="POI128" s="813"/>
      <c r="POJ128" s="813"/>
      <c r="POK128" s="813"/>
      <c r="POL128" s="813"/>
      <c r="POM128" s="813"/>
      <c r="PON128" s="814"/>
      <c r="POO128" s="814"/>
      <c r="POP128" s="814"/>
      <c r="POQ128" s="814"/>
      <c r="POR128" s="814"/>
      <c r="POS128" s="814"/>
      <c r="POT128" s="814"/>
      <c r="POU128" s="814"/>
      <c r="POV128" s="814"/>
      <c r="POW128" s="813"/>
      <c r="POX128" s="813"/>
      <c r="POY128" s="813"/>
      <c r="POZ128" s="813"/>
      <c r="PPA128" s="813"/>
      <c r="PPB128" s="814"/>
      <c r="PPC128" s="814"/>
      <c r="PPD128" s="814"/>
      <c r="PPE128" s="814"/>
      <c r="PPF128" s="814"/>
      <c r="PPG128" s="814"/>
      <c r="PPH128" s="814"/>
      <c r="PPI128" s="814"/>
      <c r="PPJ128" s="814"/>
      <c r="PPK128" s="813"/>
      <c r="PPL128" s="813"/>
      <c r="PPM128" s="813"/>
      <c r="PPN128" s="813"/>
      <c r="PPO128" s="813"/>
      <c r="PPP128" s="814"/>
      <c r="PPQ128" s="814"/>
      <c r="PPR128" s="814"/>
      <c r="PPS128" s="814"/>
      <c r="PPT128" s="814"/>
      <c r="PPU128" s="814"/>
      <c r="PPV128" s="814"/>
      <c r="PPW128" s="814"/>
      <c r="PPX128" s="814"/>
      <c r="PPY128" s="813"/>
      <c r="PPZ128" s="813"/>
      <c r="PQA128" s="813"/>
      <c r="PQB128" s="813"/>
      <c r="PQC128" s="813"/>
      <c r="PQD128" s="814"/>
      <c r="PQE128" s="814"/>
      <c r="PQF128" s="814"/>
      <c r="PQG128" s="814"/>
      <c r="PQH128" s="814"/>
      <c r="PQI128" s="814"/>
      <c r="PQJ128" s="814"/>
      <c r="PQK128" s="814"/>
      <c r="PQL128" s="814"/>
      <c r="PQM128" s="813"/>
      <c r="PQN128" s="813"/>
      <c r="PQO128" s="813"/>
      <c r="PQP128" s="813"/>
      <c r="PQQ128" s="813"/>
      <c r="PQR128" s="814"/>
      <c r="PQS128" s="814"/>
      <c r="PQT128" s="814"/>
      <c r="PQU128" s="814"/>
      <c r="PQV128" s="814"/>
      <c r="PQW128" s="814"/>
      <c r="PQX128" s="814"/>
      <c r="PQY128" s="814"/>
      <c r="PQZ128" s="814"/>
      <c r="PRA128" s="813"/>
      <c r="PRB128" s="813"/>
      <c r="PRC128" s="813"/>
      <c r="PRD128" s="813"/>
      <c r="PRE128" s="813"/>
      <c r="PRF128" s="814"/>
      <c r="PRG128" s="814"/>
      <c r="PRH128" s="814"/>
      <c r="PRI128" s="814"/>
      <c r="PRJ128" s="814"/>
      <c r="PRK128" s="814"/>
      <c r="PRL128" s="814"/>
      <c r="PRM128" s="814"/>
      <c r="PRN128" s="814"/>
      <c r="PRO128" s="813"/>
      <c r="PRP128" s="813"/>
      <c r="PRQ128" s="813"/>
      <c r="PRR128" s="813"/>
      <c r="PRS128" s="813"/>
      <c r="PRT128" s="814"/>
      <c r="PRU128" s="814"/>
      <c r="PRV128" s="814"/>
      <c r="PRW128" s="814"/>
      <c r="PRX128" s="814"/>
      <c r="PRY128" s="814"/>
      <c r="PRZ128" s="814"/>
      <c r="PSA128" s="814"/>
      <c r="PSB128" s="814"/>
      <c r="PSC128" s="813"/>
      <c r="PSD128" s="813"/>
      <c r="PSE128" s="813"/>
      <c r="PSF128" s="813"/>
      <c r="PSG128" s="813"/>
      <c r="PSH128" s="814"/>
      <c r="PSI128" s="814"/>
      <c r="PSJ128" s="814"/>
      <c r="PSK128" s="814"/>
      <c r="PSL128" s="814"/>
      <c r="PSM128" s="814"/>
      <c r="PSN128" s="814"/>
      <c r="PSO128" s="814"/>
      <c r="PSP128" s="814"/>
      <c r="PSQ128" s="813"/>
      <c r="PSR128" s="813"/>
      <c r="PSS128" s="813"/>
      <c r="PST128" s="813"/>
      <c r="PSU128" s="813"/>
      <c r="PSV128" s="814"/>
      <c r="PSW128" s="814"/>
      <c r="PSX128" s="814"/>
      <c r="PSY128" s="814"/>
      <c r="PSZ128" s="814"/>
      <c r="PTA128" s="814"/>
      <c r="PTB128" s="814"/>
      <c r="PTC128" s="814"/>
      <c r="PTD128" s="814"/>
      <c r="PTE128" s="813"/>
      <c r="PTF128" s="813"/>
      <c r="PTG128" s="813"/>
      <c r="PTH128" s="813"/>
      <c r="PTI128" s="813"/>
      <c r="PTJ128" s="814"/>
      <c r="PTK128" s="814"/>
      <c r="PTL128" s="814"/>
      <c r="PTM128" s="814"/>
      <c r="PTN128" s="814"/>
      <c r="PTO128" s="814"/>
      <c r="PTP128" s="814"/>
      <c r="PTQ128" s="814"/>
      <c r="PTR128" s="814"/>
      <c r="PTS128" s="813"/>
      <c r="PTT128" s="813"/>
      <c r="PTU128" s="813"/>
      <c r="PTV128" s="813"/>
      <c r="PTW128" s="813"/>
      <c r="PTX128" s="814"/>
      <c r="PTY128" s="814"/>
      <c r="PTZ128" s="814"/>
      <c r="PUA128" s="814"/>
      <c r="PUB128" s="814"/>
      <c r="PUC128" s="814"/>
      <c r="PUD128" s="814"/>
      <c r="PUE128" s="814"/>
      <c r="PUF128" s="814"/>
      <c r="PUG128" s="813"/>
      <c r="PUH128" s="813"/>
      <c r="PUI128" s="813"/>
      <c r="PUJ128" s="813"/>
      <c r="PUK128" s="813"/>
      <c r="PUL128" s="814"/>
      <c r="PUM128" s="814"/>
      <c r="PUN128" s="814"/>
      <c r="PUO128" s="814"/>
      <c r="PUP128" s="814"/>
      <c r="PUQ128" s="814"/>
      <c r="PUR128" s="814"/>
      <c r="PUS128" s="814"/>
      <c r="PUT128" s="814"/>
      <c r="PUU128" s="813"/>
      <c r="PUV128" s="813"/>
      <c r="PUW128" s="813"/>
      <c r="PUX128" s="813"/>
      <c r="PUY128" s="813"/>
      <c r="PUZ128" s="814"/>
      <c r="PVA128" s="814"/>
      <c r="PVB128" s="814"/>
      <c r="PVC128" s="814"/>
      <c r="PVD128" s="814"/>
      <c r="PVE128" s="814"/>
      <c r="PVF128" s="814"/>
      <c r="PVG128" s="814"/>
      <c r="PVH128" s="814"/>
      <c r="PVI128" s="813"/>
      <c r="PVJ128" s="813"/>
      <c r="PVK128" s="813"/>
      <c r="PVL128" s="813"/>
      <c r="PVM128" s="813"/>
      <c r="PVN128" s="814"/>
      <c r="PVO128" s="814"/>
      <c r="PVP128" s="814"/>
      <c r="PVQ128" s="814"/>
      <c r="PVR128" s="814"/>
      <c r="PVS128" s="814"/>
      <c r="PVT128" s="814"/>
      <c r="PVU128" s="814"/>
      <c r="PVV128" s="814"/>
      <c r="PVW128" s="813"/>
      <c r="PVX128" s="813"/>
      <c r="PVY128" s="813"/>
      <c r="PVZ128" s="813"/>
      <c r="PWA128" s="813"/>
      <c r="PWB128" s="814"/>
      <c r="PWC128" s="814"/>
      <c r="PWD128" s="814"/>
      <c r="PWE128" s="814"/>
      <c r="PWF128" s="814"/>
      <c r="PWG128" s="814"/>
      <c r="PWH128" s="814"/>
      <c r="PWI128" s="814"/>
      <c r="PWJ128" s="814"/>
      <c r="PWK128" s="813"/>
      <c r="PWL128" s="813"/>
      <c r="PWM128" s="813"/>
      <c r="PWN128" s="813"/>
      <c r="PWO128" s="813"/>
      <c r="PWP128" s="814"/>
      <c r="PWQ128" s="814"/>
      <c r="PWR128" s="814"/>
      <c r="PWS128" s="814"/>
      <c r="PWT128" s="814"/>
      <c r="PWU128" s="814"/>
      <c r="PWV128" s="814"/>
      <c r="PWW128" s="814"/>
      <c r="PWX128" s="814"/>
      <c r="PWY128" s="813"/>
      <c r="PWZ128" s="813"/>
      <c r="PXA128" s="813"/>
      <c r="PXB128" s="813"/>
      <c r="PXC128" s="813"/>
      <c r="PXD128" s="814"/>
      <c r="PXE128" s="814"/>
      <c r="PXF128" s="814"/>
      <c r="PXG128" s="814"/>
      <c r="PXH128" s="814"/>
      <c r="PXI128" s="814"/>
      <c r="PXJ128" s="814"/>
      <c r="PXK128" s="814"/>
      <c r="PXL128" s="814"/>
      <c r="PXM128" s="813"/>
      <c r="PXN128" s="813"/>
      <c r="PXO128" s="813"/>
      <c r="PXP128" s="813"/>
      <c r="PXQ128" s="813"/>
      <c r="PXR128" s="814"/>
      <c r="PXS128" s="814"/>
      <c r="PXT128" s="814"/>
      <c r="PXU128" s="814"/>
      <c r="PXV128" s="814"/>
      <c r="PXW128" s="814"/>
      <c r="PXX128" s="814"/>
      <c r="PXY128" s="814"/>
      <c r="PXZ128" s="814"/>
      <c r="PYA128" s="813"/>
      <c r="PYB128" s="813"/>
      <c r="PYC128" s="813"/>
      <c r="PYD128" s="813"/>
      <c r="PYE128" s="813"/>
      <c r="PYF128" s="814"/>
      <c r="PYG128" s="814"/>
      <c r="PYH128" s="814"/>
      <c r="PYI128" s="814"/>
      <c r="PYJ128" s="814"/>
      <c r="PYK128" s="814"/>
      <c r="PYL128" s="814"/>
      <c r="PYM128" s="814"/>
      <c r="PYN128" s="814"/>
      <c r="PYO128" s="813"/>
      <c r="PYP128" s="813"/>
      <c r="PYQ128" s="813"/>
      <c r="PYR128" s="813"/>
      <c r="PYS128" s="813"/>
      <c r="PYT128" s="814"/>
      <c r="PYU128" s="814"/>
      <c r="PYV128" s="814"/>
      <c r="PYW128" s="814"/>
      <c r="PYX128" s="814"/>
      <c r="PYY128" s="814"/>
      <c r="PYZ128" s="814"/>
      <c r="PZA128" s="814"/>
      <c r="PZB128" s="814"/>
      <c r="PZC128" s="813"/>
      <c r="PZD128" s="813"/>
      <c r="PZE128" s="813"/>
      <c r="PZF128" s="813"/>
      <c r="PZG128" s="813"/>
      <c r="PZH128" s="814"/>
      <c r="PZI128" s="814"/>
      <c r="PZJ128" s="814"/>
      <c r="PZK128" s="814"/>
      <c r="PZL128" s="814"/>
      <c r="PZM128" s="814"/>
      <c r="PZN128" s="814"/>
      <c r="PZO128" s="814"/>
      <c r="PZP128" s="814"/>
      <c r="PZQ128" s="813"/>
      <c r="PZR128" s="813"/>
      <c r="PZS128" s="813"/>
      <c r="PZT128" s="813"/>
      <c r="PZU128" s="813"/>
      <c r="PZV128" s="814"/>
      <c r="PZW128" s="814"/>
      <c r="PZX128" s="814"/>
      <c r="PZY128" s="814"/>
      <c r="PZZ128" s="814"/>
      <c r="QAA128" s="814"/>
      <c r="QAB128" s="814"/>
      <c r="QAC128" s="814"/>
      <c r="QAD128" s="814"/>
      <c r="QAE128" s="813"/>
      <c r="QAF128" s="813"/>
      <c r="QAG128" s="813"/>
      <c r="QAH128" s="813"/>
      <c r="QAI128" s="813"/>
      <c r="QAJ128" s="814"/>
      <c r="QAK128" s="814"/>
      <c r="QAL128" s="814"/>
      <c r="QAM128" s="814"/>
      <c r="QAN128" s="814"/>
      <c r="QAO128" s="814"/>
      <c r="QAP128" s="814"/>
      <c r="QAQ128" s="814"/>
      <c r="QAR128" s="814"/>
      <c r="QAS128" s="813"/>
      <c r="QAT128" s="813"/>
      <c r="QAU128" s="813"/>
      <c r="QAV128" s="813"/>
      <c r="QAW128" s="813"/>
      <c r="QAX128" s="814"/>
      <c r="QAY128" s="814"/>
      <c r="QAZ128" s="814"/>
      <c r="QBA128" s="814"/>
      <c r="QBB128" s="814"/>
      <c r="QBC128" s="814"/>
      <c r="QBD128" s="814"/>
      <c r="QBE128" s="814"/>
      <c r="QBF128" s="814"/>
      <c r="QBG128" s="813"/>
      <c r="QBH128" s="813"/>
      <c r="QBI128" s="813"/>
      <c r="QBJ128" s="813"/>
      <c r="QBK128" s="813"/>
      <c r="QBL128" s="814"/>
      <c r="QBM128" s="814"/>
      <c r="QBN128" s="814"/>
      <c r="QBO128" s="814"/>
      <c r="QBP128" s="814"/>
      <c r="QBQ128" s="814"/>
      <c r="QBR128" s="814"/>
      <c r="QBS128" s="814"/>
      <c r="QBT128" s="814"/>
      <c r="QBU128" s="813"/>
      <c r="QBV128" s="813"/>
      <c r="QBW128" s="813"/>
      <c r="QBX128" s="813"/>
      <c r="QBY128" s="813"/>
      <c r="QBZ128" s="814"/>
      <c r="QCA128" s="814"/>
      <c r="QCB128" s="814"/>
      <c r="QCC128" s="814"/>
      <c r="QCD128" s="814"/>
      <c r="QCE128" s="814"/>
      <c r="QCF128" s="814"/>
      <c r="QCG128" s="814"/>
      <c r="QCH128" s="814"/>
      <c r="QCI128" s="813"/>
      <c r="QCJ128" s="813"/>
      <c r="QCK128" s="813"/>
      <c r="QCL128" s="813"/>
      <c r="QCM128" s="813"/>
      <c r="QCN128" s="814"/>
      <c r="QCO128" s="814"/>
      <c r="QCP128" s="814"/>
      <c r="QCQ128" s="814"/>
      <c r="QCR128" s="814"/>
      <c r="QCS128" s="814"/>
      <c r="QCT128" s="814"/>
      <c r="QCU128" s="814"/>
      <c r="QCV128" s="814"/>
      <c r="QCW128" s="813"/>
      <c r="QCX128" s="813"/>
      <c r="QCY128" s="813"/>
      <c r="QCZ128" s="813"/>
      <c r="QDA128" s="813"/>
      <c r="QDB128" s="814"/>
      <c r="QDC128" s="814"/>
      <c r="QDD128" s="814"/>
      <c r="QDE128" s="814"/>
      <c r="QDF128" s="814"/>
      <c r="QDG128" s="814"/>
      <c r="QDH128" s="814"/>
      <c r="QDI128" s="814"/>
      <c r="QDJ128" s="814"/>
      <c r="QDK128" s="813"/>
      <c r="QDL128" s="813"/>
      <c r="QDM128" s="813"/>
      <c r="QDN128" s="813"/>
      <c r="QDO128" s="813"/>
      <c r="QDP128" s="814"/>
      <c r="QDQ128" s="814"/>
      <c r="QDR128" s="814"/>
      <c r="QDS128" s="814"/>
      <c r="QDT128" s="814"/>
      <c r="QDU128" s="814"/>
      <c r="QDV128" s="814"/>
      <c r="QDW128" s="814"/>
      <c r="QDX128" s="814"/>
      <c r="QDY128" s="813"/>
      <c r="QDZ128" s="813"/>
      <c r="QEA128" s="813"/>
      <c r="QEB128" s="813"/>
      <c r="QEC128" s="813"/>
      <c r="QED128" s="814"/>
      <c r="QEE128" s="814"/>
      <c r="QEF128" s="814"/>
      <c r="QEG128" s="814"/>
      <c r="QEH128" s="814"/>
      <c r="QEI128" s="814"/>
      <c r="QEJ128" s="814"/>
      <c r="QEK128" s="814"/>
      <c r="QEL128" s="814"/>
      <c r="QEM128" s="813"/>
      <c r="QEN128" s="813"/>
      <c r="QEO128" s="813"/>
      <c r="QEP128" s="813"/>
      <c r="QEQ128" s="813"/>
      <c r="QER128" s="814"/>
      <c r="QES128" s="814"/>
      <c r="QET128" s="814"/>
      <c r="QEU128" s="814"/>
      <c r="QEV128" s="814"/>
      <c r="QEW128" s="814"/>
      <c r="QEX128" s="814"/>
      <c r="QEY128" s="814"/>
      <c r="QEZ128" s="814"/>
      <c r="QFA128" s="813"/>
      <c r="QFB128" s="813"/>
      <c r="QFC128" s="813"/>
      <c r="QFD128" s="813"/>
      <c r="QFE128" s="813"/>
      <c r="QFF128" s="814"/>
      <c r="QFG128" s="814"/>
      <c r="QFH128" s="814"/>
      <c r="QFI128" s="814"/>
      <c r="QFJ128" s="814"/>
      <c r="QFK128" s="814"/>
      <c r="QFL128" s="814"/>
      <c r="QFM128" s="814"/>
      <c r="QFN128" s="814"/>
      <c r="QFO128" s="813"/>
      <c r="QFP128" s="813"/>
      <c r="QFQ128" s="813"/>
      <c r="QFR128" s="813"/>
      <c r="QFS128" s="813"/>
      <c r="QFT128" s="814"/>
      <c r="QFU128" s="814"/>
      <c r="QFV128" s="814"/>
      <c r="QFW128" s="814"/>
      <c r="QFX128" s="814"/>
      <c r="QFY128" s="814"/>
      <c r="QFZ128" s="814"/>
      <c r="QGA128" s="814"/>
      <c r="QGB128" s="814"/>
      <c r="QGC128" s="813"/>
      <c r="QGD128" s="813"/>
      <c r="QGE128" s="813"/>
      <c r="QGF128" s="813"/>
      <c r="QGG128" s="813"/>
      <c r="QGH128" s="814"/>
      <c r="QGI128" s="814"/>
      <c r="QGJ128" s="814"/>
      <c r="QGK128" s="814"/>
      <c r="QGL128" s="814"/>
      <c r="QGM128" s="814"/>
      <c r="QGN128" s="814"/>
      <c r="QGO128" s="814"/>
      <c r="QGP128" s="814"/>
      <c r="QGQ128" s="813"/>
      <c r="QGR128" s="813"/>
      <c r="QGS128" s="813"/>
      <c r="QGT128" s="813"/>
      <c r="QGU128" s="813"/>
      <c r="QGV128" s="814"/>
      <c r="QGW128" s="814"/>
      <c r="QGX128" s="814"/>
      <c r="QGY128" s="814"/>
      <c r="QGZ128" s="814"/>
      <c r="QHA128" s="814"/>
      <c r="QHB128" s="814"/>
      <c r="QHC128" s="814"/>
      <c r="QHD128" s="814"/>
      <c r="QHE128" s="813"/>
      <c r="QHF128" s="813"/>
      <c r="QHG128" s="813"/>
      <c r="QHH128" s="813"/>
      <c r="QHI128" s="813"/>
      <c r="QHJ128" s="814"/>
      <c r="QHK128" s="814"/>
      <c r="QHL128" s="814"/>
      <c r="QHM128" s="814"/>
      <c r="QHN128" s="814"/>
      <c r="QHO128" s="814"/>
      <c r="QHP128" s="814"/>
      <c r="QHQ128" s="814"/>
      <c r="QHR128" s="814"/>
      <c r="QHS128" s="813"/>
      <c r="QHT128" s="813"/>
      <c r="QHU128" s="813"/>
      <c r="QHV128" s="813"/>
      <c r="QHW128" s="813"/>
      <c r="QHX128" s="814"/>
      <c r="QHY128" s="814"/>
      <c r="QHZ128" s="814"/>
      <c r="QIA128" s="814"/>
      <c r="QIB128" s="814"/>
      <c r="QIC128" s="814"/>
      <c r="QID128" s="814"/>
      <c r="QIE128" s="814"/>
      <c r="QIF128" s="814"/>
      <c r="QIG128" s="813"/>
      <c r="QIH128" s="813"/>
      <c r="QII128" s="813"/>
      <c r="QIJ128" s="813"/>
      <c r="QIK128" s="813"/>
      <c r="QIL128" s="814"/>
      <c r="QIM128" s="814"/>
      <c r="QIN128" s="814"/>
      <c r="QIO128" s="814"/>
      <c r="QIP128" s="814"/>
      <c r="QIQ128" s="814"/>
      <c r="QIR128" s="814"/>
      <c r="QIS128" s="814"/>
      <c r="QIT128" s="814"/>
      <c r="QIU128" s="813"/>
      <c r="QIV128" s="813"/>
      <c r="QIW128" s="813"/>
      <c r="QIX128" s="813"/>
      <c r="QIY128" s="813"/>
      <c r="QIZ128" s="814"/>
      <c r="QJA128" s="814"/>
      <c r="QJB128" s="814"/>
      <c r="QJC128" s="814"/>
      <c r="QJD128" s="814"/>
      <c r="QJE128" s="814"/>
      <c r="QJF128" s="814"/>
      <c r="QJG128" s="814"/>
      <c r="QJH128" s="814"/>
      <c r="QJI128" s="813"/>
      <c r="QJJ128" s="813"/>
      <c r="QJK128" s="813"/>
      <c r="QJL128" s="813"/>
      <c r="QJM128" s="813"/>
      <c r="QJN128" s="814"/>
      <c r="QJO128" s="814"/>
      <c r="QJP128" s="814"/>
      <c r="QJQ128" s="814"/>
      <c r="QJR128" s="814"/>
      <c r="QJS128" s="814"/>
      <c r="QJT128" s="814"/>
      <c r="QJU128" s="814"/>
      <c r="QJV128" s="814"/>
      <c r="QJW128" s="813"/>
      <c r="QJX128" s="813"/>
      <c r="QJY128" s="813"/>
      <c r="QJZ128" s="813"/>
      <c r="QKA128" s="813"/>
      <c r="QKB128" s="814"/>
      <c r="QKC128" s="814"/>
      <c r="QKD128" s="814"/>
      <c r="QKE128" s="814"/>
      <c r="QKF128" s="814"/>
      <c r="QKG128" s="814"/>
      <c r="QKH128" s="814"/>
      <c r="QKI128" s="814"/>
      <c r="QKJ128" s="814"/>
      <c r="QKK128" s="813"/>
      <c r="QKL128" s="813"/>
      <c r="QKM128" s="813"/>
      <c r="QKN128" s="813"/>
      <c r="QKO128" s="813"/>
      <c r="QKP128" s="814"/>
      <c r="QKQ128" s="814"/>
      <c r="QKR128" s="814"/>
      <c r="QKS128" s="814"/>
      <c r="QKT128" s="814"/>
      <c r="QKU128" s="814"/>
      <c r="QKV128" s="814"/>
      <c r="QKW128" s="814"/>
      <c r="QKX128" s="814"/>
      <c r="QKY128" s="813"/>
      <c r="QKZ128" s="813"/>
      <c r="QLA128" s="813"/>
      <c r="QLB128" s="813"/>
      <c r="QLC128" s="813"/>
      <c r="QLD128" s="814"/>
      <c r="QLE128" s="814"/>
      <c r="QLF128" s="814"/>
      <c r="QLG128" s="814"/>
      <c r="QLH128" s="814"/>
      <c r="QLI128" s="814"/>
      <c r="QLJ128" s="814"/>
      <c r="QLK128" s="814"/>
      <c r="QLL128" s="814"/>
      <c r="QLM128" s="813"/>
      <c r="QLN128" s="813"/>
      <c r="QLO128" s="813"/>
      <c r="QLP128" s="813"/>
      <c r="QLQ128" s="813"/>
      <c r="QLR128" s="814"/>
      <c r="QLS128" s="814"/>
      <c r="QLT128" s="814"/>
      <c r="QLU128" s="814"/>
      <c r="QLV128" s="814"/>
      <c r="QLW128" s="814"/>
      <c r="QLX128" s="814"/>
      <c r="QLY128" s="814"/>
      <c r="QLZ128" s="814"/>
      <c r="QMA128" s="813"/>
      <c r="QMB128" s="813"/>
      <c r="QMC128" s="813"/>
      <c r="QMD128" s="813"/>
      <c r="QME128" s="813"/>
      <c r="QMF128" s="814"/>
      <c r="QMG128" s="814"/>
      <c r="QMH128" s="814"/>
      <c r="QMI128" s="814"/>
      <c r="QMJ128" s="814"/>
      <c r="QMK128" s="814"/>
      <c r="QML128" s="814"/>
      <c r="QMM128" s="814"/>
      <c r="QMN128" s="814"/>
      <c r="QMO128" s="813"/>
      <c r="QMP128" s="813"/>
      <c r="QMQ128" s="813"/>
      <c r="QMR128" s="813"/>
      <c r="QMS128" s="813"/>
      <c r="QMT128" s="814"/>
      <c r="QMU128" s="814"/>
      <c r="QMV128" s="814"/>
      <c r="QMW128" s="814"/>
      <c r="QMX128" s="814"/>
      <c r="QMY128" s="814"/>
      <c r="QMZ128" s="814"/>
      <c r="QNA128" s="814"/>
      <c r="QNB128" s="814"/>
      <c r="QNC128" s="813"/>
      <c r="QND128" s="813"/>
      <c r="QNE128" s="813"/>
      <c r="QNF128" s="813"/>
      <c r="QNG128" s="813"/>
      <c r="QNH128" s="814"/>
      <c r="QNI128" s="814"/>
      <c r="QNJ128" s="814"/>
      <c r="QNK128" s="814"/>
      <c r="QNL128" s="814"/>
      <c r="QNM128" s="814"/>
      <c r="QNN128" s="814"/>
      <c r="QNO128" s="814"/>
      <c r="QNP128" s="814"/>
      <c r="QNQ128" s="813"/>
      <c r="QNR128" s="813"/>
      <c r="QNS128" s="813"/>
      <c r="QNT128" s="813"/>
      <c r="QNU128" s="813"/>
      <c r="QNV128" s="814"/>
      <c r="QNW128" s="814"/>
      <c r="QNX128" s="814"/>
      <c r="QNY128" s="814"/>
      <c r="QNZ128" s="814"/>
      <c r="QOA128" s="814"/>
      <c r="QOB128" s="814"/>
      <c r="QOC128" s="814"/>
      <c r="QOD128" s="814"/>
      <c r="QOE128" s="813"/>
      <c r="QOF128" s="813"/>
      <c r="QOG128" s="813"/>
      <c r="QOH128" s="813"/>
      <c r="QOI128" s="813"/>
      <c r="QOJ128" s="814"/>
      <c r="QOK128" s="814"/>
      <c r="QOL128" s="814"/>
      <c r="QOM128" s="814"/>
      <c r="QON128" s="814"/>
      <c r="QOO128" s="814"/>
      <c r="QOP128" s="814"/>
      <c r="QOQ128" s="814"/>
      <c r="QOR128" s="814"/>
      <c r="QOS128" s="813"/>
      <c r="QOT128" s="813"/>
      <c r="QOU128" s="813"/>
      <c r="QOV128" s="813"/>
      <c r="QOW128" s="813"/>
      <c r="QOX128" s="814"/>
      <c r="QOY128" s="814"/>
      <c r="QOZ128" s="814"/>
      <c r="QPA128" s="814"/>
      <c r="QPB128" s="814"/>
      <c r="QPC128" s="814"/>
      <c r="QPD128" s="814"/>
      <c r="QPE128" s="814"/>
      <c r="QPF128" s="814"/>
      <c r="QPG128" s="813"/>
      <c r="QPH128" s="813"/>
      <c r="QPI128" s="813"/>
      <c r="QPJ128" s="813"/>
      <c r="QPK128" s="813"/>
      <c r="QPL128" s="814"/>
      <c r="QPM128" s="814"/>
      <c r="QPN128" s="814"/>
      <c r="QPO128" s="814"/>
      <c r="QPP128" s="814"/>
      <c r="QPQ128" s="814"/>
      <c r="QPR128" s="814"/>
      <c r="QPS128" s="814"/>
      <c r="QPT128" s="814"/>
      <c r="QPU128" s="813"/>
      <c r="QPV128" s="813"/>
      <c r="QPW128" s="813"/>
      <c r="QPX128" s="813"/>
      <c r="QPY128" s="813"/>
      <c r="QPZ128" s="814"/>
      <c r="QQA128" s="814"/>
      <c r="QQB128" s="814"/>
      <c r="QQC128" s="814"/>
      <c r="QQD128" s="814"/>
      <c r="QQE128" s="814"/>
      <c r="QQF128" s="814"/>
      <c r="QQG128" s="814"/>
      <c r="QQH128" s="814"/>
      <c r="QQI128" s="813"/>
      <c r="QQJ128" s="813"/>
      <c r="QQK128" s="813"/>
      <c r="QQL128" s="813"/>
      <c r="QQM128" s="813"/>
      <c r="QQN128" s="814"/>
      <c r="QQO128" s="814"/>
      <c r="QQP128" s="814"/>
      <c r="QQQ128" s="814"/>
      <c r="QQR128" s="814"/>
      <c r="QQS128" s="814"/>
      <c r="QQT128" s="814"/>
      <c r="QQU128" s="814"/>
      <c r="QQV128" s="814"/>
      <c r="QQW128" s="813"/>
      <c r="QQX128" s="813"/>
      <c r="QQY128" s="813"/>
      <c r="QQZ128" s="813"/>
      <c r="QRA128" s="813"/>
      <c r="QRB128" s="814"/>
      <c r="QRC128" s="814"/>
      <c r="QRD128" s="814"/>
      <c r="QRE128" s="814"/>
      <c r="QRF128" s="814"/>
      <c r="QRG128" s="814"/>
      <c r="QRH128" s="814"/>
      <c r="QRI128" s="814"/>
      <c r="QRJ128" s="814"/>
      <c r="QRK128" s="813"/>
      <c r="QRL128" s="813"/>
      <c r="QRM128" s="813"/>
      <c r="QRN128" s="813"/>
      <c r="QRO128" s="813"/>
      <c r="QRP128" s="814"/>
      <c r="QRQ128" s="814"/>
      <c r="QRR128" s="814"/>
      <c r="QRS128" s="814"/>
      <c r="QRT128" s="814"/>
      <c r="QRU128" s="814"/>
      <c r="QRV128" s="814"/>
      <c r="QRW128" s="814"/>
      <c r="QRX128" s="814"/>
      <c r="QRY128" s="813"/>
      <c r="QRZ128" s="813"/>
      <c r="QSA128" s="813"/>
      <c r="QSB128" s="813"/>
      <c r="QSC128" s="813"/>
      <c r="QSD128" s="814"/>
      <c r="QSE128" s="814"/>
      <c r="QSF128" s="814"/>
      <c r="QSG128" s="814"/>
      <c r="QSH128" s="814"/>
      <c r="QSI128" s="814"/>
      <c r="QSJ128" s="814"/>
      <c r="QSK128" s="814"/>
      <c r="QSL128" s="814"/>
      <c r="QSM128" s="813"/>
      <c r="QSN128" s="813"/>
      <c r="QSO128" s="813"/>
      <c r="QSP128" s="813"/>
      <c r="QSQ128" s="813"/>
      <c r="QSR128" s="814"/>
      <c r="QSS128" s="814"/>
      <c r="QST128" s="814"/>
      <c r="QSU128" s="814"/>
      <c r="QSV128" s="814"/>
      <c r="QSW128" s="814"/>
      <c r="QSX128" s="814"/>
      <c r="QSY128" s="814"/>
      <c r="QSZ128" s="814"/>
      <c r="QTA128" s="813"/>
      <c r="QTB128" s="813"/>
      <c r="QTC128" s="813"/>
      <c r="QTD128" s="813"/>
      <c r="QTE128" s="813"/>
      <c r="QTF128" s="814"/>
      <c r="QTG128" s="814"/>
      <c r="QTH128" s="814"/>
      <c r="QTI128" s="814"/>
      <c r="QTJ128" s="814"/>
      <c r="QTK128" s="814"/>
      <c r="QTL128" s="814"/>
      <c r="QTM128" s="814"/>
      <c r="QTN128" s="814"/>
      <c r="QTO128" s="813"/>
      <c r="QTP128" s="813"/>
      <c r="QTQ128" s="813"/>
      <c r="QTR128" s="813"/>
      <c r="QTS128" s="813"/>
      <c r="QTT128" s="814"/>
      <c r="QTU128" s="814"/>
      <c r="QTV128" s="814"/>
      <c r="QTW128" s="814"/>
      <c r="QTX128" s="814"/>
      <c r="QTY128" s="814"/>
      <c r="QTZ128" s="814"/>
      <c r="QUA128" s="814"/>
      <c r="QUB128" s="814"/>
      <c r="QUC128" s="813"/>
      <c r="QUD128" s="813"/>
      <c r="QUE128" s="813"/>
      <c r="QUF128" s="813"/>
      <c r="QUG128" s="813"/>
      <c r="QUH128" s="814"/>
      <c r="QUI128" s="814"/>
      <c r="QUJ128" s="814"/>
      <c r="QUK128" s="814"/>
      <c r="QUL128" s="814"/>
      <c r="QUM128" s="814"/>
      <c r="QUN128" s="814"/>
      <c r="QUO128" s="814"/>
      <c r="QUP128" s="814"/>
      <c r="QUQ128" s="813"/>
      <c r="QUR128" s="813"/>
      <c r="QUS128" s="813"/>
      <c r="QUT128" s="813"/>
      <c r="QUU128" s="813"/>
      <c r="QUV128" s="814"/>
      <c r="QUW128" s="814"/>
      <c r="QUX128" s="814"/>
      <c r="QUY128" s="814"/>
      <c r="QUZ128" s="814"/>
      <c r="QVA128" s="814"/>
      <c r="QVB128" s="814"/>
      <c r="QVC128" s="814"/>
      <c r="QVD128" s="814"/>
      <c r="QVE128" s="813"/>
      <c r="QVF128" s="813"/>
      <c r="QVG128" s="813"/>
      <c r="QVH128" s="813"/>
      <c r="QVI128" s="813"/>
      <c r="QVJ128" s="814"/>
      <c r="QVK128" s="814"/>
      <c r="QVL128" s="814"/>
      <c r="QVM128" s="814"/>
      <c r="QVN128" s="814"/>
      <c r="QVO128" s="814"/>
      <c r="QVP128" s="814"/>
      <c r="QVQ128" s="814"/>
      <c r="QVR128" s="814"/>
      <c r="QVS128" s="813"/>
      <c r="QVT128" s="813"/>
      <c r="QVU128" s="813"/>
      <c r="QVV128" s="813"/>
      <c r="QVW128" s="813"/>
      <c r="QVX128" s="814"/>
      <c r="QVY128" s="814"/>
      <c r="QVZ128" s="814"/>
      <c r="QWA128" s="814"/>
      <c r="QWB128" s="814"/>
      <c r="QWC128" s="814"/>
      <c r="QWD128" s="814"/>
      <c r="QWE128" s="814"/>
      <c r="QWF128" s="814"/>
      <c r="QWG128" s="813"/>
      <c r="QWH128" s="813"/>
      <c r="QWI128" s="813"/>
      <c r="QWJ128" s="813"/>
      <c r="QWK128" s="813"/>
      <c r="QWL128" s="814"/>
      <c r="QWM128" s="814"/>
      <c r="QWN128" s="814"/>
      <c r="QWO128" s="814"/>
      <c r="QWP128" s="814"/>
      <c r="QWQ128" s="814"/>
      <c r="QWR128" s="814"/>
      <c r="QWS128" s="814"/>
      <c r="QWT128" s="814"/>
      <c r="QWU128" s="813"/>
      <c r="QWV128" s="813"/>
      <c r="QWW128" s="813"/>
      <c r="QWX128" s="813"/>
      <c r="QWY128" s="813"/>
      <c r="QWZ128" s="814"/>
      <c r="QXA128" s="814"/>
      <c r="QXB128" s="814"/>
      <c r="QXC128" s="814"/>
      <c r="QXD128" s="814"/>
      <c r="QXE128" s="814"/>
      <c r="QXF128" s="814"/>
      <c r="QXG128" s="814"/>
      <c r="QXH128" s="814"/>
      <c r="QXI128" s="813"/>
      <c r="QXJ128" s="813"/>
      <c r="QXK128" s="813"/>
      <c r="QXL128" s="813"/>
      <c r="QXM128" s="813"/>
      <c r="QXN128" s="814"/>
      <c r="QXO128" s="814"/>
      <c r="QXP128" s="814"/>
      <c r="QXQ128" s="814"/>
      <c r="QXR128" s="814"/>
      <c r="QXS128" s="814"/>
      <c r="QXT128" s="814"/>
      <c r="QXU128" s="814"/>
      <c r="QXV128" s="814"/>
      <c r="QXW128" s="813"/>
      <c r="QXX128" s="813"/>
      <c r="QXY128" s="813"/>
      <c r="QXZ128" s="813"/>
      <c r="QYA128" s="813"/>
      <c r="QYB128" s="814"/>
      <c r="QYC128" s="814"/>
      <c r="QYD128" s="814"/>
      <c r="QYE128" s="814"/>
      <c r="QYF128" s="814"/>
      <c r="QYG128" s="814"/>
      <c r="QYH128" s="814"/>
      <c r="QYI128" s="814"/>
      <c r="QYJ128" s="814"/>
      <c r="QYK128" s="813"/>
      <c r="QYL128" s="813"/>
      <c r="QYM128" s="813"/>
      <c r="QYN128" s="813"/>
      <c r="QYO128" s="813"/>
      <c r="QYP128" s="814"/>
      <c r="QYQ128" s="814"/>
      <c r="QYR128" s="814"/>
      <c r="QYS128" s="814"/>
      <c r="QYT128" s="814"/>
      <c r="QYU128" s="814"/>
      <c r="QYV128" s="814"/>
      <c r="QYW128" s="814"/>
      <c r="QYX128" s="814"/>
      <c r="QYY128" s="813"/>
      <c r="QYZ128" s="813"/>
      <c r="QZA128" s="813"/>
      <c r="QZB128" s="813"/>
      <c r="QZC128" s="813"/>
      <c r="QZD128" s="814"/>
      <c r="QZE128" s="814"/>
      <c r="QZF128" s="814"/>
      <c r="QZG128" s="814"/>
      <c r="QZH128" s="814"/>
      <c r="QZI128" s="814"/>
      <c r="QZJ128" s="814"/>
      <c r="QZK128" s="814"/>
      <c r="QZL128" s="814"/>
      <c r="QZM128" s="813"/>
      <c r="QZN128" s="813"/>
      <c r="QZO128" s="813"/>
      <c r="QZP128" s="813"/>
      <c r="QZQ128" s="813"/>
      <c r="QZR128" s="814"/>
      <c r="QZS128" s="814"/>
      <c r="QZT128" s="814"/>
      <c r="QZU128" s="814"/>
      <c r="QZV128" s="814"/>
      <c r="QZW128" s="814"/>
      <c r="QZX128" s="814"/>
      <c r="QZY128" s="814"/>
      <c r="QZZ128" s="814"/>
      <c r="RAA128" s="813"/>
      <c r="RAB128" s="813"/>
      <c r="RAC128" s="813"/>
      <c r="RAD128" s="813"/>
      <c r="RAE128" s="813"/>
      <c r="RAF128" s="814"/>
      <c r="RAG128" s="814"/>
      <c r="RAH128" s="814"/>
      <c r="RAI128" s="814"/>
      <c r="RAJ128" s="814"/>
      <c r="RAK128" s="814"/>
      <c r="RAL128" s="814"/>
      <c r="RAM128" s="814"/>
      <c r="RAN128" s="814"/>
      <c r="RAO128" s="813"/>
      <c r="RAP128" s="813"/>
      <c r="RAQ128" s="813"/>
      <c r="RAR128" s="813"/>
      <c r="RAS128" s="813"/>
      <c r="RAT128" s="814"/>
      <c r="RAU128" s="814"/>
      <c r="RAV128" s="814"/>
      <c r="RAW128" s="814"/>
      <c r="RAX128" s="814"/>
      <c r="RAY128" s="814"/>
      <c r="RAZ128" s="814"/>
      <c r="RBA128" s="814"/>
      <c r="RBB128" s="814"/>
      <c r="RBC128" s="813"/>
      <c r="RBD128" s="813"/>
      <c r="RBE128" s="813"/>
      <c r="RBF128" s="813"/>
      <c r="RBG128" s="813"/>
      <c r="RBH128" s="814"/>
      <c r="RBI128" s="814"/>
      <c r="RBJ128" s="814"/>
      <c r="RBK128" s="814"/>
      <c r="RBL128" s="814"/>
      <c r="RBM128" s="814"/>
      <c r="RBN128" s="814"/>
      <c r="RBO128" s="814"/>
      <c r="RBP128" s="814"/>
      <c r="RBQ128" s="813"/>
      <c r="RBR128" s="813"/>
      <c r="RBS128" s="813"/>
      <c r="RBT128" s="813"/>
      <c r="RBU128" s="813"/>
      <c r="RBV128" s="814"/>
      <c r="RBW128" s="814"/>
      <c r="RBX128" s="814"/>
      <c r="RBY128" s="814"/>
      <c r="RBZ128" s="814"/>
      <c r="RCA128" s="814"/>
      <c r="RCB128" s="814"/>
      <c r="RCC128" s="814"/>
      <c r="RCD128" s="814"/>
      <c r="RCE128" s="813"/>
      <c r="RCF128" s="813"/>
      <c r="RCG128" s="813"/>
      <c r="RCH128" s="813"/>
      <c r="RCI128" s="813"/>
      <c r="RCJ128" s="814"/>
      <c r="RCK128" s="814"/>
      <c r="RCL128" s="814"/>
      <c r="RCM128" s="814"/>
      <c r="RCN128" s="814"/>
      <c r="RCO128" s="814"/>
      <c r="RCP128" s="814"/>
      <c r="RCQ128" s="814"/>
      <c r="RCR128" s="814"/>
      <c r="RCS128" s="813"/>
      <c r="RCT128" s="813"/>
      <c r="RCU128" s="813"/>
      <c r="RCV128" s="813"/>
      <c r="RCW128" s="813"/>
      <c r="RCX128" s="814"/>
      <c r="RCY128" s="814"/>
      <c r="RCZ128" s="814"/>
      <c r="RDA128" s="814"/>
      <c r="RDB128" s="814"/>
      <c r="RDC128" s="814"/>
      <c r="RDD128" s="814"/>
      <c r="RDE128" s="814"/>
      <c r="RDF128" s="814"/>
      <c r="RDG128" s="813"/>
      <c r="RDH128" s="813"/>
      <c r="RDI128" s="813"/>
      <c r="RDJ128" s="813"/>
      <c r="RDK128" s="813"/>
      <c r="RDL128" s="814"/>
      <c r="RDM128" s="814"/>
      <c r="RDN128" s="814"/>
      <c r="RDO128" s="814"/>
      <c r="RDP128" s="814"/>
      <c r="RDQ128" s="814"/>
      <c r="RDR128" s="814"/>
      <c r="RDS128" s="814"/>
      <c r="RDT128" s="814"/>
      <c r="RDU128" s="813"/>
      <c r="RDV128" s="813"/>
      <c r="RDW128" s="813"/>
      <c r="RDX128" s="813"/>
      <c r="RDY128" s="813"/>
      <c r="RDZ128" s="814"/>
      <c r="REA128" s="814"/>
      <c r="REB128" s="814"/>
      <c r="REC128" s="814"/>
      <c r="RED128" s="814"/>
      <c r="REE128" s="814"/>
      <c r="REF128" s="814"/>
      <c r="REG128" s="814"/>
      <c r="REH128" s="814"/>
      <c r="REI128" s="813"/>
      <c r="REJ128" s="813"/>
      <c r="REK128" s="813"/>
      <c r="REL128" s="813"/>
      <c r="REM128" s="813"/>
      <c r="REN128" s="814"/>
      <c r="REO128" s="814"/>
      <c r="REP128" s="814"/>
      <c r="REQ128" s="814"/>
      <c r="RER128" s="814"/>
      <c r="RES128" s="814"/>
      <c r="RET128" s="814"/>
      <c r="REU128" s="814"/>
      <c r="REV128" s="814"/>
      <c r="REW128" s="813"/>
      <c r="REX128" s="813"/>
      <c r="REY128" s="813"/>
      <c r="REZ128" s="813"/>
      <c r="RFA128" s="813"/>
      <c r="RFB128" s="814"/>
      <c r="RFC128" s="814"/>
      <c r="RFD128" s="814"/>
      <c r="RFE128" s="814"/>
      <c r="RFF128" s="814"/>
      <c r="RFG128" s="814"/>
      <c r="RFH128" s="814"/>
      <c r="RFI128" s="814"/>
      <c r="RFJ128" s="814"/>
      <c r="RFK128" s="813"/>
      <c r="RFL128" s="813"/>
      <c r="RFM128" s="813"/>
      <c r="RFN128" s="813"/>
      <c r="RFO128" s="813"/>
      <c r="RFP128" s="814"/>
      <c r="RFQ128" s="814"/>
      <c r="RFR128" s="814"/>
      <c r="RFS128" s="814"/>
      <c r="RFT128" s="814"/>
      <c r="RFU128" s="814"/>
      <c r="RFV128" s="814"/>
      <c r="RFW128" s="814"/>
      <c r="RFX128" s="814"/>
      <c r="RFY128" s="813"/>
      <c r="RFZ128" s="813"/>
      <c r="RGA128" s="813"/>
      <c r="RGB128" s="813"/>
      <c r="RGC128" s="813"/>
      <c r="RGD128" s="814"/>
      <c r="RGE128" s="814"/>
      <c r="RGF128" s="814"/>
      <c r="RGG128" s="814"/>
      <c r="RGH128" s="814"/>
      <c r="RGI128" s="814"/>
      <c r="RGJ128" s="814"/>
      <c r="RGK128" s="814"/>
      <c r="RGL128" s="814"/>
      <c r="RGM128" s="813"/>
      <c r="RGN128" s="813"/>
      <c r="RGO128" s="813"/>
      <c r="RGP128" s="813"/>
      <c r="RGQ128" s="813"/>
      <c r="RGR128" s="814"/>
      <c r="RGS128" s="814"/>
      <c r="RGT128" s="814"/>
      <c r="RGU128" s="814"/>
      <c r="RGV128" s="814"/>
      <c r="RGW128" s="814"/>
      <c r="RGX128" s="814"/>
      <c r="RGY128" s="814"/>
      <c r="RGZ128" s="814"/>
      <c r="RHA128" s="813"/>
      <c r="RHB128" s="813"/>
      <c r="RHC128" s="813"/>
      <c r="RHD128" s="813"/>
      <c r="RHE128" s="813"/>
      <c r="RHF128" s="814"/>
      <c r="RHG128" s="814"/>
      <c r="RHH128" s="814"/>
      <c r="RHI128" s="814"/>
      <c r="RHJ128" s="814"/>
      <c r="RHK128" s="814"/>
      <c r="RHL128" s="814"/>
      <c r="RHM128" s="814"/>
      <c r="RHN128" s="814"/>
      <c r="RHO128" s="813"/>
      <c r="RHP128" s="813"/>
      <c r="RHQ128" s="813"/>
      <c r="RHR128" s="813"/>
      <c r="RHS128" s="813"/>
      <c r="RHT128" s="814"/>
      <c r="RHU128" s="814"/>
      <c r="RHV128" s="814"/>
      <c r="RHW128" s="814"/>
      <c r="RHX128" s="814"/>
      <c r="RHY128" s="814"/>
      <c r="RHZ128" s="814"/>
      <c r="RIA128" s="814"/>
      <c r="RIB128" s="814"/>
      <c r="RIC128" s="813"/>
      <c r="RID128" s="813"/>
      <c r="RIE128" s="813"/>
      <c r="RIF128" s="813"/>
      <c r="RIG128" s="813"/>
      <c r="RIH128" s="814"/>
      <c r="RII128" s="814"/>
      <c r="RIJ128" s="814"/>
      <c r="RIK128" s="814"/>
      <c r="RIL128" s="814"/>
      <c r="RIM128" s="814"/>
      <c r="RIN128" s="814"/>
      <c r="RIO128" s="814"/>
      <c r="RIP128" s="814"/>
      <c r="RIQ128" s="813"/>
      <c r="RIR128" s="813"/>
      <c r="RIS128" s="813"/>
      <c r="RIT128" s="813"/>
      <c r="RIU128" s="813"/>
      <c r="RIV128" s="814"/>
      <c r="RIW128" s="814"/>
      <c r="RIX128" s="814"/>
      <c r="RIY128" s="814"/>
      <c r="RIZ128" s="814"/>
      <c r="RJA128" s="814"/>
      <c r="RJB128" s="814"/>
      <c r="RJC128" s="814"/>
      <c r="RJD128" s="814"/>
      <c r="RJE128" s="813"/>
      <c r="RJF128" s="813"/>
      <c r="RJG128" s="813"/>
      <c r="RJH128" s="813"/>
      <c r="RJI128" s="813"/>
      <c r="RJJ128" s="814"/>
      <c r="RJK128" s="814"/>
      <c r="RJL128" s="814"/>
      <c r="RJM128" s="814"/>
      <c r="RJN128" s="814"/>
      <c r="RJO128" s="814"/>
      <c r="RJP128" s="814"/>
      <c r="RJQ128" s="814"/>
      <c r="RJR128" s="814"/>
      <c r="RJS128" s="813"/>
      <c r="RJT128" s="813"/>
      <c r="RJU128" s="813"/>
      <c r="RJV128" s="813"/>
      <c r="RJW128" s="813"/>
      <c r="RJX128" s="814"/>
      <c r="RJY128" s="814"/>
      <c r="RJZ128" s="814"/>
      <c r="RKA128" s="814"/>
      <c r="RKB128" s="814"/>
      <c r="RKC128" s="814"/>
      <c r="RKD128" s="814"/>
      <c r="RKE128" s="814"/>
      <c r="RKF128" s="814"/>
      <c r="RKG128" s="813"/>
      <c r="RKH128" s="813"/>
      <c r="RKI128" s="813"/>
      <c r="RKJ128" s="813"/>
      <c r="RKK128" s="813"/>
      <c r="RKL128" s="814"/>
      <c r="RKM128" s="814"/>
      <c r="RKN128" s="814"/>
      <c r="RKO128" s="814"/>
      <c r="RKP128" s="814"/>
      <c r="RKQ128" s="814"/>
      <c r="RKR128" s="814"/>
      <c r="RKS128" s="814"/>
      <c r="RKT128" s="814"/>
      <c r="RKU128" s="813"/>
      <c r="RKV128" s="813"/>
      <c r="RKW128" s="813"/>
      <c r="RKX128" s="813"/>
      <c r="RKY128" s="813"/>
      <c r="RKZ128" s="814"/>
      <c r="RLA128" s="814"/>
      <c r="RLB128" s="814"/>
      <c r="RLC128" s="814"/>
      <c r="RLD128" s="814"/>
      <c r="RLE128" s="814"/>
      <c r="RLF128" s="814"/>
      <c r="RLG128" s="814"/>
      <c r="RLH128" s="814"/>
      <c r="RLI128" s="813"/>
      <c r="RLJ128" s="813"/>
      <c r="RLK128" s="813"/>
      <c r="RLL128" s="813"/>
      <c r="RLM128" s="813"/>
      <c r="RLN128" s="814"/>
      <c r="RLO128" s="814"/>
      <c r="RLP128" s="814"/>
      <c r="RLQ128" s="814"/>
      <c r="RLR128" s="814"/>
      <c r="RLS128" s="814"/>
      <c r="RLT128" s="814"/>
      <c r="RLU128" s="814"/>
      <c r="RLV128" s="814"/>
      <c r="RLW128" s="813"/>
      <c r="RLX128" s="813"/>
      <c r="RLY128" s="813"/>
      <c r="RLZ128" s="813"/>
      <c r="RMA128" s="813"/>
      <c r="RMB128" s="814"/>
      <c r="RMC128" s="814"/>
      <c r="RMD128" s="814"/>
      <c r="RME128" s="814"/>
      <c r="RMF128" s="814"/>
      <c r="RMG128" s="814"/>
      <c r="RMH128" s="814"/>
      <c r="RMI128" s="814"/>
      <c r="RMJ128" s="814"/>
      <c r="RMK128" s="813"/>
      <c r="RML128" s="813"/>
      <c r="RMM128" s="813"/>
      <c r="RMN128" s="813"/>
      <c r="RMO128" s="813"/>
      <c r="RMP128" s="814"/>
      <c r="RMQ128" s="814"/>
      <c r="RMR128" s="814"/>
      <c r="RMS128" s="814"/>
      <c r="RMT128" s="814"/>
      <c r="RMU128" s="814"/>
      <c r="RMV128" s="814"/>
      <c r="RMW128" s="814"/>
      <c r="RMX128" s="814"/>
      <c r="RMY128" s="813"/>
      <c r="RMZ128" s="813"/>
      <c r="RNA128" s="813"/>
      <c r="RNB128" s="813"/>
      <c r="RNC128" s="813"/>
      <c r="RND128" s="814"/>
      <c r="RNE128" s="814"/>
      <c r="RNF128" s="814"/>
      <c r="RNG128" s="814"/>
      <c r="RNH128" s="814"/>
      <c r="RNI128" s="814"/>
      <c r="RNJ128" s="814"/>
      <c r="RNK128" s="814"/>
      <c r="RNL128" s="814"/>
      <c r="RNM128" s="813"/>
      <c r="RNN128" s="813"/>
      <c r="RNO128" s="813"/>
      <c r="RNP128" s="813"/>
      <c r="RNQ128" s="813"/>
      <c r="RNR128" s="814"/>
      <c r="RNS128" s="814"/>
      <c r="RNT128" s="814"/>
      <c r="RNU128" s="814"/>
      <c r="RNV128" s="814"/>
      <c r="RNW128" s="814"/>
      <c r="RNX128" s="814"/>
      <c r="RNY128" s="814"/>
      <c r="RNZ128" s="814"/>
      <c r="ROA128" s="813"/>
      <c r="ROB128" s="813"/>
      <c r="ROC128" s="813"/>
      <c r="ROD128" s="813"/>
      <c r="ROE128" s="813"/>
      <c r="ROF128" s="814"/>
      <c r="ROG128" s="814"/>
      <c r="ROH128" s="814"/>
      <c r="ROI128" s="814"/>
      <c r="ROJ128" s="814"/>
      <c r="ROK128" s="814"/>
      <c r="ROL128" s="814"/>
      <c r="ROM128" s="814"/>
      <c r="RON128" s="814"/>
      <c r="ROO128" s="813"/>
      <c r="ROP128" s="813"/>
      <c r="ROQ128" s="813"/>
      <c r="ROR128" s="813"/>
      <c r="ROS128" s="813"/>
      <c r="ROT128" s="814"/>
      <c r="ROU128" s="814"/>
      <c r="ROV128" s="814"/>
      <c r="ROW128" s="814"/>
      <c r="ROX128" s="814"/>
      <c r="ROY128" s="814"/>
      <c r="ROZ128" s="814"/>
      <c r="RPA128" s="814"/>
      <c r="RPB128" s="814"/>
      <c r="RPC128" s="813"/>
      <c r="RPD128" s="813"/>
      <c r="RPE128" s="813"/>
      <c r="RPF128" s="813"/>
      <c r="RPG128" s="813"/>
      <c r="RPH128" s="814"/>
      <c r="RPI128" s="814"/>
      <c r="RPJ128" s="814"/>
      <c r="RPK128" s="814"/>
      <c r="RPL128" s="814"/>
      <c r="RPM128" s="814"/>
      <c r="RPN128" s="814"/>
      <c r="RPO128" s="814"/>
      <c r="RPP128" s="814"/>
      <c r="RPQ128" s="813"/>
      <c r="RPR128" s="813"/>
      <c r="RPS128" s="813"/>
      <c r="RPT128" s="813"/>
      <c r="RPU128" s="813"/>
      <c r="RPV128" s="814"/>
      <c r="RPW128" s="814"/>
      <c r="RPX128" s="814"/>
      <c r="RPY128" s="814"/>
      <c r="RPZ128" s="814"/>
      <c r="RQA128" s="814"/>
      <c r="RQB128" s="814"/>
      <c r="RQC128" s="814"/>
      <c r="RQD128" s="814"/>
      <c r="RQE128" s="813"/>
      <c r="RQF128" s="813"/>
      <c r="RQG128" s="813"/>
      <c r="RQH128" s="813"/>
      <c r="RQI128" s="813"/>
      <c r="RQJ128" s="814"/>
      <c r="RQK128" s="814"/>
      <c r="RQL128" s="814"/>
      <c r="RQM128" s="814"/>
      <c r="RQN128" s="814"/>
      <c r="RQO128" s="814"/>
      <c r="RQP128" s="814"/>
      <c r="RQQ128" s="814"/>
      <c r="RQR128" s="814"/>
      <c r="RQS128" s="813"/>
      <c r="RQT128" s="813"/>
      <c r="RQU128" s="813"/>
      <c r="RQV128" s="813"/>
      <c r="RQW128" s="813"/>
      <c r="RQX128" s="814"/>
      <c r="RQY128" s="814"/>
      <c r="RQZ128" s="814"/>
      <c r="RRA128" s="814"/>
      <c r="RRB128" s="814"/>
      <c r="RRC128" s="814"/>
      <c r="RRD128" s="814"/>
      <c r="RRE128" s="814"/>
      <c r="RRF128" s="814"/>
      <c r="RRG128" s="813"/>
      <c r="RRH128" s="813"/>
      <c r="RRI128" s="813"/>
      <c r="RRJ128" s="813"/>
      <c r="RRK128" s="813"/>
      <c r="RRL128" s="814"/>
      <c r="RRM128" s="814"/>
      <c r="RRN128" s="814"/>
      <c r="RRO128" s="814"/>
      <c r="RRP128" s="814"/>
      <c r="RRQ128" s="814"/>
      <c r="RRR128" s="814"/>
      <c r="RRS128" s="814"/>
      <c r="RRT128" s="814"/>
      <c r="RRU128" s="813"/>
      <c r="RRV128" s="813"/>
      <c r="RRW128" s="813"/>
      <c r="RRX128" s="813"/>
      <c r="RRY128" s="813"/>
      <c r="RRZ128" s="814"/>
      <c r="RSA128" s="814"/>
      <c r="RSB128" s="814"/>
      <c r="RSC128" s="814"/>
      <c r="RSD128" s="814"/>
      <c r="RSE128" s="814"/>
      <c r="RSF128" s="814"/>
      <c r="RSG128" s="814"/>
      <c r="RSH128" s="814"/>
      <c r="RSI128" s="813"/>
      <c r="RSJ128" s="813"/>
      <c r="RSK128" s="813"/>
      <c r="RSL128" s="813"/>
      <c r="RSM128" s="813"/>
      <c r="RSN128" s="814"/>
      <c r="RSO128" s="814"/>
      <c r="RSP128" s="814"/>
      <c r="RSQ128" s="814"/>
      <c r="RSR128" s="814"/>
      <c r="RSS128" s="814"/>
      <c r="RST128" s="814"/>
      <c r="RSU128" s="814"/>
      <c r="RSV128" s="814"/>
      <c r="RSW128" s="813"/>
      <c r="RSX128" s="813"/>
      <c r="RSY128" s="813"/>
      <c r="RSZ128" s="813"/>
      <c r="RTA128" s="813"/>
      <c r="RTB128" s="814"/>
      <c r="RTC128" s="814"/>
      <c r="RTD128" s="814"/>
      <c r="RTE128" s="814"/>
      <c r="RTF128" s="814"/>
      <c r="RTG128" s="814"/>
      <c r="RTH128" s="814"/>
      <c r="RTI128" s="814"/>
      <c r="RTJ128" s="814"/>
      <c r="RTK128" s="813"/>
      <c r="RTL128" s="813"/>
      <c r="RTM128" s="813"/>
      <c r="RTN128" s="813"/>
      <c r="RTO128" s="813"/>
      <c r="RTP128" s="814"/>
      <c r="RTQ128" s="814"/>
      <c r="RTR128" s="814"/>
      <c r="RTS128" s="814"/>
      <c r="RTT128" s="814"/>
      <c r="RTU128" s="814"/>
      <c r="RTV128" s="814"/>
      <c r="RTW128" s="814"/>
      <c r="RTX128" s="814"/>
      <c r="RTY128" s="813"/>
      <c r="RTZ128" s="813"/>
      <c r="RUA128" s="813"/>
      <c r="RUB128" s="813"/>
      <c r="RUC128" s="813"/>
      <c r="RUD128" s="814"/>
      <c r="RUE128" s="814"/>
      <c r="RUF128" s="814"/>
      <c r="RUG128" s="814"/>
      <c r="RUH128" s="814"/>
      <c r="RUI128" s="814"/>
      <c r="RUJ128" s="814"/>
      <c r="RUK128" s="814"/>
      <c r="RUL128" s="814"/>
      <c r="RUM128" s="813"/>
      <c r="RUN128" s="813"/>
      <c r="RUO128" s="813"/>
      <c r="RUP128" s="813"/>
      <c r="RUQ128" s="813"/>
      <c r="RUR128" s="814"/>
      <c r="RUS128" s="814"/>
      <c r="RUT128" s="814"/>
      <c r="RUU128" s="814"/>
      <c r="RUV128" s="814"/>
      <c r="RUW128" s="814"/>
      <c r="RUX128" s="814"/>
      <c r="RUY128" s="814"/>
      <c r="RUZ128" s="814"/>
      <c r="RVA128" s="813"/>
      <c r="RVB128" s="813"/>
      <c r="RVC128" s="813"/>
      <c r="RVD128" s="813"/>
      <c r="RVE128" s="813"/>
      <c r="RVF128" s="814"/>
      <c r="RVG128" s="814"/>
      <c r="RVH128" s="814"/>
      <c r="RVI128" s="814"/>
      <c r="RVJ128" s="814"/>
      <c r="RVK128" s="814"/>
      <c r="RVL128" s="814"/>
      <c r="RVM128" s="814"/>
      <c r="RVN128" s="814"/>
      <c r="RVO128" s="813"/>
      <c r="RVP128" s="813"/>
      <c r="RVQ128" s="813"/>
      <c r="RVR128" s="813"/>
      <c r="RVS128" s="813"/>
      <c r="RVT128" s="814"/>
      <c r="RVU128" s="814"/>
      <c r="RVV128" s="814"/>
      <c r="RVW128" s="814"/>
      <c r="RVX128" s="814"/>
      <c r="RVY128" s="814"/>
      <c r="RVZ128" s="814"/>
      <c r="RWA128" s="814"/>
      <c r="RWB128" s="814"/>
      <c r="RWC128" s="813"/>
      <c r="RWD128" s="813"/>
      <c r="RWE128" s="813"/>
      <c r="RWF128" s="813"/>
      <c r="RWG128" s="813"/>
      <c r="RWH128" s="814"/>
      <c r="RWI128" s="814"/>
      <c r="RWJ128" s="814"/>
      <c r="RWK128" s="814"/>
      <c r="RWL128" s="814"/>
      <c r="RWM128" s="814"/>
      <c r="RWN128" s="814"/>
      <c r="RWO128" s="814"/>
      <c r="RWP128" s="814"/>
      <c r="RWQ128" s="813"/>
      <c r="RWR128" s="813"/>
      <c r="RWS128" s="813"/>
      <c r="RWT128" s="813"/>
      <c r="RWU128" s="813"/>
      <c r="RWV128" s="814"/>
      <c r="RWW128" s="814"/>
      <c r="RWX128" s="814"/>
      <c r="RWY128" s="814"/>
      <c r="RWZ128" s="814"/>
      <c r="RXA128" s="814"/>
      <c r="RXB128" s="814"/>
      <c r="RXC128" s="814"/>
      <c r="RXD128" s="814"/>
      <c r="RXE128" s="813"/>
      <c r="RXF128" s="813"/>
      <c r="RXG128" s="813"/>
      <c r="RXH128" s="813"/>
      <c r="RXI128" s="813"/>
      <c r="RXJ128" s="814"/>
      <c r="RXK128" s="814"/>
      <c r="RXL128" s="814"/>
      <c r="RXM128" s="814"/>
      <c r="RXN128" s="814"/>
      <c r="RXO128" s="814"/>
      <c r="RXP128" s="814"/>
      <c r="RXQ128" s="814"/>
      <c r="RXR128" s="814"/>
      <c r="RXS128" s="813"/>
      <c r="RXT128" s="813"/>
      <c r="RXU128" s="813"/>
      <c r="RXV128" s="813"/>
      <c r="RXW128" s="813"/>
      <c r="RXX128" s="814"/>
      <c r="RXY128" s="814"/>
      <c r="RXZ128" s="814"/>
      <c r="RYA128" s="814"/>
      <c r="RYB128" s="814"/>
      <c r="RYC128" s="814"/>
      <c r="RYD128" s="814"/>
      <c r="RYE128" s="814"/>
      <c r="RYF128" s="814"/>
      <c r="RYG128" s="813"/>
      <c r="RYH128" s="813"/>
      <c r="RYI128" s="813"/>
      <c r="RYJ128" s="813"/>
      <c r="RYK128" s="813"/>
      <c r="RYL128" s="814"/>
      <c r="RYM128" s="814"/>
      <c r="RYN128" s="814"/>
      <c r="RYO128" s="814"/>
      <c r="RYP128" s="814"/>
      <c r="RYQ128" s="814"/>
      <c r="RYR128" s="814"/>
      <c r="RYS128" s="814"/>
      <c r="RYT128" s="814"/>
      <c r="RYU128" s="813"/>
      <c r="RYV128" s="813"/>
      <c r="RYW128" s="813"/>
      <c r="RYX128" s="813"/>
      <c r="RYY128" s="813"/>
      <c r="RYZ128" s="814"/>
      <c r="RZA128" s="814"/>
      <c r="RZB128" s="814"/>
      <c r="RZC128" s="814"/>
      <c r="RZD128" s="814"/>
      <c r="RZE128" s="814"/>
      <c r="RZF128" s="814"/>
      <c r="RZG128" s="814"/>
      <c r="RZH128" s="814"/>
      <c r="RZI128" s="813"/>
      <c r="RZJ128" s="813"/>
      <c r="RZK128" s="813"/>
      <c r="RZL128" s="813"/>
      <c r="RZM128" s="813"/>
      <c r="RZN128" s="814"/>
      <c r="RZO128" s="814"/>
      <c r="RZP128" s="814"/>
      <c r="RZQ128" s="814"/>
      <c r="RZR128" s="814"/>
      <c r="RZS128" s="814"/>
      <c r="RZT128" s="814"/>
      <c r="RZU128" s="814"/>
      <c r="RZV128" s="814"/>
      <c r="RZW128" s="813"/>
      <c r="RZX128" s="813"/>
      <c r="RZY128" s="813"/>
      <c r="RZZ128" s="813"/>
      <c r="SAA128" s="813"/>
      <c r="SAB128" s="814"/>
      <c r="SAC128" s="814"/>
      <c r="SAD128" s="814"/>
      <c r="SAE128" s="814"/>
      <c r="SAF128" s="814"/>
      <c r="SAG128" s="814"/>
      <c r="SAH128" s="814"/>
      <c r="SAI128" s="814"/>
      <c r="SAJ128" s="814"/>
      <c r="SAK128" s="813"/>
      <c r="SAL128" s="813"/>
      <c r="SAM128" s="813"/>
      <c r="SAN128" s="813"/>
      <c r="SAO128" s="813"/>
      <c r="SAP128" s="814"/>
      <c r="SAQ128" s="814"/>
      <c r="SAR128" s="814"/>
      <c r="SAS128" s="814"/>
      <c r="SAT128" s="814"/>
      <c r="SAU128" s="814"/>
      <c r="SAV128" s="814"/>
      <c r="SAW128" s="814"/>
      <c r="SAX128" s="814"/>
      <c r="SAY128" s="813"/>
      <c r="SAZ128" s="813"/>
      <c r="SBA128" s="813"/>
      <c r="SBB128" s="813"/>
      <c r="SBC128" s="813"/>
      <c r="SBD128" s="814"/>
      <c r="SBE128" s="814"/>
      <c r="SBF128" s="814"/>
      <c r="SBG128" s="814"/>
      <c r="SBH128" s="814"/>
      <c r="SBI128" s="814"/>
      <c r="SBJ128" s="814"/>
      <c r="SBK128" s="814"/>
      <c r="SBL128" s="814"/>
      <c r="SBM128" s="813"/>
      <c r="SBN128" s="813"/>
      <c r="SBO128" s="813"/>
      <c r="SBP128" s="813"/>
      <c r="SBQ128" s="813"/>
      <c r="SBR128" s="814"/>
      <c r="SBS128" s="814"/>
      <c r="SBT128" s="814"/>
      <c r="SBU128" s="814"/>
      <c r="SBV128" s="814"/>
      <c r="SBW128" s="814"/>
      <c r="SBX128" s="814"/>
      <c r="SBY128" s="814"/>
      <c r="SBZ128" s="814"/>
      <c r="SCA128" s="813"/>
      <c r="SCB128" s="813"/>
      <c r="SCC128" s="813"/>
      <c r="SCD128" s="813"/>
      <c r="SCE128" s="813"/>
      <c r="SCF128" s="814"/>
      <c r="SCG128" s="814"/>
      <c r="SCH128" s="814"/>
      <c r="SCI128" s="814"/>
      <c r="SCJ128" s="814"/>
      <c r="SCK128" s="814"/>
      <c r="SCL128" s="814"/>
      <c r="SCM128" s="814"/>
      <c r="SCN128" s="814"/>
      <c r="SCO128" s="813"/>
      <c r="SCP128" s="813"/>
      <c r="SCQ128" s="813"/>
      <c r="SCR128" s="813"/>
      <c r="SCS128" s="813"/>
      <c r="SCT128" s="814"/>
      <c r="SCU128" s="814"/>
      <c r="SCV128" s="814"/>
      <c r="SCW128" s="814"/>
      <c r="SCX128" s="814"/>
      <c r="SCY128" s="814"/>
      <c r="SCZ128" s="814"/>
      <c r="SDA128" s="814"/>
      <c r="SDB128" s="814"/>
      <c r="SDC128" s="813"/>
      <c r="SDD128" s="813"/>
      <c r="SDE128" s="813"/>
      <c r="SDF128" s="813"/>
      <c r="SDG128" s="813"/>
      <c r="SDH128" s="814"/>
      <c r="SDI128" s="814"/>
      <c r="SDJ128" s="814"/>
      <c r="SDK128" s="814"/>
      <c r="SDL128" s="814"/>
      <c r="SDM128" s="814"/>
      <c r="SDN128" s="814"/>
      <c r="SDO128" s="814"/>
      <c r="SDP128" s="814"/>
      <c r="SDQ128" s="813"/>
      <c r="SDR128" s="813"/>
      <c r="SDS128" s="813"/>
      <c r="SDT128" s="813"/>
      <c r="SDU128" s="813"/>
      <c r="SDV128" s="814"/>
      <c r="SDW128" s="814"/>
      <c r="SDX128" s="814"/>
      <c r="SDY128" s="814"/>
      <c r="SDZ128" s="814"/>
      <c r="SEA128" s="814"/>
      <c r="SEB128" s="814"/>
      <c r="SEC128" s="814"/>
      <c r="SED128" s="814"/>
      <c r="SEE128" s="813"/>
      <c r="SEF128" s="813"/>
      <c r="SEG128" s="813"/>
      <c r="SEH128" s="813"/>
      <c r="SEI128" s="813"/>
      <c r="SEJ128" s="814"/>
      <c r="SEK128" s="814"/>
      <c r="SEL128" s="814"/>
      <c r="SEM128" s="814"/>
      <c r="SEN128" s="814"/>
      <c r="SEO128" s="814"/>
      <c r="SEP128" s="814"/>
      <c r="SEQ128" s="814"/>
      <c r="SER128" s="814"/>
      <c r="SES128" s="813"/>
      <c r="SET128" s="813"/>
      <c r="SEU128" s="813"/>
      <c r="SEV128" s="813"/>
      <c r="SEW128" s="813"/>
      <c r="SEX128" s="814"/>
      <c r="SEY128" s="814"/>
      <c r="SEZ128" s="814"/>
      <c r="SFA128" s="814"/>
      <c r="SFB128" s="814"/>
      <c r="SFC128" s="814"/>
      <c r="SFD128" s="814"/>
      <c r="SFE128" s="814"/>
      <c r="SFF128" s="814"/>
      <c r="SFG128" s="813"/>
      <c r="SFH128" s="813"/>
      <c r="SFI128" s="813"/>
      <c r="SFJ128" s="813"/>
      <c r="SFK128" s="813"/>
      <c r="SFL128" s="814"/>
      <c r="SFM128" s="814"/>
      <c r="SFN128" s="814"/>
      <c r="SFO128" s="814"/>
      <c r="SFP128" s="814"/>
      <c r="SFQ128" s="814"/>
      <c r="SFR128" s="814"/>
      <c r="SFS128" s="814"/>
      <c r="SFT128" s="814"/>
      <c r="SFU128" s="813"/>
      <c r="SFV128" s="813"/>
      <c r="SFW128" s="813"/>
      <c r="SFX128" s="813"/>
      <c r="SFY128" s="813"/>
      <c r="SFZ128" s="814"/>
      <c r="SGA128" s="814"/>
      <c r="SGB128" s="814"/>
      <c r="SGC128" s="814"/>
      <c r="SGD128" s="814"/>
      <c r="SGE128" s="814"/>
      <c r="SGF128" s="814"/>
      <c r="SGG128" s="814"/>
      <c r="SGH128" s="814"/>
      <c r="SGI128" s="813"/>
      <c r="SGJ128" s="813"/>
      <c r="SGK128" s="813"/>
      <c r="SGL128" s="813"/>
      <c r="SGM128" s="813"/>
      <c r="SGN128" s="814"/>
      <c r="SGO128" s="814"/>
      <c r="SGP128" s="814"/>
      <c r="SGQ128" s="814"/>
      <c r="SGR128" s="814"/>
      <c r="SGS128" s="814"/>
      <c r="SGT128" s="814"/>
      <c r="SGU128" s="814"/>
      <c r="SGV128" s="814"/>
      <c r="SGW128" s="813"/>
      <c r="SGX128" s="813"/>
      <c r="SGY128" s="813"/>
      <c r="SGZ128" s="813"/>
      <c r="SHA128" s="813"/>
      <c r="SHB128" s="814"/>
      <c r="SHC128" s="814"/>
      <c r="SHD128" s="814"/>
      <c r="SHE128" s="814"/>
      <c r="SHF128" s="814"/>
      <c r="SHG128" s="814"/>
      <c r="SHH128" s="814"/>
      <c r="SHI128" s="814"/>
      <c r="SHJ128" s="814"/>
      <c r="SHK128" s="813"/>
      <c r="SHL128" s="813"/>
      <c r="SHM128" s="813"/>
      <c r="SHN128" s="813"/>
      <c r="SHO128" s="813"/>
      <c r="SHP128" s="814"/>
      <c r="SHQ128" s="814"/>
      <c r="SHR128" s="814"/>
      <c r="SHS128" s="814"/>
      <c r="SHT128" s="814"/>
      <c r="SHU128" s="814"/>
      <c r="SHV128" s="814"/>
      <c r="SHW128" s="814"/>
      <c r="SHX128" s="814"/>
      <c r="SHY128" s="813"/>
      <c r="SHZ128" s="813"/>
      <c r="SIA128" s="813"/>
      <c r="SIB128" s="813"/>
      <c r="SIC128" s="813"/>
      <c r="SID128" s="814"/>
      <c r="SIE128" s="814"/>
      <c r="SIF128" s="814"/>
      <c r="SIG128" s="814"/>
      <c r="SIH128" s="814"/>
      <c r="SII128" s="814"/>
      <c r="SIJ128" s="814"/>
      <c r="SIK128" s="814"/>
      <c r="SIL128" s="814"/>
      <c r="SIM128" s="813"/>
      <c r="SIN128" s="813"/>
      <c r="SIO128" s="813"/>
      <c r="SIP128" s="813"/>
      <c r="SIQ128" s="813"/>
      <c r="SIR128" s="814"/>
      <c r="SIS128" s="814"/>
      <c r="SIT128" s="814"/>
      <c r="SIU128" s="814"/>
      <c r="SIV128" s="814"/>
      <c r="SIW128" s="814"/>
      <c r="SIX128" s="814"/>
      <c r="SIY128" s="814"/>
      <c r="SIZ128" s="814"/>
      <c r="SJA128" s="813"/>
      <c r="SJB128" s="813"/>
      <c r="SJC128" s="813"/>
      <c r="SJD128" s="813"/>
      <c r="SJE128" s="813"/>
      <c r="SJF128" s="814"/>
      <c r="SJG128" s="814"/>
      <c r="SJH128" s="814"/>
      <c r="SJI128" s="814"/>
      <c r="SJJ128" s="814"/>
      <c r="SJK128" s="814"/>
      <c r="SJL128" s="814"/>
      <c r="SJM128" s="814"/>
      <c r="SJN128" s="814"/>
      <c r="SJO128" s="813"/>
      <c r="SJP128" s="813"/>
      <c r="SJQ128" s="813"/>
      <c r="SJR128" s="813"/>
      <c r="SJS128" s="813"/>
      <c r="SJT128" s="814"/>
      <c r="SJU128" s="814"/>
      <c r="SJV128" s="814"/>
      <c r="SJW128" s="814"/>
      <c r="SJX128" s="814"/>
      <c r="SJY128" s="814"/>
      <c r="SJZ128" s="814"/>
      <c r="SKA128" s="814"/>
      <c r="SKB128" s="814"/>
      <c r="SKC128" s="813"/>
      <c r="SKD128" s="813"/>
      <c r="SKE128" s="813"/>
      <c r="SKF128" s="813"/>
      <c r="SKG128" s="813"/>
      <c r="SKH128" s="814"/>
      <c r="SKI128" s="814"/>
      <c r="SKJ128" s="814"/>
      <c r="SKK128" s="814"/>
      <c r="SKL128" s="814"/>
      <c r="SKM128" s="814"/>
      <c r="SKN128" s="814"/>
      <c r="SKO128" s="814"/>
      <c r="SKP128" s="814"/>
      <c r="SKQ128" s="813"/>
      <c r="SKR128" s="813"/>
      <c r="SKS128" s="813"/>
      <c r="SKT128" s="813"/>
      <c r="SKU128" s="813"/>
      <c r="SKV128" s="814"/>
      <c r="SKW128" s="814"/>
      <c r="SKX128" s="814"/>
      <c r="SKY128" s="814"/>
      <c r="SKZ128" s="814"/>
      <c r="SLA128" s="814"/>
      <c r="SLB128" s="814"/>
      <c r="SLC128" s="814"/>
      <c r="SLD128" s="814"/>
      <c r="SLE128" s="813"/>
      <c r="SLF128" s="813"/>
      <c r="SLG128" s="813"/>
      <c r="SLH128" s="813"/>
      <c r="SLI128" s="813"/>
      <c r="SLJ128" s="814"/>
      <c r="SLK128" s="814"/>
      <c r="SLL128" s="814"/>
      <c r="SLM128" s="814"/>
      <c r="SLN128" s="814"/>
      <c r="SLO128" s="814"/>
      <c r="SLP128" s="814"/>
      <c r="SLQ128" s="814"/>
      <c r="SLR128" s="814"/>
      <c r="SLS128" s="813"/>
      <c r="SLT128" s="813"/>
      <c r="SLU128" s="813"/>
      <c r="SLV128" s="813"/>
      <c r="SLW128" s="813"/>
      <c r="SLX128" s="814"/>
      <c r="SLY128" s="814"/>
      <c r="SLZ128" s="814"/>
      <c r="SMA128" s="814"/>
      <c r="SMB128" s="814"/>
      <c r="SMC128" s="814"/>
      <c r="SMD128" s="814"/>
      <c r="SME128" s="814"/>
      <c r="SMF128" s="814"/>
      <c r="SMG128" s="813"/>
      <c r="SMH128" s="813"/>
      <c r="SMI128" s="813"/>
      <c r="SMJ128" s="813"/>
      <c r="SMK128" s="813"/>
      <c r="SML128" s="814"/>
      <c r="SMM128" s="814"/>
      <c r="SMN128" s="814"/>
      <c r="SMO128" s="814"/>
      <c r="SMP128" s="814"/>
      <c r="SMQ128" s="814"/>
      <c r="SMR128" s="814"/>
      <c r="SMS128" s="814"/>
      <c r="SMT128" s="814"/>
      <c r="SMU128" s="813"/>
      <c r="SMV128" s="813"/>
      <c r="SMW128" s="813"/>
      <c r="SMX128" s="813"/>
      <c r="SMY128" s="813"/>
      <c r="SMZ128" s="814"/>
      <c r="SNA128" s="814"/>
      <c r="SNB128" s="814"/>
      <c r="SNC128" s="814"/>
      <c r="SND128" s="814"/>
      <c r="SNE128" s="814"/>
      <c r="SNF128" s="814"/>
      <c r="SNG128" s="814"/>
      <c r="SNH128" s="814"/>
      <c r="SNI128" s="813"/>
      <c r="SNJ128" s="813"/>
      <c r="SNK128" s="813"/>
      <c r="SNL128" s="813"/>
      <c r="SNM128" s="813"/>
      <c r="SNN128" s="814"/>
      <c r="SNO128" s="814"/>
      <c r="SNP128" s="814"/>
      <c r="SNQ128" s="814"/>
      <c r="SNR128" s="814"/>
      <c r="SNS128" s="814"/>
      <c r="SNT128" s="814"/>
      <c r="SNU128" s="814"/>
      <c r="SNV128" s="814"/>
      <c r="SNW128" s="813"/>
      <c r="SNX128" s="813"/>
      <c r="SNY128" s="813"/>
      <c r="SNZ128" s="813"/>
      <c r="SOA128" s="813"/>
      <c r="SOB128" s="814"/>
      <c r="SOC128" s="814"/>
      <c r="SOD128" s="814"/>
      <c r="SOE128" s="814"/>
      <c r="SOF128" s="814"/>
      <c r="SOG128" s="814"/>
      <c r="SOH128" s="814"/>
      <c r="SOI128" s="814"/>
      <c r="SOJ128" s="814"/>
      <c r="SOK128" s="813"/>
      <c r="SOL128" s="813"/>
      <c r="SOM128" s="813"/>
      <c r="SON128" s="813"/>
      <c r="SOO128" s="813"/>
      <c r="SOP128" s="814"/>
      <c r="SOQ128" s="814"/>
      <c r="SOR128" s="814"/>
      <c r="SOS128" s="814"/>
      <c r="SOT128" s="814"/>
      <c r="SOU128" s="814"/>
      <c r="SOV128" s="814"/>
      <c r="SOW128" s="814"/>
      <c r="SOX128" s="814"/>
      <c r="SOY128" s="813"/>
      <c r="SOZ128" s="813"/>
      <c r="SPA128" s="813"/>
      <c r="SPB128" s="813"/>
      <c r="SPC128" s="813"/>
      <c r="SPD128" s="814"/>
      <c r="SPE128" s="814"/>
      <c r="SPF128" s="814"/>
      <c r="SPG128" s="814"/>
      <c r="SPH128" s="814"/>
      <c r="SPI128" s="814"/>
      <c r="SPJ128" s="814"/>
      <c r="SPK128" s="814"/>
      <c r="SPL128" s="814"/>
      <c r="SPM128" s="813"/>
      <c r="SPN128" s="813"/>
      <c r="SPO128" s="813"/>
      <c r="SPP128" s="813"/>
      <c r="SPQ128" s="813"/>
      <c r="SPR128" s="814"/>
      <c r="SPS128" s="814"/>
      <c r="SPT128" s="814"/>
      <c r="SPU128" s="814"/>
      <c r="SPV128" s="814"/>
      <c r="SPW128" s="814"/>
      <c r="SPX128" s="814"/>
      <c r="SPY128" s="814"/>
      <c r="SPZ128" s="814"/>
      <c r="SQA128" s="813"/>
      <c r="SQB128" s="813"/>
      <c r="SQC128" s="813"/>
      <c r="SQD128" s="813"/>
      <c r="SQE128" s="813"/>
      <c r="SQF128" s="814"/>
      <c r="SQG128" s="814"/>
      <c r="SQH128" s="814"/>
      <c r="SQI128" s="814"/>
      <c r="SQJ128" s="814"/>
      <c r="SQK128" s="814"/>
      <c r="SQL128" s="814"/>
      <c r="SQM128" s="814"/>
      <c r="SQN128" s="814"/>
      <c r="SQO128" s="813"/>
      <c r="SQP128" s="813"/>
      <c r="SQQ128" s="813"/>
      <c r="SQR128" s="813"/>
      <c r="SQS128" s="813"/>
      <c r="SQT128" s="814"/>
      <c r="SQU128" s="814"/>
      <c r="SQV128" s="814"/>
      <c r="SQW128" s="814"/>
      <c r="SQX128" s="814"/>
      <c r="SQY128" s="814"/>
      <c r="SQZ128" s="814"/>
      <c r="SRA128" s="814"/>
      <c r="SRB128" s="814"/>
      <c r="SRC128" s="813"/>
      <c r="SRD128" s="813"/>
      <c r="SRE128" s="813"/>
      <c r="SRF128" s="813"/>
      <c r="SRG128" s="813"/>
      <c r="SRH128" s="814"/>
      <c r="SRI128" s="814"/>
      <c r="SRJ128" s="814"/>
      <c r="SRK128" s="814"/>
      <c r="SRL128" s="814"/>
      <c r="SRM128" s="814"/>
      <c r="SRN128" s="814"/>
      <c r="SRO128" s="814"/>
      <c r="SRP128" s="814"/>
      <c r="SRQ128" s="813"/>
      <c r="SRR128" s="813"/>
      <c r="SRS128" s="813"/>
      <c r="SRT128" s="813"/>
      <c r="SRU128" s="813"/>
      <c r="SRV128" s="814"/>
      <c r="SRW128" s="814"/>
      <c r="SRX128" s="814"/>
      <c r="SRY128" s="814"/>
      <c r="SRZ128" s="814"/>
      <c r="SSA128" s="814"/>
      <c r="SSB128" s="814"/>
      <c r="SSC128" s="814"/>
      <c r="SSD128" s="814"/>
      <c r="SSE128" s="813"/>
      <c r="SSF128" s="813"/>
      <c r="SSG128" s="813"/>
      <c r="SSH128" s="813"/>
      <c r="SSI128" s="813"/>
      <c r="SSJ128" s="814"/>
      <c r="SSK128" s="814"/>
      <c r="SSL128" s="814"/>
      <c r="SSM128" s="814"/>
      <c r="SSN128" s="814"/>
      <c r="SSO128" s="814"/>
      <c r="SSP128" s="814"/>
      <c r="SSQ128" s="814"/>
      <c r="SSR128" s="814"/>
      <c r="SSS128" s="813"/>
      <c r="SST128" s="813"/>
      <c r="SSU128" s="813"/>
      <c r="SSV128" s="813"/>
      <c r="SSW128" s="813"/>
      <c r="SSX128" s="814"/>
      <c r="SSY128" s="814"/>
      <c r="SSZ128" s="814"/>
      <c r="STA128" s="814"/>
      <c r="STB128" s="814"/>
      <c r="STC128" s="814"/>
      <c r="STD128" s="814"/>
      <c r="STE128" s="814"/>
      <c r="STF128" s="814"/>
      <c r="STG128" s="813"/>
      <c r="STH128" s="813"/>
      <c r="STI128" s="813"/>
      <c r="STJ128" s="813"/>
      <c r="STK128" s="813"/>
      <c r="STL128" s="814"/>
      <c r="STM128" s="814"/>
      <c r="STN128" s="814"/>
      <c r="STO128" s="814"/>
      <c r="STP128" s="814"/>
      <c r="STQ128" s="814"/>
      <c r="STR128" s="814"/>
      <c r="STS128" s="814"/>
      <c r="STT128" s="814"/>
      <c r="STU128" s="813"/>
      <c r="STV128" s="813"/>
      <c r="STW128" s="813"/>
      <c r="STX128" s="813"/>
      <c r="STY128" s="813"/>
      <c r="STZ128" s="814"/>
      <c r="SUA128" s="814"/>
      <c r="SUB128" s="814"/>
      <c r="SUC128" s="814"/>
      <c r="SUD128" s="814"/>
      <c r="SUE128" s="814"/>
      <c r="SUF128" s="814"/>
      <c r="SUG128" s="814"/>
      <c r="SUH128" s="814"/>
      <c r="SUI128" s="813"/>
      <c r="SUJ128" s="813"/>
      <c r="SUK128" s="813"/>
      <c r="SUL128" s="813"/>
      <c r="SUM128" s="813"/>
      <c r="SUN128" s="814"/>
      <c r="SUO128" s="814"/>
      <c r="SUP128" s="814"/>
      <c r="SUQ128" s="814"/>
      <c r="SUR128" s="814"/>
      <c r="SUS128" s="814"/>
      <c r="SUT128" s="814"/>
      <c r="SUU128" s="814"/>
      <c r="SUV128" s="814"/>
      <c r="SUW128" s="813"/>
      <c r="SUX128" s="813"/>
      <c r="SUY128" s="813"/>
      <c r="SUZ128" s="813"/>
      <c r="SVA128" s="813"/>
      <c r="SVB128" s="814"/>
      <c r="SVC128" s="814"/>
      <c r="SVD128" s="814"/>
      <c r="SVE128" s="814"/>
      <c r="SVF128" s="814"/>
      <c r="SVG128" s="814"/>
      <c r="SVH128" s="814"/>
      <c r="SVI128" s="814"/>
      <c r="SVJ128" s="814"/>
      <c r="SVK128" s="813"/>
      <c r="SVL128" s="813"/>
      <c r="SVM128" s="813"/>
      <c r="SVN128" s="813"/>
      <c r="SVO128" s="813"/>
      <c r="SVP128" s="814"/>
      <c r="SVQ128" s="814"/>
      <c r="SVR128" s="814"/>
      <c r="SVS128" s="814"/>
      <c r="SVT128" s="814"/>
      <c r="SVU128" s="814"/>
      <c r="SVV128" s="814"/>
      <c r="SVW128" s="814"/>
      <c r="SVX128" s="814"/>
      <c r="SVY128" s="813"/>
      <c r="SVZ128" s="813"/>
      <c r="SWA128" s="813"/>
      <c r="SWB128" s="813"/>
      <c r="SWC128" s="813"/>
      <c r="SWD128" s="814"/>
      <c r="SWE128" s="814"/>
      <c r="SWF128" s="814"/>
      <c r="SWG128" s="814"/>
      <c r="SWH128" s="814"/>
      <c r="SWI128" s="814"/>
      <c r="SWJ128" s="814"/>
      <c r="SWK128" s="814"/>
      <c r="SWL128" s="814"/>
      <c r="SWM128" s="813"/>
      <c r="SWN128" s="813"/>
      <c r="SWO128" s="813"/>
      <c r="SWP128" s="813"/>
      <c r="SWQ128" s="813"/>
      <c r="SWR128" s="814"/>
      <c r="SWS128" s="814"/>
      <c r="SWT128" s="814"/>
      <c r="SWU128" s="814"/>
      <c r="SWV128" s="814"/>
      <c r="SWW128" s="814"/>
      <c r="SWX128" s="814"/>
      <c r="SWY128" s="814"/>
      <c r="SWZ128" s="814"/>
      <c r="SXA128" s="813"/>
      <c r="SXB128" s="813"/>
      <c r="SXC128" s="813"/>
      <c r="SXD128" s="813"/>
      <c r="SXE128" s="813"/>
      <c r="SXF128" s="814"/>
      <c r="SXG128" s="814"/>
      <c r="SXH128" s="814"/>
      <c r="SXI128" s="814"/>
      <c r="SXJ128" s="814"/>
      <c r="SXK128" s="814"/>
      <c r="SXL128" s="814"/>
      <c r="SXM128" s="814"/>
      <c r="SXN128" s="814"/>
      <c r="SXO128" s="813"/>
      <c r="SXP128" s="813"/>
      <c r="SXQ128" s="813"/>
      <c r="SXR128" s="813"/>
      <c r="SXS128" s="813"/>
      <c r="SXT128" s="814"/>
      <c r="SXU128" s="814"/>
      <c r="SXV128" s="814"/>
      <c r="SXW128" s="814"/>
      <c r="SXX128" s="814"/>
      <c r="SXY128" s="814"/>
      <c r="SXZ128" s="814"/>
      <c r="SYA128" s="814"/>
      <c r="SYB128" s="814"/>
      <c r="SYC128" s="813"/>
      <c r="SYD128" s="813"/>
      <c r="SYE128" s="813"/>
      <c r="SYF128" s="813"/>
      <c r="SYG128" s="813"/>
      <c r="SYH128" s="814"/>
      <c r="SYI128" s="814"/>
      <c r="SYJ128" s="814"/>
      <c r="SYK128" s="814"/>
      <c r="SYL128" s="814"/>
      <c r="SYM128" s="814"/>
      <c r="SYN128" s="814"/>
      <c r="SYO128" s="814"/>
      <c r="SYP128" s="814"/>
      <c r="SYQ128" s="813"/>
      <c r="SYR128" s="813"/>
      <c r="SYS128" s="813"/>
      <c r="SYT128" s="813"/>
      <c r="SYU128" s="813"/>
      <c r="SYV128" s="814"/>
      <c r="SYW128" s="814"/>
      <c r="SYX128" s="814"/>
      <c r="SYY128" s="814"/>
      <c r="SYZ128" s="814"/>
      <c r="SZA128" s="814"/>
      <c r="SZB128" s="814"/>
      <c r="SZC128" s="814"/>
      <c r="SZD128" s="814"/>
      <c r="SZE128" s="813"/>
      <c r="SZF128" s="813"/>
      <c r="SZG128" s="813"/>
      <c r="SZH128" s="813"/>
      <c r="SZI128" s="813"/>
      <c r="SZJ128" s="814"/>
      <c r="SZK128" s="814"/>
      <c r="SZL128" s="814"/>
      <c r="SZM128" s="814"/>
      <c r="SZN128" s="814"/>
      <c r="SZO128" s="814"/>
      <c r="SZP128" s="814"/>
      <c r="SZQ128" s="814"/>
      <c r="SZR128" s="814"/>
      <c r="SZS128" s="813"/>
      <c r="SZT128" s="813"/>
      <c r="SZU128" s="813"/>
      <c r="SZV128" s="813"/>
      <c r="SZW128" s="813"/>
      <c r="SZX128" s="814"/>
      <c r="SZY128" s="814"/>
      <c r="SZZ128" s="814"/>
      <c r="TAA128" s="814"/>
      <c r="TAB128" s="814"/>
      <c r="TAC128" s="814"/>
      <c r="TAD128" s="814"/>
      <c r="TAE128" s="814"/>
      <c r="TAF128" s="814"/>
      <c r="TAG128" s="813"/>
      <c r="TAH128" s="813"/>
      <c r="TAI128" s="813"/>
      <c r="TAJ128" s="813"/>
      <c r="TAK128" s="813"/>
      <c r="TAL128" s="814"/>
      <c r="TAM128" s="814"/>
      <c r="TAN128" s="814"/>
      <c r="TAO128" s="814"/>
      <c r="TAP128" s="814"/>
      <c r="TAQ128" s="814"/>
      <c r="TAR128" s="814"/>
      <c r="TAS128" s="814"/>
      <c r="TAT128" s="814"/>
      <c r="TAU128" s="813"/>
      <c r="TAV128" s="813"/>
      <c r="TAW128" s="813"/>
      <c r="TAX128" s="813"/>
      <c r="TAY128" s="813"/>
      <c r="TAZ128" s="814"/>
      <c r="TBA128" s="814"/>
      <c r="TBB128" s="814"/>
      <c r="TBC128" s="814"/>
      <c r="TBD128" s="814"/>
      <c r="TBE128" s="814"/>
      <c r="TBF128" s="814"/>
      <c r="TBG128" s="814"/>
      <c r="TBH128" s="814"/>
      <c r="TBI128" s="813"/>
      <c r="TBJ128" s="813"/>
      <c r="TBK128" s="813"/>
      <c r="TBL128" s="813"/>
      <c r="TBM128" s="813"/>
      <c r="TBN128" s="814"/>
      <c r="TBO128" s="814"/>
      <c r="TBP128" s="814"/>
      <c r="TBQ128" s="814"/>
      <c r="TBR128" s="814"/>
      <c r="TBS128" s="814"/>
      <c r="TBT128" s="814"/>
      <c r="TBU128" s="814"/>
      <c r="TBV128" s="814"/>
      <c r="TBW128" s="813"/>
      <c r="TBX128" s="813"/>
      <c r="TBY128" s="813"/>
      <c r="TBZ128" s="813"/>
      <c r="TCA128" s="813"/>
      <c r="TCB128" s="814"/>
      <c r="TCC128" s="814"/>
      <c r="TCD128" s="814"/>
      <c r="TCE128" s="814"/>
      <c r="TCF128" s="814"/>
      <c r="TCG128" s="814"/>
      <c r="TCH128" s="814"/>
      <c r="TCI128" s="814"/>
      <c r="TCJ128" s="814"/>
      <c r="TCK128" s="813"/>
      <c r="TCL128" s="813"/>
      <c r="TCM128" s="813"/>
      <c r="TCN128" s="813"/>
      <c r="TCO128" s="813"/>
      <c r="TCP128" s="814"/>
      <c r="TCQ128" s="814"/>
      <c r="TCR128" s="814"/>
      <c r="TCS128" s="814"/>
      <c r="TCT128" s="814"/>
      <c r="TCU128" s="814"/>
      <c r="TCV128" s="814"/>
      <c r="TCW128" s="814"/>
      <c r="TCX128" s="814"/>
      <c r="TCY128" s="813"/>
      <c r="TCZ128" s="813"/>
      <c r="TDA128" s="813"/>
      <c r="TDB128" s="813"/>
      <c r="TDC128" s="813"/>
      <c r="TDD128" s="814"/>
      <c r="TDE128" s="814"/>
      <c r="TDF128" s="814"/>
      <c r="TDG128" s="814"/>
      <c r="TDH128" s="814"/>
      <c r="TDI128" s="814"/>
      <c r="TDJ128" s="814"/>
      <c r="TDK128" s="814"/>
      <c r="TDL128" s="814"/>
      <c r="TDM128" s="813"/>
      <c r="TDN128" s="813"/>
      <c r="TDO128" s="813"/>
      <c r="TDP128" s="813"/>
      <c r="TDQ128" s="813"/>
      <c r="TDR128" s="814"/>
      <c r="TDS128" s="814"/>
      <c r="TDT128" s="814"/>
      <c r="TDU128" s="814"/>
      <c r="TDV128" s="814"/>
      <c r="TDW128" s="814"/>
      <c r="TDX128" s="814"/>
      <c r="TDY128" s="814"/>
      <c r="TDZ128" s="814"/>
      <c r="TEA128" s="813"/>
      <c r="TEB128" s="813"/>
      <c r="TEC128" s="813"/>
      <c r="TED128" s="813"/>
      <c r="TEE128" s="813"/>
      <c r="TEF128" s="814"/>
      <c r="TEG128" s="814"/>
      <c r="TEH128" s="814"/>
      <c r="TEI128" s="814"/>
      <c r="TEJ128" s="814"/>
      <c r="TEK128" s="814"/>
      <c r="TEL128" s="814"/>
      <c r="TEM128" s="814"/>
      <c r="TEN128" s="814"/>
      <c r="TEO128" s="813"/>
      <c r="TEP128" s="813"/>
      <c r="TEQ128" s="813"/>
      <c r="TER128" s="813"/>
      <c r="TES128" s="813"/>
      <c r="TET128" s="814"/>
      <c r="TEU128" s="814"/>
      <c r="TEV128" s="814"/>
      <c r="TEW128" s="814"/>
      <c r="TEX128" s="814"/>
      <c r="TEY128" s="814"/>
      <c r="TEZ128" s="814"/>
      <c r="TFA128" s="814"/>
      <c r="TFB128" s="814"/>
      <c r="TFC128" s="813"/>
      <c r="TFD128" s="813"/>
      <c r="TFE128" s="813"/>
      <c r="TFF128" s="813"/>
      <c r="TFG128" s="813"/>
      <c r="TFH128" s="814"/>
      <c r="TFI128" s="814"/>
      <c r="TFJ128" s="814"/>
      <c r="TFK128" s="814"/>
      <c r="TFL128" s="814"/>
      <c r="TFM128" s="814"/>
      <c r="TFN128" s="814"/>
      <c r="TFO128" s="814"/>
      <c r="TFP128" s="814"/>
      <c r="TFQ128" s="813"/>
      <c r="TFR128" s="813"/>
      <c r="TFS128" s="813"/>
      <c r="TFT128" s="813"/>
      <c r="TFU128" s="813"/>
      <c r="TFV128" s="814"/>
      <c r="TFW128" s="814"/>
      <c r="TFX128" s="814"/>
      <c r="TFY128" s="814"/>
      <c r="TFZ128" s="814"/>
      <c r="TGA128" s="814"/>
      <c r="TGB128" s="814"/>
      <c r="TGC128" s="814"/>
      <c r="TGD128" s="814"/>
      <c r="TGE128" s="813"/>
      <c r="TGF128" s="813"/>
      <c r="TGG128" s="813"/>
      <c r="TGH128" s="813"/>
      <c r="TGI128" s="813"/>
      <c r="TGJ128" s="814"/>
      <c r="TGK128" s="814"/>
      <c r="TGL128" s="814"/>
      <c r="TGM128" s="814"/>
      <c r="TGN128" s="814"/>
      <c r="TGO128" s="814"/>
      <c r="TGP128" s="814"/>
      <c r="TGQ128" s="814"/>
      <c r="TGR128" s="814"/>
      <c r="TGS128" s="813"/>
      <c r="TGT128" s="813"/>
      <c r="TGU128" s="813"/>
      <c r="TGV128" s="813"/>
      <c r="TGW128" s="813"/>
      <c r="TGX128" s="814"/>
      <c r="TGY128" s="814"/>
      <c r="TGZ128" s="814"/>
      <c r="THA128" s="814"/>
      <c r="THB128" s="814"/>
      <c r="THC128" s="814"/>
      <c r="THD128" s="814"/>
      <c r="THE128" s="814"/>
      <c r="THF128" s="814"/>
      <c r="THG128" s="813"/>
      <c r="THH128" s="813"/>
      <c r="THI128" s="813"/>
      <c r="THJ128" s="813"/>
      <c r="THK128" s="813"/>
      <c r="THL128" s="814"/>
      <c r="THM128" s="814"/>
      <c r="THN128" s="814"/>
      <c r="THO128" s="814"/>
      <c r="THP128" s="814"/>
      <c r="THQ128" s="814"/>
      <c r="THR128" s="814"/>
      <c r="THS128" s="814"/>
      <c r="THT128" s="814"/>
      <c r="THU128" s="813"/>
      <c r="THV128" s="813"/>
      <c r="THW128" s="813"/>
      <c r="THX128" s="813"/>
      <c r="THY128" s="813"/>
      <c r="THZ128" s="814"/>
      <c r="TIA128" s="814"/>
      <c r="TIB128" s="814"/>
      <c r="TIC128" s="814"/>
      <c r="TID128" s="814"/>
      <c r="TIE128" s="814"/>
      <c r="TIF128" s="814"/>
      <c r="TIG128" s="814"/>
      <c r="TIH128" s="814"/>
      <c r="TII128" s="813"/>
      <c r="TIJ128" s="813"/>
      <c r="TIK128" s="813"/>
      <c r="TIL128" s="813"/>
      <c r="TIM128" s="813"/>
      <c r="TIN128" s="814"/>
      <c r="TIO128" s="814"/>
      <c r="TIP128" s="814"/>
      <c r="TIQ128" s="814"/>
      <c r="TIR128" s="814"/>
      <c r="TIS128" s="814"/>
      <c r="TIT128" s="814"/>
      <c r="TIU128" s="814"/>
      <c r="TIV128" s="814"/>
      <c r="TIW128" s="813"/>
      <c r="TIX128" s="813"/>
      <c r="TIY128" s="813"/>
      <c r="TIZ128" s="813"/>
      <c r="TJA128" s="813"/>
      <c r="TJB128" s="814"/>
      <c r="TJC128" s="814"/>
      <c r="TJD128" s="814"/>
      <c r="TJE128" s="814"/>
      <c r="TJF128" s="814"/>
      <c r="TJG128" s="814"/>
      <c r="TJH128" s="814"/>
      <c r="TJI128" s="814"/>
      <c r="TJJ128" s="814"/>
      <c r="TJK128" s="813"/>
      <c r="TJL128" s="813"/>
      <c r="TJM128" s="813"/>
      <c r="TJN128" s="813"/>
      <c r="TJO128" s="813"/>
      <c r="TJP128" s="814"/>
      <c r="TJQ128" s="814"/>
      <c r="TJR128" s="814"/>
      <c r="TJS128" s="814"/>
      <c r="TJT128" s="814"/>
      <c r="TJU128" s="814"/>
      <c r="TJV128" s="814"/>
      <c r="TJW128" s="814"/>
      <c r="TJX128" s="814"/>
      <c r="TJY128" s="813"/>
      <c r="TJZ128" s="813"/>
      <c r="TKA128" s="813"/>
      <c r="TKB128" s="813"/>
      <c r="TKC128" s="813"/>
      <c r="TKD128" s="814"/>
      <c r="TKE128" s="814"/>
      <c r="TKF128" s="814"/>
      <c r="TKG128" s="814"/>
      <c r="TKH128" s="814"/>
      <c r="TKI128" s="814"/>
      <c r="TKJ128" s="814"/>
      <c r="TKK128" s="814"/>
      <c r="TKL128" s="814"/>
      <c r="TKM128" s="813"/>
      <c r="TKN128" s="813"/>
      <c r="TKO128" s="813"/>
      <c r="TKP128" s="813"/>
      <c r="TKQ128" s="813"/>
      <c r="TKR128" s="814"/>
      <c r="TKS128" s="814"/>
      <c r="TKT128" s="814"/>
      <c r="TKU128" s="814"/>
      <c r="TKV128" s="814"/>
      <c r="TKW128" s="814"/>
      <c r="TKX128" s="814"/>
      <c r="TKY128" s="814"/>
      <c r="TKZ128" s="814"/>
      <c r="TLA128" s="813"/>
      <c r="TLB128" s="813"/>
      <c r="TLC128" s="813"/>
      <c r="TLD128" s="813"/>
      <c r="TLE128" s="813"/>
      <c r="TLF128" s="814"/>
      <c r="TLG128" s="814"/>
      <c r="TLH128" s="814"/>
      <c r="TLI128" s="814"/>
      <c r="TLJ128" s="814"/>
      <c r="TLK128" s="814"/>
      <c r="TLL128" s="814"/>
      <c r="TLM128" s="814"/>
      <c r="TLN128" s="814"/>
      <c r="TLO128" s="813"/>
      <c r="TLP128" s="813"/>
      <c r="TLQ128" s="813"/>
      <c r="TLR128" s="813"/>
      <c r="TLS128" s="813"/>
      <c r="TLT128" s="814"/>
      <c r="TLU128" s="814"/>
      <c r="TLV128" s="814"/>
      <c r="TLW128" s="814"/>
      <c r="TLX128" s="814"/>
      <c r="TLY128" s="814"/>
      <c r="TLZ128" s="814"/>
      <c r="TMA128" s="814"/>
      <c r="TMB128" s="814"/>
      <c r="TMC128" s="813"/>
      <c r="TMD128" s="813"/>
      <c r="TME128" s="813"/>
      <c r="TMF128" s="813"/>
      <c r="TMG128" s="813"/>
      <c r="TMH128" s="814"/>
      <c r="TMI128" s="814"/>
      <c r="TMJ128" s="814"/>
      <c r="TMK128" s="814"/>
      <c r="TML128" s="814"/>
      <c r="TMM128" s="814"/>
      <c r="TMN128" s="814"/>
      <c r="TMO128" s="814"/>
      <c r="TMP128" s="814"/>
      <c r="TMQ128" s="813"/>
      <c r="TMR128" s="813"/>
      <c r="TMS128" s="813"/>
      <c r="TMT128" s="813"/>
      <c r="TMU128" s="813"/>
      <c r="TMV128" s="814"/>
      <c r="TMW128" s="814"/>
      <c r="TMX128" s="814"/>
      <c r="TMY128" s="814"/>
      <c r="TMZ128" s="814"/>
      <c r="TNA128" s="814"/>
      <c r="TNB128" s="814"/>
      <c r="TNC128" s="814"/>
      <c r="TND128" s="814"/>
      <c r="TNE128" s="813"/>
      <c r="TNF128" s="813"/>
      <c r="TNG128" s="813"/>
      <c r="TNH128" s="813"/>
      <c r="TNI128" s="813"/>
      <c r="TNJ128" s="814"/>
      <c r="TNK128" s="814"/>
      <c r="TNL128" s="814"/>
      <c r="TNM128" s="814"/>
      <c r="TNN128" s="814"/>
      <c r="TNO128" s="814"/>
      <c r="TNP128" s="814"/>
      <c r="TNQ128" s="814"/>
      <c r="TNR128" s="814"/>
      <c r="TNS128" s="813"/>
      <c r="TNT128" s="813"/>
      <c r="TNU128" s="813"/>
      <c r="TNV128" s="813"/>
      <c r="TNW128" s="813"/>
      <c r="TNX128" s="814"/>
      <c r="TNY128" s="814"/>
      <c r="TNZ128" s="814"/>
      <c r="TOA128" s="814"/>
      <c r="TOB128" s="814"/>
      <c r="TOC128" s="814"/>
      <c r="TOD128" s="814"/>
      <c r="TOE128" s="814"/>
      <c r="TOF128" s="814"/>
      <c r="TOG128" s="813"/>
      <c r="TOH128" s="813"/>
      <c r="TOI128" s="813"/>
      <c r="TOJ128" s="813"/>
      <c r="TOK128" s="813"/>
      <c r="TOL128" s="814"/>
      <c r="TOM128" s="814"/>
      <c r="TON128" s="814"/>
      <c r="TOO128" s="814"/>
      <c r="TOP128" s="814"/>
      <c r="TOQ128" s="814"/>
      <c r="TOR128" s="814"/>
      <c r="TOS128" s="814"/>
      <c r="TOT128" s="814"/>
      <c r="TOU128" s="813"/>
      <c r="TOV128" s="813"/>
      <c r="TOW128" s="813"/>
      <c r="TOX128" s="813"/>
      <c r="TOY128" s="813"/>
      <c r="TOZ128" s="814"/>
      <c r="TPA128" s="814"/>
      <c r="TPB128" s="814"/>
      <c r="TPC128" s="814"/>
      <c r="TPD128" s="814"/>
      <c r="TPE128" s="814"/>
      <c r="TPF128" s="814"/>
      <c r="TPG128" s="814"/>
      <c r="TPH128" s="814"/>
      <c r="TPI128" s="813"/>
      <c r="TPJ128" s="813"/>
      <c r="TPK128" s="813"/>
      <c r="TPL128" s="813"/>
      <c r="TPM128" s="813"/>
      <c r="TPN128" s="814"/>
      <c r="TPO128" s="814"/>
      <c r="TPP128" s="814"/>
      <c r="TPQ128" s="814"/>
      <c r="TPR128" s="814"/>
      <c r="TPS128" s="814"/>
      <c r="TPT128" s="814"/>
      <c r="TPU128" s="814"/>
      <c r="TPV128" s="814"/>
      <c r="TPW128" s="813"/>
      <c r="TPX128" s="813"/>
      <c r="TPY128" s="813"/>
      <c r="TPZ128" s="813"/>
      <c r="TQA128" s="813"/>
      <c r="TQB128" s="814"/>
      <c r="TQC128" s="814"/>
      <c r="TQD128" s="814"/>
      <c r="TQE128" s="814"/>
      <c r="TQF128" s="814"/>
      <c r="TQG128" s="814"/>
      <c r="TQH128" s="814"/>
      <c r="TQI128" s="814"/>
      <c r="TQJ128" s="814"/>
      <c r="TQK128" s="813"/>
      <c r="TQL128" s="813"/>
      <c r="TQM128" s="813"/>
      <c r="TQN128" s="813"/>
      <c r="TQO128" s="813"/>
      <c r="TQP128" s="814"/>
      <c r="TQQ128" s="814"/>
      <c r="TQR128" s="814"/>
      <c r="TQS128" s="814"/>
      <c r="TQT128" s="814"/>
      <c r="TQU128" s="814"/>
      <c r="TQV128" s="814"/>
      <c r="TQW128" s="814"/>
      <c r="TQX128" s="814"/>
      <c r="TQY128" s="813"/>
      <c r="TQZ128" s="813"/>
      <c r="TRA128" s="813"/>
      <c r="TRB128" s="813"/>
      <c r="TRC128" s="813"/>
      <c r="TRD128" s="814"/>
      <c r="TRE128" s="814"/>
      <c r="TRF128" s="814"/>
      <c r="TRG128" s="814"/>
      <c r="TRH128" s="814"/>
      <c r="TRI128" s="814"/>
      <c r="TRJ128" s="814"/>
      <c r="TRK128" s="814"/>
      <c r="TRL128" s="814"/>
      <c r="TRM128" s="813"/>
      <c r="TRN128" s="813"/>
      <c r="TRO128" s="813"/>
      <c r="TRP128" s="813"/>
      <c r="TRQ128" s="813"/>
      <c r="TRR128" s="814"/>
      <c r="TRS128" s="814"/>
      <c r="TRT128" s="814"/>
      <c r="TRU128" s="814"/>
      <c r="TRV128" s="814"/>
      <c r="TRW128" s="814"/>
      <c r="TRX128" s="814"/>
      <c r="TRY128" s="814"/>
      <c r="TRZ128" s="814"/>
      <c r="TSA128" s="813"/>
      <c r="TSB128" s="813"/>
      <c r="TSC128" s="813"/>
      <c r="TSD128" s="813"/>
      <c r="TSE128" s="813"/>
      <c r="TSF128" s="814"/>
      <c r="TSG128" s="814"/>
      <c r="TSH128" s="814"/>
      <c r="TSI128" s="814"/>
      <c r="TSJ128" s="814"/>
      <c r="TSK128" s="814"/>
      <c r="TSL128" s="814"/>
      <c r="TSM128" s="814"/>
      <c r="TSN128" s="814"/>
      <c r="TSO128" s="813"/>
      <c r="TSP128" s="813"/>
      <c r="TSQ128" s="813"/>
      <c r="TSR128" s="813"/>
      <c r="TSS128" s="813"/>
      <c r="TST128" s="814"/>
      <c r="TSU128" s="814"/>
      <c r="TSV128" s="814"/>
      <c r="TSW128" s="814"/>
      <c r="TSX128" s="814"/>
      <c r="TSY128" s="814"/>
      <c r="TSZ128" s="814"/>
      <c r="TTA128" s="814"/>
      <c r="TTB128" s="814"/>
      <c r="TTC128" s="813"/>
      <c r="TTD128" s="813"/>
      <c r="TTE128" s="813"/>
      <c r="TTF128" s="813"/>
      <c r="TTG128" s="813"/>
      <c r="TTH128" s="814"/>
      <c r="TTI128" s="814"/>
      <c r="TTJ128" s="814"/>
      <c r="TTK128" s="814"/>
      <c r="TTL128" s="814"/>
      <c r="TTM128" s="814"/>
      <c r="TTN128" s="814"/>
      <c r="TTO128" s="814"/>
      <c r="TTP128" s="814"/>
      <c r="TTQ128" s="813"/>
      <c r="TTR128" s="813"/>
      <c r="TTS128" s="813"/>
      <c r="TTT128" s="813"/>
      <c r="TTU128" s="813"/>
      <c r="TTV128" s="814"/>
      <c r="TTW128" s="814"/>
      <c r="TTX128" s="814"/>
      <c r="TTY128" s="814"/>
      <c r="TTZ128" s="814"/>
      <c r="TUA128" s="814"/>
      <c r="TUB128" s="814"/>
      <c r="TUC128" s="814"/>
      <c r="TUD128" s="814"/>
      <c r="TUE128" s="813"/>
      <c r="TUF128" s="813"/>
      <c r="TUG128" s="813"/>
      <c r="TUH128" s="813"/>
      <c r="TUI128" s="813"/>
      <c r="TUJ128" s="814"/>
      <c r="TUK128" s="814"/>
      <c r="TUL128" s="814"/>
      <c r="TUM128" s="814"/>
      <c r="TUN128" s="814"/>
      <c r="TUO128" s="814"/>
      <c r="TUP128" s="814"/>
      <c r="TUQ128" s="814"/>
      <c r="TUR128" s="814"/>
      <c r="TUS128" s="813"/>
      <c r="TUT128" s="813"/>
      <c r="TUU128" s="813"/>
      <c r="TUV128" s="813"/>
      <c r="TUW128" s="813"/>
      <c r="TUX128" s="814"/>
      <c r="TUY128" s="814"/>
      <c r="TUZ128" s="814"/>
      <c r="TVA128" s="814"/>
      <c r="TVB128" s="814"/>
      <c r="TVC128" s="814"/>
      <c r="TVD128" s="814"/>
      <c r="TVE128" s="814"/>
      <c r="TVF128" s="814"/>
      <c r="TVG128" s="813"/>
      <c r="TVH128" s="813"/>
      <c r="TVI128" s="813"/>
      <c r="TVJ128" s="813"/>
      <c r="TVK128" s="813"/>
      <c r="TVL128" s="814"/>
      <c r="TVM128" s="814"/>
      <c r="TVN128" s="814"/>
      <c r="TVO128" s="814"/>
      <c r="TVP128" s="814"/>
      <c r="TVQ128" s="814"/>
      <c r="TVR128" s="814"/>
      <c r="TVS128" s="814"/>
      <c r="TVT128" s="814"/>
      <c r="TVU128" s="813"/>
      <c r="TVV128" s="813"/>
      <c r="TVW128" s="813"/>
      <c r="TVX128" s="813"/>
      <c r="TVY128" s="813"/>
      <c r="TVZ128" s="814"/>
      <c r="TWA128" s="814"/>
      <c r="TWB128" s="814"/>
      <c r="TWC128" s="814"/>
      <c r="TWD128" s="814"/>
      <c r="TWE128" s="814"/>
      <c r="TWF128" s="814"/>
      <c r="TWG128" s="814"/>
      <c r="TWH128" s="814"/>
      <c r="TWI128" s="813"/>
      <c r="TWJ128" s="813"/>
      <c r="TWK128" s="813"/>
      <c r="TWL128" s="813"/>
      <c r="TWM128" s="813"/>
      <c r="TWN128" s="814"/>
      <c r="TWO128" s="814"/>
      <c r="TWP128" s="814"/>
      <c r="TWQ128" s="814"/>
      <c r="TWR128" s="814"/>
      <c r="TWS128" s="814"/>
      <c r="TWT128" s="814"/>
      <c r="TWU128" s="814"/>
      <c r="TWV128" s="814"/>
      <c r="TWW128" s="813"/>
      <c r="TWX128" s="813"/>
      <c r="TWY128" s="813"/>
      <c r="TWZ128" s="813"/>
      <c r="TXA128" s="813"/>
      <c r="TXB128" s="814"/>
      <c r="TXC128" s="814"/>
      <c r="TXD128" s="814"/>
      <c r="TXE128" s="814"/>
      <c r="TXF128" s="814"/>
      <c r="TXG128" s="814"/>
      <c r="TXH128" s="814"/>
      <c r="TXI128" s="814"/>
      <c r="TXJ128" s="814"/>
      <c r="TXK128" s="813"/>
      <c r="TXL128" s="813"/>
      <c r="TXM128" s="813"/>
      <c r="TXN128" s="813"/>
      <c r="TXO128" s="813"/>
      <c r="TXP128" s="814"/>
      <c r="TXQ128" s="814"/>
      <c r="TXR128" s="814"/>
      <c r="TXS128" s="814"/>
      <c r="TXT128" s="814"/>
      <c r="TXU128" s="814"/>
      <c r="TXV128" s="814"/>
      <c r="TXW128" s="814"/>
      <c r="TXX128" s="814"/>
      <c r="TXY128" s="813"/>
      <c r="TXZ128" s="813"/>
      <c r="TYA128" s="813"/>
      <c r="TYB128" s="813"/>
      <c r="TYC128" s="813"/>
      <c r="TYD128" s="814"/>
      <c r="TYE128" s="814"/>
      <c r="TYF128" s="814"/>
      <c r="TYG128" s="814"/>
      <c r="TYH128" s="814"/>
      <c r="TYI128" s="814"/>
      <c r="TYJ128" s="814"/>
      <c r="TYK128" s="814"/>
      <c r="TYL128" s="814"/>
      <c r="TYM128" s="813"/>
      <c r="TYN128" s="813"/>
      <c r="TYO128" s="813"/>
      <c r="TYP128" s="813"/>
      <c r="TYQ128" s="813"/>
      <c r="TYR128" s="814"/>
      <c r="TYS128" s="814"/>
      <c r="TYT128" s="814"/>
      <c r="TYU128" s="814"/>
      <c r="TYV128" s="814"/>
      <c r="TYW128" s="814"/>
      <c r="TYX128" s="814"/>
      <c r="TYY128" s="814"/>
      <c r="TYZ128" s="814"/>
      <c r="TZA128" s="813"/>
      <c r="TZB128" s="813"/>
      <c r="TZC128" s="813"/>
      <c r="TZD128" s="813"/>
      <c r="TZE128" s="813"/>
      <c r="TZF128" s="814"/>
      <c r="TZG128" s="814"/>
      <c r="TZH128" s="814"/>
      <c r="TZI128" s="814"/>
      <c r="TZJ128" s="814"/>
      <c r="TZK128" s="814"/>
      <c r="TZL128" s="814"/>
      <c r="TZM128" s="814"/>
      <c r="TZN128" s="814"/>
      <c r="TZO128" s="813"/>
      <c r="TZP128" s="813"/>
      <c r="TZQ128" s="813"/>
      <c r="TZR128" s="813"/>
      <c r="TZS128" s="813"/>
      <c r="TZT128" s="814"/>
      <c r="TZU128" s="814"/>
      <c r="TZV128" s="814"/>
      <c r="TZW128" s="814"/>
      <c r="TZX128" s="814"/>
      <c r="TZY128" s="814"/>
      <c r="TZZ128" s="814"/>
      <c r="UAA128" s="814"/>
      <c r="UAB128" s="814"/>
      <c r="UAC128" s="813"/>
      <c r="UAD128" s="813"/>
      <c r="UAE128" s="813"/>
      <c r="UAF128" s="813"/>
      <c r="UAG128" s="813"/>
      <c r="UAH128" s="814"/>
      <c r="UAI128" s="814"/>
      <c r="UAJ128" s="814"/>
      <c r="UAK128" s="814"/>
      <c r="UAL128" s="814"/>
      <c r="UAM128" s="814"/>
      <c r="UAN128" s="814"/>
      <c r="UAO128" s="814"/>
      <c r="UAP128" s="814"/>
      <c r="UAQ128" s="813"/>
      <c r="UAR128" s="813"/>
      <c r="UAS128" s="813"/>
      <c r="UAT128" s="813"/>
      <c r="UAU128" s="813"/>
      <c r="UAV128" s="814"/>
      <c r="UAW128" s="814"/>
      <c r="UAX128" s="814"/>
      <c r="UAY128" s="814"/>
      <c r="UAZ128" s="814"/>
      <c r="UBA128" s="814"/>
      <c r="UBB128" s="814"/>
      <c r="UBC128" s="814"/>
      <c r="UBD128" s="814"/>
      <c r="UBE128" s="813"/>
      <c r="UBF128" s="813"/>
      <c r="UBG128" s="813"/>
      <c r="UBH128" s="813"/>
      <c r="UBI128" s="813"/>
      <c r="UBJ128" s="814"/>
      <c r="UBK128" s="814"/>
      <c r="UBL128" s="814"/>
      <c r="UBM128" s="814"/>
      <c r="UBN128" s="814"/>
      <c r="UBO128" s="814"/>
      <c r="UBP128" s="814"/>
      <c r="UBQ128" s="814"/>
      <c r="UBR128" s="814"/>
      <c r="UBS128" s="813"/>
      <c r="UBT128" s="813"/>
      <c r="UBU128" s="813"/>
      <c r="UBV128" s="813"/>
      <c r="UBW128" s="813"/>
      <c r="UBX128" s="814"/>
      <c r="UBY128" s="814"/>
      <c r="UBZ128" s="814"/>
      <c r="UCA128" s="814"/>
      <c r="UCB128" s="814"/>
      <c r="UCC128" s="814"/>
      <c r="UCD128" s="814"/>
      <c r="UCE128" s="814"/>
      <c r="UCF128" s="814"/>
      <c r="UCG128" s="813"/>
      <c r="UCH128" s="813"/>
      <c r="UCI128" s="813"/>
      <c r="UCJ128" s="813"/>
      <c r="UCK128" s="813"/>
      <c r="UCL128" s="814"/>
      <c r="UCM128" s="814"/>
      <c r="UCN128" s="814"/>
      <c r="UCO128" s="814"/>
      <c r="UCP128" s="814"/>
      <c r="UCQ128" s="814"/>
      <c r="UCR128" s="814"/>
      <c r="UCS128" s="814"/>
      <c r="UCT128" s="814"/>
      <c r="UCU128" s="813"/>
      <c r="UCV128" s="813"/>
      <c r="UCW128" s="813"/>
      <c r="UCX128" s="813"/>
      <c r="UCY128" s="813"/>
      <c r="UCZ128" s="814"/>
      <c r="UDA128" s="814"/>
      <c r="UDB128" s="814"/>
      <c r="UDC128" s="814"/>
      <c r="UDD128" s="814"/>
      <c r="UDE128" s="814"/>
      <c r="UDF128" s="814"/>
      <c r="UDG128" s="814"/>
      <c r="UDH128" s="814"/>
      <c r="UDI128" s="813"/>
      <c r="UDJ128" s="813"/>
      <c r="UDK128" s="813"/>
      <c r="UDL128" s="813"/>
      <c r="UDM128" s="813"/>
      <c r="UDN128" s="814"/>
      <c r="UDO128" s="814"/>
      <c r="UDP128" s="814"/>
      <c r="UDQ128" s="814"/>
      <c r="UDR128" s="814"/>
      <c r="UDS128" s="814"/>
      <c r="UDT128" s="814"/>
      <c r="UDU128" s="814"/>
      <c r="UDV128" s="814"/>
      <c r="UDW128" s="813"/>
      <c r="UDX128" s="813"/>
      <c r="UDY128" s="813"/>
      <c r="UDZ128" s="813"/>
      <c r="UEA128" s="813"/>
      <c r="UEB128" s="814"/>
      <c r="UEC128" s="814"/>
      <c r="UED128" s="814"/>
      <c r="UEE128" s="814"/>
      <c r="UEF128" s="814"/>
      <c r="UEG128" s="814"/>
      <c r="UEH128" s="814"/>
      <c r="UEI128" s="814"/>
      <c r="UEJ128" s="814"/>
      <c r="UEK128" s="813"/>
      <c r="UEL128" s="813"/>
      <c r="UEM128" s="813"/>
      <c r="UEN128" s="813"/>
      <c r="UEO128" s="813"/>
      <c r="UEP128" s="814"/>
      <c r="UEQ128" s="814"/>
      <c r="UER128" s="814"/>
      <c r="UES128" s="814"/>
      <c r="UET128" s="814"/>
      <c r="UEU128" s="814"/>
      <c r="UEV128" s="814"/>
      <c r="UEW128" s="814"/>
      <c r="UEX128" s="814"/>
      <c r="UEY128" s="813"/>
      <c r="UEZ128" s="813"/>
      <c r="UFA128" s="813"/>
      <c r="UFB128" s="813"/>
      <c r="UFC128" s="813"/>
      <c r="UFD128" s="814"/>
      <c r="UFE128" s="814"/>
      <c r="UFF128" s="814"/>
      <c r="UFG128" s="814"/>
      <c r="UFH128" s="814"/>
      <c r="UFI128" s="814"/>
      <c r="UFJ128" s="814"/>
      <c r="UFK128" s="814"/>
      <c r="UFL128" s="814"/>
      <c r="UFM128" s="813"/>
      <c r="UFN128" s="813"/>
      <c r="UFO128" s="813"/>
      <c r="UFP128" s="813"/>
      <c r="UFQ128" s="813"/>
      <c r="UFR128" s="814"/>
      <c r="UFS128" s="814"/>
      <c r="UFT128" s="814"/>
      <c r="UFU128" s="814"/>
      <c r="UFV128" s="814"/>
      <c r="UFW128" s="814"/>
      <c r="UFX128" s="814"/>
      <c r="UFY128" s="814"/>
      <c r="UFZ128" s="814"/>
      <c r="UGA128" s="813"/>
      <c r="UGB128" s="813"/>
      <c r="UGC128" s="813"/>
      <c r="UGD128" s="813"/>
      <c r="UGE128" s="813"/>
      <c r="UGF128" s="814"/>
      <c r="UGG128" s="814"/>
      <c r="UGH128" s="814"/>
      <c r="UGI128" s="814"/>
      <c r="UGJ128" s="814"/>
      <c r="UGK128" s="814"/>
      <c r="UGL128" s="814"/>
      <c r="UGM128" s="814"/>
      <c r="UGN128" s="814"/>
      <c r="UGO128" s="813"/>
      <c r="UGP128" s="813"/>
      <c r="UGQ128" s="813"/>
      <c r="UGR128" s="813"/>
      <c r="UGS128" s="813"/>
      <c r="UGT128" s="814"/>
      <c r="UGU128" s="814"/>
      <c r="UGV128" s="814"/>
      <c r="UGW128" s="814"/>
      <c r="UGX128" s="814"/>
      <c r="UGY128" s="814"/>
      <c r="UGZ128" s="814"/>
      <c r="UHA128" s="814"/>
      <c r="UHB128" s="814"/>
      <c r="UHC128" s="813"/>
      <c r="UHD128" s="813"/>
      <c r="UHE128" s="813"/>
      <c r="UHF128" s="813"/>
      <c r="UHG128" s="813"/>
      <c r="UHH128" s="814"/>
      <c r="UHI128" s="814"/>
      <c r="UHJ128" s="814"/>
      <c r="UHK128" s="814"/>
      <c r="UHL128" s="814"/>
      <c r="UHM128" s="814"/>
      <c r="UHN128" s="814"/>
      <c r="UHO128" s="814"/>
      <c r="UHP128" s="814"/>
      <c r="UHQ128" s="813"/>
      <c r="UHR128" s="813"/>
      <c r="UHS128" s="813"/>
      <c r="UHT128" s="813"/>
      <c r="UHU128" s="813"/>
      <c r="UHV128" s="814"/>
      <c r="UHW128" s="814"/>
      <c r="UHX128" s="814"/>
      <c r="UHY128" s="814"/>
      <c r="UHZ128" s="814"/>
      <c r="UIA128" s="814"/>
      <c r="UIB128" s="814"/>
      <c r="UIC128" s="814"/>
      <c r="UID128" s="814"/>
      <c r="UIE128" s="813"/>
      <c r="UIF128" s="813"/>
      <c r="UIG128" s="813"/>
      <c r="UIH128" s="813"/>
      <c r="UII128" s="813"/>
      <c r="UIJ128" s="814"/>
      <c r="UIK128" s="814"/>
      <c r="UIL128" s="814"/>
      <c r="UIM128" s="814"/>
      <c r="UIN128" s="814"/>
      <c r="UIO128" s="814"/>
      <c r="UIP128" s="814"/>
      <c r="UIQ128" s="814"/>
      <c r="UIR128" s="814"/>
      <c r="UIS128" s="813"/>
      <c r="UIT128" s="813"/>
      <c r="UIU128" s="813"/>
      <c r="UIV128" s="813"/>
      <c r="UIW128" s="813"/>
      <c r="UIX128" s="814"/>
      <c r="UIY128" s="814"/>
      <c r="UIZ128" s="814"/>
      <c r="UJA128" s="814"/>
      <c r="UJB128" s="814"/>
      <c r="UJC128" s="814"/>
      <c r="UJD128" s="814"/>
      <c r="UJE128" s="814"/>
      <c r="UJF128" s="814"/>
      <c r="UJG128" s="813"/>
      <c r="UJH128" s="813"/>
      <c r="UJI128" s="813"/>
      <c r="UJJ128" s="813"/>
      <c r="UJK128" s="813"/>
      <c r="UJL128" s="814"/>
      <c r="UJM128" s="814"/>
      <c r="UJN128" s="814"/>
      <c r="UJO128" s="814"/>
      <c r="UJP128" s="814"/>
      <c r="UJQ128" s="814"/>
      <c r="UJR128" s="814"/>
      <c r="UJS128" s="814"/>
      <c r="UJT128" s="814"/>
      <c r="UJU128" s="813"/>
      <c r="UJV128" s="813"/>
      <c r="UJW128" s="813"/>
      <c r="UJX128" s="813"/>
      <c r="UJY128" s="813"/>
      <c r="UJZ128" s="814"/>
      <c r="UKA128" s="814"/>
      <c r="UKB128" s="814"/>
      <c r="UKC128" s="814"/>
      <c r="UKD128" s="814"/>
      <c r="UKE128" s="814"/>
      <c r="UKF128" s="814"/>
      <c r="UKG128" s="814"/>
      <c r="UKH128" s="814"/>
      <c r="UKI128" s="813"/>
      <c r="UKJ128" s="813"/>
      <c r="UKK128" s="813"/>
      <c r="UKL128" s="813"/>
      <c r="UKM128" s="813"/>
      <c r="UKN128" s="814"/>
      <c r="UKO128" s="814"/>
      <c r="UKP128" s="814"/>
      <c r="UKQ128" s="814"/>
      <c r="UKR128" s="814"/>
      <c r="UKS128" s="814"/>
      <c r="UKT128" s="814"/>
      <c r="UKU128" s="814"/>
      <c r="UKV128" s="814"/>
      <c r="UKW128" s="813"/>
      <c r="UKX128" s="813"/>
      <c r="UKY128" s="813"/>
      <c r="UKZ128" s="813"/>
      <c r="ULA128" s="813"/>
      <c r="ULB128" s="814"/>
      <c r="ULC128" s="814"/>
      <c r="ULD128" s="814"/>
      <c r="ULE128" s="814"/>
      <c r="ULF128" s="814"/>
      <c r="ULG128" s="814"/>
      <c r="ULH128" s="814"/>
      <c r="ULI128" s="814"/>
      <c r="ULJ128" s="814"/>
      <c r="ULK128" s="813"/>
      <c r="ULL128" s="813"/>
      <c r="ULM128" s="813"/>
      <c r="ULN128" s="813"/>
      <c r="ULO128" s="813"/>
      <c r="ULP128" s="814"/>
      <c r="ULQ128" s="814"/>
      <c r="ULR128" s="814"/>
      <c r="ULS128" s="814"/>
      <c r="ULT128" s="814"/>
      <c r="ULU128" s="814"/>
      <c r="ULV128" s="814"/>
      <c r="ULW128" s="814"/>
      <c r="ULX128" s="814"/>
      <c r="ULY128" s="813"/>
      <c r="ULZ128" s="813"/>
      <c r="UMA128" s="813"/>
      <c r="UMB128" s="813"/>
      <c r="UMC128" s="813"/>
      <c r="UMD128" s="814"/>
      <c r="UME128" s="814"/>
      <c r="UMF128" s="814"/>
      <c r="UMG128" s="814"/>
      <c r="UMH128" s="814"/>
      <c r="UMI128" s="814"/>
      <c r="UMJ128" s="814"/>
      <c r="UMK128" s="814"/>
      <c r="UML128" s="814"/>
      <c r="UMM128" s="813"/>
      <c r="UMN128" s="813"/>
      <c r="UMO128" s="813"/>
      <c r="UMP128" s="813"/>
      <c r="UMQ128" s="813"/>
      <c r="UMR128" s="814"/>
      <c r="UMS128" s="814"/>
      <c r="UMT128" s="814"/>
      <c r="UMU128" s="814"/>
      <c r="UMV128" s="814"/>
      <c r="UMW128" s="814"/>
      <c r="UMX128" s="814"/>
      <c r="UMY128" s="814"/>
      <c r="UMZ128" s="814"/>
      <c r="UNA128" s="813"/>
      <c r="UNB128" s="813"/>
      <c r="UNC128" s="813"/>
      <c r="UND128" s="813"/>
      <c r="UNE128" s="813"/>
      <c r="UNF128" s="814"/>
      <c r="UNG128" s="814"/>
      <c r="UNH128" s="814"/>
      <c r="UNI128" s="814"/>
      <c r="UNJ128" s="814"/>
      <c r="UNK128" s="814"/>
      <c r="UNL128" s="814"/>
      <c r="UNM128" s="814"/>
      <c r="UNN128" s="814"/>
      <c r="UNO128" s="813"/>
      <c r="UNP128" s="813"/>
      <c r="UNQ128" s="813"/>
      <c r="UNR128" s="813"/>
      <c r="UNS128" s="813"/>
      <c r="UNT128" s="814"/>
      <c r="UNU128" s="814"/>
      <c r="UNV128" s="814"/>
      <c r="UNW128" s="814"/>
      <c r="UNX128" s="814"/>
      <c r="UNY128" s="814"/>
      <c r="UNZ128" s="814"/>
      <c r="UOA128" s="814"/>
      <c r="UOB128" s="814"/>
      <c r="UOC128" s="813"/>
      <c r="UOD128" s="813"/>
      <c r="UOE128" s="813"/>
      <c r="UOF128" s="813"/>
      <c r="UOG128" s="813"/>
      <c r="UOH128" s="814"/>
      <c r="UOI128" s="814"/>
      <c r="UOJ128" s="814"/>
      <c r="UOK128" s="814"/>
      <c r="UOL128" s="814"/>
      <c r="UOM128" s="814"/>
      <c r="UON128" s="814"/>
      <c r="UOO128" s="814"/>
      <c r="UOP128" s="814"/>
      <c r="UOQ128" s="813"/>
      <c r="UOR128" s="813"/>
      <c r="UOS128" s="813"/>
      <c r="UOT128" s="813"/>
      <c r="UOU128" s="813"/>
      <c r="UOV128" s="814"/>
      <c r="UOW128" s="814"/>
      <c r="UOX128" s="814"/>
      <c r="UOY128" s="814"/>
      <c r="UOZ128" s="814"/>
      <c r="UPA128" s="814"/>
      <c r="UPB128" s="814"/>
      <c r="UPC128" s="814"/>
      <c r="UPD128" s="814"/>
      <c r="UPE128" s="813"/>
      <c r="UPF128" s="813"/>
      <c r="UPG128" s="813"/>
      <c r="UPH128" s="813"/>
      <c r="UPI128" s="813"/>
      <c r="UPJ128" s="814"/>
      <c r="UPK128" s="814"/>
      <c r="UPL128" s="814"/>
      <c r="UPM128" s="814"/>
      <c r="UPN128" s="814"/>
      <c r="UPO128" s="814"/>
      <c r="UPP128" s="814"/>
      <c r="UPQ128" s="814"/>
      <c r="UPR128" s="814"/>
      <c r="UPS128" s="813"/>
      <c r="UPT128" s="813"/>
      <c r="UPU128" s="813"/>
      <c r="UPV128" s="813"/>
      <c r="UPW128" s="813"/>
      <c r="UPX128" s="814"/>
      <c r="UPY128" s="814"/>
      <c r="UPZ128" s="814"/>
      <c r="UQA128" s="814"/>
      <c r="UQB128" s="814"/>
      <c r="UQC128" s="814"/>
      <c r="UQD128" s="814"/>
      <c r="UQE128" s="814"/>
      <c r="UQF128" s="814"/>
      <c r="UQG128" s="813"/>
      <c r="UQH128" s="813"/>
      <c r="UQI128" s="813"/>
      <c r="UQJ128" s="813"/>
      <c r="UQK128" s="813"/>
      <c r="UQL128" s="814"/>
      <c r="UQM128" s="814"/>
      <c r="UQN128" s="814"/>
      <c r="UQO128" s="814"/>
      <c r="UQP128" s="814"/>
      <c r="UQQ128" s="814"/>
      <c r="UQR128" s="814"/>
      <c r="UQS128" s="814"/>
      <c r="UQT128" s="814"/>
      <c r="UQU128" s="813"/>
      <c r="UQV128" s="813"/>
      <c r="UQW128" s="813"/>
      <c r="UQX128" s="813"/>
      <c r="UQY128" s="813"/>
      <c r="UQZ128" s="814"/>
      <c r="URA128" s="814"/>
      <c r="URB128" s="814"/>
      <c r="URC128" s="814"/>
      <c r="URD128" s="814"/>
      <c r="URE128" s="814"/>
      <c r="URF128" s="814"/>
      <c r="URG128" s="814"/>
      <c r="URH128" s="814"/>
      <c r="URI128" s="813"/>
      <c r="URJ128" s="813"/>
      <c r="URK128" s="813"/>
      <c r="URL128" s="813"/>
      <c r="URM128" s="813"/>
      <c r="URN128" s="814"/>
      <c r="URO128" s="814"/>
      <c r="URP128" s="814"/>
      <c r="URQ128" s="814"/>
      <c r="URR128" s="814"/>
      <c r="URS128" s="814"/>
      <c r="URT128" s="814"/>
      <c r="URU128" s="814"/>
      <c r="URV128" s="814"/>
      <c r="URW128" s="813"/>
      <c r="URX128" s="813"/>
      <c r="URY128" s="813"/>
      <c r="URZ128" s="813"/>
      <c r="USA128" s="813"/>
      <c r="USB128" s="814"/>
      <c r="USC128" s="814"/>
      <c r="USD128" s="814"/>
      <c r="USE128" s="814"/>
      <c r="USF128" s="814"/>
      <c r="USG128" s="814"/>
      <c r="USH128" s="814"/>
      <c r="USI128" s="814"/>
      <c r="USJ128" s="814"/>
      <c r="USK128" s="813"/>
      <c r="USL128" s="813"/>
      <c r="USM128" s="813"/>
      <c r="USN128" s="813"/>
      <c r="USO128" s="813"/>
      <c r="USP128" s="814"/>
      <c r="USQ128" s="814"/>
      <c r="USR128" s="814"/>
      <c r="USS128" s="814"/>
      <c r="UST128" s="814"/>
      <c r="USU128" s="814"/>
      <c r="USV128" s="814"/>
      <c r="USW128" s="814"/>
      <c r="USX128" s="814"/>
      <c r="USY128" s="813"/>
      <c r="USZ128" s="813"/>
      <c r="UTA128" s="813"/>
      <c r="UTB128" s="813"/>
      <c r="UTC128" s="813"/>
      <c r="UTD128" s="814"/>
      <c r="UTE128" s="814"/>
      <c r="UTF128" s="814"/>
      <c r="UTG128" s="814"/>
      <c r="UTH128" s="814"/>
      <c r="UTI128" s="814"/>
      <c r="UTJ128" s="814"/>
      <c r="UTK128" s="814"/>
      <c r="UTL128" s="814"/>
      <c r="UTM128" s="813"/>
      <c r="UTN128" s="813"/>
      <c r="UTO128" s="813"/>
      <c r="UTP128" s="813"/>
      <c r="UTQ128" s="813"/>
      <c r="UTR128" s="814"/>
      <c r="UTS128" s="814"/>
      <c r="UTT128" s="814"/>
      <c r="UTU128" s="814"/>
      <c r="UTV128" s="814"/>
      <c r="UTW128" s="814"/>
      <c r="UTX128" s="814"/>
      <c r="UTY128" s="814"/>
      <c r="UTZ128" s="814"/>
      <c r="UUA128" s="813"/>
      <c r="UUB128" s="813"/>
      <c r="UUC128" s="813"/>
      <c r="UUD128" s="813"/>
      <c r="UUE128" s="813"/>
      <c r="UUF128" s="814"/>
      <c r="UUG128" s="814"/>
      <c r="UUH128" s="814"/>
      <c r="UUI128" s="814"/>
      <c r="UUJ128" s="814"/>
      <c r="UUK128" s="814"/>
      <c r="UUL128" s="814"/>
      <c r="UUM128" s="814"/>
      <c r="UUN128" s="814"/>
      <c r="UUO128" s="813"/>
      <c r="UUP128" s="813"/>
      <c r="UUQ128" s="813"/>
      <c r="UUR128" s="813"/>
      <c r="UUS128" s="813"/>
      <c r="UUT128" s="814"/>
      <c r="UUU128" s="814"/>
      <c r="UUV128" s="814"/>
      <c r="UUW128" s="814"/>
      <c r="UUX128" s="814"/>
      <c r="UUY128" s="814"/>
      <c r="UUZ128" s="814"/>
      <c r="UVA128" s="814"/>
      <c r="UVB128" s="814"/>
      <c r="UVC128" s="813"/>
      <c r="UVD128" s="813"/>
      <c r="UVE128" s="813"/>
      <c r="UVF128" s="813"/>
      <c r="UVG128" s="813"/>
      <c r="UVH128" s="814"/>
      <c r="UVI128" s="814"/>
      <c r="UVJ128" s="814"/>
      <c r="UVK128" s="814"/>
      <c r="UVL128" s="814"/>
      <c r="UVM128" s="814"/>
      <c r="UVN128" s="814"/>
      <c r="UVO128" s="814"/>
      <c r="UVP128" s="814"/>
      <c r="UVQ128" s="813"/>
      <c r="UVR128" s="813"/>
      <c r="UVS128" s="813"/>
      <c r="UVT128" s="813"/>
      <c r="UVU128" s="813"/>
      <c r="UVV128" s="814"/>
      <c r="UVW128" s="814"/>
      <c r="UVX128" s="814"/>
      <c r="UVY128" s="814"/>
      <c r="UVZ128" s="814"/>
      <c r="UWA128" s="814"/>
      <c r="UWB128" s="814"/>
      <c r="UWC128" s="814"/>
      <c r="UWD128" s="814"/>
      <c r="UWE128" s="813"/>
      <c r="UWF128" s="813"/>
      <c r="UWG128" s="813"/>
      <c r="UWH128" s="813"/>
      <c r="UWI128" s="813"/>
      <c r="UWJ128" s="814"/>
      <c r="UWK128" s="814"/>
      <c r="UWL128" s="814"/>
      <c r="UWM128" s="814"/>
      <c r="UWN128" s="814"/>
      <c r="UWO128" s="814"/>
      <c r="UWP128" s="814"/>
      <c r="UWQ128" s="814"/>
      <c r="UWR128" s="814"/>
      <c r="UWS128" s="813"/>
      <c r="UWT128" s="813"/>
      <c r="UWU128" s="813"/>
      <c r="UWV128" s="813"/>
      <c r="UWW128" s="813"/>
      <c r="UWX128" s="814"/>
      <c r="UWY128" s="814"/>
      <c r="UWZ128" s="814"/>
      <c r="UXA128" s="814"/>
      <c r="UXB128" s="814"/>
      <c r="UXC128" s="814"/>
      <c r="UXD128" s="814"/>
      <c r="UXE128" s="814"/>
      <c r="UXF128" s="814"/>
      <c r="UXG128" s="813"/>
      <c r="UXH128" s="813"/>
      <c r="UXI128" s="813"/>
      <c r="UXJ128" s="813"/>
      <c r="UXK128" s="813"/>
      <c r="UXL128" s="814"/>
      <c r="UXM128" s="814"/>
      <c r="UXN128" s="814"/>
      <c r="UXO128" s="814"/>
      <c r="UXP128" s="814"/>
      <c r="UXQ128" s="814"/>
      <c r="UXR128" s="814"/>
      <c r="UXS128" s="814"/>
      <c r="UXT128" s="814"/>
      <c r="UXU128" s="813"/>
      <c r="UXV128" s="813"/>
      <c r="UXW128" s="813"/>
      <c r="UXX128" s="813"/>
      <c r="UXY128" s="813"/>
      <c r="UXZ128" s="814"/>
      <c r="UYA128" s="814"/>
      <c r="UYB128" s="814"/>
      <c r="UYC128" s="814"/>
      <c r="UYD128" s="814"/>
      <c r="UYE128" s="814"/>
      <c r="UYF128" s="814"/>
      <c r="UYG128" s="814"/>
      <c r="UYH128" s="814"/>
      <c r="UYI128" s="813"/>
      <c r="UYJ128" s="813"/>
      <c r="UYK128" s="813"/>
      <c r="UYL128" s="813"/>
      <c r="UYM128" s="813"/>
      <c r="UYN128" s="814"/>
      <c r="UYO128" s="814"/>
      <c r="UYP128" s="814"/>
      <c r="UYQ128" s="814"/>
      <c r="UYR128" s="814"/>
      <c r="UYS128" s="814"/>
      <c r="UYT128" s="814"/>
      <c r="UYU128" s="814"/>
      <c r="UYV128" s="814"/>
      <c r="UYW128" s="813"/>
      <c r="UYX128" s="813"/>
      <c r="UYY128" s="813"/>
      <c r="UYZ128" s="813"/>
      <c r="UZA128" s="813"/>
      <c r="UZB128" s="814"/>
      <c r="UZC128" s="814"/>
      <c r="UZD128" s="814"/>
      <c r="UZE128" s="814"/>
      <c r="UZF128" s="814"/>
      <c r="UZG128" s="814"/>
      <c r="UZH128" s="814"/>
      <c r="UZI128" s="814"/>
      <c r="UZJ128" s="814"/>
      <c r="UZK128" s="813"/>
      <c r="UZL128" s="813"/>
      <c r="UZM128" s="813"/>
      <c r="UZN128" s="813"/>
      <c r="UZO128" s="813"/>
      <c r="UZP128" s="814"/>
      <c r="UZQ128" s="814"/>
      <c r="UZR128" s="814"/>
      <c r="UZS128" s="814"/>
      <c r="UZT128" s="814"/>
      <c r="UZU128" s="814"/>
      <c r="UZV128" s="814"/>
      <c r="UZW128" s="814"/>
      <c r="UZX128" s="814"/>
      <c r="UZY128" s="813"/>
      <c r="UZZ128" s="813"/>
      <c r="VAA128" s="813"/>
      <c r="VAB128" s="813"/>
      <c r="VAC128" s="813"/>
      <c r="VAD128" s="814"/>
      <c r="VAE128" s="814"/>
      <c r="VAF128" s="814"/>
      <c r="VAG128" s="814"/>
      <c r="VAH128" s="814"/>
      <c r="VAI128" s="814"/>
      <c r="VAJ128" s="814"/>
      <c r="VAK128" s="814"/>
      <c r="VAL128" s="814"/>
      <c r="VAM128" s="813"/>
      <c r="VAN128" s="813"/>
      <c r="VAO128" s="813"/>
      <c r="VAP128" s="813"/>
      <c r="VAQ128" s="813"/>
      <c r="VAR128" s="814"/>
      <c r="VAS128" s="814"/>
      <c r="VAT128" s="814"/>
      <c r="VAU128" s="814"/>
      <c r="VAV128" s="814"/>
      <c r="VAW128" s="814"/>
      <c r="VAX128" s="814"/>
      <c r="VAY128" s="814"/>
      <c r="VAZ128" s="814"/>
      <c r="VBA128" s="813"/>
      <c r="VBB128" s="813"/>
      <c r="VBC128" s="813"/>
      <c r="VBD128" s="813"/>
      <c r="VBE128" s="813"/>
      <c r="VBF128" s="814"/>
      <c r="VBG128" s="814"/>
      <c r="VBH128" s="814"/>
      <c r="VBI128" s="814"/>
      <c r="VBJ128" s="814"/>
      <c r="VBK128" s="814"/>
      <c r="VBL128" s="814"/>
      <c r="VBM128" s="814"/>
      <c r="VBN128" s="814"/>
      <c r="VBO128" s="813"/>
      <c r="VBP128" s="813"/>
      <c r="VBQ128" s="813"/>
      <c r="VBR128" s="813"/>
      <c r="VBS128" s="813"/>
      <c r="VBT128" s="814"/>
      <c r="VBU128" s="814"/>
      <c r="VBV128" s="814"/>
      <c r="VBW128" s="814"/>
      <c r="VBX128" s="814"/>
      <c r="VBY128" s="814"/>
      <c r="VBZ128" s="814"/>
      <c r="VCA128" s="814"/>
      <c r="VCB128" s="814"/>
      <c r="VCC128" s="813"/>
      <c r="VCD128" s="813"/>
      <c r="VCE128" s="813"/>
      <c r="VCF128" s="813"/>
      <c r="VCG128" s="813"/>
      <c r="VCH128" s="814"/>
      <c r="VCI128" s="814"/>
      <c r="VCJ128" s="814"/>
      <c r="VCK128" s="814"/>
      <c r="VCL128" s="814"/>
      <c r="VCM128" s="814"/>
      <c r="VCN128" s="814"/>
      <c r="VCO128" s="814"/>
      <c r="VCP128" s="814"/>
      <c r="VCQ128" s="813"/>
      <c r="VCR128" s="813"/>
      <c r="VCS128" s="813"/>
      <c r="VCT128" s="813"/>
      <c r="VCU128" s="813"/>
      <c r="VCV128" s="814"/>
      <c r="VCW128" s="814"/>
      <c r="VCX128" s="814"/>
      <c r="VCY128" s="814"/>
      <c r="VCZ128" s="814"/>
      <c r="VDA128" s="814"/>
      <c r="VDB128" s="814"/>
      <c r="VDC128" s="814"/>
      <c r="VDD128" s="814"/>
      <c r="VDE128" s="813"/>
      <c r="VDF128" s="813"/>
      <c r="VDG128" s="813"/>
      <c r="VDH128" s="813"/>
      <c r="VDI128" s="813"/>
      <c r="VDJ128" s="814"/>
      <c r="VDK128" s="814"/>
      <c r="VDL128" s="814"/>
      <c r="VDM128" s="814"/>
      <c r="VDN128" s="814"/>
      <c r="VDO128" s="814"/>
      <c r="VDP128" s="814"/>
      <c r="VDQ128" s="814"/>
      <c r="VDR128" s="814"/>
      <c r="VDS128" s="813"/>
      <c r="VDT128" s="813"/>
      <c r="VDU128" s="813"/>
      <c r="VDV128" s="813"/>
      <c r="VDW128" s="813"/>
      <c r="VDX128" s="814"/>
      <c r="VDY128" s="814"/>
      <c r="VDZ128" s="814"/>
      <c r="VEA128" s="814"/>
      <c r="VEB128" s="814"/>
      <c r="VEC128" s="814"/>
      <c r="VED128" s="814"/>
      <c r="VEE128" s="814"/>
      <c r="VEF128" s="814"/>
      <c r="VEG128" s="813"/>
      <c r="VEH128" s="813"/>
      <c r="VEI128" s="813"/>
      <c r="VEJ128" s="813"/>
      <c r="VEK128" s="813"/>
      <c r="VEL128" s="814"/>
      <c r="VEM128" s="814"/>
      <c r="VEN128" s="814"/>
      <c r="VEO128" s="814"/>
      <c r="VEP128" s="814"/>
      <c r="VEQ128" s="814"/>
      <c r="VER128" s="814"/>
      <c r="VES128" s="814"/>
      <c r="VET128" s="814"/>
      <c r="VEU128" s="813"/>
      <c r="VEV128" s="813"/>
      <c r="VEW128" s="813"/>
      <c r="VEX128" s="813"/>
      <c r="VEY128" s="813"/>
      <c r="VEZ128" s="814"/>
      <c r="VFA128" s="814"/>
      <c r="VFB128" s="814"/>
      <c r="VFC128" s="814"/>
      <c r="VFD128" s="814"/>
      <c r="VFE128" s="814"/>
      <c r="VFF128" s="814"/>
      <c r="VFG128" s="814"/>
      <c r="VFH128" s="814"/>
      <c r="VFI128" s="813"/>
      <c r="VFJ128" s="813"/>
      <c r="VFK128" s="813"/>
      <c r="VFL128" s="813"/>
      <c r="VFM128" s="813"/>
      <c r="VFN128" s="814"/>
      <c r="VFO128" s="814"/>
      <c r="VFP128" s="814"/>
      <c r="VFQ128" s="814"/>
      <c r="VFR128" s="814"/>
      <c r="VFS128" s="814"/>
      <c r="VFT128" s="814"/>
      <c r="VFU128" s="814"/>
      <c r="VFV128" s="814"/>
      <c r="VFW128" s="813"/>
      <c r="VFX128" s="813"/>
      <c r="VFY128" s="813"/>
      <c r="VFZ128" s="813"/>
      <c r="VGA128" s="813"/>
      <c r="VGB128" s="814"/>
      <c r="VGC128" s="814"/>
      <c r="VGD128" s="814"/>
      <c r="VGE128" s="814"/>
      <c r="VGF128" s="814"/>
      <c r="VGG128" s="814"/>
      <c r="VGH128" s="814"/>
      <c r="VGI128" s="814"/>
      <c r="VGJ128" s="814"/>
      <c r="VGK128" s="813"/>
      <c r="VGL128" s="813"/>
      <c r="VGM128" s="813"/>
      <c r="VGN128" s="813"/>
      <c r="VGO128" s="813"/>
      <c r="VGP128" s="814"/>
      <c r="VGQ128" s="814"/>
      <c r="VGR128" s="814"/>
      <c r="VGS128" s="814"/>
      <c r="VGT128" s="814"/>
      <c r="VGU128" s="814"/>
      <c r="VGV128" s="814"/>
      <c r="VGW128" s="814"/>
      <c r="VGX128" s="814"/>
      <c r="VGY128" s="813"/>
      <c r="VGZ128" s="813"/>
      <c r="VHA128" s="813"/>
      <c r="VHB128" s="813"/>
      <c r="VHC128" s="813"/>
      <c r="VHD128" s="814"/>
      <c r="VHE128" s="814"/>
      <c r="VHF128" s="814"/>
      <c r="VHG128" s="814"/>
      <c r="VHH128" s="814"/>
      <c r="VHI128" s="814"/>
      <c r="VHJ128" s="814"/>
      <c r="VHK128" s="814"/>
      <c r="VHL128" s="814"/>
      <c r="VHM128" s="813"/>
      <c r="VHN128" s="813"/>
      <c r="VHO128" s="813"/>
      <c r="VHP128" s="813"/>
      <c r="VHQ128" s="813"/>
      <c r="VHR128" s="814"/>
      <c r="VHS128" s="814"/>
      <c r="VHT128" s="814"/>
      <c r="VHU128" s="814"/>
      <c r="VHV128" s="814"/>
      <c r="VHW128" s="814"/>
      <c r="VHX128" s="814"/>
      <c r="VHY128" s="814"/>
      <c r="VHZ128" s="814"/>
      <c r="VIA128" s="813"/>
      <c r="VIB128" s="813"/>
      <c r="VIC128" s="813"/>
      <c r="VID128" s="813"/>
      <c r="VIE128" s="813"/>
      <c r="VIF128" s="814"/>
      <c r="VIG128" s="814"/>
      <c r="VIH128" s="814"/>
      <c r="VII128" s="814"/>
      <c r="VIJ128" s="814"/>
      <c r="VIK128" s="814"/>
      <c r="VIL128" s="814"/>
      <c r="VIM128" s="814"/>
      <c r="VIN128" s="814"/>
      <c r="VIO128" s="813"/>
      <c r="VIP128" s="813"/>
      <c r="VIQ128" s="813"/>
      <c r="VIR128" s="813"/>
      <c r="VIS128" s="813"/>
      <c r="VIT128" s="814"/>
      <c r="VIU128" s="814"/>
      <c r="VIV128" s="814"/>
      <c r="VIW128" s="814"/>
      <c r="VIX128" s="814"/>
      <c r="VIY128" s="814"/>
      <c r="VIZ128" s="814"/>
      <c r="VJA128" s="814"/>
      <c r="VJB128" s="814"/>
      <c r="VJC128" s="813"/>
      <c r="VJD128" s="813"/>
      <c r="VJE128" s="813"/>
      <c r="VJF128" s="813"/>
      <c r="VJG128" s="813"/>
      <c r="VJH128" s="814"/>
      <c r="VJI128" s="814"/>
      <c r="VJJ128" s="814"/>
      <c r="VJK128" s="814"/>
      <c r="VJL128" s="814"/>
      <c r="VJM128" s="814"/>
      <c r="VJN128" s="814"/>
      <c r="VJO128" s="814"/>
      <c r="VJP128" s="814"/>
      <c r="VJQ128" s="813"/>
      <c r="VJR128" s="813"/>
      <c r="VJS128" s="813"/>
      <c r="VJT128" s="813"/>
      <c r="VJU128" s="813"/>
      <c r="VJV128" s="814"/>
      <c r="VJW128" s="814"/>
      <c r="VJX128" s="814"/>
      <c r="VJY128" s="814"/>
      <c r="VJZ128" s="814"/>
      <c r="VKA128" s="814"/>
      <c r="VKB128" s="814"/>
      <c r="VKC128" s="814"/>
      <c r="VKD128" s="814"/>
      <c r="VKE128" s="813"/>
      <c r="VKF128" s="813"/>
      <c r="VKG128" s="813"/>
      <c r="VKH128" s="813"/>
      <c r="VKI128" s="813"/>
      <c r="VKJ128" s="814"/>
      <c r="VKK128" s="814"/>
      <c r="VKL128" s="814"/>
      <c r="VKM128" s="814"/>
      <c r="VKN128" s="814"/>
      <c r="VKO128" s="814"/>
      <c r="VKP128" s="814"/>
      <c r="VKQ128" s="814"/>
      <c r="VKR128" s="814"/>
      <c r="VKS128" s="813"/>
      <c r="VKT128" s="813"/>
      <c r="VKU128" s="813"/>
      <c r="VKV128" s="813"/>
      <c r="VKW128" s="813"/>
      <c r="VKX128" s="814"/>
      <c r="VKY128" s="814"/>
      <c r="VKZ128" s="814"/>
      <c r="VLA128" s="814"/>
      <c r="VLB128" s="814"/>
      <c r="VLC128" s="814"/>
      <c r="VLD128" s="814"/>
      <c r="VLE128" s="814"/>
      <c r="VLF128" s="814"/>
      <c r="VLG128" s="813"/>
      <c r="VLH128" s="813"/>
      <c r="VLI128" s="813"/>
      <c r="VLJ128" s="813"/>
      <c r="VLK128" s="813"/>
      <c r="VLL128" s="814"/>
      <c r="VLM128" s="814"/>
      <c r="VLN128" s="814"/>
      <c r="VLO128" s="814"/>
      <c r="VLP128" s="814"/>
      <c r="VLQ128" s="814"/>
      <c r="VLR128" s="814"/>
      <c r="VLS128" s="814"/>
      <c r="VLT128" s="814"/>
      <c r="VLU128" s="813"/>
      <c r="VLV128" s="813"/>
      <c r="VLW128" s="813"/>
      <c r="VLX128" s="813"/>
      <c r="VLY128" s="813"/>
      <c r="VLZ128" s="814"/>
      <c r="VMA128" s="814"/>
      <c r="VMB128" s="814"/>
      <c r="VMC128" s="814"/>
      <c r="VMD128" s="814"/>
      <c r="VME128" s="814"/>
      <c r="VMF128" s="814"/>
      <c r="VMG128" s="814"/>
      <c r="VMH128" s="814"/>
      <c r="VMI128" s="813"/>
      <c r="VMJ128" s="813"/>
      <c r="VMK128" s="813"/>
      <c r="VML128" s="813"/>
      <c r="VMM128" s="813"/>
      <c r="VMN128" s="814"/>
      <c r="VMO128" s="814"/>
      <c r="VMP128" s="814"/>
      <c r="VMQ128" s="814"/>
      <c r="VMR128" s="814"/>
      <c r="VMS128" s="814"/>
      <c r="VMT128" s="814"/>
      <c r="VMU128" s="814"/>
      <c r="VMV128" s="814"/>
      <c r="VMW128" s="813"/>
      <c r="VMX128" s="813"/>
      <c r="VMY128" s="813"/>
      <c r="VMZ128" s="813"/>
      <c r="VNA128" s="813"/>
      <c r="VNB128" s="814"/>
      <c r="VNC128" s="814"/>
      <c r="VND128" s="814"/>
      <c r="VNE128" s="814"/>
      <c r="VNF128" s="814"/>
      <c r="VNG128" s="814"/>
      <c r="VNH128" s="814"/>
      <c r="VNI128" s="814"/>
      <c r="VNJ128" s="814"/>
      <c r="VNK128" s="813"/>
      <c r="VNL128" s="813"/>
      <c r="VNM128" s="813"/>
      <c r="VNN128" s="813"/>
      <c r="VNO128" s="813"/>
      <c r="VNP128" s="814"/>
      <c r="VNQ128" s="814"/>
      <c r="VNR128" s="814"/>
      <c r="VNS128" s="814"/>
      <c r="VNT128" s="814"/>
      <c r="VNU128" s="814"/>
      <c r="VNV128" s="814"/>
      <c r="VNW128" s="814"/>
      <c r="VNX128" s="814"/>
      <c r="VNY128" s="813"/>
      <c r="VNZ128" s="813"/>
      <c r="VOA128" s="813"/>
      <c r="VOB128" s="813"/>
      <c r="VOC128" s="813"/>
      <c r="VOD128" s="814"/>
      <c r="VOE128" s="814"/>
      <c r="VOF128" s="814"/>
      <c r="VOG128" s="814"/>
      <c r="VOH128" s="814"/>
      <c r="VOI128" s="814"/>
      <c r="VOJ128" s="814"/>
      <c r="VOK128" s="814"/>
      <c r="VOL128" s="814"/>
      <c r="VOM128" s="813"/>
      <c r="VON128" s="813"/>
      <c r="VOO128" s="813"/>
      <c r="VOP128" s="813"/>
      <c r="VOQ128" s="813"/>
      <c r="VOR128" s="814"/>
      <c r="VOS128" s="814"/>
      <c r="VOT128" s="814"/>
      <c r="VOU128" s="814"/>
      <c r="VOV128" s="814"/>
      <c r="VOW128" s="814"/>
      <c r="VOX128" s="814"/>
      <c r="VOY128" s="814"/>
      <c r="VOZ128" s="814"/>
      <c r="VPA128" s="813"/>
      <c r="VPB128" s="813"/>
      <c r="VPC128" s="813"/>
      <c r="VPD128" s="813"/>
      <c r="VPE128" s="813"/>
      <c r="VPF128" s="814"/>
      <c r="VPG128" s="814"/>
      <c r="VPH128" s="814"/>
      <c r="VPI128" s="814"/>
      <c r="VPJ128" s="814"/>
      <c r="VPK128" s="814"/>
      <c r="VPL128" s="814"/>
      <c r="VPM128" s="814"/>
      <c r="VPN128" s="814"/>
      <c r="VPO128" s="813"/>
      <c r="VPP128" s="813"/>
      <c r="VPQ128" s="813"/>
      <c r="VPR128" s="813"/>
      <c r="VPS128" s="813"/>
      <c r="VPT128" s="814"/>
      <c r="VPU128" s="814"/>
      <c r="VPV128" s="814"/>
      <c r="VPW128" s="814"/>
      <c r="VPX128" s="814"/>
      <c r="VPY128" s="814"/>
      <c r="VPZ128" s="814"/>
      <c r="VQA128" s="814"/>
      <c r="VQB128" s="814"/>
      <c r="VQC128" s="813"/>
      <c r="VQD128" s="813"/>
      <c r="VQE128" s="813"/>
      <c r="VQF128" s="813"/>
      <c r="VQG128" s="813"/>
      <c r="VQH128" s="814"/>
      <c r="VQI128" s="814"/>
      <c r="VQJ128" s="814"/>
      <c r="VQK128" s="814"/>
      <c r="VQL128" s="814"/>
      <c r="VQM128" s="814"/>
      <c r="VQN128" s="814"/>
      <c r="VQO128" s="814"/>
      <c r="VQP128" s="814"/>
      <c r="VQQ128" s="813"/>
      <c r="VQR128" s="813"/>
      <c r="VQS128" s="813"/>
      <c r="VQT128" s="813"/>
      <c r="VQU128" s="813"/>
      <c r="VQV128" s="814"/>
      <c r="VQW128" s="814"/>
      <c r="VQX128" s="814"/>
      <c r="VQY128" s="814"/>
      <c r="VQZ128" s="814"/>
      <c r="VRA128" s="814"/>
      <c r="VRB128" s="814"/>
      <c r="VRC128" s="814"/>
      <c r="VRD128" s="814"/>
      <c r="VRE128" s="813"/>
      <c r="VRF128" s="813"/>
      <c r="VRG128" s="813"/>
      <c r="VRH128" s="813"/>
      <c r="VRI128" s="813"/>
      <c r="VRJ128" s="814"/>
      <c r="VRK128" s="814"/>
      <c r="VRL128" s="814"/>
      <c r="VRM128" s="814"/>
      <c r="VRN128" s="814"/>
      <c r="VRO128" s="814"/>
      <c r="VRP128" s="814"/>
      <c r="VRQ128" s="814"/>
      <c r="VRR128" s="814"/>
      <c r="VRS128" s="813"/>
      <c r="VRT128" s="813"/>
      <c r="VRU128" s="813"/>
      <c r="VRV128" s="813"/>
      <c r="VRW128" s="813"/>
      <c r="VRX128" s="814"/>
      <c r="VRY128" s="814"/>
      <c r="VRZ128" s="814"/>
      <c r="VSA128" s="814"/>
      <c r="VSB128" s="814"/>
      <c r="VSC128" s="814"/>
      <c r="VSD128" s="814"/>
      <c r="VSE128" s="814"/>
      <c r="VSF128" s="814"/>
      <c r="VSG128" s="813"/>
      <c r="VSH128" s="813"/>
      <c r="VSI128" s="813"/>
      <c r="VSJ128" s="813"/>
      <c r="VSK128" s="813"/>
      <c r="VSL128" s="814"/>
      <c r="VSM128" s="814"/>
      <c r="VSN128" s="814"/>
      <c r="VSO128" s="814"/>
      <c r="VSP128" s="814"/>
      <c r="VSQ128" s="814"/>
      <c r="VSR128" s="814"/>
      <c r="VSS128" s="814"/>
      <c r="VST128" s="814"/>
      <c r="VSU128" s="813"/>
      <c r="VSV128" s="813"/>
      <c r="VSW128" s="813"/>
      <c r="VSX128" s="813"/>
      <c r="VSY128" s="813"/>
      <c r="VSZ128" s="814"/>
      <c r="VTA128" s="814"/>
      <c r="VTB128" s="814"/>
      <c r="VTC128" s="814"/>
      <c r="VTD128" s="814"/>
      <c r="VTE128" s="814"/>
      <c r="VTF128" s="814"/>
      <c r="VTG128" s="814"/>
      <c r="VTH128" s="814"/>
      <c r="VTI128" s="813"/>
      <c r="VTJ128" s="813"/>
      <c r="VTK128" s="813"/>
      <c r="VTL128" s="813"/>
      <c r="VTM128" s="813"/>
      <c r="VTN128" s="814"/>
      <c r="VTO128" s="814"/>
      <c r="VTP128" s="814"/>
      <c r="VTQ128" s="814"/>
      <c r="VTR128" s="814"/>
      <c r="VTS128" s="814"/>
      <c r="VTT128" s="814"/>
      <c r="VTU128" s="814"/>
      <c r="VTV128" s="814"/>
      <c r="VTW128" s="813"/>
      <c r="VTX128" s="813"/>
      <c r="VTY128" s="813"/>
      <c r="VTZ128" s="813"/>
      <c r="VUA128" s="813"/>
      <c r="VUB128" s="814"/>
      <c r="VUC128" s="814"/>
      <c r="VUD128" s="814"/>
      <c r="VUE128" s="814"/>
      <c r="VUF128" s="814"/>
      <c r="VUG128" s="814"/>
      <c r="VUH128" s="814"/>
      <c r="VUI128" s="814"/>
      <c r="VUJ128" s="814"/>
      <c r="VUK128" s="813"/>
      <c r="VUL128" s="813"/>
      <c r="VUM128" s="813"/>
      <c r="VUN128" s="813"/>
      <c r="VUO128" s="813"/>
      <c r="VUP128" s="814"/>
      <c r="VUQ128" s="814"/>
      <c r="VUR128" s="814"/>
      <c r="VUS128" s="814"/>
      <c r="VUT128" s="814"/>
      <c r="VUU128" s="814"/>
      <c r="VUV128" s="814"/>
      <c r="VUW128" s="814"/>
      <c r="VUX128" s="814"/>
      <c r="VUY128" s="813"/>
      <c r="VUZ128" s="813"/>
      <c r="VVA128" s="813"/>
      <c r="VVB128" s="813"/>
      <c r="VVC128" s="813"/>
      <c r="VVD128" s="814"/>
      <c r="VVE128" s="814"/>
      <c r="VVF128" s="814"/>
      <c r="VVG128" s="814"/>
      <c r="VVH128" s="814"/>
      <c r="VVI128" s="814"/>
      <c r="VVJ128" s="814"/>
      <c r="VVK128" s="814"/>
      <c r="VVL128" s="814"/>
      <c r="VVM128" s="813"/>
      <c r="VVN128" s="813"/>
      <c r="VVO128" s="813"/>
      <c r="VVP128" s="813"/>
      <c r="VVQ128" s="813"/>
      <c r="VVR128" s="814"/>
      <c r="VVS128" s="814"/>
      <c r="VVT128" s="814"/>
      <c r="VVU128" s="814"/>
      <c r="VVV128" s="814"/>
      <c r="VVW128" s="814"/>
      <c r="VVX128" s="814"/>
      <c r="VVY128" s="814"/>
      <c r="VVZ128" s="814"/>
      <c r="VWA128" s="813"/>
      <c r="VWB128" s="813"/>
      <c r="VWC128" s="813"/>
      <c r="VWD128" s="813"/>
      <c r="VWE128" s="813"/>
      <c r="VWF128" s="814"/>
      <c r="VWG128" s="814"/>
      <c r="VWH128" s="814"/>
      <c r="VWI128" s="814"/>
      <c r="VWJ128" s="814"/>
      <c r="VWK128" s="814"/>
      <c r="VWL128" s="814"/>
      <c r="VWM128" s="814"/>
      <c r="VWN128" s="814"/>
      <c r="VWO128" s="813"/>
      <c r="VWP128" s="813"/>
      <c r="VWQ128" s="813"/>
      <c r="VWR128" s="813"/>
      <c r="VWS128" s="813"/>
      <c r="VWT128" s="814"/>
      <c r="VWU128" s="814"/>
      <c r="VWV128" s="814"/>
      <c r="VWW128" s="814"/>
      <c r="VWX128" s="814"/>
      <c r="VWY128" s="814"/>
      <c r="VWZ128" s="814"/>
      <c r="VXA128" s="814"/>
      <c r="VXB128" s="814"/>
      <c r="VXC128" s="813"/>
      <c r="VXD128" s="813"/>
      <c r="VXE128" s="813"/>
      <c r="VXF128" s="813"/>
      <c r="VXG128" s="813"/>
      <c r="VXH128" s="814"/>
      <c r="VXI128" s="814"/>
      <c r="VXJ128" s="814"/>
      <c r="VXK128" s="814"/>
      <c r="VXL128" s="814"/>
      <c r="VXM128" s="814"/>
      <c r="VXN128" s="814"/>
      <c r="VXO128" s="814"/>
      <c r="VXP128" s="814"/>
      <c r="VXQ128" s="813"/>
      <c r="VXR128" s="813"/>
      <c r="VXS128" s="813"/>
      <c r="VXT128" s="813"/>
      <c r="VXU128" s="813"/>
      <c r="VXV128" s="814"/>
      <c r="VXW128" s="814"/>
      <c r="VXX128" s="814"/>
      <c r="VXY128" s="814"/>
      <c r="VXZ128" s="814"/>
      <c r="VYA128" s="814"/>
      <c r="VYB128" s="814"/>
      <c r="VYC128" s="814"/>
      <c r="VYD128" s="814"/>
      <c r="VYE128" s="813"/>
      <c r="VYF128" s="813"/>
      <c r="VYG128" s="813"/>
      <c r="VYH128" s="813"/>
      <c r="VYI128" s="813"/>
      <c r="VYJ128" s="814"/>
      <c r="VYK128" s="814"/>
      <c r="VYL128" s="814"/>
      <c r="VYM128" s="814"/>
      <c r="VYN128" s="814"/>
      <c r="VYO128" s="814"/>
      <c r="VYP128" s="814"/>
      <c r="VYQ128" s="814"/>
      <c r="VYR128" s="814"/>
      <c r="VYS128" s="813"/>
      <c r="VYT128" s="813"/>
      <c r="VYU128" s="813"/>
      <c r="VYV128" s="813"/>
      <c r="VYW128" s="813"/>
      <c r="VYX128" s="814"/>
      <c r="VYY128" s="814"/>
      <c r="VYZ128" s="814"/>
      <c r="VZA128" s="814"/>
      <c r="VZB128" s="814"/>
      <c r="VZC128" s="814"/>
      <c r="VZD128" s="814"/>
      <c r="VZE128" s="814"/>
      <c r="VZF128" s="814"/>
      <c r="VZG128" s="813"/>
      <c r="VZH128" s="813"/>
      <c r="VZI128" s="813"/>
      <c r="VZJ128" s="813"/>
      <c r="VZK128" s="813"/>
      <c r="VZL128" s="814"/>
      <c r="VZM128" s="814"/>
      <c r="VZN128" s="814"/>
      <c r="VZO128" s="814"/>
      <c r="VZP128" s="814"/>
      <c r="VZQ128" s="814"/>
      <c r="VZR128" s="814"/>
      <c r="VZS128" s="814"/>
      <c r="VZT128" s="814"/>
      <c r="VZU128" s="813"/>
      <c r="VZV128" s="813"/>
      <c r="VZW128" s="813"/>
      <c r="VZX128" s="813"/>
      <c r="VZY128" s="813"/>
      <c r="VZZ128" s="814"/>
      <c r="WAA128" s="814"/>
      <c r="WAB128" s="814"/>
      <c r="WAC128" s="814"/>
      <c r="WAD128" s="814"/>
      <c r="WAE128" s="814"/>
      <c r="WAF128" s="814"/>
      <c r="WAG128" s="814"/>
      <c r="WAH128" s="814"/>
      <c r="WAI128" s="813"/>
      <c r="WAJ128" s="813"/>
      <c r="WAK128" s="813"/>
      <c r="WAL128" s="813"/>
      <c r="WAM128" s="813"/>
      <c r="WAN128" s="814"/>
      <c r="WAO128" s="814"/>
      <c r="WAP128" s="814"/>
      <c r="WAQ128" s="814"/>
      <c r="WAR128" s="814"/>
      <c r="WAS128" s="814"/>
      <c r="WAT128" s="814"/>
      <c r="WAU128" s="814"/>
      <c r="WAV128" s="814"/>
      <c r="WAW128" s="813"/>
      <c r="WAX128" s="813"/>
      <c r="WAY128" s="813"/>
      <c r="WAZ128" s="813"/>
      <c r="WBA128" s="813"/>
      <c r="WBB128" s="814"/>
      <c r="WBC128" s="814"/>
      <c r="WBD128" s="814"/>
      <c r="WBE128" s="814"/>
      <c r="WBF128" s="814"/>
      <c r="WBG128" s="814"/>
      <c r="WBH128" s="814"/>
      <c r="WBI128" s="814"/>
      <c r="WBJ128" s="814"/>
      <c r="WBK128" s="813"/>
      <c r="WBL128" s="813"/>
      <c r="WBM128" s="813"/>
      <c r="WBN128" s="813"/>
      <c r="WBO128" s="813"/>
      <c r="WBP128" s="814"/>
      <c r="WBQ128" s="814"/>
      <c r="WBR128" s="814"/>
      <c r="WBS128" s="814"/>
      <c r="WBT128" s="814"/>
      <c r="WBU128" s="814"/>
      <c r="WBV128" s="814"/>
      <c r="WBW128" s="814"/>
      <c r="WBX128" s="814"/>
      <c r="WBY128" s="813"/>
      <c r="WBZ128" s="813"/>
      <c r="WCA128" s="813"/>
      <c r="WCB128" s="813"/>
      <c r="WCC128" s="813"/>
      <c r="WCD128" s="814"/>
      <c r="WCE128" s="814"/>
      <c r="WCF128" s="814"/>
      <c r="WCG128" s="814"/>
      <c r="WCH128" s="814"/>
      <c r="WCI128" s="814"/>
      <c r="WCJ128" s="814"/>
      <c r="WCK128" s="814"/>
      <c r="WCL128" s="814"/>
      <c r="WCM128" s="813"/>
      <c r="WCN128" s="813"/>
      <c r="WCO128" s="813"/>
      <c r="WCP128" s="813"/>
      <c r="WCQ128" s="813"/>
      <c r="WCR128" s="814"/>
      <c r="WCS128" s="814"/>
      <c r="WCT128" s="814"/>
      <c r="WCU128" s="814"/>
      <c r="WCV128" s="814"/>
      <c r="WCW128" s="814"/>
      <c r="WCX128" s="814"/>
      <c r="WCY128" s="814"/>
      <c r="WCZ128" s="814"/>
      <c r="WDA128" s="813"/>
      <c r="WDB128" s="813"/>
      <c r="WDC128" s="813"/>
      <c r="WDD128" s="813"/>
      <c r="WDE128" s="813"/>
      <c r="WDF128" s="814"/>
      <c r="WDG128" s="814"/>
      <c r="WDH128" s="814"/>
      <c r="WDI128" s="814"/>
      <c r="WDJ128" s="814"/>
      <c r="WDK128" s="814"/>
      <c r="WDL128" s="814"/>
      <c r="WDM128" s="814"/>
      <c r="WDN128" s="814"/>
      <c r="WDO128" s="813"/>
      <c r="WDP128" s="813"/>
      <c r="WDQ128" s="813"/>
      <c r="WDR128" s="813"/>
      <c r="WDS128" s="813"/>
      <c r="WDT128" s="814"/>
      <c r="WDU128" s="814"/>
      <c r="WDV128" s="814"/>
      <c r="WDW128" s="814"/>
      <c r="WDX128" s="814"/>
      <c r="WDY128" s="814"/>
      <c r="WDZ128" s="814"/>
      <c r="WEA128" s="814"/>
      <c r="WEB128" s="814"/>
      <c r="WEC128" s="813"/>
      <c r="WED128" s="813"/>
      <c r="WEE128" s="813"/>
      <c r="WEF128" s="813"/>
      <c r="WEG128" s="813"/>
      <c r="WEH128" s="814"/>
      <c r="WEI128" s="814"/>
      <c r="WEJ128" s="814"/>
      <c r="WEK128" s="814"/>
      <c r="WEL128" s="814"/>
      <c r="WEM128" s="814"/>
      <c r="WEN128" s="814"/>
      <c r="WEO128" s="814"/>
      <c r="WEP128" s="814"/>
      <c r="WEQ128" s="813"/>
      <c r="WER128" s="813"/>
      <c r="WES128" s="813"/>
      <c r="WET128" s="813"/>
      <c r="WEU128" s="813"/>
      <c r="WEV128" s="814"/>
      <c r="WEW128" s="814"/>
      <c r="WEX128" s="814"/>
      <c r="WEY128" s="814"/>
      <c r="WEZ128" s="814"/>
      <c r="WFA128" s="814"/>
      <c r="WFB128" s="814"/>
      <c r="WFC128" s="814"/>
      <c r="WFD128" s="814"/>
      <c r="WFE128" s="813"/>
      <c r="WFF128" s="813"/>
      <c r="WFG128" s="813"/>
      <c r="WFH128" s="813"/>
      <c r="WFI128" s="813"/>
      <c r="WFJ128" s="814"/>
      <c r="WFK128" s="814"/>
      <c r="WFL128" s="814"/>
      <c r="WFM128" s="814"/>
      <c r="WFN128" s="814"/>
      <c r="WFO128" s="814"/>
      <c r="WFP128" s="814"/>
      <c r="WFQ128" s="814"/>
      <c r="WFR128" s="814"/>
      <c r="WFS128" s="813"/>
      <c r="WFT128" s="813"/>
      <c r="WFU128" s="813"/>
      <c r="WFV128" s="813"/>
      <c r="WFW128" s="813"/>
      <c r="WFX128" s="814"/>
      <c r="WFY128" s="814"/>
      <c r="WFZ128" s="814"/>
      <c r="WGA128" s="814"/>
      <c r="WGB128" s="814"/>
      <c r="WGC128" s="814"/>
      <c r="WGD128" s="814"/>
      <c r="WGE128" s="814"/>
      <c r="WGF128" s="814"/>
      <c r="WGG128" s="813"/>
      <c r="WGH128" s="813"/>
      <c r="WGI128" s="813"/>
      <c r="WGJ128" s="813"/>
      <c r="WGK128" s="813"/>
      <c r="WGL128" s="814"/>
      <c r="WGM128" s="814"/>
      <c r="WGN128" s="814"/>
      <c r="WGO128" s="814"/>
      <c r="WGP128" s="814"/>
      <c r="WGQ128" s="814"/>
      <c r="WGR128" s="814"/>
      <c r="WGS128" s="814"/>
      <c r="WGT128" s="814"/>
      <c r="WGU128" s="813"/>
      <c r="WGV128" s="813"/>
      <c r="WGW128" s="813"/>
      <c r="WGX128" s="813"/>
      <c r="WGY128" s="813"/>
      <c r="WGZ128" s="814"/>
      <c r="WHA128" s="814"/>
      <c r="WHB128" s="814"/>
      <c r="WHC128" s="814"/>
      <c r="WHD128" s="814"/>
      <c r="WHE128" s="814"/>
      <c r="WHF128" s="814"/>
      <c r="WHG128" s="814"/>
      <c r="WHH128" s="814"/>
      <c r="WHI128" s="813"/>
      <c r="WHJ128" s="813"/>
      <c r="WHK128" s="813"/>
      <c r="WHL128" s="813"/>
      <c r="WHM128" s="813"/>
      <c r="WHN128" s="814"/>
      <c r="WHO128" s="814"/>
      <c r="WHP128" s="814"/>
      <c r="WHQ128" s="814"/>
      <c r="WHR128" s="814"/>
      <c r="WHS128" s="814"/>
      <c r="WHT128" s="814"/>
      <c r="WHU128" s="814"/>
      <c r="WHV128" s="814"/>
      <c r="WHW128" s="813"/>
      <c r="WHX128" s="813"/>
      <c r="WHY128" s="813"/>
      <c r="WHZ128" s="813"/>
      <c r="WIA128" s="813"/>
      <c r="WIB128" s="814"/>
      <c r="WIC128" s="814"/>
      <c r="WID128" s="814"/>
      <c r="WIE128" s="814"/>
      <c r="WIF128" s="814"/>
      <c r="WIG128" s="814"/>
      <c r="WIH128" s="814"/>
      <c r="WII128" s="814"/>
      <c r="WIJ128" s="814"/>
      <c r="WIK128" s="813"/>
      <c r="WIL128" s="813"/>
      <c r="WIM128" s="813"/>
      <c r="WIN128" s="813"/>
      <c r="WIO128" s="813"/>
      <c r="WIP128" s="814"/>
      <c r="WIQ128" s="814"/>
      <c r="WIR128" s="814"/>
      <c r="WIS128" s="814"/>
      <c r="WIT128" s="814"/>
      <c r="WIU128" s="814"/>
      <c r="WIV128" s="814"/>
      <c r="WIW128" s="814"/>
      <c r="WIX128" s="814"/>
      <c r="WIY128" s="813"/>
      <c r="WIZ128" s="813"/>
      <c r="WJA128" s="813"/>
      <c r="WJB128" s="813"/>
      <c r="WJC128" s="813"/>
      <c r="WJD128" s="814"/>
      <c r="WJE128" s="814"/>
      <c r="WJF128" s="814"/>
      <c r="WJG128" s="814"/>
      <c r="WJH128" s="814"/>
      <c r="WJI128" s="814"/>
      <c r="WJJ128" s="814"/>
      <c r="WJK128" s="814"/>
      <c r="WJL128" s="814"/>
      <c r="WJM128" s="813"/>
      <c r="WJN128" s="813"/>
      <c r="WJO128" s="813"/>
      <c r="WJP128" s="813"/>
      <c r="WJQ128" s="813"/>
      <c r="WJR128" s="814"/>
      <c r="WJS128" s="814"/>
      <c r="WJT128" s="814"/>
      <c r="WJU128" s="814"/>
      <c r="WJV128" s="814"/>
      <c r="WJW128" s="814"/>
      <c r="WJX128" s="814"/>
      <c r="WJY128" s="814"/>
      <c r="WJZ128" s="814"/>
      <c r="WKA128" s="813"/>
      <c r="WKB128" s="813"/>
      <c r="WKC128" s="813"/>
      <c r="WKD128" s="813"/>
      <c r="WKE128" s="813"/>
      <c r="WKF128" s="814"/>
      <c r="WKG128" s="814"/>
      <c r="WKH128" s="814"/>
      <c r="WKI128" s="814"/>
      <c r="WKJ128" s="814"/>
      <c r="WKK128" s="814"/>
      <c r="WKL128" s="814"/>
      <c r="WKM128" s="814"/>
      <c r="WKN128" s="814"/>
      <c r="WKO128" s="813"/>
      <c r="WKP128" s="813"/>
      <c r="WKQ128" s="813"/>
      <c r="WKR128" s="813"/>
      <c r="WKS128" s="813"/>
      <c r="WKT128" s="814"/>
      <c r="WKU128" s="814"/>
      <c r="WKV128" s="814"/>
      <c r="WKW128" s="814"/>
      <c r="WKX128" s="814"/>
      <c r="WKY128" s="814"/>
      <c r="WKZ128" s="814"/>
      <c r="WLA128" s="814"/>
      <c r="WLB128" s="814"/>
      <c r="WLC128" s="813"/>
      <c r="WLD128" s="813"/>
      <c r="WLE128" s="813"/>
      <c r="WLF128" s="813"/>
      <c r="WLG128" s="813"/>
      <c r="WLH128" s="814"/>
      <c r="WLI128" s="814"/>
      <c r="WLJ128" s="814"/>
      <c r="WLK128" s="814"/>
      <c r="WLL128" s="814"/>
      <c r="WLM128" s="814"/>
      <c r="WLN128" s="814"/>
      <c r="WLO128" s="814"/>
      <c r="WLP128" s="814"/>
      <c r="WLQ128" s="813"/>
      <c r="WLR128" s="813"/>
      <c r="WLS128" s="813"/>
      <c r="WLT128" s="813"/>
      <c r="WLU128" s="813"/>
      <c r="WLV128" s="814"/>
      <c r="WLW128" s="814"/>
      <c r="WLX128" s="814"/>
      <c r="WLY128" s="814"/>
      <c r="WLZ128" s="814"/>
      <c r="WMA128" s="814"/>
      <c r="WMB128" s="814"/>
      <c r="WMC128" s="814"/>
      <c r="WMD128" s="814"/>
      <c r="WME128" s="813"/>
      <c r="WMF128" s="813"/>
      <c r="WMG128" s="813"/>
      <c r="WMH128" s="813"/>
      <c r="WMI128" s="813"/>
      <c r="WMJ128" s="814"/>
      <c r="WMK128" s="814"/>
      <c r="WML128" s="814"/>
      <c r="WMM128" s="814"/>
      <c r="WMN128" s="814"/>
      <c r="WMO128" s="814"/>
      <c r="WMP128" s="814"/>
      <c r="WMQ128" s="814"/>
      <c r="WMR128" s="814"/>
      <c r="WMS128" s="813"/>
      <c r="WMT128" s="813"/>
      <c r="WMU128" s="813"/>
      <c r="WMV128" s="813"/>
      <c r="WMW128" s="813"/>
      <c r="WMX128" s="814"/>
      <c r="WMY128" s="814"/>
      <c r="WMZ128" s="814"/>
      <c r="WNA128" s="814"/>
      <c r="WNB128" s="814"/>
      <c r="WNC128" s="814"/>
      <c r="WND128" s="814"/>
      <c r="WNE128" s="814"/>
      <c r="WNF128" s="814"/>
      <c r="WNG128" s="813"/>
      <c r="WNH128" s="813"/>
      <c r="WNI128" s="813"/>
      <c r="WNJ128" s="813"/>
      <c r="WNK128" s="813"/>
      <c r="WNL128" s="814"/>
      <c r="WNM128" s="814"/>
      <c r="WNN128" s="814"/>
      <c r="WNO128" s="814"/>
      <c r="WNP128" s="814"/>
      <c r="WNQ128" s="814"/>
      <c r="WNR128" s="814"/>
      <c r="WNS128" s="814"/>
      <c r="WNT128" s="814"/>
      <c r="WNU128" s="813"/>
      <c r="WNV128" s="813"/>
      <c r="WNW128" s="813"/>
      <c r="WNX128" s="813"/>
      <c r="WNY128" s="813"/>
      <c r="WNZ128" s="814"/>
      <c r="WOA128" s="814"/>
      <c r="WOB128" s="814"/>
      <c r="WOC128" s="814"/>
      <c r="WOD128" s="814"/>
      <c r="WOE128" s="814"/>
      <c r="WOF128" s="814"/>
      <c r="WOG128" s="814"/>
      <c r="WOH128" s="814"/>
      <c r="WOI128" s="813"/>
      <c r="WOJ128" s="813"/>
      <c r="WOK128" s="813"/>
      <c r="WOL128" s="813"/>
      <c r="WOM128" s="813"/>
      <c r="WON128" s="814"/>
      <c r="WOO128" s="814"/>
      <c r="WOP128" s="814"/>
      <c r="WOQ128" s="814"/>
      <c r="WOR128" s="814"/>
      <c r="WOS128" s="814"/>
      <c r="WOT128" s="814"/>
      <c r="WOU128" s="814"/>
      <c r="WOV128" s="814"/>
      <c r="WOW128" s="813"/>
      <c r="WOX128" s="813"/>
      <c r="WOY128" s="813"/>
      <c r="WOZ128" s="813"/>
      <c r="WPA128" s="813"/>
      <c r="WPB128" s="814"/>
      <c r="WPC128" s="814"/>
      <c r="WPD128" s="814"/>
      <c r="WPE128" s="814"/>
      <c r="WPF128" s="814"/>
      <c r="WPG128" s="814"/>
      <c r="WPH128" s="814"/>
      <c r="WPI128" s="814"/>
      <c r="WPJ128" s="814"/>
      <c r="WPK128" s="813"/>
      <c r="WPL128" s="813"/>
      <c r="WPM128" s="813"/>
      <c r="WPN128" s="813"/>
      <c r="WPO128" s="813"/>
      <c r="WPP128" s="814"/>
      <c r="WPQ128" s="814"/>
      <c r="WPR128" s="814"/>
      <c r="WPS128" s="814"/>
      <c r="WPT128" s="814"/>
      <c r="WPU128" s="814"/>
      <c r="WPV128" s="814"/>
      <c r="WPW128" s="814"/>
      <c r="WPX128" s="814"/>
      <c r="WPY128" s="813"/>
      <c r="WPZ128" s="813"/>
      <c r="WQA128" s="813"/>
      <c r="WQB128" s="813"/>
      <c r="WQC128" s="813"/>
      <c r="WQD128" s="814"/>
      <c r="WQE128" s="814"/>
      <c r="WQF128" s="814"/>
      <c r="WQG128" s="814"/>
      <c r="WQH128" s="814"/>
      <c r="WQI128" s="814"/>
      <c r="WQJ128" s="814"/>
      <c r="WQK128" s="814"/>
      <c r="WQL128" s="814"/>
      <c r="WQM128" s="813"/>
      <c r="WQN128" s="813"/>
      <c r="WQO128" s="813"/>
      <c r="WQP128" s="813"/>
      <c r="WQQ128" s="813"/>
      <c r="WQR128" s="814"/>
      <c r="WQS128" s="814"/>
      <c r="WQT128" s="814"/>
      <c r="WQU128" s="814"/>
      <c r="WQV128" s="814"/>
      <c r="WQW128" s="814"/>
      <c r="WQX128" s="814"/>
      <c r="WQY128" s="814"/>
      <c r="WQZ128" s="814"/>
      <c r="WRA128" s="813"/>
      <c r="WRB128" s="813"/>
      <c r="WRC128" s="813"/>
      <c r="WRD128" s="813"/>
      <c r="WRE128" s="813"/>
      <c r="WRF128" s="814"/>
      <c r="WRG128" s="814"/>
      <c r="WRH128" s="814"/>
      <c r="WRI128" s="814"/>
      <c r="WRJ128" s="814"/>
      <c r="WRK128" s="814"/>
      <c r="WRL128" s="814"/>
      <c r="WRM128" s="814"/>
      <c r="WRN128" s="814"/>
      <c r="WRO128" s="813"/>
      <c r="WRP128" s="813"/>
      <c r="WRQ128" s="813"/>
      <c r="WRR128" s="813"/>
      <c r="WRS128" s="813"/>
      <c r="WRT128" s="814"/>
      <c r="WRU128" s="814"/>
      <c r="WRV128" s="814"/>
      <c r="WRW128" s="814"/>
      <c r="WRX128" s="814"/>
      <c r="WRY128" s="814"/>
      <c r="WRZ128" s="814"/>
      <c r="WSA128" s="814"/>
      <c r="WSB128" s="814"/>
      <c r="WSC128" s="813"/>
      <c r="WSD128" s="813"/>
      <c r="WSE128" s="813"/>
      <c r="WSF128" s="813"/>
      <c r="WSG128" s="813"/>
      <c r="WSH128" s="814"/>
      <c r="WSI128" s="814"/>
      <c r="WSJ128" s="814"/>
      <c r="WSK128" s="814"/>
      <c r="WSL128" s="814"/>
      <c r="WSM128" s="814"/>
      <c r="WSN128" s="814"/>
      <c r="WSO128" s="814"/>
      <c r="WSP128" s="814"/>
      <c r="WSQ128" s="813"/>
      <c r="WSR128" s="813"/>
      <c r="WSS128" s="813"/>
      <c r="WST128" s="813"/>
      <c r="WSU128" s="813"/>
      <c r="WSV128" s="814"/>
      <c r="WSW128" s="814"/>
      <c r="WSX128" s="814"/>
      <c r="WSY128" s="814"/>
      <c r="WSZ128" s="814"/>
      <c r="WTA128" s="814"/>
      <c r="WTB128" s="814"/>
      <c r="WTC128" s="814"/>
      <c r="WTD128" s="814"/>
      <c r="WTE128" s="813"/>
      <c r="WTF128" s="813"/>
      <c r="WTG128" s="813"/>
      <c r="WTH128" s="813"/>
      <c r="WTI128" s="813"/>
      <c r="WTJ128" s="814"/>
      <c r="WTK128" s="814"/>
      <c r="WTL128" s="814"/>
      <c r="WTM128" s="814"/>
      <c r="WTN128" s="814"/>
      <c r="WTO128" s="814"/>
      <c r="WTP128" s="814"/>
      <c r="WTQ128" s="814"/>
      <c r="WTR128" s="814"/>
      <c r="WTS128" s="813"/>
      <c r="WTT128" s="813"/>
      <c r="WTU128" s="813"/>
      <c r="WTV128" s="813"/>
      <c r="WTW128" s="813"/>
      <c r="WTX128" s="814"/>
      <c r="WTY128" s="814"/>
      <c r="WTZ128" s="814"/>
      <c r="WUA128" s="814"/>
      <c r="WUB128" s="814"/>
      <c r="WUC128" s="814"/>
      <c r="WUD128" s="814"/>
      <c r="WUE128" s="814"/>
      <c r="WUF128" s="814"/>
      <c r="WUG128" s="813"/>
      <c r="WUH128" s="813"/>
      <c r="WUI128" s="813"/>
      <c r="WUJ128" s="813"/>
      <c r="WUK128" s="813"/>
      <c r="WUL128" s="814"/>
      <c r="WUM128" s="814"/>
      <c r="WUN128" s="814"/>
      <c r="WUO128" s="814"/>
      <c r="WUP128" s="814"/>
      <c r="WUQ128" s="814"/>
      <c r="WUR128" s="814"/>
      <c r="WUS128" s="814"/>
      <c r="WUT128" s="814"/>
      <c r="WUU128" s="813"/>
      <c r="WUV128" s="813"/>
      <c r="WUW128" s="813"/>
      <c r="WUX128" s="813"/>
      <c r="WUY128" s="813"/>
      <c r="WUZ128" s="814"/>
      <c r="WVA128" s="814"/>
      <c r="WVB128" s="814"/>
      <c r="WVC128" s="814"/>
      <c r="WVD128" s="814"/>
      <c r="WVE128" s="814"/>
      <c r="WVF128" s="814"/>
      <c r="WVG128" s="814"/>
      <c r="WVH128" s="814"/>
      <c r="WVI128" s="813"/>
      <c r="WVJ128" s="813"/>
      <c r="WVK128" s="813"/>
      <c r="WVL128" s="813"/>
      <c r="WVM128" s="813"/>
      <c r="WVN128" s="814"/>
      <c r="WVO128" s="814"/>
      <c r="WVP128" s="814"/>
      <c r="WVQ128" s="814"/>
      <c r="WVR128" s="814"/>
      <c r="WVS128" s="814"/>
      <c r="WVT128" s="814"/>
      <c r="WVU128" s="814"/>
      <c r="WVV128" s="814"/>
      <c r="WVW128" s="813"/>
      <c r="WVX128" s="813"/>
      <c r="WVY128" s="813"/>
      <c r="WVZ128" s="813"/>
      <c r="WWA128" s="813"/>
      <c r="WWB128" s="814"/>
      <c r="WWC128" s="814"/>
      <c r="WWD128" s="814"/>
      <c r="WWE128" s="814"/>
      <c r="WWF128" s="814"/>
      <c r="WWG128" s="814"/>
      <c r="WWH128" s="814"/>
      <c r="WWI128" s="814"/>
      <c r="WWJ128" s="814"/>
      <c r="WWK128" s="813"/>
      <c r="WWL128" s="813"/>
      <c r="WWM128" s="813"/>
      <c r="WWN128" s="813"/>
      <c r="WWO128" s="813"/>
      <c r="WWP128" s="814"/>
      <c r="WWQ128" s="814"/>
      <c r="WWR128" s="814"/>
      <c r="WWS128" s="814"/>
      <c r="WWT128" s="814"/>
      <c r="WWU128" s="814"/>
      <c r="WWV128" s="814"/>
      <c r="WWW128" s="814"/>
      <c r="WWX128" s="814"/>
      <c r="WWY128" s="813"/>
      <c r="WWZ128" s="813"/>
      <c r="WXA128" s="813"/>
      <c r="WXB128" s="813"/>
      <c r="WXC128" s="813"/>
      <c r="WXD128" s="814"/>
      <c r="WXE128" s="814"/>
      <c r="WXF128" s="814"/>
      <c r="WXG128" s="814"/>
      <c r="WXH128" s="814"/>
      <c r="WXI128" s="814"/>
      <c r="WXJ128" s="814"/>
      <c r="WXK128" s="814"/>
      <c r="WXL128" s="814"/>
      <c r="WXM128" s="813"/>
      <c r="WXN128" s="813"/>
      <c r="WXO128" s="813"/>
      <c r="WXP128" s="813"/>
      <c r="WXQ128" s="813"/>
      <c r="WXR128" s="814"/>
      <c r="WXS128" s="814"/>
      <c r="WXT128" s="814"/>
      <c r="WXU128" s="814"/>
      <c r="WXV128" s="814"/>
      <c r="WXW128" s="814"/>
      <c r="WXX128" s="814"/>
      <c r="WXY128" s="814"/>
      <c r="WXZ128" s="814"/>
      <c r="WYA128" s="813"/>
      <c r="WYB128" s="813"/>
      <c r="WYC128" s="813"/>
      <c r="WYD128" s="813"/>
      <c r="WYE128" s="813"/>
      <c r="WYF128" s="814"/>
      <c r="WYG128" s="814"/>
      <c r="WYH128" s="814"/>
      <c r="WYI128" s="814"/>
      <c r="WYJ128" s="814"/>
      <c r="WYK128" s="814"/>
      <c r="WYL128" s="814"/>
      <c r="WYM128" s="814"/>
      <c r="WYN128" s="814"/>
      <c r="WYO128" s="813"/>
      <c r="WYP128" s="813"/>
      <c r="WYQ128" s="813"/>
      <c r="WYR128" s="813"/>
      <c r="WYS128" s="813"/>
      <c r="WYT128" s="814"/>
      <c r="WYU128" s="814"/>
      <c r="WYV128" s="814"/>
      <c r="WYW128" s="814"/>
      <c r="WYX128" s="814"/>
      <c r="WYY128" s="814"/>
      <c r="WYZ128" s="814"/>
      <c r="WZA128" s="814"/>
      <c r="WZB128" s="814"/>
      <c r="WZC128" s="813"/>
      <c r="WZD128" s="813"/>
      <c r="WZE128" s="813"/>
      <c r="WZF128" s="813"/>
      <c r="WZG128" s="813"/>
      <c r="WZH128" s="814"/>
      <c r="WZI128" s="814"/>
      <c r="WZJ128" s="814"/>
      <c r="WZK128" s="814"/>
      <c r="WZL128" s="814"/>
      <c r="WZM128" s="814"/>
      <c r="WZN128" s="814"/>
      <c r="WZO128" s="814"/>
      <c r="WZP128" s="814"/>
      <c r="WZQ128" s="813"/>
      <c r="WZR128" s="813"/>
      <c r="WZS128" s="813"/>
      <c r="WZT128" s="813"/>
      <c r="WZU128" s="813"/>
      <c r="WZV128" s="814"/>
      <c r="WZW128" s="814"/>
      <c r="WZX128" s="814"/>
      <c r="WZY128" s="814"/>
      <c r="WZZ128" s="814"/>
      <c r="XAA128" s="814"/>
      <c r="XAB128" s="814"/>
      <c r="XAC128" s="814"/>
      <c r="XAD128" s="814"/>
      <c r="XAE128" s="813"/>
      <c r="XAF128" s="813"/>
      <c r="XAG128" s="813"/>
      <c r="XAH128" s="813"/>
      <c r="XAI128" s="813"/>
      <c r="XAJ128" s="814"/>
      <c r="XAK128" s="814"/>
      <c r="XAL128" s="814"/>
      <c r="XAM128" s="814"/>
      <c r="XAN128" s="814"/>
      <c r="XAO128" s="814"/>
      <c r="XAP128" s="814"/>
      <c r="XAQ128" s="814"/>
      <c r="XAR128" s="814"/>
      <c r="XAS128" s="813"/>
      <c r="XAT128" s="813"/>
      <c r="XAU128" s="813"/>
      <c r="XAV128" s="813"/>
      <c r="XAW128" s="813"/>
      <c r="XAX128" s="814"/>
      <c r="XAY128" s="814"/>
      <c r="XAZ128" s="814"/>
      <c r="XBA128" s="814"/>
      <c r="XBB128" s="814"/>
      <c r="XBC128" s="814"/>
      <c r="XBD128" s="814"/>
      <c r="XBE128" s="814"/>
      <c r="XBF128" s="814"/>
      <c r="XBG128" s="813"/>
      <c r="XBH128" s="813"/>
      <c r="XBI128" s="813"/>
      <c r="XBJ128" s="813"/>
      <c r="XBK128" s="813"/>
      <c r="XBL128" s="814"/>
      <c r="XBM128" s="814"/>
      <c r="XBN128" s="814"/>
      <c r="XBO128" s="814"/>
      <c r="XBP128" s="814"/>
      <c r="XBQ128" s="814"/>
      <c r="XBR128" s="814"/>
      <c r="XBS128" s="814"/>
      <c r="XBT128" s="814"/>
      <c r="XBU128" s="813"/>
      <c r="XBV128" s="813"/>
      <c r="XBW128" s="813"/>
      <c r="XBX128" s="813"/>
      <c r="XBY128" s="813"/>
      <c r="XBZ128" s="814"/>
      <c r="XCA128" s="814"/>
      <c r="XCB128" s="814"/>
      <c r="XCC128" s="814"/>
      <c r="XCD128" s="814"/>
      <c r="XCE128" s="814"/>
      <c r="XCF128" s="814"/>
      <c r="XCG128" s="814"/>
      <c r="XCH128" s="814"/>
      <c r="XCI128" s="813"/>
      <c r="XCJ128" s="813"/>
      <c r="XCK128" s="813"/>
      <c r="XCL128" s="813"/>
      <c r="XCM128" s="813"/>
      <c r="XCN128" s="814"/>
      <c r="XCO128" s="814"/>
      <c r="XCP128" s="814"/>
      <c r="XCQ128" s="814"/>
      <c r="XCR128" s="814"/>
      <c r="XCS128" s="814"/>
      <c r="XCT128" s="814"/>
      <c r="XCU128" s="814"/>
      <c r="XCV128" s="814"/>
      <c r="XCW128" s="813"/>
      <c r="XCX128" s="813"/>
      <c r="XCY128" s="813"/>
      <c r="XCZ128" s="813"/>
      <c r="XDA128" s="813"/>
      <c r="XDB128" s="814"/>
      <c r="XDC128" s="814"/>
      <c r="XDD128" s="814"/>
      <c r="XDE128" s="814"/>
      <c r="XDF128" s="814"/>
      <c r="XDG128" s="814"/>
      <c r="XDH128" s="814"/>
      <c r="XDI128" s="814"/>
      <c r="XDJ128" s="814"/>
      <c r="XDK128" s="813"/>
      <c r="XDL128" s="813"/>
      <c r="XDM128" s="813"/>
      <c r="XDN128" s="813"/>
      <c r="XDO128" s="813"/>
      <c r="XDP128" s="814"/>
      <c r="XDQ128" s="814"/>
      <c r="XDR128" s="814"/>
      <c r="XDS128" s="814"/>
      <c r="XDT128" s="814"/>
      <c r="XDU128" s="814"/>
      <c r="XDV128" s="814"/>
      <c r="XDW128" s="814"/>
      <c r="XDX128" s="814"/>
      <c r="XDY128" s="813"/>
      <c r="XDZ128" s="813"/>
      <c r="XEA128" s="813"/>
      <c r="XEB128" s="813"/>
      <c r="XEC128" s="813"/>
      <c r="XED128" s="814"/>
      <c r="XEE128" s="814"/>
      <c r="XEF128" s="814"/>
      <c r="XEG128" s="814"/>
      <c r="XEH128" s="814"/>
      <c r="XEI128" s="814"/>
      <c r="XEJ128" s="814"/>
      <c r="XEK128" s="814"/>
      <c r="XEL128" s="814"/>
      <c r="XEM128" s="813"/>
      <c r="XEN128" s="813"/>
      <c r="XEO128" s="813"/>
      <c r="XEP128" s="813"/>
      <c r="XEQ128" s="813"/>
      <c r="XER128" s="814"/>
      <c r="XES128" s="814"/>
      <c r="XET128" s="814"/>
      <c r="XEU128" s="814"/>
      <c r="XEV128" s="814"/>
      <c r="XEW128" s="814"/>
      <c r="XEX128" s="814"/>
      <c r="XEY128" s="814"/>
      <c r="XEZ128" s="814"/>
      <c r="XFA128" s="813"/>
      <c r="XFB128" s="813"/>
      <c r="XFC128" s="813"/>
      <c r="XFD128" s="813"/>
    </row>
    <row r="129" spans="1:15" ht="16.5" customHeight="1">
      <c r="A129" s="314" t="s">
        <v>232</v>
      </c>
      <c r="B129" s="314"/>
      <c r="C129" s="315"/>
      <c r="D129" s="368"/>
      <c r="E129" s="369"/>
      <c r="F129" s="42">
        <f>+F122</f>
        <v>119598180</v>
      </c>
      <c r="G129" s="42">
        <f t="shared" ref="G129:N129" si="43">+G122</f>
        <v>99828289.669871897</v>
      </c>
      <c r="H129" s="42">
        <f t="shared" si="43"/>
        <v>76522968.845580921</v>
      </c>
      <c r="I129" s="42">
        <f t="shared" si="43"/>
        <v>63159976.086679138</v>
      </c>
      <c r="J129" s="42">
        <f t="shared" si="43"/>
        <v>106530616.91464585</v>
      </c>
      <c r="K129" s="42">
        <f t="shared" si="43"/>
        <v>103025664.39213361</v>
      </c>
      <c r="L129" s="42">
        <f t="shared" si="43"/>
        <v>105022590.67699137</v>
      </c>
      <c r="M129" s="42">
        <f t="shared" si="43"/>
        <v>106352746.96903613</v>
      </c>
      <c r="N129" s="42">
        <f t="shared" si="43"/>
        <v>167505839.8353366</v>
      </c>
      <c r="O129" s="811"/>
    </row>
    <row r="130" spans="1:15" ht="16.5" customHeight="1">
      <c r="A130" s="314" t="s">
        <v>782</v>
      </c>
      <c r="B130" s="314"/>
      <c r="C130" s="315"/>
      <c r="D130" s="368"/>
      <c r="E130" s="369"/>
      <c r="F130" s="105">
        <f>+'EF Proyecto'!G16+'EF Proyecto'!G21</f>
        <v>71758908</v>
      </c>
      <c r="G130" s="105">
        <f>+'EF Proyecto'!H16+'EF Proyecto'!H21</f>
        <v>57438467.958067223</v>
      </c>
      <c r="H130" s="105">
        <f>+'EF Proyecto'!I16+'EF Proyecto'!I21</f>
        <v>40603999.651922271</v>
      </c>
      <c r="I130" s="105">
        <f>+'EF Proyecto'!J16+'EF Proyecto'!J21</f>
        <v>29517533.600475404</v>
      </c>
      <c r="J130" s="105">
        <f>+'EF Proyecto'!K16+'EF Proyecto'!K21</f>
        <v>16140603.66279961</v>
      </c>
      <c r="K130" s="105">
        <f>+'EF Proyecto'!L16+'EF Proyecto'!L21</f>
        <v>69310484.425619066</v>
      </c>
      <c r="L130" s="105">
        <f>+'EF Proyecto'!M16+'EF Proyecto'!M21</f>
        <v>62445514.933571048</v>
      </c>
      <c r="M130" s="105">
        <f>+'EF Proyecto'!N16+'EF Proyecto'!N21</f>
        <v>54162242.744465902</v>
      </c>
      <c r="N130" s="105">
        <f>+'EF Proyecto'!O16+'EF Proyecto'!O21</f>
        <v>44167646.521091618</v>
      </c>
      <c r="O130" s="811"/>
    </row>
    <row r="131" spans="1:15" ht="16.5" customHeight="1">
      <c r="A131" s="314" t="s">
        <v>234</v>
      </c>
      <c r="B131" s="314"/>
      <c r="C131" s="315"/>
      <c r="D131" s="368"/>
      <c r="E131" s="369"/>
      <c r="F131" s="108">
        <f t="shared" ref="F131:N131" si="44">F129-F130</f>
        <v>47839272</v>
      </c>
      <c r="G131" s="108">
        <f t="shared" si="44"/>
        <v>42389821.711804673</v>
      </c>
      <c r="H131" s="108">
        <f t="shared" si="44"/>
        <v>35918969.19365865</v>
      </c>
      <c r="I131" s="108">
        <f t="shared" si="44"/>
        <v>33642442.48620373</v>
      </c>
      <c r="J131" s="108">
        <f t="shared" si="44"/>
        <v>90390013.251846239</v>
      </c>
      <c r="K131" s="108">
        <f t="shared" si="44"/>
        <v>33715179.966514543</v>
      </c>
      <c r="L131" s="108">
        <f t="shared" si="44"/>
        <v>42577075.743420325</v>
      </c>
      <c r="M131" s="108">
        <f t="shared" si="44"/>
        <v>52190504.22457023</v>
      </c>
      <c r="N131" s="108">
        <f t="shared" si="44"/>
        <v>123338193.31424499</v>
      </c>
      <c r="O131" s="811"/>
    </row>
    <row r="132" spans="1:15" ht="16.5" customHeight="1">
      <c r="A132" s="314" t="s">
        <v>235</v>
      </c>
      <c r="B132" s="314"/>
      <c r="C132" s="315"/>
      <c r="D132" s="368"/>
      <c r="E132" s="369"/>
      <c r="F132" s="109">
        <f t="shared" ref="F132:N132" si="45">F131/$F$113</f>
        <v>39866.06</v>
      </c>
      <c r="G132" s="109">
        <f t="shared" si="45"/>
        <v>35324.851426503898</v>
      </c>
      <c r="H132" s="109">
        <f t="shared" si="45"/>
        <v>29932.474328048876</v>
      </c>
      <c r="I132" s="109">
        <f t="shared" si="45"/>
        <v>28035.368738503108</v>
      </c>
      <c r="J132" s="109">
        <f t="shared" si="45"/>
        <v>75325.011043205202</v>
      </c>
      <c r="K132" s="109">
        <f t="shared" si="45"/>
        <v>28095.983305428785</v>
      </c>
      <c r="L132" s="109">
        <f t="shared" si="45"/>
        <v>35480.896452850269</v>
      </c>
      <c r="M132" s="109">
        <f t="shared" si="45"/>
        <v>43492.086853808527</v>
      </c>
      <c r="N132" s="109">
        <f t="shared" si="45"/>
        <v>102781.82776187082</v>
      </c>
      <c r="O132" s="811"/>
    </row>
    <row r="133" spans="1:15" ht="16.5" customHeight="1">
      <c r="A133" s="138" t="s">
        <v>228</v>
      </c>
      <c r="B133" s="139"/>
      <c r="C133" s="139"/>
      <c r="D133" s="139"/>
      <c r="E133" s="418"/>
      <c r="F133" s="107">
        <f t="shared" ref="F133:N133" si="46">F132/$F$114</f>
        <v>1.1453818120849575</v>
      </c>
      <c r="G133" s="107">
        <f t="shared" si="46"/>
        <v>1.0149094828664014</v>
      </c>
      <c r="H133" s="107">
        <f t="shared" si="46"/>
        <v>0.85998244336277752</v>
      </c>
      <c r="I133" s="107">
        <f t="shared" si="46"/>
        <v>0.80547717653002726</v>
      </c>
      <c r="J133" s="107">
        <f t="shared" si="46"/>
        <v>2.1641440775432987</v>
      </c>
      <c r="K133" s="107">
        <f t="shared" si="46"/>
        <v>0.80721867851201579</v>
      </c>
      <c r="L133" s="107">
        <f t="shared" si="46"/>
        <v>1.0193927735413126</v>
      </c>
      <c r="M133" s="107">
        <f t="shared" si="46"/>
        <v>1.2495602839099618</v>
      </c>
      <c r="N133" s="107">
        <f t="shared" si="46"/>
        <v>2.9529990205025425</v>
      </c>
      <c r="O133" s="811"/>
    </row>
    <row r="134" spans="1:15" customFormat="1" ht="16.5" customHeight="1">
      <c r="A134" s="809"/>
      <c r="B134" s="809"/>
      <c r="C134" s="809"/>
      <c r="D134" s="809"/>
      <c r="E134" s="809"/>
      <c r="F134" s="810"/>
      <c r="G134" s="810"/>
      <c r="H134" s="810"/>
      <c r="I134" s="810"/>
      <c r="J134" s="810"/>
      <c r="K134" s="810"/>
      <c r="L134" s="810"/>
      <c r="M134" s="810"/>
      <c r="N134" s="810"/>
      <c r="O134" s="811"/>
    </row>
    <row r="135" spans="1:15" customFormat="1" ht="16.5" customHeight="1">
      <c r="A135" s="809"/>
      <c r="B135" s="809"/>
      <c r="C135" s="809"/>
      <c r="D135" s="809"/>
      <c r="E135" s="809"/>
      <c r="F135" s="810"/>
      <c r="G135" s="810"/>
      <c r="H135" s="810"/>
      <c r="I135" s="810"/>
      <c r="J135" s="810"/>
      <c r="K135" s="810"/>
      <c r="L135" s="810"/>
      <c r="M135" s="810"/>
      <c r="N135" s="810"/>
      <c r="O135" s="811"/>
    </row>
    <row r="136" spans="1:15" ht="9" customHeight="1"/>
    <row r="140" spans="1:15" ht="14.25" customHeight="1"/>
    <row r="141" spans="1:15" ht="9.75" customHeight="1"/>
    <row r="142" spans="1:15" ht="11.25" customHeight="1"/>
    <row r="144" spans="1:15" ht="14.25" customHeight="1"/>
    <row r="145" spans="1:17" ht="14.25" customHeight="1"/>
    <row r="146" spans="1:17" ht="14.25" customHeight="1"/>
    <row r="147" spans="1:17" ht="14.25" customHeight="1"/>
    <row r="148" spans="1:17" ht="13.5" customHeight="1"/>
    <row r="149" spans="1:17" ht="13.5" customHeight="1"/>
    <row r="150" spans="1:17" ht="13.5" customHeight="1"/>
    <row r="151" spans="1:17" ht="15" thickBot="1"/>
    <row r="152" spans="1:17" ht="15" customHeight="1" thickBot="1">
      <c r="A152" s="935" t="s">
        <v>236</v>
      </c>
      <c r="B152" s="936"/>
      <c r="C152" s="936"/>
      <c r="D152" s="936"/>
      <c r="E152" s="936"/>
      <c r="F152" s="936"/>
      <c r="G152" s="936"/>
      <c r="H152" s="936"/>
      <c r="I152" s="936"/>
      <c r="J152" s="937"/>
      <c r="K152" s="68"/>
      <c r="M152" s="110" t="s">
        <v>237</v>
      </c>
      <c r="N152" s="111" t="s">
        <v>238</v>
      </c>
    </row>
    <row r="153" spans="1:17" ht="15" customHeight="1" thickBot="1">
      <c r="A153" s="938"/>
      <c r="B153" s="939"/>
      <c r="C153" s="939"/>
      <c r="D153" s="939"/>
      <c r="E153" s="939"/>
      <c r="F153" s="939"/>
      <c r="G153" s="939"/>
      <c r="H153" s="939"/>
      <c r="I153" s="939"/>
      <c r="J153" s="940"/>
      <c r="K153" s="68"/>
      <c r="M153" s="112" t="s">
        <v>239</v>
      </c>
      <c r="N153" s="113">
        <f>MAX(F155:F157)</f>
        <v>123338193.31424499</v>
      </c>
    </row>
    <row r="154" spans="1:17" ht="29.5" thickBot="1">
      <c r="A154" s="941" t="s">
        <v>240</v>
      </c>
      <c r="B154" s="942"/>
      <c r="C154" s="942"/>
      <c r="D154" s="942"/>
      <c r="E154" s="942"/>
      <c r="F154" s="793" t="s">
        <v>762</v>
      </c>
      <c r="G154" s="793" t="s">
        <v>763</v>
      </c>
      <c r="H154" s="794" t="s">
        <v>228</v>
      </c>
      <c r="I154" s="793" t="s">
        <v>779</v>
      </c>
      <c r="J154" s="795" t="s">
        <v>242</v>
      </c>
      <c r="M154" s="114" t="s">
        <v>243</v>
      </c>
      <c r="N154" s="115">
        <f>(N153+N155)/2</f>
        <v>98302651.360517234</v>
      </c>
      <c r="Q154" s="116" t="s">
        <v>240</v>
      </c>
    </row>
    <row r="155" spans="1:17" ht="15" customHeight="1" thickBot="1">
      <c r="A155" s="796" t="s">
        <v>244</v>
      </c>
      <c r="B155" s="797"/>
      <c r="C155" s="797"/>
      <c r="D155" s="797"/>
      <c r="E155" s="822"/>
      <c r="F155" s="819">
        <f>N124</f>
        <v>95556185.888569579</v>
      </c>
      <c r="G155" s="46">
        <f>+'EF Proyecto'!G30</f>
        <v>47839272</v>
      </c>
      <c r="H155" s="117">
        <f>F155/G155</f>
        <v>1.9974423082477004</v>
      </c>
      <c r="I155" s="117">
        <v>6.54</v>
      </c>
      <c r="J155" s="44">
        <f>H155-I155</f>
        <v>-4.5425576917522994</v>
      </c>
      <c r="M155" s="27" t="s">
        <v>245</v>
      </c>
      <c r="N155" s="118">
        <f>MIN(F155:F157)</f>
        <v>73267109.406789497</v>
      </c>
    </row>
    <row r="156" spans="1:17" ht="15" customHeight="1" thickBot="1">
      <c r="A156" s="823" t="s">
        <v>781</v>
      </c>
      <c r="B156" s="816"/>
      <c r="C156" s="816"/>
      <c r="D156" s="816"/>
      <c r="E156" s="824"/>
      <c r="F156" s="820">
        <f>+N131</f>
        <v>123338193.31424499</v>
      </c>
      <c r="G156" s="42">
        <f>+G155</f>
        <v>47839272</v>
      </c>
      <c r="H156" s="817">
        <f>F156/G156</f>
        <v>2.578178725509138</v>
      </c>
      <c r="I156" s="817">
        <v>6.54</v>
      </c>
      <c r="J156" s="818">
        <f>H156-I156</f>
        <v>-3.9618212744908621</v>
      </c>
      <c r="M156" s="2"/>
      <c r="N156" s="815"/>
    </row>
    <row r="157" spans="1:17" ht="15" customHeight="1" thickBot="1">
      <c r="A157" s="798" t="s">
        <v>246</v>
      </c>
      <c r="B157" s="799"/>
      <c r="C157" s="799"/>
      <c r="D157" s="799"/>
      <c r="E157" s="825"/>
      <c r="F157" s="821">
        <f>F109</f>
        <v>73267109.406789497</v>
      </c>
      <c r="G157" s="121">
        <f>G155</f>
        <v>47839272</v>
      </c>
      <c r="H157" s="122">
        <f>F157/G157</f>
        <v>1.5315264288885813</v>
      </c>
      <c r="I157" s="122">
        <v>6.54</v>
      </c>
      <c r="J157" s="45">
        <f>H157-I157</f>
        <v>-5.008473571111419</v>
      </c>
      <c r="L157" s="419">
        <f>N154</f>
        <v>98302651.360517234</v>
      </c>
      <c r="M157" s="119"/>
      <c r="N157" s="120">
        <f>L157/G157</f>
        <v>2.0548525771988593</v>
      </c>
    </row>
    <row r="158" spans="1:17" ht="15" customHeight="1" thickBot="1">
      <c r="L158" s="420"/>
      <c r="M158" s="123"/>
      <c r="N158" s="124" t="s">
        <v>247</v>
      </c>
    </row>
    <row r="159" spans="1:17" ht="15.75" customHeight="1">
      <c r="L159" s="421">
        <f>L157/F113</f>
        <v>81918.876133764366</v>
      </c>
      <c r="M159" s="125"/>
      <c r="N159" s="947" t="s">
        <v>248</v>
      </c>
    </row>
    <row r="160" spans="1:17" ht="15.75" customHeight="1" thickBot="1">
      <c r="H160" s="104"/>
      <c r="L160" s="126"/>
      <c r="M160" s="127"/>
      <c r="N160" s="948"/>
    </row>
    <row r="161" spans="1:13" ht="15" thickBot="1">
      <c r="J161" s="37"/>
      <c r="M161" s="10"/>
    </row>
    <row r="162" spans="1:13" customFormat="1" ht="15" customHeight="1">
      <c r="A162" s="943" t="s">
        <v>249</v>
      </c>
      <c r="B162" s="944"/>
      <c r="C162" s="944"/>
      <c r="D162" s="944"/>
      <c r="E162" s="944"/>
      <c r="F162" s="944"/>
      <c r="G162" s="944"/>
      <c r="H162" s="944"/>
      <c r="I162" s="944"/>
      <c r="J162" s="944"/>
      <c r="K162" s="803"/>
    </row>
    <row r="163" spans="1:13" customFormat="1" ht="15.75" customHeight="1" thickBot="1">
      <c r="A163" s="945"/>
      <c r="B163" s="946"/>
      <c r="C163" s="946"/>
      <c r="D163" s="946"/>
      <c r="E163" s="946"/>
      <c r="F163" s="946"/>
      <c r="G163" s="946"/>
      <c r="H163" s="946"/>
      <c r="I163" s="946"/>
      <c r="J163" s="946"/>
      <c r="K163" s="804"/>
    </row>
    <row r="164" spans="1:13" customFormat="1" ht="28">
      <c r="A164" s="955" t="s">
        <v>250</v>
      </c>
      <c r="B164" s="955"/>
      <c r="C164" s="955"/>
      <c r="D164" s="955"/>
      <c r="E164" s="955"/>
      <c r="F164" s="800" t="s">
        <v>777</v>
      </c>
      <c r="G164" s="800" t="s">
        <v>778</v>
      </c>
      <c r="H164" s="800" t="s">
        <v>776</v>
      </c>
      <c r="I164" s="800" t="s">
        <v>775</v>
      </c>
      <c r="J164" s="800" t="s">
        <v>776</v>
      </c>
    </row>
    <row r="165" spans="1:13" customFormat="1">
      <c r="A165" s="934" t="s">
        <v>251</v>
      </c>
      <c r="B165" s="934"/>
      <c r="C165" s="934"/>
      <c r="D165" s="934"/>
      <c r="E165" s="934"/>
      <c r="F165" s="801">
        <f>+'[2]Valoración Proyecto'!F167</f>
        <v>5.2180820243799504</v>
      </c>
      <c r="G165" s="801">
        <f>L157/'EF Proyecto'!H64</f>
        <v>5.6964324810771796</v>
      </c>
      <c r="H165" s="801">
        <f>+G165-F165</f>
        <v>0.4783504566972292</v>
      </c>
      <c r="I165" s="802">
        <v>41.2</v>
      </c>
      <c r="J165" s="802">
        <f>G165-I165</f>
        <v>-35.503567518922821</v>
      </c>
    </row>
    <row r="166" spans="1:13" customFormat="1">
      <c r="A166" s="934" t="s">
        <v>252</v>
      </c>
      <c r="B166" s="934"/>
      <c r="C166" s="934"/>
      <c r="D166" s="934"/>
      <c r="E166" s="934"/>
      <c r="F166" s="801">
        <f>+'[2]Valoración Proyecto'!F168</f>
        <v>0.32467212895040365</v>
      </c>
      <c r="G166" s="801">
        <f>L157/'EF Proyecto'!H38</f>
        <v>0.354435375375941</v>
      </c>
      <c r="H166" s="801">
        <f t="shared" ref="H166:H167" si="47">+G166-F166</f>
        <v>2.9763246425537349E-2</v>
      </c>
      <c r="I166" s="802">
        <v>5.12</v>
      </c>
      <c r="J166" s="802">
        <f>G166-I166</f>
        <v>-4.7655646246240595</v>
      </c>
    </row>
    <row r="167" spans="1:13" customFormat="1">
      <c r="A167" s="934" t="s">
        <v>253</v>
      </c>
      <c r="B167" s="934"/>
      <c r="C167" s="934"/>
      <c r="D167" s="934"/>
      <c r="E167" s="934"/>
      <c r="F167" s="801">
        <f>+'[2]Valoración Proyecto'!F169</f>
        <v>1.8822990233713099</v>
      </c>
      <c r="G167" s="801">
        <f>L157/G157</f>
        <v>2.0548525771988593</v>
      </c>
      <c r="H167" s="801">
        <f t="shared" si="47"/>
        <v>0.17255355382754933</v>
      </c>
      <c r="I167" s="802">
        <f>I157</f>
        <v>6.54</v>
      </c>
      <c r="J167" s="802">
        <f>G167-I167</f>
        <v>-4.4851474228011412</v>
      </c>
    </row>
    <row r="168" spans="1:13" customFormat="1">
      <c r="A168" s="732" t="s">
        <v>780</v>
      </c>
      <c r="G168" s="733"/>
    </row>
    <row r="169" spans="1:13" customFormat="1"/>
    <row r="170" spans="1:13" customFormat="1"/>
  </sheetData>
  <mergeCells count="22">
    <mergeCell ref="O118:O126"/>
    <mergeCell ref="G8:G13"/>
    <mergeCell ref="G15:G16"/>
    <mergeCell ref="G18:G23"/>
    <mergeCell ref="O91:O116"/>
    <mergeCell ref="R55:U55"/>
    <mergeCell ref="R45:U45"/>
    <mergeCell ref="D48:E48"/>
    <mergeCell ref="B50:E50"/>
    <mergeCell ref="A70:D70"/>
    <mergeCell ref="N159:N160"/>
    <mergeCell ref="A78:C78"/>
    <mergeCell ref="A79:C79"/>
    <mergeCell ref="A164:E164"/>
    <mergeCell ref="K80:L82"/>
    <mergeCell ref="K85:L88"/>
    <mergeCell ref="A165:E165"/>
    <mergeCell ref="A166:E166"/>
    <mergeCell ref="A167:E167"/>
    <mergeCell ref="A152:J153"/>
    <mergeCell ref="A154:E154"/>
    <mergeCell ref="A162:J163"/>
  </mergeCells>
  <dataValidations count="1">
    <dataValidation type="list" allowBlank="1" showInputMessage="1" showErrorMessage="1" sqref="A79" xr:uid="{DDEE5963-424A-4016-90EF-4A0391CA2B60}">
      <formula1>"Anualidad Perpetua,Crecimiento Constante"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2089-6A1F-41A6-B22A-6D0812639503}">
  <dimension ref="A1:AE49"/>
  <sheetViews>
    <sheetView workbookViewId="0">
      <pane xSplit="1" ySplit="2" topLeftCell="R21" activePane="bottomRight" state="frozen"/>
      <selection pane="topRight" activeCell="B1" sqref="B1"/>
      <selection pane="bottomLeft" activeCell="A3" sqref="A3"/>
      <selection pane="bottomRight" activeCell="AE33" sqref="AE33"/>
    </sheetView>
  </sheetViews>
  <sheetFormatPr baseColWidth="10" defaultColWidth="11.453125" defaultRowHeight="14.5"/>
  <cols>
    <col min="1" max="1" width="28.26953125" style="151" bestFit="1" customWidth="1"/>
    <col min="2" max="2" width="14.54296875" style="151" bestFit="1" customWidth="1"/>
    <col min="3" max="3" width="10.7265625" style="631" customWidth="1"/>
    <col min="4" max="11" width="10.7265625" style="151" customWidth="1"/>
    <col min="12" max="12" width="10.7265625" style="641" customWidth="1"/>
    <col min="13" max="13" width="5" style="151" bestFit="1" customWidth="1"/>
    <col min="14" max="17" width="5.54296875" style="151" bestFit="1" customWidth="1"/>
    <col min="18" max="18" width="5.54296875" style="633" bestFit="1" customWidth="1"/>
    <col min="19" max="21" width="5.54296875" style="151" bestFit="1" customWidth="1"/>
    <col min="22" max="22" width="10.7265625" style="641" customWidth="1"/>
    <col min="23" max="23" width="12.7265625" style="631" bestFit="1" customWidth="1"/>
    <col min="24" max="31" width="12.7265625" style="151" bestFit="1" customWidth="1"/>
    <col min="32" max="16384" width="11.453125" style="151"/>
  </cols>
  <sheetData>
    <row r="1" spans="1:31">
      <c r="A1" s="647" t="s">
        <v>738</v>
      </c>
      <c r="B1" s="647">
        <v>5</v>
      </c>
      <c r="C1" s="628">
        <v>2022</v>
      </c>
      <c r="D1" s="628">
        <v>2023</v>
      </c>
      <c r="E1" s="628">
        <v>2024</v>
      </c>
      <c r="F1" s="628">
        <v>2025</v>
      </c>
      <c r="G1" s="628">
        <v>2026</v>
      </c>
      <c r="H1" s="628">
        <v>2027</v>
      </c>
      <c r="I1" s="628">
        <v>2028</v>
      </c>
      <c r="J1" s="628">
        <v>2029</v>
      </c>
      <c r="K1" s="628">
        <v>2030</v>
      </c>
      <c r="M1" s="628">
        <f>+C1</f>
        <v>2022</v>
      </c>
      <c r="N1" s="628">
        <f t="shared" ref="N1:U1" si="0">+D1</f>
        <v>2023</v>
      </c>
      <c r="O1" s="628">
        <f t="shared" si="0"/>
        <v>2024</v>
      </c>
      <c r="P1" s="628">
        <f t="shared" si="0"/>
        <v>2025</v>
      </c>
      <c r="Q1" s="628">
        <f t="shared" si="0"/>
        <v>2026</v>
      </c>
      <c r="R1" s="632">
        <f t="shared" si="0"/>
        <v>2027</v>
      </c>
      <c r="S1" s="628">
        <f t="shared" si="0"/>
        <v>2028</v>
      </c>
      <c r="T1" s="628">
        <f t="shared" si="0"/>
        <v>2029</v>
      </c>
      <c r="U1" s="628">
        <f t="shared" si="0"/>
        <v>2030</v>
      </c>
      <c r="W1" s="202">
        <f>+M1</f>
        <v>2022</v>
      </c>
      <c r="X1" s="202">
        <f t="shared" ref="X1:AE1" si="1">+N1</f>
        <v>2023</v>
      </c>
      <c r="Y1" s="202">
        <f t="shared" si="1"/>
        <v>2024</v>
      </c>
      <c r="Z1" s="202">
        <f t="shared" si="1"/>
        <v>2025</v>
      </c>
      <c r="AA1" s="202">
        <f t="shared" si="1"/>
        <v>2026</v>
      </c>
      <c r="AB1" s="202">
        <f t="shared" si="1"/>
        <v>2027</v>
      </c>
      <c r="AC1" s="202">
        <f t="shared" si="1"/>
        <v>2028</v>
      </c>
      <c r="AD1" s="202">
        <f t="shared" si="1"/>
        <v>2029</v>
      </c>
      <c r="AE1" s="202">
        <f t="shared" si="1"/>
        <v>2030</v>
      </c>
    </row>
    <row r="2" spans="1:31" s="640" customFormat="1" ht="29">
      <c r="A2" s="637" t="s">
        <v>18</v>
      </c>
      <c r="B2" s="637" t="s">
        <v>737</v>
      </c>
      <c r="C2" s="638" t="s">
        <v>26</v>
      </c>
      <c r="D2" s="637" t="s">
        <v>26</v>
      </c>
      <c r="E2" s="637" t="s">
        <v>26</v>
      </c>
      <c r="F2" s="637" t="s">
        <v>26</v>
      </c>
      <c r="G2" s="637" t="s">
        <v>26</v>
      </c>
      <c r="H2" s="637" t="s">
        <v>26</v>
      </c>
      <c r="I2" s="637" t="s">
        <v>26</v>
      </c>
      <c r="J2" s="637" t="s">
        <v>26</v>
      </c>
      <c r="K2" s="637" t="s">
        <v>26</v>
      </c>
      <c r="L2" s="642"/>
      <c r="M2" s="637" t="s">
        <v>463</v>
      </c>
      <c r="N2" s="637" t="s">
        <v>463</v>
      </c>
      <c r="O2" s="637" t="s">
        <v>463</v>
      </c>
      <c r="P2" s="637" t="s">
        <v>463</v>
      </c>
      <c r="Q2" s="637" t="s">
        <v>463</v>
      </c>
      <c r="R2" s="639" t="s">
        <v>463</v>
      </c>
      <c r="S2" s="637" t="s">
        <v>463</v>
      </c>
      <c r="T2" s="637" t="s">
        <v>463</v>
      </c>
      <c r="U2" s="637" t="s">
        <v>463</v>
      </c>
      <c r="V2" s="645"/>
      <c r="W2" s="638" t="s">
        <v>6</v>
      </c>
      <c r="X2" s="637" t="s">
        <v>6</v>
      </c>
      <c r="Y2" s="637" t="s">
        <v>6</v>
      </c>
      <c r="Z2" s="637" t="s">
        <v>6</v>
      </c>
      <c r="AA2" s="637" t="s">
        <v>6</v>
      </c>
      <c r="AB2" s="637" t="s">
        <v>6</v>
      </c>
      <c r="AC2" s="637" t="s">
        <v>6</v>
      </c>
      <c r="AD2" s="637" t="s">
        <v>6</v>
      </c>
      <c r="AE2" s="637" t="s">
        <v>6</v>
      </c>
    </row>
    <row r="3" spans="1:31">
      <c r="A3" s="193" t="s">
        <v>315</v>
      </c>
      <c r="B3" s="193" t="s">
        <v>25</v>
      </c>
      <c r="C3" s="634">
        <f>VLOOKUP(A3,Inversion!B:D,3,0)</f>
        <v>1103700</v>
      </c>
      <c r="D3" s="634">
        <f>+C3*(1+Datos!B$53)</f>
        <v>1166610.8999999999</v>
      </c>
      <c r="E3" s="634">
        <f>+D3*(1+Datos!C$53)</f>
        <v>1312437.2625</v>
      </c>
      <c r="F3" s="634">
        <f>+E3*(1+Datos!D$53)</f>
        <v>1463367.5476875</v>
      </c>
      <c r="G3" s="634">
        <f>+F3*(1+Datos!E$53)</f>
        <v>1587753.7892409374</v>
      </c>
      <c r="H3" s="634">
        <f>+G3*(1+Datos!F$53)</f>
        <v>1667141.4787029843</v>
      </c>
      <c r="I3" s="634">
        <f>+H3*(1+Datos!G$53)</f>
        <v>1742162.8452446184</v>
      </c>
      <c r="J3" s="634">
        <f>+I3*(1+Datos!H$53)</f>
        <v>1829270.9875068495</v>
      </c>
      <c r="K3" s="634">
        <f>+J3*(1+Datos!I$53)</f>
        <v>1957319.9566323289</v>
      </c>
      <c r="L3" s="643"/>
      <c r="M3" s="193">
        <f>VLOOKUP(A3,Inversion!B:E,4,0)</f>
        <v>1</v>
      </c>
      <c r="N3" s="193">
        <v>0</v>
      </c>
      <c r="O3" s="193">
        <v>1</v>
      </c>
      <c r="P3" s="193">
        <v>0</v>
      </c>
      <c r="Q3" s="193">
        <v>1</v>
      </c>
      <c r="R3" s="738">
        <f>+M3</f>
        <v>1</v>
      </c>
      <c r="S3" s="193">
        <f>+P3</f>
        <v>0</v>
      </c>
      <c r="T3" s="193">
        <f>+O3</f>
        <v>1</v>
      </c>
      <c r="U3" s="193">
        <f>+S3</f>
        <v>0</v>
      </c>
      <c r="W3" s="646">
        <f t="shared" ref="W3:W32" si="2">C3*M3</f>
        <v>1103700</v>
      </c>
      <c r="X3" s="646">
        <f t="shared" ref="X3:AE18" si="3">D3*N3</f>
        <v>0</v>
      </c>
      <c r="Y3" s="646">
        <f t="shared" si="3"/>
        <v>1312437.2625</v>
      </c>
      <c r="Z3" s="646">
        <f t="shared" si="3"/>
        <v>0</v>
      </c>
      <c r="AA3" s="646">
        <f t="shared" si="3"/>
        <v>1587753.7892409374</v>
      </c>
      <c r="AB3" s="646">
        <f t="shared" si="3"/>
        <v>1667141.4787029843</v>
      </c>
      <c r="AC3" s="646">
        <f t="shared" si="3"/>
        <v>0</v>
      </c>
      <c r="AD3" s="646">
        <f t="shared" si="3"/>
        <v>1829270.9875068495</v>
      </c>
      <c r="AE3" s="646">
        <f t="shared" si="3"/>
        <v>0</v>
      </c>
    </row>
    <row r="4" spans="1:31">
      <c r="A4" s="193" t="s">
        <v>316</v>
      </c>
      <c r="B4" s="193" t="s">
        <v>25</v>
      </c>
      <c r="C4" s="634">
        <f>VLOOKUP(A4,Inversion!B:D,3,0)</f>
        <v>1470550</v>
      </c>
      <c r="D4" s="634">
        <f>+C4*(1+Datos!B$53)</f>
        <v>1554371.3499999999</v>
      </c>
      <c r="E4" s="634">
        <f>+D4*(1+Datos!C$53)</f>
        <v>1748667.7687499998</v>
      </c>
      <c r="F4" s="634">
        <f>+E4*(1+Datos!D$53)</f>
        <v>1949764.5621562498</v>
      </c>
      <c r="G4" s="634">
        <f>+F4*(1+Datos!E$53)</f>
        <v>2115494.5499395309</v>
      </c>
      <c r="H4" s="634">
        <f>+G4*(1+Datos!F$53)</f>
        <v>2221269.2774365074</v>
      </c>
      <c r="I4" s="634">
        <f>+H4*(1+Datos!G$53)</f>
        <v>2321226.3949211501</v>
      </c>
      <c r="J4" s="634">
        <f>+I4*(1+Datos!H$53)</f>
        <v>2437287.7146672076</v>
      </c>
      <c r="K4" s="634">
        <f>+J4*(1+Datos!I$53)</f>
        <v>2607897.8546939124</v>
      </c>
      <c r="L4" s="643"/>
      <c r="M4" s="193">
        <f>VLOOKUP(A4,Inversion!B:E,4,0)</f>
        <v>2</v>
      </c>
      <c r="N4" s="193">
        <v>0</v>
      </c>
      <c r="O4" s="193">
        <v>1</v>
      </c>
      <c r="P4" s="193">
        <v>0</v>
      </c>
      <c r="Q4" s="193">
        <v>1</v>
      </c>
      <c r="R4" s="738">
        <f t="shared" ref="R4:R32" si="4">+M4</f>
        <v>2</v>
      </c>
      <c r="S4" s="193">
        <f t="shared" ref="S4:S32" si="5">+P4</f>
        <v>0</v>
      </c>
      <c r="T4" s="193">
        <f t="shared" ref="T4:T32" si="6">+O4</f>
        <v>1</v>
      </c>
      <c r="U4" s="193">
        <f t="shared" ref="U4:U32" si="7">+S4</f>
        <v>0</v>
      </c>
      <c r="W4" s="646">
        <f t="shared" si="2"/>
        <v>2941100</v>
      </c>
      <c r="X4" s="646">
        <f t="shared" si="3"/>
        <v>0</v>
      </c>
      <c r="Y4" s="646">
        <f t="shared" si="3"/>
        <v>1748667.7687499998</v>
      </c>
      <c r="Z4" s="646">
        <f t="shared" si="3"/>
        <v>0</v>
      </c>
      <c r="AA4" s="646">
        <f t="shared" si="3"/>
        <v>2115494.5499395309</v>
      </c>
      <c r="AB4" s="646">
        <f t="shared" si="3"/>
        <v>4442538.5548730148</v>
      </c>
      <c r="AC4" s="646">
        <f t="shared" si="3"/>
        <v>0</v>
      </c>
      <c r="AD4" s="646">
        <f t="shared" si="3"/>
        <v>2437287.7146672076</v>
      </c>
      <c r="AE4" s="646">
        <f t="shared" si="3"/>
        <v>0</v>
      </c>
    </row>
    <row r="5" spans="1:31">
      <c r="A5" s="193" t="s">
        <v>28</v>
      </c>
      <c r="B5" s="193" t="s">
        <v>25</v>
      </c>
      <c r="C5" s="634">
        <f>VLOOKUP(A5,Inversion!B:D,3,0)</f>
        <v>1500000</v>
      </c>
      <c r="D5" s="634">
        <f>+C5*(1+Datos!B$53)</f>
        <v>1585500</v>
      </c>
      <c r="E5" s="634">
        <f>+D5*(1+Datos!C$53)</f>
        <v>1783687.5</v>
      </c>
      <c r="F5" s="634">
        <f>+E5*(1+Datos!D$53)</f>
        <v>1988811.5625</v>
      </c>
      <c r="G5" s="634">
        <f>+F5*(1+Datos!E$53)</f>
        <v>2157860.5453125001</v>
      </c>
      <c r="H5" s="634">
        <f>+G5*(1+Datos!F$53)</f>
        <v>2265753.5725781252</v>
      </c>
      <c r="I5" s="634">
        <f>+H5*(1+Datos!G$53)</f>
        <v>2367712.4833441405</v>
      </c>
      <c r="J5" s="634">
        <f>+I5*(1+Datos!H$53)</f>
        <v>2486098.1075113476</v>
      </c>
      <c r="K5" s="634">
        <f>+J5*(1+Datos!I$53)</f>
        <v>2660124.9750371422</v>
      </c>
      <c r="L5" s="643"/>
      <c r="M5" s="193">
        <f>VLOOKUP(A5,Inversion!B:E,4,0)</f>
        <v>1</v>
      </c>
      <c r="N5" s="193">
        <v>0</v>
      </c>
      <c r="O5" s="193">
        <f t="shared" ref="O5:Q5" si="8">+N5</f>
        <v>0</v>
      </c>
      <c r="P5" s="193">
        <f t="shared" si="8"/>
        <v>0</v>
      </c>
      <c r="Q5" s="193">
        <f t="shared" si="8"/>
        <v>0</v>
      </c>
      <c r="R5" s="738">
        <f t="shared" si="4"/>
        <v>1</v>
      </c>
      <c r="S5" s="193">
        <f t="shared" si="5"/>
        <v>0</v>
      </c>
      <c r="T5" s="193">
        <f t="shared" si="6"/>
        <v>0</v>
      </c>
      <c r="U5" s="193">
        <f t="shared" si="7"/>
        <v>0</v>
      </c>
      <c r="W5" s="646">
        <f t="shared" si="2"/>
        <v>1500000</v>
      </c>
      <c r="X5" s="646">
        <f t="shared" si="3"/>
        <v>0</v>
      </c>
      <c r="Y5" s="646">
        <f t="shared" si="3"/>
        <v>0</v>
      </c>
      <c r="Z5" s="646">
        <f t="shared" si="3"/>
        <v>0</v>
      </c>
      <c r="AA5" s="646">
        <f t="shared" si="3"/>
        <v>0</v>
      </c>
      <c r="AB5" s="646">
        <f t="shared" si="3"/>
        <v>2265753.5725781252</v>
      </c>
      <c r="AC5" s="646">
        <f t="shared" si="3"/>
        <v>0</v>
      </c>
      <c r="AD5" s="646">
        <f t="shared" si="3"/>
        <v>0</v>
      </c>
      <c r="AE5" s="646">
        <f t="shared" si="3"/>
        <v>0</v>
      </c>
    </row>
    <row r="6" spans="1:31">
      <c r="A6" s="193" t="s">
        <v>29</v>
      </c>
      <c r="B6" s="193" t="s">
        <v>25</v>
      </c>
      <c r="C6" s="634">
        <f>VLOOKUP(A6,Inversion!B:D,3,0)</f>
        <v>1200000</v>
      </c>
      <c r="D6" s="634">
        <f>+C6*(1+Datos!B$53)</f>
        <v>1268400</v>
      </c>
      <c r="E6" s="634">
        <f>+D6*(1+Datos!C$53)</f>
        <v>1426950</v>
      </c>
      <c r="F6" s="634">
        <f>+E6*(1+Datos!D$53)</f>
        <v>1591049.25</v>
      </c>
      <c r="G6" s="634">
        <f>+F6*(1+Datos!E$53)</f>
        <v>1726288.43625</v>
      </c>
      <c r="H6" s="634">
        <f>+G6*(1+Datos!F$53)</f>
        <v>1812602.8580625001</v>
      </c>
      <c r="I6" s="634">
        <f>+H6*(1+Datos!G$53)</f>
        <v>1894169.9866753125</v>
      </c>
      <c r="J6" s="634">
        <f>+I6*(1+Datos!H$53)</f>
        <v>1988878.4860090783</v>
      </c>
      <c r="K6" s="634">
        <f>+J6*(1+Datos!I$53)</f>
        <v>2128099.9800297138</v>
      </c>
      <c r="L6" s="643"/>
      <c r="M6" s="193">
        <f>VLOOKUP(A6,Inversion!B:E,4,0)</f>
        <v>2</v>
      </c>
      <c r="N6" s="193">
        <v>0</v>
      </c>
      <c r="O6" s="193">
        <f t="shared" ref="O6:Q6" si="9">+N6</f>
        <v>0</v>
      </c>
      <c r="P6" s="193">
        <f t="shared" si="9"/>
        <v>0</v>
      </c>
      <c r="Q6" s="193">
        <f t="shared" si="9"/>
        <v>0</v>
      </c>
      <c r="R6" s="738">
        <f t="shared" si="4"/>
        <v>2</v>
      </c>
      <c r="S6" s="193">
        <f t="shared" si="5"/>
        <v>0</v>
      </c>
      <c r="T6" s="193">
        <f t="shared" si="6"/>
        <v>0</v>
      </c>
      <c r="U6" s="193">
        <f t="shared" si="7"/>
        <v>0</v>
      </c>
      <c r="W6" s="646">
        <f t="shared" si="2"/>
        <v>2400000</v>
      </c>
      <c r="X6" s="646">
        <f t="shared" si="3"/>
        <v>0</v>
      </c>
      <c r="Y6" s="646">
        <f t="shared" si="3"/>
        <v>0</v>
      </c>
      <c r="Z6" s="646">
        <f t="shared" si="3"/>
        <v>0</v>
      </c>
      <c r="AA6" s="646">
        <f t="shared" si="3"/>
        <v>0</v>
      </c>
      <c r="AB6" s="646">
        <f t="shared" si="3"/>
        <v>3625205.7161250003</v>
      </c>
      <c r="AC6" s="646">
        <f t="shared" si="3"/>
        <v>0</v>
      </c>
      <c r="AD6" s="646">
        <f t="shared" si="3"/>
        <v>0</v>
      </c>
      <c r="AE6" s="646">
        <f t="shared" si="3"/>
        <v>0</v>
      </c>
    </row>
    <row r="7" spans="1:31">
      <c r="A7" s="193" t="s">
        <v>313</v>
      </c>
      <c r="B7" s="193" t="s">
        <v>25</v>
      </c>
      <c r="C7" s="634">
        <f>VLOOKUP(A7,Inversion!B:D,3,0)</f>
        <v>4200000</v>
      </c>
      <c r="D7" s="634">
        <f>+C7*(1+Datos!B$53)</f>
        <v>4439400</v>
      </c>
      <c r="E7" s="634">
        <f>+D7*(1+Datos!C$53)</f>
        <v>4994325</v>
      </c>
      <c r="F7" s="634">
        <f>+E7*(1+Datos!D$53)</f>
        <v>5568672.375</v>
      </c>
      <c r="G7" s="634">
        <f>+F7*(1+Datos!E$53)</f>
        <v>6042009.5268749995</v>
      </c>
      <c r="H7" s="634">
        <f>+G7*(1+Datos!F$53)</f>
        <v>6344110.0032187495</v>
      </c>
      <c r="I7" s="634">
        <f>+H7*(1+Datos!G$53)</f>
        <v>6629594.9533635927</v>
      </c>
      <c r="J7" s="634">
        <f>+I7*(1+Datos!H$53)</f>
        <v>6961074.7010317724</v>
      </c>
      <c r="K7" s="634">
        <f>+J7*(1+Datos!I$53)</f>
        <v>7448349.9301039968</v>
      </c>
      <c r="L7" s="643"/>
      <c r="M7" s="193">
        <f>VLOOKUP(A7,Inversion!B:E,4,0)</f>
        <v>1</v>
      </c>
      <c r="N7" s="193">
        <v>0</v>
      </c>
      <c r="O7" s="193">
        <f t="shared" ref="O7:Q7" si="10">+N7</f>
        <v>0</v>
      </c>
      <c r="P7" s="193">
        <f t="shared" si="10"/>
        <v>0</v>
      </c>
      <c r="Q7" s="193">
        <f t="shared" si="10"/>
        <v>0</v>
      </c>
      <c r="R7" s="738">
        <f t="shared" si="4"/>
        <v>1</v>
      </c>
      <c r="S7" s="193">
        <f t="shared" si="5"/>
        <v>0</v>
      </c>
      <c r="T7" s="193">
        <f t="shared" si="6"/>
        <v>0</v>
      </c>
      <c r="U7" s="193">
        <f t="shared" si="7"/>
        <v>0</v>
      </c>
      <c r="W7" s="646">
        <f t="shared" si="2"/>
        <v>4200000</v>
      </c>
      <c r="X7" s="646">
        <f t="shared" si="3"/>
        <v>0</v>
      </c>
      <c r="Y7" s="646">
        <f t="shared" si="3"/>
        <v>0</v>
      </c>
      <c r="Z7" s="646">
        <f t="shared" si="3"/>
        <v>0</v>
      </c>
      <c r="AA7" s="646">
        <f t="shared" si="3"/>
        <v>0</v>
      </c>
      <c r="AB7" s="646">
        <f t="shared" si="3"/>
        <v>6344110.0032187495</v>
      </c>
      <c r="AC7" s="646">
        <f t="shared" si="3"/>
        <v>0</v>
      </c>
      <c r="AD7" s="646">
        <f t="shared" si="3"/>
        <v>0</v>
      </c>
      <c r="AE7" s="646">
        <f t="shared" si="3"/>
        <v>0</v>
      </c>
    </row>
    <row r="8" spans="1:31">
      <c r="A8" s="193" t="s">
        <v>731</v>
      </c>
      <c r="B8" s="193" t="s">
        <v>25</v>
      </c>
      <c r="C8" s="634">
        <f>VLOOKUP(A8,Inversion!B:D,3,0)</f>
        <v>600000</v>
      </c>
      <c r="D8" s="634">
        <f>+C8*(1+Datos!B$53)</f>
        <v>634200</v>
      </c>
      <c r="E8" s="634">
        <f>+D8*(1+Datos!C$53)</f>
        <v>713475</v>
      </c>
      <c r="F8" s="634">
        <f>+E8*(1+Datos!D$53)</f>
        <v>795524.625</v>
      </c>
      <c r="G8" s="634">
        <f>+F8*(1+Datos!E$53)</f>
        <v>863144.21812500001</v>
      </c>
      <c r="H8" s="634">
        <f>+G8*(1+Datos!F$53)</f>
        <v>906301.42903125007</v>
      </c>
      <c r="I8" s="634">
        <f>+H8*(1+Datos!G$53)</f>
        <v>947084.99333765625</v>
      </c>
      <c r="J8" s="634">
        <f>+I8*(1+Datos!H$53)</f>
        <v>994439.24300453917</v>
      </c>
      <c r="K8" s="634">
        <f>+J8*(1+Datos!I$53)</f>
        <v>1064049.9900148569</v>
      </c>
      <c r="L8" s="643"/>
      <c r="M8" s="193">
        <f>VLOOKUP(A8,Inversion!B:E,4,0)</f>
        <v>2</v>
      </c>
      <c r="N8" s="193">
        <v>0</v>
      </c>
      <c r="O8" s="193">
        <v>1</v>
      </c>
      <c r="P8" s="193">
        <v>0</v>
      </c>
      <c r="Q8" s="193">
        <v>1</v>
      </c>
      <c r="R8" s="738">
        <f t="shared" si="4"/>
        <v>2</v>
      </c>
      <c r="S8" s="193">
        <f t="shared" si="5"/>
        <v>0</v>
      </c>
      <c r="T8" s="193">
        <f t="shared" si="6"/>
        <v>1</v>
      </c>
      <c r="U8" s="193">
        <f t="shared" si="7"/>
        <v>0</v>
      </c>
      <c r="W8" s="646">
        <f t="shared" si="2"/>
        <v>1200000</v>
      </c>
      <c r="X8" s="646">
        <f t="shared" si="3"/>
        <v>0</v>
      </c>
      <c r="Y8" s="646">
        <f t="shared" si="3"/>
        <v>713475</v>
      </c>
      <c r="Z8" s="646">
        <f t="shared" si="3"/>
        <v>0</v>
      </c>
      <c r="AA8" s="646">
        <f t="shared" si="3"/>
        <v>863144.21812500001</v>
      </c>
      <c r="AB8" s="646">
        <f t="shared" si="3"/>
        <v>1812602.8580625001</v>
      </c>
      <c r="AC8" s="646">
        <f t="shared" si="3"/>
        <v>0</v>
      </c>
      <c r="AD8" s="646">
        <f t="shared" si="3"/>
        <v>994439.24300453917</v>
      </c>
      <c r="AE8" s="646">
        <f t="shared" si="3"/>
        <v>0</v>
      </c>
    </row>
    <row r="9" spans="1:31">
      <c r="A9" s="193" t="s">
        <v>30</v>
      </c>
      <c r="B9" s="193" t="s">
        <v>25</v>
      </c>
      <c r="C9" s="635">
        <f>VLOOKUP(A9,Inversion!B:D,3,0)</f>
        <v>450000</v>
      </c>
      <c r="D9" s="635">
        <f>+C9*(1+Datos!B$53)</f>
        <v>475650</v>
      </c>
      <c r="E9" s="635">
        <f>+D9*(1+Datos!C$53)</f>
        <v>535106.25</v>
      </c>
      <c r="F9" s="635">
        <f>+E9*(1+Datos!D$53)</f>
        <v>596643.46875</v>
      </c>
      <c r="G9" s="635">
        <f>+F9*(1+Datos!E$53)</f>
        <v>647358.16359374998</v>
      </c>
      <c r="H9" s="635">
        <f>+G9*(1+Datos!F$53)</f>
        <v>679726.07177343755</v>
      </c>
      <c r="I9" s="635">
        <f>+H9*(1+Datos!G$53)</f>
        <v>710313.74500324216</v>
      </c>
      <c r="J9" s="635">
        <f>+I9*(1+Datos!H$53)</f>
        <v>745829.43225340429</v>
      </c>
      <c r="K9" s="635">
        <f>+J9*(1+Datos!I$53)</f>
        <v>798037.49251114263</v>
      </c>
      <c r="L9" s="644"/>
      <c r="M9" s="193">
        <f>VLOOKUP(A9,Inversion!B:E,4,0)</f>
        <v>1</v>
      </c>
      <c r="N9" s="193">
        <v>0</v>
      </c>
      <c r="O9" s="193">
        <v>1</v>
      </c>
      <c r="P9" s="193">
        <v>0</v>
      </c>
      <c r="Q9" s="193">
        <v>1</v>
      </c>
      <c r="R9" s="738">
        <f t="shared" si="4"/>
        <v>1</v>
      </c>
      <c r="S9" s="193">
        <f t="shared" si="5"/>
        <v>0</v>
      </c>
      <c r="T9" s="193">
        <f t="shared" si="6"/>
        <v>1</v>
      </c>
      <c r="U9" s="193">
        <f t="shared" si="7"/>
        <v>0</v>
      </c>
      <c r="W9" s="646">
        <f t="shared" si="2"/>
        <v>450000</v>
      </c>
      <c r="X9" s="646">
        <f t="shared" si="3"/>
        <v>0</v>
      </c>
      <c r="Y9" s="646">
        <f t="shared" si="3"/>
        <v>535106.25</v>
      </c>
      <c r="Z9" s="646">
        <f t="shared" si="3"/>
        <v>0</v>
      </c>
      <c r="AA9" s="646">
        <f t="shared" si="3"/>
        <v>647358.16359374998</v>
      </c>
      <c r="AB9" s="646">
        <f t="shared" si="3"/>
        <v>679726.07177343755</v>
      </c>
      <c r="AC9" s="646">
        <f t="shared" si="3"/>
        <v>0</v>
      </c>
      <c r="AD9" s="646">
        <f t="shared" si="3"/>
        <v>745829.43225340429</v>
      </c>
      <c r="AE9" s="646">
        <f t="shared" si="3"/>
        <v>0</v>
      </c>
    </row>
    <row r="10" spans="1:31">
      <c r="A10" s="193" t="s">
        <v>31</v>
      </c>
      <c r="B10" s="193" t="s">
        <v>25</v>
      </c>
      <c r="C10" s="635">
        <f>VLOOKUP(A10,Inversion!B:D,3,0)</f>
        <v>556000</v>
      </c>
      <c r="D10" s="635">
        <f>+C10*(1+Datos!B$53)</f>
        <v>587692</v>
      </c>
      <c r="E10" s="635">
        <f>+D10*(1+Datos!C$53)</f>
        <v>661153.5</v>
      </c>
      <c r="F10" s="635">
        <f>+E10*(1+Datos!D$53)</f>
        <v>737186.15249999997</v>
      </c>
      <c r="G10" s="635">
        <f>+F10*(1+Datos!E$53)</f>
        <v>799846.97546249989</v>
      </c>
      <c r="H10" s="635">
        <f>+G10*(1+Datos!F$53)</f>
        <v>839839.32423562487</v>
      </c>
      <c r="I10" s="635">
        <f>+H10*(1+Datos!G$53)</f>
        <v>877632.09382622794</v>
      </c>
      <c r="J10" s="635">
        <f>+I10*(1+Datos!H$53)</f>
        <v>921513.69851753942</v>
      </c>
      <c r="K10" s="635">
        <f>+J10*(1+Datos!I$53)</f>
        <v>986019.65741376719</v>
      </c>
      <c r="L10" s="644"/>
      <c r="M10" s="193">
        <f>VLOOKUP(A10,Inversion!B:E,4,0)</f>
        <v>1</v>
      </c>
      <c r="N10" s="193">
        <v>0</v>
      </c>
      <c r="O10" s="193">
        <v>1</v>
      </c>
      <c r="P10" s="193">
        <v>0</v>
      </c>
      <c r="Q10" s="193">
        <v>1</v>
      </c>
      <c r="R10" s="738">
        <f t="shared" si="4"/>
        <v>1</v>
      </c>
      <c r="S10" s="193">
        <f t="shared" si="5"/>
        <v>0</v>
      </c>
      <c r="T10" s="193">
        <f t="shared" si="6"/>
        <v>1</v>
      </c>
      <c r="U10" s="193">
        <f t="shared" si="7"/>
        <v>0</v>
      </c>
      <c r="W10" s="646">
        <f t="shared" si="2"/>
        <v>556000</v>
      </c>
      <c r="X10" s="646">
        <f t="shared" si="3"/>
        <v>0</v>
      </c>
      <c r="Y10" s="646">
        <f t="shared" si="3"/>
        <v>661153.5</v>
      </c>
      <c r="Z10" s="646">
        <f t="shared" si="3"/>
        <v>0</v>
      </c>
      <c r="AA10" s="646">
        <f t="shared" si="3"/>
        <v>799846.97546249989</v>
      </c>
      <c r="AB10" s="646">
        <f t="shared" si="3"/>
        <v>839839.32423562487</v>
      </c>
      <c r="AC10" s="646">
        <f t="shared" si="3"/>
        <v>0</v>
      </c>
      <c r="AD10" s="646">
        <f t="shared" si="3"/>
        <v>921513.69851753942</v>
      </c>
      <c r="AE10" s="646">
        <f t="shared" si="3"/>
        <v>0</v>
      </c>
    </row>
    <row r="11" spans="1:31">
      <c r="A11" s="193" t="s">
        <v>32</v>
      </c>
      <c r="B11" s="193" t="s">
        <v>25</v>
      </c>
      <c r="C11" s="634">
        <f>VLOOKUP(A11,Inversion!B:D,3,0)</f>
        <v>60000</v>
      </c>
      <c r="D11" s="634">
        <f>+C11*(1+Datos!B$53)</f>
        <v>63420</v>
      </c>
      <c r="E11" s="634">
        <f>+D11*(1+Datos!C$53)</f>
        <v>71347.5</v>
      </c>
      <c r="F11" s="634">
        <f>+E11*(1+Datos!D$53)</f>
        <v>79552.462499999994</v>
      </c>
      <c r="G11" s="634">
        <f>+F11*(1+Datos!E$53)</f>
        <v>86314.42181249999</v>
      </c>
      <c r="H11" s="634">
        <f>+G11*(1+Datos!F$53)</f>
        <v>90630.142903124986</v>
      </c>
      <c r="I11" s="634">
        <f>+H11*(1+Datos!G$53)</f>
        <v>94708.499333765605</v>
      </c>
      <c r="J11" s="634">
        <f>+I11*(1+Datos!H$53)</f>
        <v>99443.924300453888</v>
      </c>
      <c r="K11" s="634">
        <f>+J11*(1+Datos!I$53)</f>
        <v>106404.99900148566</v>
      </c>
      <c r="L11" s="643"/>
      <c r="M11" s="193">
        <f>VLOOKUP(A11,Inversion!B:E,4,0)</f>
        <v>12</v>
      </c>
      <c r="N11" s="193">
        <v>6</v>
      </c>
      <c r="O11" s="193">
        <f t="shared" ref="O11:Q11" si="11">+N11</f>
        <v>6</v>
      </c>
      <c r="P11" s="193">
        <f t="shared" si="11"/>
        <v>6</v>
      </c>
      <c r="Q11" s="193">
        <f t="shared" si="11"/>
        <v>6</v>
      </c>
      <c r="R11" s="738">
        <f t="shared" si="4"/>
        <v>12</v>
      </c>
      <c r="S11" s="193">
        <f t="shared" si="5"/>
        <v>6</v>
      </c>
      <c r="T11" s="193">
        <f t="shared" si="6"/>
        <v>6</v>
      </c>
      <c r="U11" s="193">
        <f t="shared" si="7"/>
        <v>6</v>
      </c>
      <c r="W11" s="646">
        <f t="shared" si="2"/>
        <v>720000</v>
      </c>
      <c r="X11" s="646">
        <f t="shared" si="3"/>
        <v>380520</v>
      </c>
      <c r="Y11" s="646">
        <f t="shared" si="3"/>
        <v>428085</v>
      </c>
      <c r="Z11" s="646">
        <f t="shared" si="3"/>
        <v>477314.77499999997</v>
      </c>
      <c r="AA11" s="646">
        <f t="shared" si="3"/>
        <v>517886.53087499994</v>
      </c>
      <c r="AB11" s="646">
        <f t="shared" si="3"/>
        <v>1087561.7148374999</v>
      </c>
      <c r="AC11" s="646">
        <f t="shared" si="3"/>
        <v>568250.99600259366</v>
      </c>
      <c r="AD11" s="646">
        <f t="shared" si="3"/>
        <v>596663.54580272338</v>
      </c>
      <c r="AE11" s="646">
        <f t="shared" si="3"/>
        <v>638429.99400891399</v>
      </c>
    </row>
    <row r="12" spans="1:31">
      <c r="A12" s="193" t="s">
        <v>314</v>
      </c>
      <c r="B12" s="193" t="s">
        <v>25</v>
      </c>
      <c r="C12" s="634">
        <f>VLOOKUP(A12,Inversion!B:D,3,0)</f>
        <v>80000</v>
      </c>
      <c r="D12" s="634">
        <f>+C12*(1+Datos!B$53)</f>
        <v>84560</v>
      </c>
      <c r="E12" s="634">
        <f>+D12*(1+Datos!C$53)</f>
        <v>95130</v>
      </c>
      <c r="F12" s="634">
        <f>+E12*(1+Datos!D$53)</f>
        <v>106069.95</v>
      </c>
      <c r="G12" s="634">
        <f>+F12*(1+Datos!E$53)</f>
        <v>115085.89575</v>
      </c>
      <c r="H12" s="634">
        <f>+G12*(1+Datos!F$53)</f>
        <v>120840.19053750001</v>
      </c>
      <c r="I12" s="634">
        <f>+H12*(1+Datos!G$53)</f>
        <v>126277.9991116875</v>
      </c>
      <c r="J12" s="634">
        <f>+I12*(1+Datos!H$53)</f>
        <v>132591.89906727188</v>
      </c>
      <c r="K12" s="634">
        <f>+J12*(1+Datos!I$53)</f>
        <v>141873.33200198092</v>
      </c>
      <c r="L12" s="643"/>
      <c r="M12" s="193">
        <f>VLOOKUP(A12,Inversion!B:E,4,0)</f>
        <v>10</v>
      </c>
      <c r="N12" s="193">
        <v>3</v>
      </c>
      <c r="O12" s="193">
        <f t="shared" ref="O12:Q12" si="12">+N12</f>
        <v>3</v>
      </c>
      <c r="P12" s="193">
        <f t="shared" si="12"/>
        <v>3</v>
      </c>
      <c r="Q12" s="193">
        <f t="shared" si="12"/>
        <v>3</v>
      </c>
      <c r="R12" s="738">
        <f t="shared" si="4"/>
        <v>10</v>
      </c>
      <c r="S12" s="193">
        <f t="shared" si="5"/>
        <v>3</v>
      </c>
      <c r="T12" s="193">
        <f t="shared" si="6"/>
        <v>3</v>
      </c>
      <c r="U12" s="193">
        <f t="shared" si="7"/>
        <v>3</v>
      </c>
      <c r="W12" s="646">
        <f t="shared" si="2"/>
        <v>800000</v>
      </c>
      <c r="X12" s="646">
        <f t="shared" si="3"/>
        <v>253680</v>
      </c>
      <c r="Y12" s="646">
        <f t="shared" si="3"/>
        <v>285390</v>
      </c>
      <c r="Z12" s="646">
        <f t="shared" si="3"/>
        <v>318209.84999999998</v>
      </c>
      <c r="AA12" s="646">
        <f t="shared" si="3"/>
        <v>345257.68724999996</v>
      </c>
      <c r="AB12" s="646">
        <f t="shared" si="3"/>
        <v>1208401.9053750001</v>
      </c>
      <c r="AC12" s="646">
        <f t="shared" si="3"/>
        <v>378833.99733506248</v>
      </c>
      <c r="AD12" s="646">
        <f t="shared" si="3"/>
        <v>397775.69720181567</v>
      </c>
      <c r="AE12" s="646">
        <f t="shared" si="3"/>
        <v>425619.99600594275</v>
      </c>
    </row>
    <row r="13" spans="1:31">
      <c r="A13" s="193" t="s">
        <v>33</v>
      </c>
      <c r="B13" s="193" t="s">
        <v>25</v>
      </c>
      <c r="C13" s="634">
        <f>VLOOKUP(A13,Inversion!B:D,3,0)</f>
        <v>20000</v>
      </c>
      <c r="D13" s="634">
        <f>+C13*(1+Datos!B$53)</f>
        <v>21140</v>
      </c>
      <c r="E13" s="634">
        <f>+D13*(1+Datos!C$53)</f>
        <v>23782.5</v>
      </c>
      <c r="F13" s="634">
        <f>+E13*(1+Datos!D$53)</f>
        <v>26517.487499999999</v>
      </c>
      <c r="G13" s="634">
        <f>+F13*(1+Datos!E$53)</f>
        <v>28771.473937499999</v>
      </c>
      <c r="H13" s="634">
        <f>+G13*(1+Datos!F$53)</f>
        <v>30210.047634375002</v>
      </c>
      <c r="I13" s="634">
        <f>+H13*(1+Datos!G$53)</f>
        <v>31569.499777921876</v>
      </c>
      <c r="J13" s="634">
        <f>+I13*(1+Datos!H$53)</f>
        <v>33147.97476681797</v>
      </c>
      <c r="K13" s="634">
        <f>+J13*(1+Datos!I$53)</f>
        <v>35468.333000495229</v>
      </c>
      <c r="L13" s="643"/>
      <c r="M13" s="193">
        <f>VLOOKUP(A13,Inversion!B:E,4,0)</f>
        <v>25</v>
      </c>
      <c r="N13" s="193">
        <v>6</v>
      </c>
      <c r="O13" s="193">
        <f t="shared" ref="O13:Q13" si="13">+N13</f>
        <v>6</v>
      </c>
      <c r="P13" s="193">
        <f t="shared" si="13"/>
        <v>6</v>
      </c>
      <c r="Q13" s="193">
        <f t="shared" si="13"/>
        <v>6</v>
      </c>
      <c r="R13" s="738">
        <f t="shared" si="4"/>
        <v>25</v>
      </c>
      <c r="S13" s="193">
        <f t="shared" si="5"/>
        <v>6</v>
      </c>
      <c r="T13" s="193">
        <f t="shared" si="6"/>
        <v>6</v>
      </c>
      <c r="U13" s="193">
        <f t="shared" si="7"/>
        <v>6</v>
      </c>
      <c r="W13" s="646">
        <f t="shared" si="2"/>
        <v>500000</v>
      </c>
      <c r="X13" s="646">
        <f t="shared" si="3"/>
        <v>126840</v>
      </c>
      <c r="Y13" s="646">
        <f t="shared" si="3"/>
        <v>142695</v>
      </c>
      <c r="Z13" s="646">
        <f t="shared" si="3"/>
        <v>159104.92499999999</v>
      </c>
      <c r="AA13" s="646">
        <f t="shared" si="3"/>
        <v>172628.84362499998</v>
      </c>
      <c r="AB13" s="646">
        <f t="shared" si="3"/>
        <v>755251.19085937506</v>
      </c>
      <c r="AC13" s="646">
        <f t="shared" si="3"/>
        <v>189416.99866753124</v>
      </c>
      <c r="AD13" s="646">
        <f t="shared" si="3"/>
        <v>198887.84860090783</v>
      </c>
      <c r="AE13" s="646">
        <f t="shared" si="3"/>
        <v>212809.99800297138</v>
      </c>
    </row>
    <row r="14" spans="1:31">
      <c r="A14" s="193" t="s">
        <v>500</v>
      </c>
      <c r="B14" s="193" t="s">
        <v>25</v>
      </c>
      <c r="C14" s="634">
        <f>VLOOKUP(A14,Inversion!B:D,3,0)</f>
        <v>25000</v>
      </c>
      <c r="D14" s="634">
        <f>+C14*(1+Datos!B$53)</f>
        <v>26425</v>
      </c>
      <c r="E14" s="634">
        <f>+D14*(1+Datos!C$53)</f>
        <v>29728.125</v>
      </c>
      <c r="F14" s="634">
        <f>+E14*(1+Datos!D$53)</f>
        <v>33146.859375</v>
      </c>
      <c r="G14" s="634">
        <f>+F14*(1+Datos!E$53)</f>
        <v>35964.342421875001</v>
      </c>
      <c r="H14" s="634">
        <f>+G14*(1+Datos!F$53)</f>
        <v>37762.559542968753</v>
      </c>
      <c r="I14" s="634">
        <f>+H14*(1+Datos!G$53)</f>
        <v>39461.874722402346</v>
      </c>
      <c r="J14" s="634">
        <f>+I14*(1+Datos!H$53)</f>
        <v>41434.968458522468</v>
      </c>
      <c r="K14" s="634">
        <f>+J14*(1+Datos!I$53)</f>
        <v>44335.416250619041</v>
      </c>
      <c r="L14" s="643"/>
      <c r="M14" s="193">
        <f>VLOOKUP(A14,Inversion!B:E,4,0)</f>
        <v>25</v>
      </c>
      <c r="N14" s="193">
        <v>6</v>
      </c>
      <c r="O14" s="193">
        <f t="shared" ref="O14:Q14" si="14">+N14</f>
        <v>6</v>
      </c>
      <c r="P14" s="193">
        <f t="shared" si="14"/>
        <v>6</v>
      </c>
      <c r="Q14" s="193">
        <f t="shared" si="14"/>
        <v>6</v>
      </c>
      <c r="R14" s="738">
        <f t="shared" si="4"/>
        <v>25</v>
      </c>
      <c r="S14" s="193">
        <f t="shared" si="5"/>
        <v>6</v>
      </c>
      <c r="T14" s="193">
        <f t="shared" si="6"/>
        <v>6</v>
      </c>
      <c r="U14" s="193">
        <f t="shared" si="7"/>
        <v>6</v>
      </c>
      <c r="W14" s="646">
        <f t="shared" si="2"/>
        <v>625000</v>
      </c>
      <c r="X14" s="646">
        <f t="shared" si="3"/>
        <v>158550</v>
      </c>
      <c r="Y14" s="646">
        <f t="shared" si="3"/>
        <v>178368.75</v>
      </c>
      <c r="Z14" s="646">
        <f t="shared" si="3"/>
        <v>198881.15625</v>
      </c>
      <c r="AA14" s="646">
        <f t="shared" si="3"/>
        <v>215786.05453125</v>
      </c>
      <c r="AB14" s="646">
        <f t="shared" si="3"/>
        <v>944063.98857421882</v>
      </c>
      <c r="AC14" s="646">
        <f t="shared" si="3"/>
        <v>236771.24833441409</v>
      </c>
      <c r="AD14" s="646">
        <f t="shared" si="3"/>
        <v>248609.81075113482</v>
      </c>
      <c r="AE14" s="646">
        <f t="shared" si="3"/>
        <v>266012.49750371423</v>
      </c>
    </row>
    <row r="15" spans="1:31">
      <c r="A15" s="193" t="s">
        <v>34</v>
      </c>
      <c r="B15" s="193" t="s">
        <v>25</v>
      </c>
      <c r="C15" s="634">
        <f>VLOOKUP(A15,Inversion!B:D,3,0)</f>
        <v>13400</v>
      </c>
      <c r="D15" s="634">
        <f>+C15*(1+Datos!B$53)</f>
        <v>14163.8</v>
      </c>
      <c r="E15" s="634">
        <f>+D15*(1+Datos!C$53)</f>
        <v>15934.275</v>
      </c>
      <c r="F15" s="634">
        <f>+E15*(1+Datos!D$53)</f>
        <v>17766.716625000001</v>
      </c>
      <c r="G15" s="634">
        <f>+F15*(1+Datos!E$53)</f>
        <v>19276.887538125</v>
      </c>
      <c r="H15" s="634">
        <f>+G15*(1+Datos!F$53)</f>
        <v>20240.731915031251</v>
      </c>
      <c r="I15" s="634">
        <f>+H15*(1+Datos!G$53)</f>
        <v>21151.564851207655</v>
      </c>
      <c r="J15" s="634">
        <f>+I15*(1+Datos!H$53)</f>
        <v>22209.143093768038</v>
      </c>
      <c r="K15" s="634">
        <f>+J15*(1+Datos!I$53)</f>
        <v>23763.783110331802</v>
      </c>
      <c r="L15" s="643"/>
      <c r="M15" s="193">
        <f>VLOOKUP(A15,Inversion!B:E,4,0)</f>
        <v>48</v>
      </c>
      <c r="N15" s="193">
        <v>20</v>
      </c>
      <c r="O15" s="193">
        <f t="shared" ref="O15:Q15" si="15">+N15</f>
        <v>20</v>
      </c>
      <c r="P15" s="193">
        <f t="shared" si="15"/>
        <v>20</v>
      </c>
      <c r="Q15" s="193">
        <f t="shared" si="15"/>
        <v>20</v>
      </c>
      <c r="R15" s="738">
        <f t="shared" si="4"/>
        <v>48</v>
      </c>
      <c r="S15" s="193">
        <f t="shared" si="5"/>
        <v>20</v>
      </c>
      <c r="T15" s="193">
        <f t="shared" si="6"/>
        <v>20</v>
      </c>
      <c r="U15" s="193">
        <f t="shared" si="7"/>
        <v>20</v>
      </c>
      <c r="W15" s="646">
        <f t="shared" si="2"/>
        <v>643200</v>
      </c>
      <c r="X15" s="646">
        <f t="shared" si="3"/>
        <v>283276</v>
      </c>
      <c r="Y15" s="646">
        <f t="shared" si="3"/>
        <v>318685.5</v>
      </c>
      <c r="Z15" s="646">
        <f t="shared" si="3"/>
        <v>355334.33250000002</v>
      </c>
      <c r="AA15" s="646">
        <f t="shared" si="3"/>
        <v>385537.75076249999</v>
      </c>
      <c r="AB15" s="646">
        <f t="shared" si="3"/>
        <v>971555.13192149997</v>
      </c>
      <c r="AC15" s="646">
        <f t="shared" si="3"/>
        <v>423031.29702415311</v>
      </c>
      <c r="AD15" s="646">
        <f t="shared" si="3"/>
        <v>444182.86187536077</v>
      </c>
      <c r="AE15" s="646">
        <f t="shared" si="3"/>
        <v>475275.66220663604</v>
      </c>
    </row>
    <row r="16" spans="1:31">
      <c r="A16" s="193" t="s">
        <v>35</v>
      </c>
      <c r="B16" s="193" t="s">
        <v>25</v>
      </c>
      <c r="C16" s="634">
        <f>VLOOKUP(A16,Inversion!B:D,3,0)</f>
        <v>25000</v>
      </c>
      <c r="D16" s="634">
        <f>+C16*(1+Datos!B$53)</f>
        <v>26425</v>
      </c>
      <c r="E16" s="634">
        <f>+D16*(1+Datos!C$53)</f>
        <v>29728.125</v>
      </c>
      <c r="F16" s="634">
        <f>+E16*(1+Datos!D$53)</f>
        <v>33146.859375</v>
      </c>
      <c r="G16" s="634">
        <f>+F16*(1+Datos!E$53)</f>
        <v>35964.342421875001</v>
      </c>
      <c r="H16" s="634">
        <f>+G16*(1+Datos!F$53)</f>
        <v>37762.559542968753</v>
      </c>
      <c r="I16" s="634">
        <f>+H16*(1+Datos!G$53)</f>
        <v>39461.874722402346</v>
      </c>
      <c r="J16" s="634">
        <f>+I16*(1+Datos!H$53)</f>
        <v>41434.968458522468</v>
      </c>
      <c r="K16" s="634">
        <f>+J16*(1+Datos!I$53)</f>
        <v>44335.416250619041</v>
      </c>
      <c r="L16" s="643"/>
      <c r="M16" s="193">
        <f>VLOOKUP(A16,Inversion!B:E,4,0)</f>
        <v>10</v>
      </c>
      <c r="N16" s="193">
        <v>2</v>
      </c>
      <c r="O16" s="193">
        <f t="shared" ref="O16:Q16" si="16">+N16</f>
        <v>2</v>
      </c>
      <c r="P16" s="193">
        <f t="shared" si="16"/>
        <v>2</v>
      </c>
      <c r="Q16" s="193">
        <f t="shared" si="16"/>
        <v>2</v>
      </c>
      <c r="R16" s="738">
        <f t="shared" si="4"/>
        <v>10</v>
      </c>
      <c r="S16" s="193">
        <f t="shared" si="5"/>
        <v>2</v>
      </c>
      <c r="T16" s="193">
        <f t="shared" si="6"/>
        <v>2</v>
      </c>
      <c r="U16" s="193">
        <f t="shared" si="7"/>
        <v>2</v>
      </c>
      <c r="W16" s="646">
        <f t="shared" si="2"/>
        <v>250000</v>
      </c>
      <c r="X16" s="646">
        <f t="shared" si="3"/>
        <v>52850</v>
      </c>
      <c r="Y16" s="646">
        <f t="shared" si="3"/>
        <v>59456.25</v>
      </c>
      <c r="Z16" s="646">
        <f t="shared" si="3"/>
        <v>66293.71875</v>
      </c>
      <c r="AA16" s="646">
        <f t="shared" si="3"/>
        <v>71928.684843750001</v>
      </c>
      <c r="AB16" s="646">
        <f t="shared" si="3"/>
        <v>377625.59542968753</v>
      </c>
      <c r="AC16" s="646">
        <f t="shared" si="3"/>
        <v>78923.749444804693</v>
      </c>
      <c r="AD16" s="646">
        <f t="shared" si="3"/>
        <v>82869.936917044935</v>
      </c>
      <c r="AE16" s="646">
        <f t="shared" si="3"/>
        <v>88670.832501238081</v>
      </c>
    </row>
    <row r="17" spans="1:31">
      <c r="A17" s="193" t="s">
        <v>36</v>
      </c>
      <c r="B17" s="193" t="s">
        <v>25</v>
      </c>
      <c r="C17" s="634">
        <f>VLOOKUP(A17,Inversion!B:D,3,0)</f>
        <v>8975000</v>
      </c>
      <c r="D17" s="634">
        <f>+C17*(1+Datos!B$53)</f>
        <v>9486575</v>
      </c>
      <c r="E17" s="634">
        <f>+D17*(1+Datos!C$53)</f>
        <v>10672396.875</v>
      </c>
      <c r="F17" s="634">
        <f>+E17*(1+Datos!D$53)</f>
        <v>11899722.515625</v>
      </c>
      <c r="G17" s="634">
        <f>+F17*(1+Datos!E$53)</f>
        <v>12911198.929453125</v>
      </c>
      <c r="H17" s="634">
        <f>+G17*(1+Datos!F$53)</f>
        <v>13556758.875925781</v>
      </c>
      <c r="I17" s="634">
        <f>+H17*(1+Datos!G$53)</f>
        <v>14166813.02534244</v>
      </c>
      <c r="J17" s="634">
        <f>+I17*(1+Datos!H$53)</f>
        <v>14875153.676609563</v>
      </c>
      <c r="K17" s="634">
        <f>+J17*(1+Datos!I$53)</f>
        <v>15916414.433972234</v>
      </c>
      <c r="L17" s="643"/>
      <c r="M17" s="193">
        <f>VLOOKUP(A17,Inversion!B:E,4,0)</f>
        <v>1</v>
      </c>
      <c r="N17" s="193">
        <v>0</v>
      </c>
      <c r="O17" s="193">
        <f t="shared" ref="O17:Q17" si="17">+N17</f>
        <v>0</v>
      </c>
      <c r="P17" s="193">
        <f t="shared" si="17"/>
        <v>0</v>
      </c>
      <c r="Q17" s="193">
        <f t="shared" si="17"/>
        <v>0</v>
      </c>
      <c r="R17" s="738">
        <f t="shared" si="4"/>
        <v>1</v>
      </c>
      <c r="S17" s="193">
        <f t="shared" si="5"/>
        <v>0</v>
      </c>
      <c r="T17" s="193">
        <f t="shared" si="6"/>
        <v>0</v>
      </c>
      <c r="U17" s="193">
        <f t="shared" si="7"/>
        <v>0</v>
      </c>
      <c r="W17" s="646">
        <f t="shared" si="2"/>
        <v>8975000</v>
      </c>
      <c r="X17" s="646">
        <f t="shared" si="3"/>
        <v>0</v>
      </c>
      <c r="Y17" s="646">
        <f t="shared" si="3"/>
        <v>0</v>
      </c>
      <c r="Z17" s="646">
        <f t="shared" si="3"/>
        <v>0</v>
      </c>
      <c r="AA17" s="646">
        <f t="shared" si="3"/>
        <v>0</v>
      </c>
      <c r="AB17" s="646">
        <f t="shared" si="3"/>
        <v>13556758.875925781</v>
      </c>
      <c r="AC17" s="646">
        <f t="shared" si="3"/>
        <v>0</v>
      </c>
      <c r="AD17" s="646">
        <f t="shared" si="3"/>
        <v>0</v>
      </c>
      <c r="AE17" s="646">
        <f t="shared" si="3"/>
        <v>0</v>
      </c>
    </row>
    <row r="18" spans="1:31">
      <c r="A18" s="193" t="s">
        <v>37</v>
      </c>
      <c r="B18" s="193" t="s">
        <v>25</v>
      </c>
      <c r="C18" s="634">
        <f>VLOOKUP(A18,Inversion!B:D,3,0)</f>
        <v>2199900</v>
      </c>
      <c r="D18" s="634">
        <f>+C18*(1+Datos!B$53)</f>
        <v>2325294.2999999998</v>
      </c>
      <c r="E18" s="634">
        <f>+D18*(1+Datos!C$53)</f>
        <v>2615956.0874999999</v>
      </c>
      <c r="F18" s="634">
        <f>+E18*(1+Datos!D$53)</f>
        <v>2916791.0375624998</v>
      </c>
      <c r="G18" s="634">
        <f>+F18*(1+Datos!E$53)</f>
        <v>3164718.2757553123</v>
      </c>
      <c r="H18" s="634">
        <f>+G18*(1+Datos!F$53)</f>
        <v>3322954.1895430782</v>
      </c>
      <c r="I18" s="634">
        <f>+H18*(1+Datos!G$53)</f>
        <v>3472487.1280725165</v>
      </c>
      <c r="J18" s="634">
        <f>+I18*(1+Datos!H$53)</f>
        <v>3646111.4844761426</v>
      </c>
      <c r="K18" s="634">
        <f>+J18*(1+Datos!I$53)</f>
        <v>3901339.2883894728</v>
      </c>
      <c r="L18" s="643"/>
      <c r="M18" s="193">
        <f>VLOOKUP(A18,Inversion!B:E,4,0)</f>
        <v>2</v>
      </c>
      <c r="N18" s="193">
        <v>0</v>
      </c>
      <c r="O18" s="193">
        <f t="shared" ref="O18:Q18" si="18">+N18</f>
        <v>0</v>
      </c>
      <c r="P18" s="193">
        <f t="shared" si="18"/>
        <v>0</v>
      </c>
      <c r="Q18" s="193">
        <f t="shared" si="18"/>
        <v>0</v>
      </c>
      <c r="R18" s="738">
        <f t="shared" si="4"/>
        <v>2</v>
      </c>
      <c r="S18" s="193">
        <f t="shared" si="5"/>
        <v>0</v>
      </c>
      <c r="T18" s="193">
        <f t="shared" si="6"/>
        <v>0</v>
      </c>
      <c r="U18" s="193">
        <f t="shared" si="7"/>
        <v>0</v>
      </c>
      <c r="W18" s="646">
        <f t="shared" si="2"/>
        <v>4399800</v>
      </c>
      <c r="X18" s="646">
        <f t="shared" si="3"/>
        <v>0</v>
      </c>
      <c r="Y18" s="646">
        <f t="shared" si="3"/>
        <v>0</v>
      </c>
      <c r="Z18" s="646">
        <f t="shared" si="3"/>
        <v>0</v>
      </c>
      <c r="AA18" s="646">
        <f t="shared" si="3"/>
        <v>0</v>
      </c>
      <c r="AB18" s="646">
        <f t="shared" si="3"/>
        <v>6645908.3790861564</v>
      </c>
      <c r="AC18" s="646">
        <f t="shared" si="3"/>
        <v>0</v>
      </c>
      <c r="AD18" s="646">
        <f t="shared" si="3"/>
        <v>0</v>
      </c>
      <c r="AE18" s="646">
        <f t="shared" si="3"/>
        <v>0</v>
      </c>
    </row>
    <row r="19" spans="1:31">
      <c r="A19" s="193" t="s">
        <v>430</v>
      </c>
      <c r="B19" s="193" t="s">
        <v>25</v>
      </c>
      <c r="C19" s="634">
        <f>VLOOKUP(A19,Inversion!B:D,3,0)</f>
        <v>189900</v>
      </c>
      <c r="D19" s="634">
        <f>+C19*(1+Datos!B$53)</f>
        <v>200724.3</v>
      </c>
      <c r="E19" s="634">
        <f>+D19*(1+Datos!C$53)</f>
        <v>225814.83749999999</v>
      </c>
      <c r="F19" s="634">
        <f>+E19*(1+Datos!D$53)</f>
        <v>251783.54381249999</v>
      </c>
      <c r="G19" s="634">
        <f>+F19*(1+Datos!E$53)</f>
        <v>273185.14503656246</v>
      </c>
      <c r="H19" s="634">
        <f>+G19*(1+Datos!F$53)</f>
        <v>286844.40228839061</v>
      </c>
      <c r="I19" s="634">
        <f>+H19*(1+Datos!G$53)</f>
        <v>299752.4003913682</v>
      </c>
      <c r="J19" s="634">
        <f>+I19*(1+Datos!H$53)</f>
        <v>314740.02041093662</v>
      </c>
      <c r="K19" s="634">
        <f>+J19*(1+Datos!I$53)</f>
        <v>336771.8218397022</v>
      </c>
      <c r="L19" s="643"/>
      <c r="M19" s="193">
        <f>VLOOKUP(A19,Inversion!B:E,4,0)</f>
        <v>6</v>
      </c>
      <c r="N19" s="193">
        <v>0</v>
      </c>
      <c r="O19" s="193">
        <f t="shared" ref="O19:Q19" si="19">+N19</f>
        <v>0</v>
      </c>
      <c r="P19" s="193">
        <f t="shared" si="19"/>
        <v>0</v>
      </c>
      <c r="Q19" s="193">
        <f t="shared" si="19"/>
        <v>0</v>
      </c>
      <c r="R19" s="738">
        <f t="shared" si="4"/>
        <v>6</v>
      </c>
      <c r="S19" s="193">
        <f t="shared" si="5"/>
        <v>0</v>
      </c>
      <c r="T19" s="193">
        <f t="shared" si="6"/>
        <v>0</v>
      </c>
      <c r="U19" s="193">
        <f t="shared" si="7"/>
        <v>0</v>
      </c>
      <c r="W19" s="646">
        <f t="shared" si="2"/>
        <v>1139400</v>
      </c>
      <c r="X19" s="646">
        <f t="shared" ref="X19:AE32" si="20">D19*N19</f>
        <v>0</v>
      </c>
      <c r="Y19" s="646">
        <f t="shared" si="20"/>
        <v>0</v>
      </c>
      <c r="Z19" s="646">
        <f t="shared" si="20"/>
        <v>0</v>
      </c>
      <c r="AA19" s="646">
        <f t="shared" si="20"/>
        <v>0</v>
      </c>
      <c r="AB19" s="646">
        <f t="shared" si="20"/>
        <v>1721066.4137303438</v>
      </c>
      <c r="AC19" s="646">
        <f t="shared" si="20"/>
        <v>0</v>
      </c>
      <c r="AD19" s="646">
        <f t="shared" si="20"/>
        <v>0</v>
      </c>
      <c r="AE19" s="646">
        <f t="shared" si="20"/>
        <v>0</v>
      </c>
    </row>
    <row r="20" spans="1:31">
      <c r="A20" s="193" t="s">
        <v>429</v>
      </c>
      <c r="B20" s="193" t="s">
        <v>25</v>
      </c>
      <c r="C20" s="634">
        <f>VLOOKUP(A20,Inversion!B:D,3,0)</f>
        <v>759000</v>
      </c>
      <c r="D20" s="634">
        <f>+C20*(1+Datos!B$53)</f>
        <v>802263</v>
      </c>
      <c r="E20" s="634">
        <f>+D20*(1+Datos!C$53)</f>
        <v>902545.875</v>
      </c>
      <c r="F20" s="634">
        <f>+E20*(1+Datos!D$53)</f>
        <v>1006338.650625</v>
      </c>
      <c r="G20" s="634">
        <f>+F20*(1+Datos!E$53)</f>
        <v>1091877.4359281249</v>
      </c>
      <c r="H20" s="634">
        <f>+G20*(1+Datos!F$53)</f>
        <v>1146471.3077245313</v>
      </c>
      <c r="I20" s="634">
        <f>+H20*(1+Datos!G$53)</f>
        <v>1198062.516572135</v>
      </c>
      <c r="J20" s="634">
        <f>+I20*(1+Datos!H$53)</f>
        <v>1257965.6424007418</v>
      </c>
      <c r="K20" s="634">
        <f>+J20*(1+Datos!I$53)</f>
        <v>1346023.2373687939</v>
      </c>
      <c r="L20" s="643"/>
      <c r="M20" s="193">
        <f>VLOOKUP(A20,Inversion!B:E,4,0)</f>
        <v>2</v>
      </c>
      <c r="N20" s="193">
        <v>0</v>
      </c>
      <c r="O20" s="193">
        <f t="shared" ref="O20:Q20" si="21">+N20</f>
        <v>0</v>
      </c>
      <c r="P20" s="193">
        <f t="shared" si="21"/>
        <v>0</v>
      </c>
      <c r="Q20" s="193">
        <f t="shared" si="21"/>
        <v>0</v>
      </c>
      <c r="R20" s="738">
        <f t="shared" si="4"/>
        <v>2</v>
      </c>
      <c r="S20" s="193">
        <f t="shared" si="5"/>
        <v>0</v>
      </c>
      <c r="T20" s="193">
        <f t="shared" si="6"/>
        <v>0</v>
      </c>
      <c r="U20" s="193">
        <f t="shared" si="7"/>
        <v>0</v>
      </c>
      <c r="W20" s="646">
        <f t="shared" si="2"/>
        <v>1518000</v>
      </c>
      <c r="X20" s="646">
        <f t="shared" si="20"/>
        <v>0</v>
      </c>
      <c r="Y20" s="646">
        <f t="shared" si="20"/>
        <v>0</v>
      </c>
      <c r="Z20" s="646">
        <f t="shared" si="20"/>
        <v>0</v>
      </c>
      <c r="AA20" s="646">
        <f t="shared" si="20"/>
        <v>0</v>
      </c>
      <c r="AB20" s="646">
        <f t="shared" si="20"/>
        <v>2292942.6154490625</v>
      </c>
      <c r="AC20" s="646">
        <f t="shared" si="20"/>
        <v>0</v>
      </c>
      <c r="AD20" s="646">
        <f>J20*T20</f>
        <v>0</v>
      </c>
      <c r="AE20" s="646">
        <f t="shared" si="20"/>
        <v>0</v>
      </c>
    </row>
    <row r="21" spans="1:31">
      <c r="A21" s="193" t="s">
        <v>428</v>
      </c>
      <c r="B21" s="193" t="s">
        <v>25</v>
      </c>
      <c r="C21" s="634">
        <f>VLOOKUP(A21,Inversion!B:D,3,0)</f>
        <v>599990</v>
      </c>
      <c r="D21" s="634">
        <f>+C21*(1+Datos!B$53)</f>
        <v>634189.42999999993</v>
      </c>
      <c r="E21" s="634">
        <f>+D21*(1+Datos!C$53)</f>
        <v>713463.1087499999</v>
      </c>
      <c r="F21" s="634">
        <f>+E21*(1+Datos!D$53)</f>
        <v>795511.36625624984</v>
      </c>
      <c r="G21" s="634">
        <f>+F21*(1+Datos!E$53)</f>
        <v>863129.83238803106</v>
      </c>
      <c r="H21" s="634">
        <f>+G21*(1+Datos!F$53)</f>
        <v>906286.32400743267</v>
      </c>
      <c r="I21" s="634">
        <f>+H21*(1+Datos!G$53)</f>
        <v>947069.20858776709</v>
      </c>
      <c r="J21" s="634">
        <f>+I21*(1+Datos!H$53)</f>
        <v>994422.66901715554</v>
      </c>
      <c r="K21" s="634">
        <f>+J21*(1+Datos!I$53)</f>
        <v>1064032.2558483565</v>
      </c>
      <c r="L21" s="643"/>
      <c r="M21" s="193">
        <f>VLOOKUP(A21,Inversion!B:E,4,0)</f>
        <v>2</v>
      </c>
      <c r="N21" s="193">
        <v>0</v>
      </c>
      <c r="O21" s="193">
        <v>1</v>
      </c>
      <c r="P21" s="193">
        <v>0</v>
      </c>
      <c r="Q21" s="193">
        <v>1</v>
      </c>
      <c r="R21" s="738">
        <f t="shared" si="4"/>
        <v>2</v>
      </c>
      <c r="S21" s="193">
        <f t="shared" si="5"/>
        <v>0</v>
      </c>
      <c r="T21" s="193">
        <f t="shared" si="6"/>
        <v>1</v>
      </c>
      <c r="U21" s="193">
        <f t="shared" si="7"/>
        <v>0</v>
      </c>
      <c r="W21" s="646">
        <f t="shared" si="2"/>
        <v>1199980</v>
      </c>
      <c r="X21" s="646">
        <f t="shared" si="20"/>
        <v>0</v>
      </c>
      <c r="Y21" s="646">
        <f t="shared" si="20"/>
        <v>713463.1087499999</v>
      </c>
      <c r="Z21" s="646">
        <f t="shared" si="20"/>
        <v>0</v>
      </c>
      <c r="AA21" s="646">
        <f t="shared" si="20"/>
        <v>863129.83238803106</v>
      </c>
      <c r="AB21" s="646">
        <f t="shared" si="20"/>
        <v>1812572.6480148653</v>
      </c>
      <c r="AC21" s="646">
        <f t="shared" si="20"/>
        <v>0</v>
      </c>
      <c r="AD21" s="646">
        <f t="shared" si="20"/>
        <v>994422.66901715554</v>
      </c>
      <c r="AE21" s="646">
        <f t="shared" si="20"/>
        <v>0</v>
      </c>
    </row>
    <row r="22" spans="1:31">
      <c r="A22" s="193" t="s">
        <v>431</v>
      </c>
      <c r="B22" s="193" t="s">
        <v>38</v>
      </c>
      <c r="C22" s="634">
        <f>VLOOKUP(A22,Inversion!B:D,3,0)</f>
        <v>315000</v>
      </c>
      <c r="D22" s="634">
        <f>+C22*(1+Datos!B$53)</f>
        <v>332955</v>
      </c>
      <c r="E22" s="634">
        <f>+D22*(1+Datos!C$53)</f>
        <v>374574.375</v>
      </c>
      <c r="F22" s="634">
        <f>+E22*(1+Datos!D$53)</f>
        <v>417650.42812499998</v>
      </c>
      <c r="G22" s="634">
        <f>+F22*(1+Datos!E$53)</f>
        <v>453150.71451562498</v>
      </c>
      <c r="H22" s="634">
        <f>+G22*(1+Datos!F$53)</f>
        <v>475808.25024140626</v>
      </c>
      <c r="I22" s="634">
        <f>+H22*(1+Datos!G$53)</f>
        <v>497219.62150226953</v>
      </c>
      <c r="J22" s="634">
        <f>+I22*(1+Datos!H$53)</f>
        <v>522080.60257738305</v>
      </c>
      <c r="K22" s="634">
        <f>+J22*(1+Datos!I$53)</f>
        <v>558626.2447577999</v>
      </c>
      <c r="L22" s="643"/>
      <c r="M22" s="193">
        <f>VLOOKUP(A22,Inversion!B:E,4,0)</f>
        <v>7</v>
      </c>
      <c r="N22" s="193">
        <v>2</v>
      </c>
      <c r="O22" s="193">
        <f t="shared" ref="O22:Q22" si="22">+N22</f>
        <v>2</v>
      </c>
      <c r="P22" s="193">
        <f t="shared" si="22"/>
        <v>2</v>
      </c>
      <c r="Q22" s="193">
        <f t="shared" si="22"/>
        <v>2</v>
      </c>
      <c r="R22" s="738">
        <f t="shared" si="4"/>
        <v>7</v>
      </c>
      <c r="S22" s="193">
        <f t="shared" si="5"/>
        <v>2</v>
      </c>
      <c r="T22" s="193">
        <f t="shared" si="6"/>
        <v>2</v>
      </c>
      <c r="U22" s="193">
        <f t="shared" si="7"/>
        <v>2</v>
      </c>
      <c r="W22" s="646">
        <f t="shared" si="2"/>
        <v>2205000</v>
      </c>
      <c r="X22" s="646">
        <f t="shared" si="20"/>
        <v>665910</v>
      </c>
      <c r="Y22" s="646">
        <f t="shared" si="20"/>
        <v>749148.75</v>
      </c>
      <c r="Z22" s="646">
        <f t="shared" si="20"/>
        <v>835300.85624999995</v>
      </c>
      <c r="AA22" s="646">
        <f t="shared" si="20"/>
        <v>906301.42903124995</v>
      </c>
      <c r="AB22" s="646">
        <f t="shared" si="20"/>
        <v>3330657.7516898438</v>
      </c>
      <c r="AC22" s="646">
        <f t="shared" si="20"/>
        <v>994439.24300453905</v>
      </c>
      <c r="AD22" s="646">
        <f t="shared" si="20"/>
        <v>1044161.2051547661</v>
      </c>
      <c r="AE22" s="646">
        <f t="shared" si="20"/>
        <v>1117252.4895155998</v>
      </c>
    </row>
    <row r="23" spans="1:31">
      <c r="A23" s="193" t="s">
        <v>39</v>
      </c>
      <c r="B23" s="193" t="s">
        <v>38</v>
      </c>
      <c r="C23" s="634">
        <f>VLOOKUP(A23,Inversion!B:D,3,0)</f>
        <v>36000</v>
      </c>
      <c r="D23" s="634">
        <f>+C23*(1+Datos!B$53)</f>
        <v>38052</v>
      </c>
      <c r="E23" s="634">
        <f>+D23*(1+Datos!C$53)</f>
        <v>42808.5</v>
      </c>
      <c r="F23" s="634">
        <f>+E23*(1+Datos!D$53)</f>
        <v>47731.477500000001</v>
      </c>
      <c r="G23" s="634">
        <f>+F23*(1+Datos!E$53)</f>
        <v>51788.653087500003</v>
      </c>
      <c r="H23" s="634">
        <f>+G23*(1+Datos!F$53)</f>
        <v>54378.085741875002</v>
      </c>
      <c r="I23" s="634">
        <f>+H23*(1+Datos!G$53)</f>
        <v>56825.099600259375</v>
      </c>
      <c r="J23" s="634">
        <f>+I23*(1+Datos!H$53)</f>
        <v>59666.354580272346</v>
      </c>
      <c r="K23" s="634">
        <f>+J23*(1+Datos!I$53)</f>
        <v>63842.999400891415</v>
      </c>
      <c r="L23" s="643"/>
      <c r="M23" s="193">
        <f>VLOOKUP(A23,Inversion!B:E,4,0)</f>
        <v>7</v>
      </c>
      <c r="N23" s="193">
        <v>2</v>
      </c>
      <c r="O23" s="193">
        <f t="shared" ref="O23:Q23" si="23">+N23</f>
        <v>2</v>
      </c>
      <c r="P23" s="193">
        <f t="shared" si="23"/>
        <v>2</v>
      </c>
      <c r="Q23" s="193">
        <f t="shared" si="23"/>
        <v>2</v>
      </c>
      <c r="R23" s="738">
        <f t="shared" si="4"/>
        <v>7</v>
      </c>
      <c r="S23" s="193">
        <f t="shared" si="5"/>
        <v>2</v>
      </c>
      <c r="T23" s="193">
        <f t="shared" si="6"/>
        <v>2</v>
      </c>
      <c r="U23" s="193">
        <f t="shared" si="7"/>
        <v>2</v>
      </c>
      <c r="W23" s="646">
        <f t="shared" si="2"/>
        <v>252000</v>
      </c>
      <c r="X23" s="646">
        <f t="shared" si="20"/>
        <v>76104</v>
      </c>
      <c r="Y23" s="646">
        <f t="shared" si="20"/>
        <v>85617</v>
      </c>
      <c r="Z23" s="646">
        <f t="shared" si="20"/>
        <v>95462.955000000002</v>
      </c>
      <c r="AA23" s="646">
        <f t="shared" si="20"/>
        <v>103577.30617500001</v>
      </c>
      <c r="AB23" s="646">
        <f t="shared" si="20"/>
        <v>380646.60019312502</v>
      </c>
      <c r="AC23" s="646">
        <f t="shared" si="20"/>
        <v>113650.19920051875</v>
      </c>
      <c r="AD23" s="646">
        <f t="shared" si="20"/>
        <v>119332.70916054469</v>
      </c>
      <c r="AE23" s="646">
        <f t="shared" si="20"/>
        <v>127685.99880178283</v>
      </c>
    </row>
    <row r="24" spans="1:31">
      <c r="A24" s="193" t="s">
        <v>317</v>
      </c>
      <c r="B24" s="193" t="s">
        <v>38</v>
      </c>
      <c r="C24" s="634">
        <f>VLOOKUP(A24,Inversion!B:D,3,0)</f>
        <v>120000</v>
      </c>
      <c r="D24" s="634">
        <f>+C24*(1+Datos!B$53)</f>
        <v>126840</v>
      </c>
      <c r="E24" s="634">
        <f>+D24*(1+Datos!C$53)</f>
        <v>142695</v>
      </c>
      <c r="F24" s="634">
        <f>+E24*(1+Datos!D$53)</f>
        <v>159104.92499999999</v>
      </c>
      <c r="G24" s="634">
        <f>+F24*(1+Datos!E$53)</f>
        <v>172628.84362499998</v>
      </c>
      <c r="H24" s="634">
        <f>+G24*(1+Datos!F$53)</f>
        <v>181260.28580624997</v>
      </c>
      <c r="I24" s="634">
        <f>+H24*(1+Datos!G$53)</f>
        <v>189416.99866753121</v>
      </c>
      <c r="J24" s="634">
        <f>+I24*(1+Datos!H$53)</f>
        <v>198887.84860090778</v>
      </c>
      <c r="K24" s="634">
        <f>+J24*(1+Datos!I$53)</f>
        <v>212809.99800297132</v>
      </c>
      <c r="L24" s="643"/>
      <c r="M24" s="193">
        <f>VLOOKUP(A24,Inversion!B:E,4,0)</f>
        <v>1</v>
      </c>
      <c r="N24" s="193">
        <v>0</v>
      </c>
      <c r="O24" s="193">
        <f t="shared" ref="O24:Q24" si="24">+N24</f>
        <v>0</v>
      </c>
      <c r="P24" s="193">
        <f t="shared" si="24"/>
        <v>0</v>
      </c>
      <c r="Q24" s="193">
        <f t="shared" si="24"/>
        <v>0</v>
      </c>
      <c r="R24" s="738">
        <f t="shared" si="4"/>
        <v>1</v>
      </c>
      <c r="S24" s="193">
        <f t="shared" si="5"/>
        <v>0</v>
      </c>
      <c r="T24" s="193">
        <f t="shared" si="6"/>
        <v>0</v>
      </c>
      <c r="U24" s="193">
        <f t="shared" si="7"/>
        <v>0</v>
      </c>
      <c r="W24" s="646">
        <f t="shared" si="2"/>
        <v>120000</v>
      </c>
      <c r="X24" s="646">
        <f t="shared" si="20"/>
        <v>0</v>
      </c>
      <c r="Y24" s="646">
        <f t="shared" si="20"/>
        <v>0</v>
      </c>
      <c r="Z24" s="646">
        <f t="shared" si="20"/>
        <v>0</v>
      </c>
      <c r="AA24" s="646">
        <f t="shared" si="20"/>
        <v>0</v>
      </c>
      <c r="AB24" s="646">
        <f t="shared" si="20"/>
        <v>181260.28580624997</v>
      </c>
      <c r="AC24" s="646">
        <f t="shared" si="20"/>
        <v>0</v>
      </c>
      <c r="AD24" s="646">
        <f t="shared" si="20"/>
        <v>0</v>
      </c>
      <c r="AE24" s="646">
        <f t="shared" si="20"/>
        <v>0</v>
      </c>
    </row>
    <row r="25" spans="1:31">
      <c r="A25" s="193" t="s">
        <v>40</v>
      </c>
      <c r="B25" s="193" t="s">
        <v>38</v>
      </c>
      <c r="C25" s="634">
        <f>VLOOKUP(A25,Inversion!B:D,3,0)</f>
        <v>135000</v>
      </c>
      <c r="D25" s="634">
        <f>+C25*(1+Datos!B$53)</f>
        <v>142695</v>
      </c>
      <c r="E25" s="634">
        <f>+D25*(1+Datos!C$53)</f>
        <v>160531.875</v>
      </c>
      <c r="F25" s="634">
        <f>+E25*(1+Datos!D$53)</f>
        <v>178993.04062499999</v>
      </c>
      <c r="G25" s="634">
        <f>+F25*(1+Datos!E$53)</f>
        <v>194207.44907812498</v>
      </c>
      <c r="H25" s="634">
        <f>+G25*(1+Datos!F$53)</f>
        <v>203917.82153203123</v>
      </c>
      <c r="I25" s="634">
        <f>+H25*(1+Datos!G$53)</f>
        <v>213094.12350097261</v>
      </c>
      <c r="J25" s="634">
        <f>+I25*(1+Datos!H$53)</f>
        <v>223748.82967602124</v>
      </c>
      <c r="K25" s="634">
        <f>+J25*(1+Datos!I$53)</f>
        <v>239411.24775334273</v>
      </c>
      <c r="L25" s="643"/>
      <c r="M25" s="193">
        <f>VLOOKUP(A25,Inversion!B:E,4,0)</f>
        <v>4</v>
      </c>
      <c r="N25" s="193">
        <v>0</v>
      </c>
      <c r="O25" s="193">
        <v>1</v>
      </c>
      <c r="P25" s="193">
        <v>0</v>
      </c>
      <c r="Q25" s="193">
        <v>1</v>
      </c>
      <c r="R25" s="738">
        <f t="shared" si="4"/>
        <v>4</v>
      </c>
      <c r="S25" s="193">
        <f t="shared" si="5"/>
        <v>0</v>
      </c>
      <c r="T25" s="193">
        <f t="shared" si="6"/>
        <v>1</v>
      </c>
      <c r="U25" s="193">
        <f t="shared" si="7"/>
        <v>0</v>
      </c>
      <c r="W25" s="646">
        <f t="shared" si="2"/>
        <v>540000</v>
      </c>
      <c r="X25" s="646">
        <f t="shared" si="20"/>
        <v>0</v>
      </c>
      <c r="Y25" s="646">
        <f t="shared" si="20"/>
        <v>160531.875</v>
      </c>
      <c r="Z25" s="646">
        <f t="shared" si="20"/>
        <v>0</v>
      </c>
      <c r="AA25" s="646">
        <f t="shared" si="20"/>
        <v>194207.44907812498</v>
      </c>
      <c r="AB25" s="646">
        <f t="shared" si="20"/>
        <v>815671.28612812492</v>
      </c>
      <c r="AC25" s="646">
        <f t="shared" si="20"/>
        <v>0</v>
      </c>
      <c r="AD25" s="646">
        <f t="shared" si="20"/>
        <v>223748.82967602124</v>
      </c>
      <c r="AE25" s="646">
        <f t="shared" si="20"/>
        <v>0</v>
      </c>
    </row>
    <row r="26" spans="1:31">
      <c r="A26" s="193" t="s">
        <v>41</v>
      </c>
      <c r="B26" s="193" t="s">
        <v>38</v>
      </c>
      <c r="C26" s="634">
        <f>VLOOKUP(A26,Inversion!B:D,3,0)</f>
        <v>850000</v>
      </c>
      <c r="D26" s="634">
        <f>+C26*(1+Datos!B$53)</f>
        <v>898450</v>
      </c>
      <c r="E26" s="634">
        <f>+D26*(1+Datos!C$53)</f>
        <v>1010756.25</v>
      </c>
      <c r="F26" s="634">
        <f>+E26*(1+Datos!D$53)</f>
        <v>1126993.21875</v>
      </c>
      <c r="G26" s="634">
        <f>+F26*(1+Datos!E$53)</f>
        <v>1222787.64234375</v>
      </c>
      <c r="H26" s="634">
        <f>+G26*(1+Datos!F$53)</f>
        <v>1283927.0244609376</v>
      </c>
      <c r="I26" s="634">
        <f>+H26*(1+Datos!G$53)</f>
        <v>1341703.7405616797</v>
      </c>
      <c r="J26" s="634">
        <f>+I26*(1+Datos!H$53)</f>
        <v>1408788.9275897637</v>
      </c>
      <c r="K26" s="634">
        <f>+J26*(1+Datos!I$53)</f>
        <v>1507404.1525210473</v>
      </c>
      <c r="L26" s="643"/>
      <c r="M26" s="193">
        <f>VLOOKUP(A26,Inversion!B:E,4,0)</f>
        <v>1</v>
      </c>
      <c r="N26" s="193">
        <v>0</v>
      </c>
      <c r="O26" s="193">
        <f t="shared" ref="O26:Q26" si="25">+N26</f>
        <v>0</v>
      </c>
      <c r="P26" s="193">
        <f t="shared" si="25"/>
        <v>0</v>
      </c>
      <c r="Q26" s="193">
        <f t="shared" si="25"/>
        <v>0</v>
      </c>
      <c r="R26" s="738">
        <f t="shared" si="4"/>
        <v>1</v>
      </c>
      <c r="S26" s="193">
        <f t="shared" si="5"/>
        <v>0</v>
      </c>
      <c r="T26" s="193">
        <f t="shared" si="6"/>
        <v>0</v>
      </c>
      <c r="U26" s="193">
        <f t="shared" si="7"/>
        <v>0</v>
      </c>
      <c r="W26" s="646">
        <f t="shared" si="2"/>
        <v>850000</v>
      </c>
      <c r="X26" s="646">
        <f t="shared" si="20"/>
        <v>0</v>
      </c>
      <c r="Y26" s="646">
        <f t="shared" si="20"/>
        <v>0</v>
      </c>
      <c r="Z26" s="646">
        <f t="shared" si="20"/>
        <v>0</v>
      </c>
      <c r="AA26" s="646">
        <f t="shared" si="20"/>
        <v>0</v>
      </c>
      <c r="AB26" s="646">
        <f t="shared" si="20"/>
        <v>1283927.0244609376</v>
      </c>
      <c r="AC26" s="646">
        <f t="shared" si="20"/>
        <v>0</v>
      </c>
      <c r="AD26" s="646">
        <f t="shared" si="20"/>
        <v>0</v>
      </c>
      <c r="AE26" s="646">
        <f t="shared" si="20"/>
        <v>0</v>
      </c>
    </row>
    <row r="27" spans="1:31">
      <c r="A27" s="193" t="s">
        <v>318</v>
      </c>
      <c r="B27" s="193" t="s">
        <v>38</v>
      </c>
      <c r="C27" s="634">
        <f>VLOOKUP(A27,Inversion!B:D,3,0)</f>
        <v>120000</v>
      </c>
      <c r="D27" s="634">
        <f>+C27*(1+Datos!B$53)</f>
        <v>126840</v>
      </c>
      <c r="E27" s="634">
        <f>+D27*(1+Datos!C$53)</f>
        <v>142695</v>
      </c>
      <c r="F27" s="634">
        <f>+E27*(1+Datos!D$53)</f>
        <v>159104.92499999999</v>
      </c>
      <c r="G27" s="634">
        <f>+F27*(1+Datos!E$53)</f>
        <v>172628.84362499998</v>
      </c>
      <c r="H27" s="634">
        <f>+G27*(1+Datos!F$53)</f>
        <v>181260.28580624997</v>
      </c>
      <c r="I27" s="634">
        <f>+H27*(1+Datos!G$53)</f>
        <v>189416.99866753121</v>
      </c>
      <c r="J27" s="634">
        <f>+I27*(1+Datos!H$53)</f>
        <v>198887.84860090778</v>
      </c>
      <c r="K27" s="634">
        <f>+J27*(1+Datos!I$53)</f>
        <v>212809.99800297132</v>
      </c>
      <c r="L27" s="643"/>
      <c r="M27" s="193">
        <f>VLOOKUP(A27,Inversion!B:E,4,0)</f>
        <v>2</v>
      </c>
      <c r="N27" s="193">
        <v>0</v>
      </c>
      <c r="O27" s="193">
        <f t="shared" ref="O27:Q27" si="26">+N27</f>
        <v>0</v>
      </c>
      <c r="P27" s="193">
        <f t="shared" si="26"/>
        <v>0</v>
      </c>
      <c r="Q27" s="193">
        <f t="shared" si="26"/>
        <v>0</v>
      </c>
      <c r="R27" s="738">
        <f t="shared" si="4"/>
        <v>2</v>
      </c>
      <c r="S27" s="193">
        <f t="shared" si="5"/>
        <v>0</v>
      </c>
      <c r="T27" s="193">
        <f t="shared" si="6"/>
        <v>0</v>
      </c>
      <c r="U27" s="193">
        <f t="shared" si="7"/>
        <v>0</v>
      </c>
      <c r="W27" s="646">
        <f t="shared" si="2"/>
        <v>240000</v>
      </c>
      <c r="X27" s="646">
        <f t="shared" si="20"/>
        <v>0</v>
      </c>
      <c r="Y27" s="646">
        <f t="shared" si="20"/>
        <v>0</v>
      </c>
      <c r="Z27" s="646">
        <f t="shared" si="20"/>
        <v>0</v>
      </c>
      <c r="AA27" s="646">
        <f t="shared" si="20"/>
        <v>0</v>
      </c>
      <c r="AB27" s="646">
        <f t="shared" si="20"/>
        <v>362520.57161249995</v>
      </c>
      <c r="AC27" s="646">
        <f t="shared" si="20"/>
        <v>0</v>
      </c>
      <c r="AD27" s="646">
        <f t="shared" si="20"/>
        <v>0</v>
      </c>
      <c r="AE27" s="646">
        <f t="shared" si="20"/>
        <v>0</v>
      </c>
    </row>
    <row r="28" spans="1:31">
      <c r="A28" s="193" t="s">
        <v>42</v>
      </c>
      <c r="B28" s="193" t="s">
        <v>38</v>
      </c>
      <c r="C28" s="634">
        <f>VLOOKUP(A28,Inversion!B:D,3,0)</f>
        <v>60000</v>
      </c>
      <c r="D28" s="634">
        <f>+C28*(1+Datos!B$53)</f>
        <v>63420</v>
      </c>
      <c r="E28" s="634">
        <f>+D28*(1+Datos!C$53)</f>
        <v>71347.5</v>
      </c>
      <c r="F28" s="634">
        <f>+E28*(1+Datos!D$53)</f>
        <v>79552.462499999994</v>
      </c>
      <c r="G28" s="634">
        <f>+F28*(1+Datos!E$53)</f>
        <v>86314.42181249999</v>
      </c>
      <c r="H28" s="634">
        <f>+G28*(1+Datos!F$53)</f>
        <v>90630.142903124986</v>
      </c>
      <c r="I28" s="634">
        <f>+H28*(1+Datos!G$53)</f>
        <v>94708.499333765605</v>
      </c>
      <c r="J28" s="634">
        <f>+I28*(1+Datos!H$53)</f>
        <v>99443.924300453888</v>
      </c>
      <c r="K28" s="634">
        <f>+J28*(1+Datos!I$53)</f>
        <v>106404.99900148566</v>
      </c>
      <c r="L28" s="643"/>
      <c r="M28" s="193">
        <f>VLOOKUP(A28,Inversion!B:E,4,0)</f>
        <v>3</v>
      </c>
      <c r="N28" s="193">
        <v>1</v>
      </c>
      <c r="O28" s="193">
        <f t="shared" ref="O28:Q28" si="27">+N28</f>
        <v>1</v>
      </c>
      <c r="P28" s="193">
        <f t="shared" si="27"/>
        <v>1</v>
      </c>
      <c r="Q28" s="193">
        <f t="shared" si="27"/>
        <v>1</v>
      </c>
      <c r="R28" s="738">
        <f t="shared" si="4"/>
        <v>3</v>
      </c>
      <c r="S28" s="193">
        <f t="shared" si="5"/>
        <v>1</v>
      </c>
      <c r="T28" s="193">
        <f t="shared" si="6"/>
        <v>1</v>
      </c>
      <c r="U28" s="193">
        <f t="shared" si="7"/>
        <v>1</v>
      </c>
      <c r="W28" s="646">
        <f t="shared" si="2"/>
        <v>180000</v>
      </c>
      <c r="X28" s="646">
        <f t="shared" si="20"/>
        <v>63420</v>
      </c>
      <c r="Y28" s="646">
        <f t="shared" si="20"/>
        <v>71347.5</v>
      </c>
      <c r="Z28" s="646">
        <f t="shared" si="20"/>
        <v>79552.462499999994</v>
      </c>
      <c r="AA28" s="646">
        <f t="shared" si="20"/>
        <v>86314.42181249999</v>
      </c>
      <c r="AB28" s="646">
        <f t="shared" si="20"/>
        <v>271890.42870937497</v>
      </c>
      <c r="AC28" s="646">
        <f t="shared" si="20"/>
        <v>94708.499333765605</v>
      </c>
      <c r="AD28" s="646">
        <f t="shared" si="20"/>
        <v>99443.924300453888</v>
      </c>
      <c r="AE28" s="646">
        <f t="shared" si="20"/>
        <v>106404.99900148566</v>
      </c>
    </row>
    <row r="29" spans="1:31">
      <c r="A29" s="193" t="s">
        <v>327</v>
      </c>
      <c r="B29" s="193" t="s">
        <v>44</v>
      </c>
      <c r="C29" s="634">
        <f>VLOOKUP(A29,Inversion!B:D,3,0)</f>
        <v>1060000</v>
      </c>
      <c r="D29" s="634">
        <f>+C29*(1+Datos!B$53)</f>
        <v>1120420</v>
      </c>
      <c r="E29" s="634">
        <f>+D29*(1+Datos!C$53)</f>
        <v>1260472.5</v>
      </c>
      <c r="F29" s="634">
        <f>+E29*(1+Datos!D$53)</f>
        <v>1405426.8374999999</v>
      </c>
      <c r="G29" s="634">
        <f>+F29*(1+Datos!E$53)</f>
        <v>1524888.1186874998</v>
      </c>
      <c r="H29" s="634">
        <f>+G29*(1+Datos!F$53)</f>
        <v>1601132.5246218748</v>
      </c>
      <c r="I29" s="634">
        <f>+H29*(1+Datos!G$53)</f>
        <v>1673183.4882298592</v>
      </c>
      <c r="J29" s="634">
        <f>+I29*(1+Datos!H$53)</f>
        <v>1756842.6626413523</v>
      </c>
      <c r="K29" s="634">
        <f>+J29*(1+Datos!I$53)</f>
        <v>1879821.649026247</v>
      </c>
      <c r="L29" s="643"/>
      <c r="M29" s="193">
        <f>VLOOKUP(A29,Inversion!B:E,4,0)</f>
        <v>1</v>
      </c>
      <c r="N29" s="193">
        <v>0</v>
      </c>
      <c r="O29" s="193">
        <f t="shared" ref="O29:Q29" si="28">+N29</f>
        <v>0</v>
      </c>
      <c r="P29" s="193">
        <f t="shared" si="28"/>
        <v>0</v>
      </c>
      <c r="Q29" s="193">
        <f t="shared" si="28"/>
        <v>0</v>
      </c>
      <c r="R29" s="738">
        <f t="shared" si="4"/>
        <v>1</v>
      </c>
      <c r="S29" s="193">
        <f t="shared" si="5"/>
        <v>0</v>
      </c>
      <c r="T29" s="193">
        <f t="shared" si="6"/>
        <v>0</v>
      </c>
      <c r="U29" s="193">
        <f t="shared" si="7"/>
        <v>0</v>
      </c>
      <c r="W29" s="646">
        <f t="shared" si="2"/>
        <v>1060000</v>
      </c>
      <c r="X29" s="646">
        <f t="shared" si="20"/>
        <v>0</v>
      </c>
      <c r="Y29" s="646">
        <f t="shared" si="20"/>
        <v>0</v>
      </c>
      <c r="Z29" s="646">
        <f t="shared" si="20"/>
        <v>0</v>
      </c>
      <c r="AA29" s="646">
        <f t="shared" si="20"/>
        <v>0</v>
      </c>
      <c r="AB29" s="646">
        <f t="shared" si="20"/>
        <v>1601132.5246218748</v>
      </c>
      <c r="AC29" s="646">
        <f t="shared" si="20"/>
        <v>0</v>
      </c>
      <c r="AD29" s="646">
        <f t="shared" si="20"/>
        <v>0</v>
      </c>
      <c r="AE29" s="646">
        <f t="shared" si="20"/>
        <v>0</v>
      </c>
    </row>
    <row r="30" spans="1:31">
      <c r="A30" s="193" t="s">
        <v>565</v>
      </c>
      <c r="B30" s="193" t="s">
        <v>44</v>
      </c>
      <c r="C30" s="634">
        <f>VLOOKUP(A30,Inversion!B:D,3,0)</f>
        <v>12000000</v>
      </c>
      <c r="D30" s="634">
        <f>+C30*(1+Datos!B$53)</f>
        <v>12684000</v>
      </c>
      <c r="E30" s="634">
        <f>+D30*(1+Datos!C$53)</f>
        <v>14269500</v>
      </c>
      <c r="F30" s="634">
        <f>+E30*(1+Datos!D$53)</f>
        <v>15910492.5</v>
      </c>
      <c r="G30" s="634">
        <f>+F30*(1+Datos!E$53)</f>
        <v>17262884.362500001</v>
      </c>
      <c r="H30" s="634">
        <f>+G30*(1+Datos!F$53)</f>
        <v>18126028.580625001</v>
      </c>
      <c r="I30" s="634">
        <f>+H30*(1+Datos!G$53)</f>
        <v>18941699.866753124</v>
      </c>
      <c r="J30" s="634">
        <f>+I30*(1+Datos!H$53)</f>
        <v>19888784.860090781</v>
      </c>
      <c r="K30" s="634">
        <f>+J30*(1+Datos!I$53)</f>
        <v>21280999.800297137</v>
      </c>
      <c r="L30" s="643"/>
      <c r="M30" s="193">
        <f>VLOOKUP(A30,Inversion!B:E,4,0)</f>
        <v>1</v>
      </c>
      <c r="N30" s="193">
        <v>0</v>
      </c>
      <c r="O30" s="193">
        <f t="shared" ref="O30:Q30" si="29">+N30</f>
        <v>0</v>
      </c>
      <c r="P30" s="193">
        <f t="shared" si="29"/>
        <v>0</v>
      </c>
      <c r="Q30" s="193">
        <f t="shared" si="29"/>
        <v>0</v>
      </c>
      <c r="R30" s="738">
        <f t="shared" si="4"/>
        <v>1</v>
      </c>
      <c r="S30" s="193">
        <f t="shared" si="5"/>
        <v>0</v>
      </c>
      <c r="T30" s="193">
        <f t="shared" si="6"/>
        <v>0</v>
      </c>
      <c r="U30" s="193">
        <f t="shared" si="7"/>
        <v>0</v>
      </c>
      <c r="W30" s="646">
        <f t="shared" si="2"/>
        <v>12000000</v>
      </c>
      <c r="X30" s="646">
        <f t="shared" si="20"/>
        <v>0</v>
      </c>
      <c r="Y30" s="646">
        <f t="shared" si="20"/>
        <v>0</v>
      </c>
      <c r="Z30" s="646">
        <f t="shared" si="20"/>
        <v>0</v>
      </c>
      <c r="AA30" s="646">
        <f t="shared" si="20"/>
        <v>0</v>
      </c>
      <c r="AB30" s="646">
        <f t="shared" si="20"/>
        <v>18126028.580625001</v>
      </c>
      <c r="AC30" s="646">
        <f t="shared" si="20"/>
        <v>0</v>
      </c>
      <c r="AD30" s="646">
        <f t="shared" si="20"/>
        <v>0</v>
      </c>
      <c r="AE30" s="646">
        <f t="shared" si="20"/>
        <v>0</v>
      </c>
    </row>
    <row r="31" spans="1:31">
      <c r="A31" s="193" t="s">
        <v>567</v>
      </c>
      <c r="B31" s="193" t="s">
        <v>44</v>
      </c>
      <c r="C31" s="634">
        <f>VLOOKUP(A31,Inversion!B:D,3,0)</f>
        <v>143000</v>
      </c>
      <c r="D31" s="634">
        <f>+C31*(1+Datos!B$53)</f>
        <v>151151</v>
      </c>
      <c r="E31" s="634">
        <f>+D31*(1+Datos!C$53)</f>
        <v>170044.875</v>
      </c>
      <c r="F31" s="634">
        <f>+E31*(1+Datos!D$53)</f>
        <v>189600.03562499999</v>
      </c>
      <c r="G31" s="634">
        <f>+F31*(1+Datos!E$53)</f>
        <v>205716.03865312497</v>
      </c>
      <c r="H31" s="634">
        <f>+G31*(1+Datos!F$53)</f>
        <v>216001.84058578123</v>
      </c>
      <c r="I31" s="634">
        <f>+H31*(1+Datos!G$53)</f>
        <v>225721.92341214136</v>
      </c>
      <c r="J31" s="634">
        <f>+I31*(1+Datos!H$53)</f>
        <v>237008.01958274844</v>
      </c>
      <c r="K31" s="634">
        <f>+J31*(1+Datos!I$53)</f>
        <v>253598.58095354083</v>
      </c>
      <c r="L31" s="643"/>
      <c r="M31" s="193">
        <f>VLOOKUP(A31,Inversion!B:E,4,0)</f>
        <v>10</v>
      </c>
      <c r="N31" s="193">
        <v>3</v>
      </c>
      <c r="O31" s="193">
        <f t="shared" ref="O31:Q31" si="30">+N31</f>
        <v>3</v>
      </c>
      <c r="P31" s="193">
        <f t="shared" si="30"/>
        <v>3</v>
      </c>
      <c r="Q31" s="193">
        <f t="shared" si="30"/>
        <v>3</v>
      </c>
      <c r="R31" s="738">
        <f t="shared" si="4"/>
        <v>10</v>
      </c>
      <c r="S31" s="193">
        <f t="shared" si="5"/>
        <v>3</v>
      </c>
      <c r="T31" s="193">
        <f t="shared" si="6"/>
        <v>3</v>
      </c>
      <c r="U31" s="193">
        <f t="shared" si="7"/>
        <v>3</v>
      </c>
      <c r="W31" s="646">
        <f t="shared" si="2"/>
        <v>1430000</v>
      </c>
      <c r="X31" s="646">
        <f t="shared" si="20"/>
        <v>453453</v>
      </c>
      <c r="Y31" s="646">
        <f t="shared" si="20"/>
        <v>510134.625</v>
      </c>
      <c r="Z31" s="646">
        <f t="shared" si="20"/>
        <v>568800.10687499994</v>
      </c>
      <c r="AA31" s="646">
        <f t="shared" si="20"/>
        <v>617148.11595937493</v>
      </c>
      <c r="AB31" s="646">
        <f t="shared" si="20"/>
        <v>2160018.4058578121</v>
      </c>
      <c r="AC31" s="646">
        <f t="shared" si="20"/>
        <v>677165.77023642405</v>
      </c>
      <c r="AD31" s="646">
        <f t="shared" si="20"/>
        <v>711024.05874824536</v>
      </c>
      <c r="AE31" s="646">
        <f t="shared" si="20"/>
        <v>760795.74286062247</v>
      </c>
    </row>
    <row r="32" spans="1:31">
      <c r="A32" s="193" t="s">
        <v>46</v>
      </c>
      <c r="B32" s="193" t="s">
        <v>44</v>
      </c>
      <c r="C32" s="634">
        <f>VLOOKUP(A32,Inversion!B:D,3,0)</f>
        <v>1500000</v>
      </c>
      <c r="D32" s="634">
        <f>+C32*(1+Datos!B$53)</f>
        <v>1585500</v>
      </c>
      <c r="E32" s="634">
        <f>+D32*(1+Datos!C$53)</f>
        <v>1783687.5</v>
      </c>
      <c r="F32" s="634">
        <f>+E32*(1+Datos!D$53)</f>
        <v>1988811.5625</v>
      </c>
      <c r="G32" s="634">
        <f>+F32*(1+Datos!E$53)</f>
        <v>2157860.5453125001</v>
      </c>
      <c r="H32" s="634">
        <f>+G32*(1+Datos!F$53)</f>
        <v>2265753.5725781252</v>
      </c>
      <c r="I32" s="634">
        <f>+H32*(1+Datos!G$53)</f>
        <v>2367712.4833441405</v>
      </c>
      <c r="J32" s="634">
        <f>+I32*(1+Datos!H$53)</f>
        <v>2486098.1075113476</v>
      </c>
      <c r="K32" s="634">
        <f>+J32*(1+Datos!I$53)</f>
        <v>2660124.9750371422</v>
      </c>
      <c r="L32" s="643"/>
      <c r="M32" s="193">
        <f>VLOOKUP(A32,Inversion!B:E,4,0)</f>
        <v>1</v>
      </c>
      <c r="N32" s="193">
        <v>0</v>
      </c>
      <c r="O32" s="193">
        <f t="shared" ref="O32:P32" si="31">+N32</f>
        <v>0</v>
      </c>
      <c r="P32" s="193">
        <f t="shared" si="31"/>
        <v>0</v>
      </c>
      <c r="Q32" s="193">
        <f t="shared" ref="Q32" si="32">+M32</f>
        <v>1</v>
      </c>
      <c r="R32" s="738">
        <f t="shared" si="4"/>
        <v>1</v>
      </c>
      <c r="S32" s="193">
        <f t="shared" si="5"/>
        <v>0</v>
      </c>
      <c r="T32" s="193">
        <f t="shared" si="6"/>
        <v>0</v>
      </c>
      <c r="U32" s="193">
        <f t="shared" si="7"/>
        <v>0</v>
      </c>
      <c r="W32" s="646">
        <f t="shared" si="2"/>
        <v>1500000</v>
      </c>
      <c r="X32" s="646">
        <f t="shared" si="20"/>
        <v>0</v>
      </c>
      <c r="Y32" s="646">
        <f t="shared" si="20"/>
        <v>0</v>
      </c>
      <c r="Z32" s="646">
        <f t="shared" si="20"/>
        <v>0</v>
      </c>
      <c r="AA32" s="646">
        <f t="shared" si="20"/>
        <v>2157860.5453125001</v>
      </c>
      <c r="AB32" s="646">
        <f t="shared" si="20"/>
        <v>2265753.5725781252</v>
      </c>
      <c r="AC32" s="646">
        <f t="shared" si="20"/>
        <v>0</v>
      </c>
      <c r="AD32" s="646">
        <f t="shared" si="20"/>
        <v>0</v>
      </c>
      <c r="AE32" s="646">
        <f t="shared" si="20"/>
        <v>0</v>
      </c>
    </row>
    <row r="33" spans="1:31" s="628" customFormat="1">
      <c r="A33" s="628" t="s">
        <v>353</v>
      </c>
      <c r="C33" s="649">
        <f>+SUM(C2:C32)</f>
        <v>40366440</v>
      </c>
      <c r="D33" s="649"/>
      <c r="E33" s="649"/>
      <c r="F33" s="649"/>
      <c r="G33" s="649"/>
      <c r="H33" s="649"/>
      <c r="I33" s="649"/>
      <c r="J33" s="649"/>
      <c r="K33" s="649"/>
      <c r="L33" s="650"/>
      <c r="M33" s="628">
        <f>+SUM(M2:M32)</f>
        <v>192</v>
      </c>
      <c r="N33" s="651">
        <f>+SUM(N2:N32)</f>
        <v>51</v>
      </c>
      <c r="O33" s="628">
        <f t="shared" ref="O33:U33" si="33">+SUM(O2:O32)</f>
        <v>58</v>
      </c>
      <c r="P33" s="628">
        <f t="shared" si="33"/>
        <v>51</v>
      </c>
      <c r="Q33" s="628">
        <f t="shared" si="33"/>
        <v>59</v>
      </c>
      <c r="R33" s="632">
        <f t="shared" si="33"/>
        <v>192</v>
      </c>
      <c r="S33" s="628">
        <f t="shared" si="33"/>
        <v>51</v>
      </c>
      <c r="T33" s="628">
        <f t="shared" si="33"/>
        <v>58</v>
      </c>
      <c r="U33" s="628">
        <f t="shared" si="33"/>
        <v>51</v>
      </c>
      <c r="V33" s="652"/>
      <c r="W33" s="653">
        <f>+SUM(W2:W32)</f>
        <v>55498180</v>
      </c>
      <c r="X33" s="653">
        <f t="shared" ref="X33:AB33" si="34">+SUM(X2:X32)</f>
        <v>2514603</v>
      </c>
      <c r="Y33" s="653">
        <f t="shared" si="34"/>
        <v>8673763.1400000006</v>
      </c>
      <c r="Z33" s="653">
        <f t="shared" si="34"/>
        <v>3154255.1381250001</v>
      </c>
      <c r="AA33" s="653">
        <f t="shared" si="34"/>
        <v>12651162.348005999</v>
      </c>
      <c r="AB33" s="653">
        <f t="shared" si="34"/>
        <v>83830133.071055904</v>
      </c>
      <c r="AC33" s="653">
        <f>+SUM(AC2:AC32)</f>
        <v>3755191.9985838071</v>
      </c>
      <c r="AD33" s="653">
        <f>+SUM(AD2:AD32)</f>
        <v>12089464.173155712</v>
      </c>
      <c r="AE33" s="653">
        <f>+SUM(AE2:AE32)</f>
        <v>4218958.2104089074</v>
      </c>
    </row>
    <row r="34" spans="1:31">
      <c r="C34" s="636">
        <f>+Inversion!D26+Inversion!D37+Inversion!D54</f>
        <v>40366440</v>
      </c>
      <c r="D34" s="636"/>
      <c r="E34" s="636"/>
      <c r="F34" s="636"/>
      <c r="G34" s="636"/>
      <c r="H34" s="636"/>
      <c r="I34" s="636"/>
      <c r="J34" s="636"/>
      <c r="K34" s="636"/>
      <c r="W34" s="268">
        <f>+Inversion!F26+Inversion!F37+Inversion!F54</f>
        <v>55498180</v>
      </c>
      <c r="X34" s="268">
        <f>+W34+X33</f>
        <v>58012783</v>
      </c>
      <c r="Y34" s="268">
        <f t="shared" ref="Y34:AE34" si="35">+X34+Y33</f>
        <v>66686546.140000001</v>
      </c>
      <c r="Z34" s="268">
        <f t="shared" si="35"/>
        <v>69840801.278125003</v>
      </c>
      <c r="AA34" s="268">
        <f t="shared" si="35"/>
        <v>82491963.626130998</v>
      </c>
      <c r="AB34" s="268">
        <f t="shared" si="35"/>
        <v>166322096.69718689</v>
      </c>
      <c r="AC34" s="268">
        <f t="shared" si="35"/>
        <v>170077288.69577068</v>
      </c>
      <c r="AD34" s="268">
        <f t="shared" si="35"/>
        <v>182166752.86892641</v>
      </c>
      <c r="AE34" s="268">
        <f t="shared" si="35"/>
        <v>186385711.0793353</v>
      </c>
    </row>
    <row r="35" spans="1:31">
      <c r="C35" s="636">
        <f>+C34-C33</f>
        <v>0</v>
      </c>
      <c r="D35" s="636"/>
      <c r="E35" s="636"/>
      <c r="F35" s="636"/>
      <c r="G35" s="636"/>
      <c r="H35" s="636"/>
      <c r="I35" s="636"/>
      <c r="J35" s="636"/>
      <c r="K35" s="636"/>
      <c r="W35" s="268">
        <f>+W34-W33</f>
        <v>0</v>
      </c>
      <c r="X35" s="268"/>
      <c r="Y35" s="268"/>
      <c r="Z35" s="268"/>
      <c r="AA35" s="268"/>
      <c r="AB35" s="268"/>
      <c r="AC35" s="268"/>
      <c r="AD35" s="268"/>
      <c r="AE35" s="268"/>
    </row>
    <row r="37" spans="1:31">
      <c r="W37" s="202">
        <f>+W1</f>
        <v>2022</v>
      </c>
      <c r="X37" s="202">
        <f t="shared" ref="X37:AE37" si="36">+X1</f>
        <v>2023</v>
      </c>
      <c r="Y37" s="202">
        <f t="shared" si="36"/>
        <v>2024</v>
      </c>
      <c r="Z37" s="202">
        <f t="shared" si="36"/>
        <v>2025</v>
      </c>
      <c r="AA37" s="202">
        <f t="shared" si="36"/>
        <v>2026</v>
      </c>
      <c r="AB37" s="202">
        <f t="shared" si="36"/>
        <v>2027</v>
      </c>
      <c r="AC37" s="202">
        <f t="shared" si="36"/>
        <v>2028</v>
      </c>
      <c r="AD37" s="202">
        <f t="shared" si="36"/>
        <v>2029</v>
      </c>
      <c r="AE37" s="202">
        <f t="shared" si="36"/>
        <v>2030</v>
      </c>
    </row>
    <row r="38" spans="1:31">
      <c r="W38" s="638" t="s">
        <v>113</v>
      </c>
      <c r="X38" s="638" t="s">
        <v>113</v>
      </c>
      <c r="Y38" s="638" t="s">
        <v>113</v>
      </c>
      <c r="Z38" s="638" t="s">
        <v>113</v>
      </c>
      <c r="AA38" s="638" t="s">
        <v>113</v>
      </c>
      <c r="AB38" s="638" t="s">
        <v>113</v>
      </c>
      <c r="AC38" s="638" t="s">
        <v>113</v>
      </c>
      <c r="AD38" s="638" t="s">
        <v>113</v>
      </c>
      <c r="AE38" s="638" t="s">
        <v>113</v>
      </c>
    </row>
    <row r="39" spans="1:31">
      <c r="W39" s="646">
        <v>0</v>
      </c>
      <c r="X39" s="646">
        <f>+W33/$B$1</f>
        <v>11099636</v>
      </c>
      <c r="Y39" s="646">
        <f t="shared" ref="Y39:AB40" si="37">+X39</f>
        <v>11099636</v>
      </c>
      <c r="Z39" s="646">
        <f t="shared" si="37"/>
        <v>11099636</v>
      </c>
      <c r="AA39" s="646">
        <f t="shared" si="37"/>
        <v>11099636</v>
      </c>
      <c r="AB39" s="646">
        <f t="shared" si="37"/>
        <v>11099636</v>
      </c>
      <c r="AC39" s="646">
        <v>0</v>
      </c>
      <c r="AD39" s="646">
        <v>0</v>
      </c>
      <c r="AE39" s="646">
        <v>0</v>
      </c>
    </row>
    <row r="40" spans="1:31">
      <c r="W40" s="646">
        <v>0</v>
      </c>
      <c r="X40" s="646">
        <f>+X33/$B$1</f>
        <v>502920.6</v>
      </c>
      <c r="Y40" s="646">
        <f t="shared" si="37"/>
        <v>502920.6</v>
      </c>
      <c r="Z40" s="646">
        <f t="shared" si="37"/>
        <v>502920.6</v>
      </c>
      <c r="AA40" s="646">
        <f t="shared" si="37"/>
        <v>502920.6</v>
      </c>
      <c r="AB40" s="646">
        <f t="shared" si="37"/>
        <v>502920.6</v>
      </c>
      <c r="AC40" s="646">
        <v>0</v>
      </c>
      <c r="AD40" s="646">
        <v>0</v>
      </c>
      <c r="AE40" s="646">
        <v>0</v>
      </c>
    </row>
    <row r="41" spans="1:31">
      <c r="W41" s="646">
        <v>0</v>
      </c>
      <c r="X41" s="646">
        <v>0</v>
      </c>
      <c r="Y41" s="646">
        <f>+Y33/$B$1</f>
        <v>1734752.628</v>
      </c>
      <c r="Z41" s="646">
        <f>+Y41</f>
        <v>1734752.628</v>
      </c>
      <c r="AA41" s="646">
        <f t="shared" ref="AA41:AC41" si="38">+Z41</f>
        <v>1734752.628</v>
      </c>
      <c r="AB41" s="646">
        <f t="shared" si="38"/>
        <v>1734752.628</v>
      </c>
      <c r="AC41" s="646">
        <f t="shared" si="38"/>
        <v>1734752.628</v>
      </c>
      <c r="AD41" s="646">
        <v>0</v>
      </c>
      <c r="AE41" s="646">
        <v>0</v>
      </c>
    </row>
    <row r="42" spans="1:31">
      <c r="W42" s="646">
        <v>0</v>
      </c>
      <c r="X42" s="646">
        <v>0</v>
      </c>
      <c r="Y42" s="646">
        <v>0</v>
      </c>
      <c r="Z42" s="646">
        <f>+Z33/$B$1</f>
        <v>630851.02762499999</v>
      </c>
      <c r="AA42" s="646">
        <f>+Z42</f>
        <v>630851.02762499999</v>
      </c>
      <c r="AB42" s="646">
        <f t="shared" ref="AB42:AD42" si="39">+AA42</f>
        <v>630851.02762499999</v>
      </c>
      <c r="AC42" s="646">
        <f t="shared" si="39"/>
        <v>630851.02762499999</v>
      </c>
      <c r="AD42" s="646">
        <f t="shared" si="39"/>
        <v>630851.02762499999</v>
      </c>
      <c r="AE42" s="646">
        <v>0</v>
      </c>
    </row>
    <row r="43" spans="1:31">
      <c r="W43" s="646">
        <v>0</v>
      </c>
      <c r="X43" s="646">
        <v>0</v>
      </c>
      <c r="Y43" s="646">
        <v>0</v>
      </c>
      <c r="Z43" s="646">
        <v>0</v>
      </c>
      <c r="AA43" s="646">
        <f>+AA33/B1</f>
        <v>2530232.4696012</v>
      </c>
      <c r="AB43" s="646">
        <f>+AA43</f>
        <v>2530232.4696012</v>
      </c>
      <c r="AC43" s="646">
        <f t="shared" ref="AC43:AE43" si="40">+AB43</f>
        <v>2530232.4696012</v>
      </c>
      <c r="AD43" s="646">
        <f t="shared" si="40"/>
        <v>2530232.4696012</v>
      </c>
      <c r="AE43" s="646">
        <f t="shared" si="40"/>
        <v>2530232.4696012</v>
      </c>
    </row>
    <row r="44" spans="1:31">
      <c r="W44" s="646">
        <v>0</v>
      </c>
      <c r="X44" s="646">
        <v>0</v>
      </c>
      <c r="Y44" s="646">
        <v>0</v>
      </c>
      <c r="Z44" s="646">
        <v>0</v>
      </c>
      <c r="AA44" s="646">
        <v>0</v>
      </c>
      <c r="AB44" s="646">
        <f>+AB33/$B$1</f>
        <v>16766026.614211181</v>
      </c>
      <c r="AC44" s="646">
        <f>+AB44</f>
        <v>16766026.614211181</v>
      </c>
      <c r="AD44" s="646">
        <f t="shared" ref="AD44:AE44" si="41">+AC44</f>
        <v>16766026.614211181</v>
      </c>
      <c r="AE44" s="646">
        <f t="shared" si="41"/>
        <v>16766026.614211181</v>
      </c>
    </row>
    <row r="45" spans="1:31">
      <c r="W45" s="646">
        <v>0</v>
      </c>
      <c r="X45" s="646">
        <v>0</v>
      </c>
      <c r="Y45" s="646">
        <v>0</v>
      </c>
      <c r="Z45" s="646">
        <v>0</v>
      </c>
      <c r="AA45" s="646">
        <v>0</v>
      </c>
      <c r="AB45" s="646">
        <v>0</v>
      </c>
      <c r="AC45" s="646">
        <f>+AC33/$B$1</f>
        <v>751038.39971676143</v>
      </c>
      <c r="AD45" s="646">
        <f>+AC45</f>
        <v>751038.39971676143</v>
      </c>
      <c r="AE45" s="646">
        <f t="shared" ref="AE45" si="42">+AD45</f>
        <v>751038.39971676143</v>
      </c>
    </row>
    <row r="46" spans="1:31">
      <c r="W46" s="646">
        <v>0</v>
      </c>
      <c r="X46" s="646">
        <v>0</v>
      </c>
      <c r="Y46" s="646">
        <v>0</v>
      </c>
      <c r="Z46" s="646">
        <v>0</v>
      </c>
      <c r="AA46" s="646">
        <v>0</v>
      </c>
      <c r="AB46" s="646">
        <v>0</v>
      </c>
      <c r="AC46" s="646">
        <v>0</v>
      </c>
      <c r="AD46" s="646">
        <f>+AD33/$B$1</f>
        <v>2417892.8346311422</v>
      </c>
      <c r="AE46" s="646">
        <f>+AD46</f>
        <v>2417892.8346311422</v>
      </c>
    </row>
    <row r="47" spans="1:31">
      <c r="W47" s="646">
        <v>0</v>
      </c>
      <c r="X47" s="646">
        <v>0</v>
      </c>
      <c r="Y47" s="646">
        <v>0</v>
      </c>
      <c r="Z47" s="646">
        <v>0</v>
      </c>
      <c r="AA47" s="646">
        <v>0</v>
      </c>
      <c r="AB47" s="646">
        <v>0</v>
      </c>
      <c r="AC47" s="646">
        <v>0</v>
      </c>
      <c r="AD47" s="646">
        <v>0</v>
      </c>
      <c r="AE47" s="646">
        <f>+AE33/B1</f>
        <v>843791.64208178152</v>
      </c>
    </row>
    <row r="48" spans="1:31">
      <c r="V48" s="654" t="s">
        <v>739</v>
      </c>
      <c r="W48" s="648">
        <f>+SUM(W39:W47)</f>
        <v>0</v>
      </c>
      <c r="X48" s="648">
        <f t="shared" ref="X48:AE48" si="43">+SUM(X39:X47)</f>
        <v>11602556.6</v>
      </c>
      <c r="Y48" s="648">
        <f t="shared" si="43"/>
        <v>13337309.228</v>
      </c>
      <c r="Z48" s="648">
        <f t="shared" si="43"/>
        <v>13968160.255625</v>
      </c>
      <c r="AA48" s="648">
        <f t="shared" si="43"/>
        <v>16498392.725226201</v>
      </c>
      <c r="AB48" s="648">
        <f t="shared" si="43"/>
        <v>33264419.33943738</v>
      </c>
      <c r="AC48" s="648">
        <f t="shared" si="43"/>
        <v>22412901.13915414</v>
      </c>
      <c r="AD48" s="648">
        <f t="shared" si="43"/>
        <v>23096041.345785283</v>
      </c>
      <c r="AE48" s="648">
        <f t="shared" si="43"/>
        <v>23308981.960242067</v>
      </c>
    </row>
    <row r="49" spans="22:31">
      <c r="V49" s="654" t="s">
        <v>732</v>
      </c>
      <c r="W49" s="648">
        <f>+W48</f>
        <v>0</v>
      </c>
      <c r="X49" s="648">
        <f>+W49+X48</f>
        <v>11602556.6</v>
      </c>
      <c r="Y49" s="648">
        <f t="shared" ref="Y49:AE49" si="44">+X49+Y48</f>
        <v>24939865.828000002</v>
      </c>
      <c r="Z49" s="648">
        <f t="shared" si="44"/>
        <v>38908026.083625004</v>
      </c>
      <c r="AA49" s="648">
        <f t="shared" si="44"/>
        <v>55406418.808851205</v>
      </c>
      <c r="AB49" s="648">
        <f t="shared" si="44"/>
        <v>88670838.148288578</v>
      </c>
      <c r="AC49" s="648">
        <f t="shared" si="44"/>
        <v>111083739.28744271</v>
      </c>
      <c r="AD49" s="648">
        <f t="shared" si="44"/>
        <v>134179780.633228</v>
      </c>
      <c r="AE49" s="648">
        <f t="shared" si="44"/>
        <v>157488762.59347007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66DE-98A5-40BA-9B6E-D77D668BDE6F}">
  <sheetPr codeName="Hoja5"/>
  <dimension ref="A2:O34"/>
  <sheetViews>
    <sheetView topLeftCell="A11" zoomScale="85" zoomScaleNormal="85" workbookViewId="0">
      <selection activeCell="F20" sqref="F20"/>
    </sheetView>
  </sheetViews>
  <sheetFormatPr baseColWidth="10" defaultColWidth="11.54296875" defaultRowHeight="14.5"/>
  <cols>
    <col min="1" max="2" width="11.54296875" style="1"/>
    <col min="3" max="3" width="32.54296875" style="1" bestFit="1" customWidth="1"/>
    <col min="4" max="4" width="14.453125" style="1" bestFit="1" customWidth="1"/>
    <col min="5" max="5" width="14.1796875" style="1" bestFit="1" customWidth="1"/>
    <col min="6" max="6" width="13.1796875" style="1" bestFit="1" customWidth="1"/>
    <col min="7" max="7" width="14.453125" style="1" bestFit="1" customWidth="1"/>
    <col min="8" max="8" width="15.7265625" style="1" customWidth="1"/>
    <col min="9" max="9" width="12.26953125" style="1" bestFit="1" customWidth="1"/>
    <col min="10" max="10" width="17.453125" style="1" bestFit="1" customWidth="1"/>
    <col min="11" max="13" width="13.1796875" style="1" bestFit="1" customWidth="1"/>
    <col min="14" max="14" width="14.81640625" style="1" bestFit="1" customWidth="1"/>
    <col min="15" max="15" width="13.26953125" style="1" bestFit="1" customWidth="1"/>
    <col min="16" max="16" width="11.54296875" style="1"/>
    <col min="17" max="17" width="14.7265625" style="1" bestFit="1" customWidth="1"/>
    <col min="18" max="18" width="13.1796875" style="1" bestFit="1" customWidth="1"/>
    <col min="19" max="19" width="12" style="1" bestFit="1" customWidth="1"/>
    <col min="20" max="20" width="9" style="1" bestFit="1" customWidth="1"/>
    <col min="21" max="21" width="14.81640625" style="1" bestFit="1" customWidth="1"/>
    <col min="22" max="22" width="12.81640625" style="1" customWidth="1"/>
    <col min="23" max="16384" width="11.54296875" style="1"/>
  </cols>
  <sheetData>
    <row r="2" spans="1:8">
      <c r="C2" s="2" t="s">
        <v>0</v>
      </c>
    </row>
    <row r="3" spans="1:8">
      <c r="C3" s="1" t="str">
        <f>+Inversion!B3</f>
        <v>Salón de onces</v>
      </c>
    </row>
    <row r="5" spans="1:8">
      <c r="C5" s="2" t="s">
        <v>48</v>
      </c>
    </row>
    <row r="6" spans="1:8" s="222" customFormat="1">
      <c r="C6" s="142" t="s">
        <v>18</v>
      </c>
      <c r="D6" s="142" t="s">
        <v>50</v>
      </c>
      <c r="E6" s="142" t="s">
        <v>51</v>
      </c>
      <c r="F6" s="142" t="s">
        <v>52</v>
      </c>
      <c r="G6" s="142" t="s">
        <v>335</v>
      </c>
      <c r="H6" s="142" t="s">
        <v>518</v>
      </c>
    </row>
    <row r="7" spans="1:8">
      <c r="A7" s="1" t="s">
        <v>432</v>
      </c>
      <c r="C7" s="6" t="s">
        <v>766</v>
      </c>
      <c r="D7" s="7">
        <f>+$D$9*G7</f>
        <v>57407126.400000006</v>
      </c>
      <c r="E7" s="6">
        <v>60</v>
      </c>
      <c r="F7" s="223">
        <v>0.20660000000000001</v>
      </c>
      <c r="G7" s="224">
        <v>0.8</v>
      </c>
      <c r="H7" s="1" t="s">
        <v>517</v>
      </c>
    </row>
    <row r="8" spans="1:8">
      <c r="A8" s="1" t="s">
        <v>433</v>
      </c>
      <c r="C8" s="6" t="s">
        <v>765</v>
      </c>
      <c r="D8" s="7">
        <f>+$D$9*G8</f>
        <v>14351781.599999996</v>
      </c>
      <c r="E8" s="6">
        <v>24</v>
      </c>
      <c r="F8" s="223">
        <v>0.14030000000000001</v>
      </c>
      <c r="G8" s="224">
        <f>1-G7</f>
        <v>0.19999999999999996</v>
      </c>
      <c r="H8" s="1" t="s">
        <v>516</v>
      </c>
    </row>
    <row r="9" spans="1:8">
      <c r="C9" s="5" t="s">
        <v>6</v>
      </c>
      <c r="D9" s="33">
        <f>+Inversion!F71*E9</f>
        <v>71758908</v>
      </c>
      <c r="E9" s="131">
        <v>0.6</v>
      </c>
    </row>
    <row r="11" spans="1:8">
      <c r="C11" s="2" t="s">
        <v>54</v>
      </c>
    </row>
    <row r="12" spans="1:8" s="222" customFormat="1" ht="29">
      <c r="C12" s="143" t="s">
        <v>18</v>
      </c>
      <c r="D12" s="143" t="s">
        <v>50</v>
      </c>
      <c r="E12" s="143" t="s">
        <v>58</v>
      </c>
      <c r="F12" s="143" t="s">
        <v>265</v>
      </c>
      <c r="H12" s="136" t="s">
        <v>266</v>
      </c>
    </row>
    <row r="13" spans="1:8">
      <c r="C13" s="6" t="s">
        <v>55</v>
      </c>
      <c r="D13" s="7">
        <f>+$D$16/3</f>
        <v>15946424</v>
      </c>
      <c r="E13" s="14">
        <f>D13/$D$16</f>
        <v>0.33333333333333331</v>
      </c>
      <c r="F13" s="6">
        <f>E13*$H$13</f>
        <v>400</v>
      </c>
      <c r="H13" s="7">
        <v>1200</v>
      </c>
    </row>
    <row r="14" spans="1:8">
      <c r="C14" s="6" t="s">
        <v>56</v>
      </c>
      <c r="D14" s="7">
        <f>+$D$16/3</f>
        <v>15946424</v>
      </c>
      <c r="E14" s="14">
        <f>D14/$D$16</f>
        <v>0.33333333333333331</v>
      </c>
      <c r="F14" s="6">
        <f>E14*$H$13</f>
        <v>400</v>
      </c>
    </row>
    <row r="15" spans="1:8">
      <c r="C15" s="6" t="s">
        <v>57</v>
      </c>
      <c r="D15" s="7">
        <f>+$D$16/3</f>
        <v>15946424</v>
      </c>
      <c r="E15" s="14">
        <f>D15/$D$16</f>
        <v>0.33333333333333331</v>
      </c>
      <c r="F15" s="6">
        <f>E15*$H$13</f>
        <v>400</v>
      </c>
    </row>
    <row r="16" spans="1:8">
      <c r="C16" s="5" t="s">
        <v>6</v>
      </c>
      <c r="D16" s="33">
        <f>+Inversion!F71*E16</f>
        <v>47839272</v>
      </c>
      <c r="E16" s="131">
        <f>1-E9</f>
        <v>0.4</v>
      </c>
    </row>
    <row r="18" spans="1:15">
      <c r="C18" s="209" t="s">
        <v>334</v>
      </c>
      <c r="D18" s="210">
        <f>+D16+D9</f>
        <v>119598180</v>
      </c>
    </row>
    <row r="20" spans="1:15">
      <c r="A20" s="1" t="s">
        <v>432</v>
      </c>
      <c r="C20" s="6" t="s">
        <v>764</v>
      </c>
      <c r="D20" s="7">
        <f>+'Flujo de Caja'!G6</f>
        <v>75000000</v>
      </c>
      <c r="E20" s="6">
        <v>84</v>
      </c>
      <c r="F20" s="223">
        <v>0.20660000000000001</v>
      </c>
      <c r="G20" s="224">
        <v>0.8</v>
      </c>
      <c r="H20" s="1" t="s">
        <v>517</v>
      </c>
    </row>
    <row r="21" spans="1:15">
      <c r="D21" s="734"/>
      <c r="E21" s="735"/>
      <c r="F21" s="736"/>
      <c r="G21" s="737"/>
    </row>
    <row r="22" spans="1:15">
      <c r="D22" s="734"/>
      <c r="E22" s="735"/>
      <c r="F22" s="736"/>
      <c r="G22" s="737"/>
    </row>
    <row r="23" spans="1:15">
      <c r="D23" s="975" t="s">
        <v>767</v>
      </c>
      <c r="E23" s="976"/>
      <c r="F23" s="977"/>
      <c r="G23" s="978" t="s">
        <v>768</v>
      </c>
      <c r="H23" s="979"/>
      <c r="I23" s="979"/>
      <c r="J23" s="978" t="s">
        <v>769</v>
      </c>
      <c r="K23" s="979"/>
      <c r="L23" s="979"/>
    </row>
    <row r="24" spans="1:15">
      <c r="C24" s="225" t="s">
        <v>510</v>
      </c>
      <c r="D24" s="226" t="s">
        <v>506</v>
      </c>
      <c r="E24" s="227" t="s">
        <v>507</v>
      </c>
      <c r="F24" s="227" t="s">
        <v>524</v>
      </c>
      <c r="G24" s="226" t="s">
        <v>506</v>
      </c>
      <c r="H24" s="227" t="s">
        <v>507</v>
      </c>
      <c r="I24" s="227" t="s">
        <v>524</v>
      </c>
      <c r="J24" s="226" t="s">
        <v>506</v>
      </c>
      <c r="K24" s="227" t="s">
        <v>507</v>
      </c>
      <c r="L24" s="227" t="s">
        <v>524</v>
      </c>
      <c r="M24" s="227" t="str">
        <f>+G24&amp;" "&amp;H24</f>
        <v>Capital Intereses</v>
      </c>
      <c r="N24" s="1" t="s">
        <v>772</v>
      </c>
      <c r="O24" s="1" t="s">
        <v>773</v>
      </c>
    </row>
    <row r="25" spans="1:15">
      <c r="A25" s="1">
        <v>12</v>
      </c>
      <c r="B25" s="1" t="s">
        <v>771</v>
      </c>
      <c r="C25" s="193">
        <v>2023</v>
      </c>
      <c r="D25" s="218">
        <f>+SUMIF('TA Banco 1'!C:C,C25,'TA Banco 1'!F:F)</f>
        <v>7614940.0652939985</v>
      </c>
      <c r="E25" s="218">
        <f>+SUMIF('TA Banco 1'!C:C,C25,'TA Banco 1'!G:G)</f>
        <v>10227993.989736678</v>
      </c>
      <c r="F25" s="218">
        <f>IFERROR(VLOOKUP(A25,'TA Banco 1'!E:I,5,0),0)</f>
        <v>49792186.334706016</v>
      </c>
      <c r="G25" s="218">
        <f>+SUMIF('TA Banco 2'!C:C,C25,'TA Banco 2'!F:F)</f>
        <v>6705499.9766387884</v>
      </c>
      <c r="H25" s="218">
        <f>+SUMIF('TA Banco 2'!C:C,C25,'TA Banco 2'!G:G)</f>
        <v>1498505.4302378821</v>
      </c>
      <c r="I25" s="218">
        <f>+IFERROR(VLOOKUP(A25,'TA Banco 2'!E:I,5,0),0)</f>
        <v>7646281.6233612057</v>
      </c>
      <c r="J25" s="218">
        <f>+SUMIF('TA Banco 3'!C:C,C25,'TA Banco 3'!F:F)</f>
        <v>0</v>
      </c>
      <c r="K25" s="218">
        <f>+SUMIF('TA Banco 3'!C:C,C25,'TA Banco 3'!G:G)</f>
        <v>0</v>
      </c>
      <c r="L25" s="218">
        <f>+IFERROR(VLOOKUP(B25,'TA Banco 3'!E:I,5,0),0)</f>
        <v>0</v>
      </c>
      <c r="M25" s="243">
        <f>+D25+E25+G25+H25+J25+K25</f>
        <v>26046939.46190735</v>
      </c>
      <c r="N25" s="243">
        <f>+E25+H25+K25</f>
        <v>11726499.41997456</v>
      </c>
      <c r="O25" s="243">
        <f>+F25+L25</f>
        <v>49792186.334706016</v>
      </c>
    </row>
    <row r="26" spans="1:15">
      <c r="A26" s="1">
        <f>+A25+12</f>
        <v>24</v>
      </c>
      <c r="B26" s="1" t="s">
        <v>771</v>
      </c>
      <c r="C26" s="193">
        <f t="shared" ref="C26:C32" si="0">+C25+1</f>
        <v>2024</v>
      </c>
      <c r="D26" s="218">
        <f>+SUMIF('TA Banco 1'!C:C,C26,'TA Banco 1'!F:F)</f>
        <v>9188186.6827837415</v>
      </c>
      <c r="E26" s="218">
        <f>+SUMIF('TA Banco 1'!C:C,C26,'TA Banco 1'!G:G)</f>
        <v>8654747.372246936</v>
      </c>
      <c r="F26" s="218">
        <f>IFERROR(VLOOKUP(A26,'TA Banco 1'!E:I,5,0),0)</f>
        <v>40603999.651922271</v>
      </c>
      <c r="G26" s="218">
        <f>+SUMIF('TA Banco 2'!C:C,C26,'TA Banco 2'!F:F)</f>
        <v>7646281.6233612057</v>
      </c>
      <c r="H26" s="218">
        <f>+SUMIF('TA Banco 2'!C:C,C26,'TA Banco 2'!G:G)</f>
        <v>557723.78351546428</v>
      </c>
      <c r="I26" s="218">
        <f>+IFERROR(VLOOKUP(A26,'TA Banco 2'!E:I,5,0),0)</f>
        <v>-2.0954757928848267E-9</v>
      </c>
      <c r="J26" s="218">
        <f>+SUMIF('TA Banco 3'!C:C,C26,'TA Banco 3'!F:F)</f>
        <v>0</v>
      </c>
      <c r="K26" s="218">
        <f>+SUMIF('TA Banco 3'!C:C,C26,'TA Banco 3'!G:G)</f>
        <v>0</v>
      </c>
      <c r="L26" s="218">
        <f>+IFERROR(VLOOKUP(B26,'TA Banco 3'!E:I,5,0),0)</f>
        <v>0</v>
      </c>
      <c r="M26" s="243">
        <f t="shared" ref="M26:M32" si="1">+D26+E26+G26+H26+J26+K26</f>
        <v>26046939.461907346</v>
      </c>
      <c r="N26" s="243">
        <f t="shared" ref="N26:N32" si="2">+E26+H26+K26</f>
        <v>9212471.1557624005</v>
      </c>
      <c r="O26" s="243">
        <f t="shared" ref="O26:O32" si="3">+F26+L26</f>
        <v>40603999.651922271</v>
      </c>
    </row>
    <row r="27" spans="1:15">
      <c r="A27" s="1">
        <f t="shared" ref="A27:B32" si="4">+A26+12</f>
        <v>36</v>
      </c>
      <c r="B27" s="1" t="s">
        <v>771</v>
      </c>
      <c r="C27" s="193">
        <f t="shared" si="0"/>
        <v>2025</v>
      </c>
      <c r="D27" s="218">
        <f>+SUMIF('TA Banco 1'!C:C,C27,'TA Banco 1'!F:F)</f>
        <v>11086466.051446866</v>
      </c>
      <c r="E27" s="218">
        <f>+SUMIF('TA Banco 1'!C:C,C27,'TA Banco 1'!G:G)</f>
        <v>6756468.0035838103</v>
      </c>
      <c r="F27" s="218">
        <f>IFERROR(VLOOKUP(A27,'TA Banco 1'!E:I,5,0),0)</f>
        <v>29517533.600475404</v>
      </c>
      <c r="G27" s="218">
        <f>+SUMIF('TA Banco 2'!C:C,C27,'TA Banco 2'!F:F)</f>
        <v>0</v>
      </c>
      <c r="H27" s="218">
        <f>+SUMIF('TA Banco 2'!C:C,C27,'TA Banco 2'!G:G)</f>
        <v>0</v>
      </c>
      <c r="I27" s="218">
        <f>+IFERROR(VLOOKUP(A27,'TA Banco 2'!E:I,5,0),0)</f>
        <v>0</v>
      </c>
      <c r="J27" s="218">
        <f>+SUMIF('TA Banco 3'!C:C,C27,'TA Banco 3'!F:F)</f>
        <v>0</v>
      </c>
      <c r="K27" s="218">
        <f>+SUMIF('TA Banco 3'!C:C,C27,'TA Banco 3'!G:G)</f>
        <v>0</v>
      </c>
      <c r="L27" s="218">
        <f>+IFERROR(VLOOKUP(B27,'TA Banco 3'!E:I,5,0),0)</f>
        <v>0</v>
      </c>
      <c r="M27" s="243">
        <f t="shared" si="1"/>
        <v>17842934.055030677</v>
      </c>
      <c r="N27" s="243">
        <f t="shared" si="2"/>
        <v>6756468.0035838103</v>
      </c>
      <c r="O27" s="243">
        <f t="shared" si="3"/>
        <v>29517533.600475404</v>
      </c>
    </row>
    <row r="28" spans="1:15">
      <c r="A28" s="1">
        <f t="shared" si="4"/>
        <v>48</v>
      </c>
      <c r="B28" s="1" t="s">
        <v>771</v>
      </c>
      <c r="C28" s="193">
        <f t="shared" si="0"/>
        <v>2026</v>
      </c>
      <c r="D28" s="218">
        <f>+SUMIF('TA Banco 1'!C:C,C28,'TA Banco 1'!F:F)</f>
        <v>13376929.937675793</v>
      </c>
      <c r="E28" s="218">
        <f>+SUMIF('TA Banco 1'!C:C,C28,'TA Banco 1'!G:G)</f>
        <v>4466004.1173548838</v>
      </c>
      <c r="F28" s="218">
        <f>IFERROR(VLOOKUP(A28,'TA Banco 1'!E:I,5,0),0)</f>
        <v>16140603.66279961</v>
      </c>
      <c r="G28" s="218">
        <f>+SUMIF('TA Banco 2'!C:C,C28,'TA Banco 2'!F:F)</f>
        <v>0</v>
      </c>
      <c r="H28" s="218">
        <f>+SUMIF('TA Banco 2'!C:C,C28,'TA Banco 2'!G:G)</f>
        <v>0</v>
      </c>
      <c r="I28" s="218">
        <f>+IFERROR(VLOOKUP(A28,'TA Banco 2'!E:I,5,0),0)</f>
        <v>0</v>
      </c>
      <c r="J28" s="218">
        <f>+SUMIF('TA Banco 3'!C:C,C28,'TA Banco 3'!F:F)</f>
        <v>0</v>
      </c>
      <c r="K28" s="218">
        <f>+SUMIF('TA Banco 3'!C:C,C28,'TA Banco 3'!G:G)</f>
        <v>0</v>
      </c>
      <c r="L28" s="218">
        <f>+IFERROR(VLOOKUP(B28,'TA Banco 3'!E:I,5,0),0)</f>
        <v>0</v>
      </c>
      <c r="M28" s="243">
        <f t="shared" si="1"/>
        <v>17842934.055030677</v>
      </c>
      <c r="N28" s="243">
        <f t="shared" si="2"/>
        <v>4466004.1173548838</v>
      </c>
      <c r="O28" s="243">
        <f t="shared" si="3"/>
        <v>16140603.66279961</v>
      </c>
    </row>
    <row r="29" spans="1:15">
      <c r="A29" s="1">
        <f t="shared" si="4"/>
        <v>60</v>
      </c>
      <c r="B29" s="1">
        <v>12</v>
      </c>
      <c r="C29" s="193">
        <f t="shared" si="0"/>
        <v>2027</v>
      </c>
      <c r="D29" s="218">
        <f>+SUMIF('TA Banco 1'!C:C,C29,'TA Banco 1'!F:F)</f>
        <v>16140603.662799621</v>
      </c>
      <c r="E29" s="218">
        <f>+SUMIF('TA Banco 1'!C:C,C29,'TA Banco 1'!G:G)</f>
        <v>1702330.3922310586</v>
      </c>
      <c r="F29" s="218">
        <f>IFERROR(VLOOKUP(A29,'TA Banco 1'!E:I,5,0),0)</f>
        <v>-8.8475644588470459E-9</v>
      </c>
      <c r="G29" s="218">
        <f>+SUMIF('TA Banco 2'!C:C,C29,'TA Banco 2'!F:F)</f>
        <v>0</v>
      </c>
      <c r="H29" s="218">
        <f>+SUMIF('TA Banco 2'!C:C,C29,'TA Banco 2'!G:G)</f>
        <v>0</v>
      </c>
      <c r="I29" s="218">
        <f>+IFERROR(VLOOKUP(A29,'TA Banco 2'!E:I,5,0),0)</f>
        <v>0</v>
      </c>
      <c r="J29" s="218">
        <f>+SUMIF('TA Banco 3'!C:C,C29,'TA Banco 3'!F:F)</f>
        <v>5689515.5743809305</v>
      </c>
      <c r="K29" s="218">
        <f>+SUMIF('TA Banco 3'!C:C,C29,'TA Banco 3'!G:G)</f>
        <v>13719419.776755912</v>
      </c>
      <c r="L29" s="218">
        <f>+IFERROR(VLOOKUP(B29,'TA Banco 3'!E:I,5,0),0)</f>
        <v>69310484.425619081</v>
      </c>
      <c r="M29" s="243">
        <f t="shared" si="1"/>
        <v>37251869.406167522</v>
      </c>
      <c r="N29" s="243">
        <f t="shared" si="2"/>
        <v>15421750.168986971</v>
      </c>
      <c r="O29" s="243">
        <f t="shared" si="3"/>
        <v>69310484.425619066</v>
      </c>
    </row>
    <row r="30" spans="1:15">
      <c r="A30" s="1">
        <f t="shared" si="4"/>
        <v>72</v>
      </c>
      <c r="B30" s="1">
        <f t="shared" si="4"/>
        <v>24</v>
      </c>
      <c r="C30" s="193">
        <f t="shared" si="0"/>
        <v>2028</v>
      </c>
      <c r="D30" s="218">
        <f>+SUMIF('TA Banco 1'!C:C,C30,'TA Banco 1'!F:F)</f>
        <v>0</v>
      </c>
      <c r="E30" s="218">
        <f>+SUMIF('TA Banco 1'!C:C,C30,'TA Banco 1'!G:G)</f>
        <v>0</v>
      </c>
      <c r="F30" s="218">
        <f>IFERROR(VLOOKUP(A30,'TA Banco 1'!E:I,5,0),0)</f>
        <v>0</v>
      </c>
      <c r="G30" s="218">
        <f>+SUMIF('TA Banco 2'!C:C,C30,'TA Banco 2'!F:F)</f>
        <v>0</v>
      </c>
      <c r="H30" s="218">
        <f>+SUMIF('TA Banco 2'!C:C,C30,'TA Banco 2'!G:G)</f>
        <v>0</v>
      </c>
      <c r="I30" s="218">
        <f>+IFERROR(VLOOKUP(A30,'TA Banco 2'!E:I,5,0),0)</f>
        <v>0</v>
      </c>
      <c r="J30" s="218">
        <f>+SUMIF('TA Banco 3'!C:C,C30,'TA Banco 3'!F:F)</f>
        <v>6864969.4920480326</v>
      </c>
      <c r="K30" s="218">
        <f>+SUMIF('TA Banco 3'!C:C,C30,'TA Banco 3'!G:G)</f>
        <v>12543965.85908881</v>
      </c>
      <c r="L30" s="218">
        <f>+IFERROR(VLOOKUP(B30,'TA Banco 3'!E:I,5,0),0)</f>
        <v>62445514.933571048</v>
      </c>
      <c r="M30" s="243">
        <f t="shared" si="1"/>
        <v>19408935.351136841</v>
      </c>
      <c r="N30" s="243">
        <f t="shared" si="2"/>
        <v>12543965.85908881</v>
      </c>
      <c r="O30" s="243">
        <f t="shared" si="3"/>
        <v>62445514.933571048</v>
      </c>
    </row>
    <row r="31" spans="1:15">
      <c r="A31" s="1">
        <f t="shared" si="4"/>
        <v>84</v>
      </c>
      <c r="B31" s="1">
        <f t="shared" si="4"/>
        <v>36</v>
      </c>
      <c r="C31" s="193">
        <f t="shared" si="0"/>
        <v>2029</v>
      </c>
      <c r="D31" s="218">
        <f>+SUMIF('TA Banco 1'!C:C,C31,'TA Banco 1'!F:F)</f>
        <v>0</v>
      </c>
      <c r="E31" s="218">
        <f>+SUMIF('TA Banco 1'!C:C,C31,'TA Banco 1'!G:G)</f>
        <v>0</v>
      </c>
      <c r="F31" s="218">
        <f>IFERROR(VLOOKUP(A31,'TA Banco 1'!E:I,5,0),0)</f>
        <v>0</v>
      </c>
      <c r="G31" s="218">
        <f>+SUMIF('TA Banco 2'!C:C,C31,'TA Banco 2'!F:F)</f>
        <v>0</v>
      </c>
      <c r="H31" s="218">
        <f>+SUMIF('TA Banco 2'!C:C,C31,'TA Banco 2'!G:G)</f>
        <v>0</v>
      </c>
      <c r="I31" s="218">
        <f>+IFERROR(VLOOKUP(A31,'TA Banco 2'!E:I,5,0),0)</f>
        <v>0</v>
      </c>
      <c r="J31" s="218">
        <f>+SUMIF('TA Banco 3'!C:C,C31,'TA Banco 3'!F:F)</f>
        <v>8283272.1891051587</v>
      </c>
      <c r="K31" s="218">
        <f>+SUMIF('TA Banco 3'!C:C,C31,'TA Banco 3'!G:G)</f>
        <v>11125663.162031688</v>
      </c>
      <c r="L31" s="218">
        <f>+IFERROR(VLOOKUP(B31,'TA Banco 3'!E:I,5,0),0)</f>
        <v>54162242.744465902</v>
      </c>
      <c r="M31" s="243">
        <f t="shared" si="1"/>
        <v>19408935.351136848</v>
      </c>
      <c r="N31" s="243">
        <f t="shared" si="2"/>
        <v>11125663.162031688</v>
      </c>
      <c r="O31" s="243">
        <f t="shared" si="3"/>
        <v>54162242.744465902</v>
      </c>
    </row>
    <row r="32" spans="1:15">
      <c r="A32" s="1">
        <f t="shared" si="4"/>
        <v>96</v>
      </c>
      <c r="B32" s="1">
        <f t="shared" si="4"/>
        <v>48</v>
      </c>
      <c r="C32" s="193">
        <f t="shared" si="0"/>
        <v>2030</v>
      </c>
      <c r="D32" s="218">
        <f>+SUMIF('TA Banco 1'!C:C,C32,'TA Banco 1'!F:F)</f>
        <v>0</v>
      </c>
      <c r="E32" s="218">
        <f>+SUMIF('TA Banco 1'!C:C,C32,'TA Banco 1'!G:G)</f>
        <v>0</v>
      </c>
      <c r="F32" s="218">
        <f>IFERROR(VLOOKUP(A32,'TA Banco 1'!E:I,5,0),0)</f>
        <v>0</v>
      </c>
      <c r="G32" s="218">
        <f>+SUMIF('TA Banco 2'!C:C,C32,'TA Banco 2'!F:F)</f>
        <v>0</v>
      </c>
      <c r="H32" s="218">
        <f>+SUMIF('TA Banco 2'!C:C,C32,'TA Banco 2'!G:G)</f>
        <v>0</v>
      </c>
      <c r="I32" s="218">
        <f>+IFERROR(VLOOKUP(A32,'TA Banco 2'!E:I,5,0),0)</f>
        <v>0</v>
      </c>
      <c r="J32" s="218">
        <f>+SUMIF('TA Banco 3'!C:C,C32,'TA Banco 3'!F:F)</f>
        <v>9994596.2233742885</v>
      </c>
      <c r="K32" s="218">
        <f>+SUMIF('TA Banco 3'!C:C,C32,'TA Banco 3'!G:G)</f>
        <v>9414339.1277625598</v>
      </c>
      <c r="L32" s="218">
        <f>+IFERROR(VLOOKUP(B32,'TA Banco 3'!E:I,5,0),0)</f>
        <v>44167646.521091618</v>
      </c>
      <c r="M32" s="243">
        <f t="shared" si="1"/>
        <v>19408935.351136848</v>
      </c>
      <c r="N32" s="243">
        <f t="shared" si="2"/>
        <v>9414339.1277625598</v>
      </c>
      <c r="O32" s="243">
        <f t="shared" si="3"/>
        <v>44167646.521091618</v>
      </c>
    </row>
    <row r="33" spans="3:8">
      <c r="E33" s="244">
        <f>+SUM(E25:E32)-SUM('TA Banco 1'!G:G)</f>
        <v>0</v>
      </c>
      <c r="H33" s="244">
        <f>+SUM(H24:H32)-SUM('TA Banco 2'!G:G)</f>
        <v>0</v>
      </c>
    </row>
    <row r="34" spans="3:8">
      <c r="C34" s="1" t="s">
        <v>558</v>
      </c>
      <c r="E34" s="243">
        <f>+SUM(E24:E33)+SUM(H24:H33)</f>
        <v>33863773.088906713</v>
      </c>
    </row>
  </sheetData>
  <mergeCells count="3">
    <mergeCell ref="D23:F23"/>
    <mergeCell ref="G23:I23"/>
    <mergeCell ref="J23:L23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7A10-CC56-4313-AC4F-961ED1962665}">
  <dimension ref="A1:M122"/>
  <sheetViews>
    <sheetView workbookViewId="0">
      <selection activeCell="B5" sqref="B5"/>
    </sheetView>
  </sheetViews>
  <sheetFormatPr baseColWidth="10" defaultRowHeight="14.5"/>
  <cols>
    <col min="1" max="1" width="20" bestFit="1" customWidth="1"/>
    <col min="2" max="2" width="15.1796875" bestFit="1" customWidth="1"/>
    <col min="3" max="3" width="15.1796875" hidden="1" customWidth="1"/>
    <col min="4" max="4" width="11.453125" style="212"/>
    <col min="5" max="5" width="5.453125" bestFit="1" customWidth="1"/>
    <col min="6" max="6" width="14.26953125" style="152" bestFit="1" customWidth="1"/>
    <col min="7" max="9" width="15.453125" style="152" bestFit="1" customWidth="1"/>
    <col min="11" max="11" width="5.26953125" bestFit="1" customWidth="1"/>
    <col min="12" max="12" width="12" style="152" bestFit="1" customWidth="1"/>
    <col min="13" max="13" width="14" style="152" bestFit="1" customWidth="1"/>
  </cols>
  <sheetData>
    <row r="1" spans="1:9">
      <c r="A1" s="178" t="s">
        <v>504</v>
      </c>
      <c r="B1" s="211">
        <f>+Financiacion!D7</f>
        <v>57407126.400000006</v>
      </c>
      <c r="C1" s="211"/>
      <c r="E1" s="213" t="s">
        <v>505</v>
      </c>
      <c r="F1" s="214" t="s">
        <v>506</v>
      </c>
      <c r="G1" s="215" t="s">
        <v>507</v>
      </c>
      <c r="H1" s="214" t="s">
        <v>508</v>
      </c>
      <c r="I1" s="215" t="s">
        <v>509</v>
      </c>
    </row>
    <row r="2" spans="1:9">
      <c r="A2" s="149" t="s">
        <v>511</v>
      </c>
      <c r="B2">
        <f>+Financiacion!E7</f>
        <v>60</v>
      </c>
      <c r="D2" s="212">
        <v>0</v>
      </c>
      <c r="E2" s="216">
        <v>0</v>
      </c>
      <c r="F2" s="217"/>
      <c r="G2" s="217"/>
      <c r="H2" s="217"/>
      <c r="I2" s="217">
        <f>+B1</f>
        <v>57407126.400000006</v>
      </c>
    </row>
    <row r="3" spans="1:9">
      <c r="A3" s="149" t="s">
        <v>512</v>
      </c>
      <c r="B3" s="219">
        <f>NOMINAL(Financiacion!F7,12)/12</f>
        <v>1.5773651709058312E-2</v>
      </c>
      <c r="C3" s="220">
        <v>2023</v>
      </c>
      <c r="D3" s="212">
        <v>1</v>
      </c>
      <c r="E3" s="216">
        <f t="shared" ref="E3:E66" si="0">IF(D3&lt;=$B$2,D3,"")</f>
        <v>1</v>
      </c>
      <c r="F3" s="217">
        <f t="shared" ref="F3:F66" si="1">IF($B$5="FIJA",IF(E3&lt;=$B$4,0,IF(E3&lt;=$B$2,$B$1/($B$2-$B$4),"")),IF(E3&lt;=$B$4,0,IF($B$5="VARIABLE",IF(E3&lt;=$B$2,PPMT($B$3,E3-$B$4,$B$2-$B$4,-$B$1),""))))</f>
        <v>581391.15380106971</v>
      </c>
      <c r="G3" s="217">
        <f t="shared" ref="G3:G66" si="2">IF(E3&lt;=$B$2,I2*$B$3,"")</f>
        <v>905520.01745148667</v>
      </c>
      <c r="H3" s="217">
        <f t="shared" ref="H3:H66" si="3">IF(E3&lt;=$B$2,F3+G3,"")</f>
        <v>1486911.1712525564</v>
      </c>
      <c r="I3" s="217">
        <f t="shared" ref="I3:I66" si="4">IF(E3&lt;=$B$2,I2-F3,"")</f>
        <v>56825735.246198937</v>
      </c>
    </row>
    <row r="4" spans="1:9">
      <c r="A4" s="149" t="s">
        <v>513</v>
      </c>
      <c r="B4">
        <v>0</v>
      </c>
      <c r="C4" s="220">
        <v>2023</v>
      </c>
      <c r="D4" s="212">
        <v>2</v>
      </c>
      <c r="E4" s="216">
        <f t="shared" si="0"/>
        <v>2</v>
      </c>
      <c r="F4" s="217">
        <f t="shared" si="1"/>
        <v>590561.81536785548</v>
      </c>
      <c r="G4" s="217">
        <f t="shared" si="2"/>
        <v>896349.35588470101</v>
      </c>
      <c r="H4" s="217">
        <f t="shared" si="3"/>
        <v>1486911.1712525566</v>
      </c>
      <c r="I4" s="217">
        <f t="shared" si="4"/>
        <v>56235173.430831082</v>
      </c>
    </row>
    <row r="5" spans="1:9">
      <c r="A5" s="149" t="s">
        <v>514</v>
      </c>
      <c r="B5" t="s">
        <v>770</v>
      </c>
      <c r="C5" s="220">
        <v>2023</v>
      </c>
      <c r="D5" s="212">
        <v>3</v>
      </c>
      <c r="E5" s="216">
        <f t="shared" si="0"/>
        <v>3</v>
      </c>
      <c r="F5" s="217">
        <f t="shared" si="1"/>
        <v>599877.13175613724</v>
      </c>
      <c r="G5" s="217">
        <f t="shared" si="2"/>
        <v>887034.03949641925</v>
      </c>
      <c r="H5" s="217">
        <f t="shared" si="3"/>
        <v>1486911.1712525566</v>
      </c>
      <c r="I5" s="217">
        <f t="shared" si="4"/>
        <v>55635296.299074948</v>
      </c>
    </row>
    <row r="6" spans="1:9">
      <c r="C6" s="220">
        <v>2023</v>
      </c>
      <c r="D6" s="212">
        <v>4</v>
      </c>
      <c r="E6" s="216">
        <f t="shared" si="0"/>
        <v>4</v>
      </c>
      <c r="F6" s="217">
        <f t="shared" si="1"/>
        <v>609339.38470068737</v>
      </c>
      <c r="G6" s="217">
        <f t="shared" si="2"/>
        <v>877571.78655186913</v>
      </c>
      <c r="H6" s="217">
        <f t="shared" si="3"/>
        <v>1486911.1712525566</v>
      </c>
      <c r="I6" s="217">
        <f t="shared" si="4"/>
        <v>55025956.914374262</v>
      </c>
    </row>
    <row r="7" spans="1:9">
      <c r="C7" s="220">
        <v>2023</v>
      </c>
      <c r="D7" s="212">
        <v>5</v>
      </c>
      <c r="E7" s="216">
        <f t="shared" si="0"/>
        <v>5</v>
      </c>
      <c r="F7" s="217">
        <f t="shared" si="1"/>
        <v>618950.89192756789</v>
      </c>
      <c r="G7" s="217">
        <f t="shared" si="2"/>
        <v>867960.2793249886</v>
      </c>
      <c r="H7" s="217">
        <f t="shared" si="3"/>
        <v>1486911.1712525566</v>
      </c>
      <c r="I7" s="217">
        <f t="shared" si="4"/>
        <v>54407006.022446692</v>
      </c>
    </row>
    <row r="8" spans="1:9">
      <c r="C8" s="220">
        <v>2023</v>
      </c>
      <c r="D8" s="212">
        <v>6</v>
      </c>
      <c r="E8" s="216">
        <f t="shared" si="0"/>
        <v>6</v>
      </c>
      <c r="F8" s="217">
        <f t="shared" si="1"/>
        <v>628714.00772184436</v>
      </c>
      <c r="G8" s="217">
        <f t="shared" si="2"/>
        <v>858197.16353071213</v>
      </c>
      <c r="H8" s="217">
        <f t="shared" si="3"/>
        <v>1486911.1712525566</v>
      </c>
      <c r="I8" s="217">
        <f t="shared" si="4"/>
        <v>53778292.014724851</v>
      </c>
    </row>
    <row r="9" spans="1:9">
      <c r="C9" s="220">
        <v>2023</v>
      </c>
      <c r="D9" s="212">
        <v>7</v>
      </c>
      <c r="E9" s="216">
        <f t="shared" si="0"/>
        <v>7</v>
      </c>
      <c r="F9" s="217">
        <f t="shared" si="1"/>
        <v>638631.12350425485</v>
      </c>
      <c r="G9" s="217">
        <f t="shared" si="2"/>
        <v>848280.04774830164</v>
      </c>
      <c r="H9" s="217">
        <f t="shared" si="3"/>
        <v>1486911.1712525566</v>
      </c>
      <c r="I9" s="217">
        <f t="shared" si="4"/>
        <v>53139660.891220599</v>
      </c>
    </row>
    <row r="10" spans="1:9">
      <c r="C10" s="220">
        <v>2023</v>
      </c>
      <c r="D10" s="212">
        <v>8</v>
      </c>
      <c r="E10" s="216">
        <f t="shared" si="0"/>
        <v>8</v>
      </c>
      <c r="F10" s="217">
        <f t="shared" si="1"/>
        <v>648704.66841697565</v>
      </c>
      <c r="G10" s="217">
        <f t="shared" si="2"/>
        <v>838206.50283558096</v>
      </c>
      <c r="H10" s="217">
        <f t="shared" si="3"/>
        <v>1486911.1712525566</v>
      </c>
      <c r="I10" s="217">
        <f t="shared" si="4"/>
        <v>52490956.222803622</v>
      </c>
    </row>
    <row r="11" spans="1:9">
      <c r="C11" s="220">
        <v>2023</v>
      </c>
      <c r="D11" s="212">
        <v>9</v>
      </c>
      <c r="E11" s="216">
        <f t="shared" si="0"/>
        <v>9</v>
      </c>
      <c r="F11" s="217">
        <f t="shared" si="1"/>
        <v>658937.10991862521</v>
      </c>
      <c r="G11" s="217">
        <f t="shared" si="2"/>
        <v>827974.0613339314</v>
      </c>
      <c r="H11" s="217">
        <f t="shared" si="3"/>
        <v>1486911.1712525566</v>
      </c>
      <c r="I11" s="217">
        <f t="shared" si="4"/>
        <v>51832019.112884998</v>
      </c>
    </row>
    <row r="12" spans="1:9">
      <c r="C12" s="220">
        <v>2023</v>
      </c>
      <c r="D12" s="212">
        <v>10</v>
      </c>
      <c r="E12" s="216">
        <f t="shared" si="0"/>
        <v>10</v>
      </c>
      <c r="F12" s="217">
        <f t="shared" si="1"/>
        <v>669330.95438865491</v>
      </c>
      <c r="G12" s="217">
        <f t="shared" si="2"/>
        <v>817580.21686390159</v>
      </c>
      <c r="H12" s="217">
        <f t="shared" si="3"/>
        <v>1486911.1712525566</v>
      </c>
      <c r="I12" s="217">
        <f t="shared" si="4"/>
        <v>51162688.158496343</v>
      </c>
    </row>
    <row r="13" spans="1:9">
      <c r="C13" s="220">
        <v>2023</v>
      </c>
      <c r="D13" s="212">
        <v>11</v>
      </c>
      <c r="E13" s="216">
        <f t="shared" si="0"/>
        <v>11</v>
      </c>
      <c r="F13" s="217">
        <f t="shared" si="1"/>
        <v>679888.74774127337</v>
      </c>
      <c r="G13" s="217">
        <f t="shared" si="2"/>
        <v>807022.42351128324</v>
      </c>
      <c r="H13" s="217">
        <f t="shared" si="3"/>
        <v>1486911.1712525566</v>
      </c>
      <c r="I13" s="217">
        <f t="shared" si="4"/>
        <v>50482799.410755068</v>
      </c>
    </row>
    <row r="14" spans="1:9">
      <c r="C14" s="220">
        <v>2023</v>
      </c>
      <c r="D14" s="212">
        <v>12</v>
      </c>
      <c r="E14" s="216">
        <f t="shared" si="0"/>
        <v>12</v>
      </c>
      <c r="F14" s="217">
        <f t="shared" si="1"/>
        <v>690613.07604905183</v>
      </c>
      <c r="G14" s="217">
        <f t="shared" si="2"/>
        <v>796298.09520350466</v>
      </c>
      <c r="H14" s="217">
        <f t="shared" si="3"/>
        <v>1486911.1712525566</v>
      </c>
      <c r="I14" s="217">
        <f t="shared" si="4"/>
        <v>49792186.334706016</v>
      </c>
    </row>
    <row r="15" spans="1:9">
      <c r="C15" s="221">
        <f>+C14+1</f>
        <v>2024</v>
      </c>
      <c r="D15" s="212">
        <v>13</v>
      </c>
      <c r="E15" s="216">
        <f t="shared" si="0"/>
        <v>13</v>
      </c>
      <c r="F15" s="217">
        <f t="shared" si="1"/>
        <v>701506.56617637107</v>
      </c>
      <c r="G15" s="217">
        <f t="shared" si="2"/>
        <v>785404.60507618543</v>
      </c>
      <c r="H15" s="217">
        <f t="shared" si="3"/>
        <v>1486911.1712525566</v>
      </c>
      <c r="I15" s="217">
        <f t="shared" si="4"/>
        <v>49090679.768529646</v>
      </c>
    </row>
    <row r="16" spans="1:9">
      <c r="C16" s="221">
        <f>+C15</f>
        <v>2024</v>
      </c>
      <c r="D16" s="212">
        <v>14</v>
      </c>
      <c r="E16" s="216">
        <f t="shared" si="0"/>
        <v>14</v>
      </c>
      <c r="F16" s="217">
        <f t="shared" si="1"/>
        <v>712571.88642285462</v>
      </c>
      <c r="G16" s="217">
        <f t="shared" si="2"/>
        <v>774339.284829702</v>
      </c>
      <c r="H16" s="217">
        <f t="shared" si="3"/>
        <v>1486911.1712525566</v>
      </c>
      <c r="I16" s="217">
        <f t="shared" si="4"/>
        <v>48378107.882106788</v>
      </c>
    </row>
    <row r="17" spans="3:9">
      <c r="C17" s="221">
        <f t="shared" ref="C17:C26" si="5">+C16</f>
        <v>2024</v>
      </c>
      <c r="D17" s="212">
        <v>15</v>
      </c>
      <c r="E17" s="216">
        <f t="shared" si="0"/>
        <v>15</v>
      </c>
      <c r="F17" s="217">
        <f t="shared" si="1"/>
        <v>723811.74717695534</v>
      </c>
      <c r="G17" s="217">
        <f t="shared" si="2"/>
        <v>763099.42407560116</v>
      </c>
      <c r="H17" s="217">
        <f t="shared" si="3"/>
        <v>1486911.1712525566</v>
      </c>
      <c r="I17" s="217">
        <f t="shared" si="4"/>
        <v>47654296.134929836</v>
      </c>
    </row>
    <row r="18" spans="3:9">
      <c r="C18" s="221">
        <f t="shared" si="5"/>
        <v>2024</v>
      </c>
      <c r="D18" s="212">
        <v>16</v>
      </c>
      <c r="E18" s="216">
        <f t="shared" si="0"/>
        <v>16</v>
      </c>
      <c r="F18" s="217">
        <f t="shared" si="1"/>
        <v>735228.90157984965</v>
      </c>
      <c r="G18" s="217">
        <f t="shared" si="2"/>
        <v>751682.26967270696</v>
      </c>
      <c r="H18" s="217">
        <f t="shared" si="3"/>
        <v>1486911.1712525566</v>
      </c>
      <c r="I18" s="217">
        <f t="shared" si="4"/>
        <v>46919067.233349986</v>
      </c>
    </row>
    <row r="19" spans="3:9">
      <c r="C19" s="221">
        <f t="shared" si="5"/>
        <v>2024</v>
      </c>
      <c r="D19" s="212">
        <v>17</v>
      </c>
      <c r="E19" s="216">
        <f t="shared" si="0"/>
        <v>17</v>
      </c>
      <c r="F19" s="217">
        <f t="shared" si="1"/>
        <v>746826.14619980392</v>
      </c>
      <c r="G19" s="217">
        <f t="shared" si="2"/>
        <v>740085.02505275281</v>
      </c>
      <c r="H19" s="217">
        <f t="shared" si="3"/>
        <v>1486911.1712525566</v>
      </c>
      <c r="I19" s="217">
        <f t="shared" si="4"/>
        <v>46172241.087150179</v>
      </c>
    </row>
    <row r="20" spans="3:9">
      <c r="C20" s="221">
        <f t="shared" si="5"/>
        <v>2024</v>
      </c>
      <c r="D20" s="212">
        <v>18</v>
      </c>
      <c r="E20" s="216">
        <f t="shared" si="0"/>
        <v>18</v>
      </c>
      <c r="F20" s="217">
        <f t="shared" si="1"/>
        <v>758606.32171717752</v>
      </c>
      <c r="G20" s="217">
        <f t="shared" si="2"/>
        <v>728304.84953537886</v>
      </c>
      <c r="H20" s="217">
        <f t="shared" si="3"/>
        <v>1486911.1712525564</v>
      </c>
      <c r="I20" s="217">
        <f t="shared" si="4"/>
        <v>45413634.765432999</v>
      </c>
    </row>
    <row r="21" spans="3:9">
      <c r="C21" s="221">
        <f t="shared" si="5"/>
        <v>2024</v>
      </c>
      <c r="D21" s="212">
        <v>19</v>
      </c>
      <c r="E21" s="216">
        <f t="shared" si="0"/>
        <v>19</v>
      </c>
      <c r="F21" s="217">
        <f t="shared" si="1"/>
        <v>770572.31362023426</v>
      </c>
      <c r="G21" s="217">
        <f t="shared" si="2"/>
        <v>716338.85763232212</v>
      </c>
      <c r="H21" s="217">
        <f t="shared" si="3"/>
        <v>1486911.1712525564</v>
      </c>
      <c r="I21" s="217">
        <f t="shared" si="4"/>
        <v>44643062.451812766</v>
      </c>
    </row>
    <row r="22" spans="3:9">
      <c r="C22" s="221">
        <f t="shared" si="5"/>
        <v>2024</v>
      </c>
      <c r="D22" s="212">
        <v>20</v>
      </c>
      <c r="E22" s="216">
        <f t="shared" si="0"/>
        <v>20</v>
      </c>
      <c r="F22" s="217">
        <f t="shared" si="1"/>
        <v>782727.05291192315</v>
      </c>
      <c r="G22" s="217">
        <f t="shared" si="2"/>
        <v>704184.11834063334</v>
      </c>
      <c r="H22" s="217">
        <f t="shared" si="3"/>
        <v>1486911.1712525566</v>
      </c>
      <c r="I22" s="217">
        <f t="shared" si="4"/>
        <v>43860335.398900844</v>
      </c>
    </row>
    <row r="23" spans="3:9">
      <c r="C23" s="221">
        <f t="shared" si="5"/>
        <v>2024</v>
      </c>
      <c r="D23" s="212">
        <v>21</v>
      </c>
      <c r="E23" s="216">
        <f t="shared" si="0"/>
        <v>21</v>
      </c>
      <c r="F23" s="217">
        <f t="shared" si="1"/>
        <v>795073.51682781347</v>
      </c>
      <c r="G23" s="217">
        <f t="shared" si="2"/>
        <v>691837.65442474303</v>
      </c>
      <c r="H23" s="217">
        <f t="shared" si="3"/>
        <v>1486911.1712525566</v>
      </c>
      <c r="I23" s="217">
        <f t="shared" si="4"/>
        <v>43065261.88207303</v>
      </c>
    </row>
    <row r="24" spans="3:9">
      <c r="C24" s="221">
        <f t="shared" si="5"/>
        <v>2024</v>
      </c>
      <c r="D24" s="212">
        <v>22</v>
      </c>
      <c r="E24" s="216">
        <f t="shared" si="0"/>
        <v>22</v>
      </c>
      <c r="F24" s="217">
        <f t="shared" si="1"/>
        <v>807614.7295653515</v>
      </c>
      <c r="G24" s="217">
        <f t="shared" si="2"/>
        <v>679296.44168720499</v>
      </c>
      <c r="H24" s="217">
        <f t="shared" si="3"/>
        <v>1486911.1712525566</v>
      </c>
      <c r="I24" s="217">
        <f t="shared" si="4"/>
        <v>42257647.152507678</v>
      </c>
    </row>
    <row r="25" spans="3:9">
      <c r="C25" s="221">
        <f t="shared" si="5"/>
        <v>2024</v>
      </c>
      <c r="D25" s="212">
        <v>23</v>
      </c>
      <c r="E25" s="216">
        <f t="shared" si="0"/>
        <v>23</v>
      </c>
      <c r="F25" s="217">
        <f t="shared" si="1"/>
        <v>820353.76302462083</v>
      </c>
      <c r="G25" s="217">
        <f t="shared" si="2"/>
        <v>666557.40822793578</v>
      </c>
      <c r="H25" s="217">
        <f t="shared" si="3"/>
        <v>1486911.1712525566</v>
      </c>
      <c r="I25" s="217">
        <f t="shared" si="4"/>
        <v>41437293.389483057</v>
      </c>
    </row>
    <row r="26" spans="3:9">
      <c r="C26" s="221">
        <f t="shared" si="5"/>
        <v>2024</v>
      </c>
      <c r="D26" s="212">
        <v>24</v>
      </c>
      <c r="E26" s="216">
        <f t="shared" si="0"/>
        <v>24</v>
      </c>
      <c r="F26" s="217">
        <f t="shared" si="1"/>
        <v>833293.73756078642</v>
      </c>
      <c r="G26" s="217">
        <f t="shared" si="2"/>
        <v>653617.43369177007</v>
      </c>
      <c r="H26" s="217">
        <f t="shared" si="3"/>
        <v>1486911.1712525566</v>
      </c>
      <c r="I26" s="217">
        <f t="shared" si="4"/>
        <v>40603999.651922271</v>
      </c>
    </row>
    <row r="27" spans="3:9">
      <c r="C27" s="221">
        <f>+C26+1</f>
        <v>2025</v>
      </c>
      <c r="D27" s="212">
        <v>25</v>
      </c>
      <c r="E27" s="216">
        <f t="shared" si="0"/>
        <v>25</v>
      </c>
      <c r="F27" s="217">
        <f t="shared" si="1"/>
        <v>846437.82274840958</v>
      </c>
      <c r="G27" s="217">
        <f t="shared" si="2"/>
        <v>640473.34850414679</v>
      </c>
      <c r="H27" s="217">
        <f t="shared" si="3"/>
        <v>1486911.1712525564</v>
      </c>
      <c r="I27" s="217">
        <f t="shared" si="4"/>
        <v>39757561.829173863</v>
      </c>
    </row>
    <row r="28" spans="3:9">
      <c r="C28" s="221">
        <f>+C27</f>
        <v>2025</v>
      </c>
      <c r="D28" s="212">
        <v>26</v>
      </c>
      <c r="E28" s="216">
        <f t="shared" si="0"/>
        <v>26</v>
      </c>
      <c r="F28" s="217">
        <f t="shared" si="1"/>
        <v>859789.23815781658</v>
      </c>
      <c r="G28" s="217">
        <f t="shared" si="2"/>
        <v>627121.9330947398</v>
      </c>
      <c r="H28" s="217">
        <f t="shared" si="3"/>
        <v>1486911.1712525564</v>
      </c>
      <c r="I28" s="217">
        <f t="shared" si="4"/>
        <v>38897772.591016047</v>
      </c>
    </row>
    <row r="29" spans="3:9">
      <c r="C29" s="221">
        <f t="shared" ref="C29:C38" si="6">+C28</f>
        <v>2025</v>
      </c>
      <c r="D29" s="212">
        <v>27</v>
      </c>
      <c r="E29" s="216">
        <f t="shared" si="0"/>
        <v>27</v>
      </c>
      <c r="F29" s="217">
        <f t="shared" si="1"/>
        <v>873351.25414371456</v>
      </c>
      <c r="G29" s="217">
        <f t="shared" si="2"/>
        <v>613559.91710884182</v>
      </c>
      <c r="H29" s="217">
        <f t="shared" si="3"/>
        <v>1486911.1712525564</v>
      </c>
      <c r="I29" s="217">
        <f t="shared" si="4"/>
        <v>38024421.336872332</v>
      </c>
    </row>
    <row r="30" spans="3:9">
      <c r="C30" s="221">
        <f t="shared" si="6"/>
        <v>2025</v>
      </c>
      <c r="D30" s="212">
        <v>28</v>
      </c>
      <c r="E30" s="216">
        <f t="shared" si="0"/>
        <v>28</v>
      </c>
      <c r="F30" s="217">
        <f t="shared" si="1"/>
        <v>887127.19264624687</v>
      </c>
      <c r="G30" s="217">
        <f t="shared" si="2"/>
        <v>599783.97860630963</v>
      </c>
      <c r="H30" s="217">
        <f t="shared" si="3"/>
        <v>1486911.1712525566</v>
      </c>
      <c r="I30" s="217">
        <f t="shared" si="4"/>
        <v>37137294.144226082</v>
      </c>
    </row>
    <row r="31" spans="3:9">
      <c r="C31" s="221">
        <f t="shared" si="6"/>
        <v>2025</v>
      </c>
      <c r="D31" s="212">
        <v>29</v>
      </c>
      <c r="E31" s="216">
        <f t="shared" si="0"/>
        <v>29</v>
      </c>
      <c r="F31" s="217">
        <f t="shared" si="1"/>
        <v>901120.42800468358</v>
      </c>
      <c r="G31" s="217">
        <f t="shared" si="2"/>
        <v>585790.74324787292</v>
      </c>
      <c r="H31" s="217">
        <f t="shared" si="3"/>
        <v>1486911.1712525566</v>
      </c>
      <c r="I31" s="217">
        <f t="shared" si="4"/>
        <v>36236173.7162214</v>
      </c>
    </row>
    <row r="32" spans="3:9">
      <c r="C32" s="221">
        <f t="shared" si="6"/>
        <v>2025</v>
      </c>
      <c r="D32" s="212">
        <v>30</v>
      </c>
      <c r="E32" s="216">
        <f t="shared" si="0"/>
        <v>30</v>
      </c>
      <c r="F32" s="217">
        <f t="shared" si="1"/>
        <v>915334.38778394682</v>
      </c>
      <c r="G32" s="217">
        <f t="shared" si="2"/>
        <v>571576.78346860956</v>
      </c>
      <c r="H32" s="217">
        <f t="shared" si="3"/>
        <v>1486911.1712525564</v>
      </c>
      <c r="I32" s="217">
        <f t="shared" si="4"/>
        <v>35320839.328437455</v>
      </c>
    </row>
    <row r="33" spans="3:9">
      <c r="C33" s="221">
        <f t="shared" si="6"/>
        <v>2025</v>
      </c>
      <c r="D33" s="212">
        <v>31</v>
      </c>
      <c r="E33" s="216">
        <f t="shared" si="0"/>
        <v>31</v>
      </c>
      <c r="F33" s="217">
        <f t="shared" si="1"/>
        <v>929772.55361417495</v>
      </c>
      <c r="G33" s="217">
        <f t="shared" si="2"/>
        <v>557138.61763838155</v>
      </c>
      <c r="H33" s="217">
        <f t="shared" si="3"/>
        <v>1486911.1712525566</v>
      </c>
      <c r="I33" s="217">
        <f t="shared" si="4"/>
        <v>34391066.774823278</v>
      </c>
    </row>
    <row r="34" spans="3:9">
      <c r="C34" s="221">
        <f t="shared" si="6"/>
        <v>2025</v>
      </c>
      <c r="D34" s="212">
        <v>32</v>
      </c>
      <c r="E34" s="216">
        <f t="shared" si="0"/>
        <v>32</v>
      </c>
      <c r="F34" s="217">
        <f t="shared" si="1"/>
        <v>944438.46204352682</v>
      </c>
      <c r="G34" s="217">
        <f t="shared" si="2"/>
        <v>542472.70920902968</v>
      </c>
      <c r="H34" s="217">
        <f t="shared" si="3"/>
        <v>1486911.1712525566</v>
      </c>
      <c r="I34" s="217">
        <f t="shared" si="4"/>
        <v>33446628.312779751</v>
      </c>
    </row>
    <row r="35" spans="3:9">
      <c r="C35" s="221">
        <f t="shared" si="6"/>
        <v>2025</v>
      </c>
      <c r="D35" s="212">
        <v>33</v>
      </c>
      <c r="E35" s="216">
        <f t="shared" si="0"/>
        <v>33</v>
      </c>
      <c r="F35" s="217">
        <f t="shared" si="1"/>
        <v>959335.70540443994</v>
      </c>
      <c r="G35" s="217">
        <f t="shared" si="2"/>
        <v>527575.46584811644</v>
      </c>
      <c r="H35" s="217">
        <f t="shared" si="3"/>
        <v>1486911.1712525564</v>
      </c>
      <c r="I35" s="217">
        <f t="shared" si="4"/>
        <v>32487292.607375309</v>
      </c>
    </row>
    <row r="36" spans="3:9">
      <c r="C36" s="221">
        <f t="shared" si="6"/>
        <v>2025</v>
      </c>
      <c r="D36" s="212">
        <v>34</v>
      </c>
      <c r="E36" s="216">
        <f t="shared" si="0"/>
        <v>34</v>
      </c>
      <c r="F36" s="217">
        <f t="shared" si="1"/>
        <v>974467.93269355351</v>
      </c>
      <c r="G36" s="217">
        <f t="shared" si="2"/>
        <v>512443.23855900299</v>
      </c>
      <c r="H36" s="217">
        <f t="shared" si="3"/>
        <v>1486911.1712525566</v>
      </c>
      <c r="I36" s="217">
        <f t="shared" si="4"/>
        <v>31512824.674681757</v>
      </c>
    </row>
    <row r="37" spans="3:9">
      <c r="C37" s="221">
        <f t="shared" si="6"/>
        <v>2025</v>
      </c>
      <c r="D37" s="212">
        <v>35</v>
      </c>
      <c r="E37" s="216">
        <f t="shared" si="0"/>
        <v>35</v>
      </c>
      <c r="F37" s="217">
        <f t="shared" si="1"/>
        <v>989838.8504655076</v>
      </c>
      <c r="G37" s="217">
        <f t="shared" si="2"/>
        <v>497072.32078704884</v>
      </c>
      <c r="H37" s="217">
        <f t="shared" si="3"/>
        <v>1486911.1712525564</v>
      </c>
      <c r="I37" s="217">
        <f t="shared" si="4"/>
        <v>30522985.82421625</v>
      </c>
    </row>
    <row r="38" spans="3:9">
      <c r="C38" s="221">
        <f t="shared" si="6"/>
        <v>2025</v>
      </c>
      <c r="D38" s="212">
        <v>36</v>
      </c>
      <c r="E38" s="216">
        <f t="shared" si="0"/>
        <v>36</v>
      </c>
      <c r="F38" s="217">
        <f t="shared" si="1"/>
        <v>1005452.2237408452</v>
      </c>
      <c r="G38" s="217">
        <f t="shared" si="2"/>
        <v>481458.94751171127</v>
      </c>
      <c r="H38" s="217">
        <f t="shared" si="3"/>
        <v>1486911.1712525566</v>
      </c>
      <c r="I38" s="217">
        <f t="shared" si="4"/>
        <v>29517533.600475404</v>
      </c>
    </row>
    <row r="39" spans="3:9">
      <c r="C39" s="221">
        <f>+C38+1</f>
        <v>2026</v>
      </c>
      <c r="D39" s="212">
        <v>37</v>
      </c>
      <c r="E39" s="216">
        <f t="shared" si="0"/>
        <v>37</v>
      </c>
      <c r="F39" s="217">
        <f t="shared" si="1"/>
        <v>1021311.8769282314</v>
      </c>
      <c r="G39" s="217">
        <f t="shared" si="2"/>
        <v>465599.29432432499</v>
      </c>
      <c r="H39" s="217">
        <f t="shared" si="3"/>
        <v>1486911.1712525564</v>
      </c>
      <c r="I39" s="217">
        <f t="shared" si="4"/>
        <v>28496221.723547172</v>
      </c>
    </row>
    <row r="40" spans="3:9">
      <c r="C40" s="221">
        <f>+C39</f>
        <v>2026</v>
      </c>
      <c r="D40" s="212">
        <v>38</v>
      </c>
      <c r="E40" s="216">
        <f t="shared" si="0"/>
        <v>38</v>
      </c>
      <c r="F40" s="217">
        <f t="shared" si="1"/>
        <v>1037421.694761222</v>
      </c>
      <c r="G40" s="217">
        <f t="shared" si="2"/>
        <v>449489.47649133444</v>
      </c>
      <c r="H40" s="217">
        <f t="shared" si="3"/>
        <v>1486911.1712525564</v>
      </c>
      <c r="I40" s="217">
        <f t="shared" si="4"/>
        <v>27458800.028785951</v>
      </c>
    </row>
    <row r="41" spans="3:9">
      <c r="C41" s="221">
        <f t="shared" ref="C41:C50" si="7">+C40</f>
        <v>2026</v>
      </c>
      <c r="D41" s="212">
        <v>39</v>
      </c>
      <c r="E41" s="216">
        <f t="shared" si="0"/>
        <v>39</v>
      </c>
      <c r="F41" s="217">
        <f t="shared" si="1"/>
        <v>1053785.6232498065</v>
      </c>
      <c r="G41" s="217">
        <f t="shared" si="2"/>
        <v>433125.54800274991</v>
      </c>
      <c r="H41" s="217">
        <f t="shared" si="3"/>
        <v>1486911.1712525564</v>
      </c>
      <c r="I41" s="217">
        <f t="shared" si="4"/>
        <v>26405014.405536145</v>
      </c>
    </row>
    <row r="42" spans="3:9">
      <c r="C42" s="221">
        <f t="shared" si="7"/>
        <v>2026</v>
      </c>
      <c r="D42" s="212">
        <v>40</v>
      </c>
      <c r="E42" s="216">
        <f t="shared" si="0"/>
        <v>40</v>
      </c>
      <c r="F42" s="217">
        <f t="shared" si="1"/>
        <v>1070407.6706469618</v>
      </c>
      <c r="G42" s="217">
        <f t="shared" si="2"/>
        <v>416503.50060559454</v>
      </c>
      <c r="H42" s="217">
        <f t="shared" si="3"/>
        <v>1486911.1712525564</v>
      </c>
      <c r="I42" s="217">
        <f t="shared" si="4"/>
        <v>25334606.734889183</v>
      </c>
    </row>
    <row r="43" spans="3:9">
      <c r="C43" s="221">
        <f t="shared" si="7"/>
        <v>2026</v>
      </c>
      <c r="D43" s="212">
        <v>41</v>
      </c>
      <c r="E43" s="216">
        <f t="shared" si="0"/>
        <v>41</v>
      </c>
      <c r="F43" s="217">
        <f t="shared" si="1"/>
        <v>1087291.9084304515</v>
      </c>
      <c r="G43" s="217">
        <f t="shared" si="2"/>
        <v>399619.26282210497</v>
      </c>
      <c r="H43" s="217">
        <f t="shared" si="3"/>
        <v>1486911.1712525566</v>
      </c>
      <c r="I43" s="217">
        <f t="shared" si="4"/>
        <v>24247314.82645873</v>
      </c>
    </row>
    <row r="44" spans="3:9">
      <c r="C44" s="221">
        <f t="shared" si="7"/>
        <v>2026</v>
      </c>
      <c r="D44" s="212">
        <v>42</v>
      </c>
      <c r="E44" s="216">
        <f t="shared" si="0"/>
        <v>42</v>
      </c>
      <c r="F44" s="217">
        <f t="shared" si="1"/>
        <v>1104442.4723001109</v>
      </c>
      <c r="G44" s="217">
        <f t="shared" si="2"/>
        <v>382468.6989524457</v>
      </c>
      <c r="H44" s="217">
        <f t="shared" si="3"/>
        <v>1486911.1712525566</v>
      </c>
      <c r="I44" s="217">
        <f t="shared" si="4"/>
        <v>23142872.354158618</v>
      </c>
    </row>
    <row r="45" spans="3:9">
      <c r="C45" s="221">
        <f t="shared" si="7"/>
        <v>2026</v>
      </c>
      <c r="D45" s="212">
        <v>43</v>
      </c>
      <c r="E45" s="216">
        <f t="shared" si="0"/>
        <v>43</v>
      </c>
      <c r="F45" s="217">
        <f t="shared" si="1"/>
        <v>1121863.5631908642</v>
      </c>
      <c r="G45" s="217">
        <f t="shared" si="2"/>
        <v>365047.60806169244</v>
      </c>
      <c r="H45" s="217">
        <f t="shared" si="3"/>
        <v>1486911.1712525566</v>
      </c>
      <c r="I45" s="217">
        <f t="shared" si="4"/>
        <v>22021008.790967755</v>
      </c>
    </row>
    <row r="46" spans="3:9">
      <c r="C46" s="221">
        <f t="shared" si="7"/>
        <v>2026</v>
      </c>
      <c r="D46" s="212">
        <v>44</v>
      </c>
      <c r="E46" s="216">
        <f t="shared" si="0"/>
        <v>44</v>
      </c>
      <c r="F46" s="217">
        <f t="shared" si="1"/>
        <v>1139559.44830172</v>
      </c>
      <c r="G46" s="217">
        <f t="shared" si="2"/>
        <v>347351.72295083664</v>
      </c>
      <c r="H46" s="217">
        <f t="shared" si="3"/>
        <v>1486911.1712525566</v>
      </c>
      <c r="I46" s="217">
        <f t="shared" si="4"/>
        <v>20881449.342666034</v>
      </c>
    </row>
    <row r="47" spans="3:9">
      <c r="C47" s="221">
        <f t="shared" si="7"/>
        <v>2026</v>
      </c>
      <c r="D47" s="212">
        <v>45</v>
      </c>
      <c r="E47" s="216">
        <f t="shared" si="0"/>
        <v>45</v>
      </c>
      <c r="F47" s="217">
        <f t="shared" si="1"/>
        <v>1157534.4621409979</v>
      </c>
      <c r="G47" s="217">
        <f t="shared" si="2"/>
        <v>329376.70911155862</v>
      </c>
      <c r="H47" s="217">
        <f t="shared" si="3"/>
        <v>1486911.1712525566</v>
      </c>
      <c r="I47" s="217">
        <f t="shared" si="4"/>
        <v>19723914.880525038</v>
      </c>
    </row>
    <row r="48" spans="3:9">
      <c r="C48" s="221">
        <f t="shared" si="7"/>
        <v>2026</v>
      </c>
      <c r="D48" s="212">
        <v>46</v>
      </c>
      <c r="E48" s="216">
        <f t="shared" si="0"/>
        <v>46</v>
      </c>
      <c r="F48" s="217">
        <f t="shared" si="1"/>
        <v>1175793.0075880422</v>
      </c>
      <c r="G48" s="217">
        <f t="shared" si="2"/>
        <v>311118.16366451443</v>
      </c>
      <c r="H48" s="217">
        <f t="shared" si="3"/>
        <v>1486911.1712525566</v>
      </c>
      <c r="I48" s="217">
        <f t="shared" si="4"/>
        <v>18548121.872936994</v>
      </c>
    </row>
    <row r="49" spans="3:9">
      <c r="C49" s="221">
        <f t="shared" si="7"/>
        <v>2026</v>
      </c>
      <c r="D49" s="212">
        <v>47</v>
      </c>
      <c r="E49" s="216">
        <f t="shared" si="0"/>
        <v>47</v>
      </c>
      <c r="F49" s="217">
        <f t="shared" si="1"/>
        <v>1194339.556971682</v>
      </c>
      <c r="G49" s="217">
        <f t="shared" si="2"/>
        <v>292571.61428087449</v>
      </c>
      <c r="H49" s="217">
        <f t="shared" si="3"/>
        <v>1486911.1712525566</v>
      </c>
      <c r="I49" s="217">
        <f t="shared" si="4"/>
        <v>17353782.315965313</v>
      </c>
    </row>
    <row r="50" spans="3:9">
      <c r="C50" s="221">
        <f t="shared" si="7"/>
        <v>2026</v>
      </c>
      <c r="D50" s="212">
        <v>48</v>
      </c>
      <c r="E50" s="216">
        <f t="shared" si="0"/>
        <v>48</v>
      </c>
      <c r="F50" s="217">
        <f t="shared" si="1"/>
        <v>1213178.6531657043</v>
      </c>
      <c r="G50" s="217">
        <f t="shared" si="2"/>
        <v>273732.51808685216</v>
      </c>
      <c r="H50" s="217">
        <f t="shared" si="3"/>
        <v>1486911.1712525566</v>
      </c>
      <c r="I50" s="217">
        <f t="shared" si="4"/>
        <v>16140603.66279961</v>
      </c>
    </row>
    <row r="51" spans="3:9">
      <c r="C51" s="221">
        <f>+C50+1</f>
        <v>2027</v>
      </c>
      <c r="D51" s="212">
        <v>49</v>
      </c>
      <c r="E51" s="216">
        <f t="shared" si="0"/>
        <v>49</v>
      </c>
      <c r="F51" s="217">
        <f t="shared" si="1"/>
        <v>1232314.9107016046</v>
      </c>
      <c r="G51" s="217">
        <f t="shared" si="2"/>
        <v>254596.26055095191</v>
      </c>
      <c r="H51" s="217">
        <f t="shared" si="3"/>
        <v>1486911.1712525564</v>
      </c>
      <c r="I51" s="217">
        <f t="shared" si="4"/>
        <v>14908288.752098005</v>
      </c>
    </row>
    <row r="52" spans="3:9">
      <c r="C52" s="221">
        <f>+C51</f>
        <v>2027</v>
      </c>
      <c r="D52" s="212">
        <v>50</v>
      </c>
      <c r="E52" s="216">
        <f t="shared" si="0"/>
        <v>50</v>
      </c>
      <c r="F52" s="217">
        <f t="shared" si="1"/>
        <v>1251753.016898891</v>
      </c>
      <c r="G52" s="217">
        <f t="shared" si="2"/>
        <v>235158.15435366551</v>
      </c>
      <c r="H52" s="217">
        <f t="shared" si="3"/>
        <v>1486911.1712525564</v>
      </c>
      <c r="I52" s="217">
        <f t="shared" si="4"/>
        <v>13656535.735199114</v>
      </c>
    </row>
    <row r="53" spans="3:9">
      <c r="C53" s="221">
        <f t="shared" ref="C53:C62" si="8">+C52</f>
        <v>2027</v>
      </c>
      <c r="D53" s="212">
        <v>51</v>
      </c>
      <c r="E53" s="216">
        <f t="shared" si="0"/>
        <v>51</v>
      </c>
      <c r="F53" s="217">
        <f t="shared" si="1"/>
        <v>1271497.7330132171</v>
      </c>
      <c r="G53" s="217">
        <f t="shared" si="2"/>
        <v>215413.43823933942</v>
      </c>
      <c r="H53" s="217">
        <f t="shared" si="3"/>
        <v>1486911.1712525566</v>
      </c>
      <c r="I53" s="217">
        <f t="shared" si="4"/>
        <v>12385038.002185898</v>
      </c>
    </row>
    <row r="54" spans="3:9">
      <c r="C54" s="221">
        <f t="shared" si="8"/>
        <v>2027</v>
      </c>
      <c r="D54" s="212">
        <v>52</v>
      </c>
      <c r="E54" s="216">
        <f t="shared" si="0"/>
        <v>52</v>
      </c>
      <c r="F54" s="217">
        <f t="shared" si="1"/>
        <v>1291553.8954026247</v>
      </c>
      <c r="G54" s="217">
        <f t="shared" si="2"/>
        <v>195357.27584993173</v>
      </c>
      <c r="H54" s="217">
        <f t="shared" si="3"/>
        <v>1486911.1712525564</v>
      </c>
      <c r="I54" s="217">
        <f t="shared" si="4"/>
        <v>11093484.106783273</v>
      </c>
    </row>
    <row r="55" spans="3:9">
      <c r="C55" s="221">
        <f t="shared" si="8"/>
        <v>2027</v>
      </c>
      <c r="D55" s="212">
        <v>53</v>
      </c>
      <c r="E55" s="216">
        <f t="shared" si="0"/>
        <v>53</v>
      </c>
      <c r="F55" s="217">
        <f t="shared" si="1"/>
        <v>1311926.4167121835</v>
      </c>
      <c r="G55" s="217">
        <f t="shared" si="2"/>
        <v>174984.75454037319</v>
      </c>
      <c r="H55" s="217">
        <f t="shared" si="3"/>
        <v>1486911.1712525566</v>
      </c>
      <c r="I55" s="217">
        <f t="shared" si="4"/>
        <v>9781557.6900710892</v>
      </c>
    </row>
    <row r="56" spans="3:9">
      <c r="C56" s="221">
        <f t="shared" si="8"/>
        <v>2027</v>
      </c>
      <c r="D56" s="212">
        <v>54</v>
      </c>
      <c r="E56" s="216">
        <f t="shared" si="0"/>
        <v>54</v>
      </c>
      <c r="F56" s="217">
        <f t="shared" si="1"/>
        <v>1332620.287077314</v>
      </c>
      <c r="G56" s="217">
        <f t="shared" si="2"/>
        <v>154290.8841752423</v>
      </c>
      <c r="H56" s="217">
        <f t="shared" si="3"/>
        <v>1486911.1712525564</v>
      </c>
      <c r="I56" s="217">
        <f t="shared" si="4"/>
        <v>8448937.4029937759</v>
      </c>
    </row>
    <row r="57" spans="3:9">
      <c r="C57" s="221">
        <f t="shared" si="8"/>
        <v>2027</v>
      </c>
      <c r="D57" s="212">
        <v>55</v>
      </c>
      <c r="E57" s="216">
        <f t="shared" si="0"/>
        <v>55</v>
      </c>
      <c r="F57" s="217">
        <f t="shared" si="1"/>
        <v>1353640.5753460971</v>
      </c>
      <c r="G57" s="217">
        <f t="shared" si="2"/>
        <v>133270.59590645946</v>
      </c>
      <c r="H57" s="217">
        <f t="shared" si="3"/>
        <v>1486911.1712525566</v>
      </c>
      <c r="I57" s="217">
        <f t="shared" si="4"/>
        <v>7095296.8276476786</v>
      </c>
    </row>
    <row r="58" spans="3:9">
      <c r="C58" s="221">
        <f t="shared" si="8"/>
        <v>2027</v>
      </c>
      <c r="D58" s="212">
        <v>56</v>
      </c>
      <c r="E58" s="216">
        <f t="shared" si="0"/>
        <v>56</v>
      </c>
      <c r="F58" s="217">
        <f t="shared" si="1"/>
        <v>1374992.4303208557</v>
      </c>
      <c r="G58" s="217">
        <f t="shared" si="2"/>
        <v>111918.74093170083</v>
      </c>
      <c r="H58" s="217">
        <f t="shared" si="3"/>
        <v>1486911.1712525566</v>
      </c>
      <c r="I58" s="217">
        <f t="shared" si="4"/>
        <v>5720304.3973268233</v>
      </c>
    </row>
    <row r="59" spans="3:9">
      <c r="C59" s="221">
        <f t="shared" si="8"/>
        <v>2027</v>
      </c>
      <c r="D59" s="212">
        <v>57</v>
      </c>
      <c r="E59" s="216">
        <f t="shared" si="0"/>
        <v>57</v>
      </c>
      <c r="F59" s="217">
        <f t="shared" si="1"/>
        <v>1396681.0820193286</v>
      </c>
      <c r="G59" s="217">
        <f t="shared" si="2"/>
        <v>90230.08923322802</v>
      </c>
      <c r="H59" s="217">
        <f t="shared" si="3"/>
        <v>1486911.1712525566</v>
      </c>
      <c r="I59" s="217">
        <f t="shared" si="4"/>
        <v>4323623.3153074943</v>
      </c>
    </row>
    <row r="60" spans="3:9">
      <c r="C60" s="221">
        <f t="shared" si="8"/>
        <v>2027</v>
      </c>
      <c r="D60" s="212">
        <v>58</v>
      </c>
      <c r="E60" s="216">
        <f t="shared" si="0"/>
        <v>58</v>
      </c>
      <c r="F60" s="217">
        <f t="shared" si="1"/>
        <v>1418711.842955732</v>
      </c>
      <c r="G60" s="217">
        <f t="shared" si="2"/>
        <v>68199.328296824417</v>
      </c>
      <c r="H60" s="217">
        <f t="shared" si="3"/>
        <v>1486911.1712525564</v>
      </c>
      <c r="I60" s="217">
        <f t="shared" si="4"/>
        <v>2904911.4723517625</v>
      </c>
    </row>
    <row r="61" spans="3:9">
      <c r="C61" s="221">
        <f t="shared" si="8"/>
        <v>2027</v>
      </c>
      <c r="D61" s="212">
        <v>59</v>
      </c>
      <c r="E61" s="216">
        <f t="shared" si="0"/>
        <v>59</v>
      </c>
      <c r="F61" s="217">
        <f t="shared" si="1"/>
        <v>1441090.1094420319</v>
      </c>
      <c r="G61" s="217">
        <f t="shared" si="2"/>
        <v>45821.061810524472</v>
      </c>
      <c r="H61" s="217">
        <f t="shared" si="3"/>
        <v>1486911.1712525564</v>
      </c>
      <c r="I61" s="217">
        <f t="shared" si="4"/>
        <v>1463821.3629097305</v>
      </c>
    </row>
    <row r="62" spans="3:9">
      <c r="C62" s="221">
        <f t="shared" si="8"/>
        <v>2027</v>
      </c>
      <c r="D62" s="212">
        <v>60</v>
      </c>
      <c r="E62" s="216">
        <f t="shared" si="0"/>
        <v>60</v>
      </c>
      <c r="F62" s="217">
        <f t="shared" si="1"/>
        <v>1463821.3629097394</v>
      </c>
      <c r="G62" s="217">
        <f t="shared" si="2"/>
        <v>23089.808342817138</v>
      </c>
      <c r="H62" s="217">
        <f t="shared" si="3"/>
        <v>1486911.1712525566</v>
      </c>
      <c r="I62" s="217">
        <f t="shared" si="4"/>
        <v>-8.8475644588470459E-9</v>
      </c>
    </row>
    <row r="63" spans="3:9">
      <c r="C63" s="221">
        <f>+C62+1</f>
        <v>2028</v>
      </c>
      <c r="D63" s="212">
        <v>61</v>
      </c>
      <c r="E63" s="216" t="str">
        <f t="shared" si="0"/>
        <v/>
      </c>
      <c r="F63" s="217" t="str">
        <f t="shared" si="1"/>
        <v/>
      </c>
      <c r="G63" s="217" t="str">
        <f t="shared" si="2"/>
        <v/>
      </c>
      <c r="H63" s="217" t="str">
        <f t="shared" si="3"/>
        <v/>
      </c>
      <c r="I63" s="217" t="str">
        <f t="shared" si="4"/>
        <v/>
      </c>
    </row>
    <row r="64" spans="3:9">
      <c r="C64" s="221">
        <f>+C63</f>
        <v>2028</v>
      </c>
      <c r="D64" s="212">
        <v>62</v>
      </c>
      <c r="E64" s="216" t="str">
        <f t="shared" si="0"/>
        <v/>
      </c>
      <c r="F64" s="217" t="str">
        <f t="shared" si="1"/>
        <v/>
      </c>
      <c r="G64" s="217" t="str">
        <f t="shared" si="2"/>
        <v/>
      </c>
      <c r="H64" s="217" t="str">
        <f t="shared" si="3"/>
        <v/>
      </c>
      <c r="I64" s="217" t="str">
        <f t="shared" si="4"/>
        <v/>
      </c>
    </row>
    <row r="65" spans="3:9">
      <c r="C65" s="221">
        <f t="shared" ref="C65:C74" si="9">+C64</f>
        <v>2028</v>
      </c>
      <c r="D65" s="212">
        <v>63</v>
      </c>
      <c r="E65" s="216" t="str">
        <f t="shared" si="0"/>
        <v/>
      </c>
      <c r="F65" s="217" t="str">
        <f t="shared" si="1"/>
        <v/>
      </c>
      <c r="G65" s="217" t="str">
        <f t="shared" si="2"/>
        <v/>
      </c>
      <c r="H65" s="217" t="str">
        <f t="shared" si="3"/>
        <v/>
      </c>
      <c r="I65" s="217" t="str">
        <f t="shared" si="4"/>
        <v/>
      </c>
    </row>
    <row r="66" spans="3:9">
      <c r="C66" s="221">
        <f t="shared" si="9"/>
        <v>2028</v>
      </c>
      <c r="D66" s="212">
        <v>64</v>
      </c>
      <c r="E66" s="216" t="str">
        <f t="shared" si="0"/>
        <v/>
      </c>
      <c r="F66" s="217" t="str">
        <f t="shared" si="1"/>
        <v/>
      </c>
      <c r="G66" s="217" t="str">
        <f t="shared" si="2"/>
        <v/>
      </c>
      <c r="H66" s="217" t="str">
        <f t="shared" si="3"/>
        <v/>
      </c>
      <c r="I66" s="217" t="str">
        <f t="shared" si="4"/>
        <v/>
      </c>
    </row>
    <row r="67" spans="3:9">
      <c r="C67" s="221">
        <f t="shared" si="9"/>
        <v>2028</v>
      </c>
      <c r="D67" s="212">
        <v>65</v>
      </c>
      <c r="E67" s="216" t="str">
        <f t="shared" ref="E67:E122" si="10">IF(D67&lt;=$B$2,D67,"")</f>
        <v/>
      </c>
      <c r="F67" s="217" t="str">
        <f t="shared" ref="F67:F122" si="11">IF($B$5="FIJA",IF(E67&lt;=$B$4,0,IF(E67&lt;=$B$2,$B$1/($B$2-$B$4),"")),IF(E67&lt;=$B$4,0,IF($B$5="VARIABLE",IF(E67&lt;=$B$2,PPMT($B$3,E67-$B$4,$B$2-$B$4,-$B$1),""))))</f>
        <v/>
      </c>
      <c r="G67" s="217" t="str">
        <f t="shared" ref="G67:G105" si="12">IF(E67&lt;=$B$2,I66*$B$3,"")</f>
        <v/>
      </c>
      <c r="H67" s="217" t="str">
        <f t="shared" ref="H67:H122" si="13">IF(E67&lt;=$B$2,F67+G67,"")</f>
        <v/>
      </c>
      <c r="I67" s="217" t="str">
        <f t="shared" ref="I67:I105" si="14">IF(E67&lt;=$B$2,I66-F67,"")</f>
        <v/>
      </c>
    </row>
    <row r="68" spans="3:9">
      <c r="C68" s="221">
        <f t="shared" si="9"/>
        <v>2028</v>
      </c>
      <c r="D68" s="212">
        <v>66</v>
      </c>
      <c r="E68" s="216" t="str">
        <f t="shared" si="10"/>
        <v/>
      </c>
      <c r="F68" s="217" t="str">
        <f t="shared" si="11"/>
        <v/>
      </c>
      <c r="G68" s="217" t="str">
        <f t="shared" si="12"/>
        <v/>
      </c>
      <c r="H68" s="217" t="str">
        <f t="shared" si="13"/>
        <v/>
      </c>
      <c r="I68" s="217" t="str">
        <f t="shared" si="14"/>
        <v/>
      </c>
    </row>
    <row r="69" spans="3:9">
      <c r="C69" s="221">
        <f t="shared" si="9"/>
        <v>2028</v>
      </c>
      <c r="D69" s="212">
        <v>67</v>
      </c>
      <c r="E69" s="216" t="str">
        <f t="shared" si="10"/>
        <v/>
      </c>
      <c r="F69" s="217" t="str">
        <f t="shared" si="11"/>
        <v/>
      </c>
      <c r="G69" s="217" t="str">
        <f t="shared" si="12"/>
        <v/>
      </c>
      <c r="H69" s="217" t="str">
        <f t="shared" si="13"/>
        <v/>
      </c>
      <c r="I69" s="217" t="str">
        <f t="shared" si="14"/>
        <v/>
      </c>
    </row>
    <row r="70" spans="3:9">
      <c r="C70" s="221">
        <f t="shared" si="9"/>
        <v>2028</v>
      </c>
      <c r="D70" s="212">
        <v>68</v>
      </c>
      <c r="E70" s="216" t="str">
        <f t="shared" si="10"/>
        <v/>
      </c>
      <c r="F70" s="217" t="str">
        <f t="shared" si="11"/>
        <v/>
      </c>
      <c r="G70" s="217" t="str">
        <f t="shared" si="12"/>
        <v/>
      </c>
      <c r="H70" s="217" t="str">
        <f t="shared" si="13"/>
        <v/>
      </c>
      <c r="I70" s="217" t="str">
        <f t="shared" si="14"/>
        <v/>
      </c>
    </row>
    <row r="71" spans="3:9">
      <c r="C71" s="221">
        <f t="shared" si="9"/>
        <v>2028</v>
      </c>
      <c r="D71" s="212">
        <v>69</v>
      </c>
      <c r="E71" s="216" t="str">
        <f t="shared" si="10"/>
        <v/>
      </c>
      <c r="F71" s="217" t="str">
        <f t="shared" si="11"/>
        <v/>
      </c>
      <c r="G71" s="217" t="str">
        <f t="shared" si="12"/>
        <v/>
      </c>
      <c r="H71" s="217" t="str">
        <f t="shared" si="13"/>
        <v/>
      </c>
      <c r="I71" s="217" t="str">
        <f t="shared" si="14"/>
        <v/>
      </c>
    </row>
    <row r="72" spans="3:9">
      <c r="C72" s="221">
        <f t="shared" si="9"/>
        <v>2028</v>
      </c>
      <c r="D72" s="212">
        <v>70</v>
      </c>
      <c r="E72" s="216" t="str">
        <f t="shared" si="10"/>
        <v/>
      </c>
      <c r="F72" s="217" t="str">
        <f t="shared" si="11"/>
        <v/>
      </c>
      <c r="G72" s="217" t="str">
        <f t="shared" si="12"/>
        <v/>
      </c>
      <c r="H72" s="217" t="str">
        <f t="shared" si="13"/>
        <v/>
      </c>
      <c r="I72" s="217" t="str">
        <f t="shared" si="14"/>
        <v/>
      </c>
    </row>
    <row r="73" spans="3:9">
      <c r="C73" s="221">
        <f t="shared" si="9"/>
        <v>2028</v>
      </c>
      <c r="D73" s="212">
        <v>71</v>
      </c>
      <c r="E73" s="216" t="str">
        <f t="shared" si="10"/>
        <v/>
      </c>
      <c r="F73" s="217" t="str">
        <f t="shared" si="11"/>
        <v/>
      </c>
      <c r="G73" s="217" t="str">
        <f t="shared" si="12"/>
        <v/>
      </c>
      <c r="H73" s="217" t="str">
        <f t="shared" si="13"/>
        <v/>
      </c>
      <c r="I73" s="217" t="str">
        <f t="shared" si="14"/>
        <v/>
      </c>
    </row>
    <row r="74" spans="3:9">
      <c r="C74" s="221">
        <f t="shared" si="9"/>
        <v>2028</v>
      </c>
      <c r="D74" s="212">
        <v>72</v>
      </c>
      <c r="E74" s="216" t="str">
        <f t="shared" si="10"/>
        <v/>
      </c>
      <c r="F74" s="217" t="str">
        <f t="shared" si="11"/>
        <v/>
      </c>
      <c r="G74" s="217" t="str">
        <f t="shared" si="12"/>
        <v/>
      </c>
      <c r="H74" s="217" t="str">
        <f t="shared" si="13"/>
        <v/>
      </c>
      <c r="I74" s="217" t="str">
        <f t="shared" si="14"/>
        <v/>
      </c>
    </row>
    <row r="75" spans="3:9">
      <c r="C75" s="221">
        <f>+C74+1</f>
        <v>2029</v>
      </c>
      <c r="D75" s="212">
        <v>73</v>
      </c>
      <c r="E75" s="216" t="str">
        <f t="shared" si="10"/>
        <v/>
      </c>
      <c r="F75" s="217" t="str">
        <f t="shared" si="11"/>
        <v/>
      </c>
      <c r="G75" s="217" t="str">
        <f t="shared" si="12"/>
        <v/>
      </c>
      <c r="H75" s="217" t="str">
        <f t="shared" si="13"/>
        <v/>
      </c>
      <c r="I75" s="217" t="str">
        <f t="shared" si="14"/>
        <v/>
      </c>
    </row>
    <row r="76" spans="3:9">
      <c r="C76" s="221">
        <f>+C75</f>
        <v>2029</v>
      </c>
      <c r="D76" s="212">
        <v>74</v>
      </c>
      <c r="E76" s="216" t="str">
        <f t="shared" si="10"/>
        <v/>
      </c>
      <c r="F76" s="217" t="str">
        <f t="shared" si="11"/>
        <v/>
      </c>
      <c r="G76" s="217" t="str">
        <f t="shared" si="12"/>
        <v/>
      </c>
      <c r="H76" s="217" t="str">
        <f t="shared" si="13"/>
        <v/>
      </c>
      <c r="I76" s="217" t="str">
        <f t="shared" si="14"/>
        <v/>
      </c>
    </row>
    <row r="77" spans="3:9">
      <c r="C77" s="221">
        <f t="shared" ref="C77:C86" si="15">+C76</f>
        <v>2029</v>
      </c>
      <c r="D77" s="212">
        <v>75</v>
      </c>
      <c r="E77" s="216" t="str">
        <f t="shared" si="10"/>
        <v/>
      </c>
      <c r="F77" s="217" t="str">
        <f t="shared" si="11"/>
        <v/>
      </c>
      <c r="G77" s="217" t="str">
        <f t="shared" si="12"/>
        <v/>
      </c>
      <c r="H77" s="217" t="str">
        <f t="shared" si="13"/>
        <v/>
      </c>
      <c r="I77" s="217" t="str">
        <f t="shared" si="14"/>
        <v/>
      </c>
    </row>
    <row r="78" spans="3:9">
      <c r="C78" s="221">
        <f t="shared" si="15"/>
        <v>2029</v>
      </c>
      <c r="D78" s="212">
        <v>76</v>
      </c>
      <c r="E78" s="216" t="str">
        <f t="shared" si="10"/>
        <v/>
      </c>
      <c r="F78" s="217" t="str">
        <f t="shared" si="11"/>
        <v/>
      </c>
      <c r="G78" s="217" t="str">
        <f t="shared" si="12"/>
        <v/>
      </c>
      <c r="H78" s="217" t="str">
        <f t="shared" si="13"/>
        <v/>
      </c>
      <c r="I78" s="217" t="str">
        <f t="shared" si="14"/>
        <v/>
      </c>
    </row>
    <row r="79" spans="3:9">
      <c r="C79" s="221">
        <f t="shared" si="15"/>
        <v>2029</v>
      </c>
      <c r="D79" s="212">
        <v>77</v>
      </c>
      <c r="E79" s="216" t="str">
        <f t="shared" si="10"/>
        <v/>
      </c>
      <c r="F79" s="217" t="str">
        <f t="shared" si="11"/>
        <v/>
      </c>
      <c r="G79" s="217" t="str">
        <f t="shared" si="12"/>
        <v/>
      </c>
      <c r="H79" s="217" t="str">
        <f t="shared" si="13"/>
        <v/>
      </c>
      <c r="I79" s="217" t="str">
        <f t="shared" si="14"/>
        <v/>
      </c>
    </row>
    <row r="80" spans="3:9">
      <c r="C80" s="221">
        <f t="shared" si="15"/>
        <v>2029</v>
      </c>
      <c r="D80" s="212">
        <v>78</v>
      </c>
      <c r="E80" s="216" t="str">
        <f t="shared" si="10"/>
        <v/>
      </c>
      <c r="F80" s="217" t="str">
        <f t="shared" si="11"/>
        <v/>
      </c>
      <c r="G80" s="217" t="str">
        <f t="shared" si="12"/>
        <v/>
      </c>
      <c r="H80" s="217" t="str">
        <f t="shared" si="13"/>
        <v/>
      </c>
      <c r="I80" s="217" t="str">
        <f t="shared" si="14"/>
        <v/>
      </c>
    </row>
    <row r="81" spans="3:9">
      <c r="C81" s="221">
        <f t="shared" si="15"/>
        <v>2029</v>
      </c>
      <c r="D81" s="212">
        <v>79</v>
      </c>
      <c r="E81" s="216" t="str">
        <f t="shared" si="10"/>
        <v/>
      </c>
      <c r="F81" s="217" t="str">
        <f t="shared" si="11"/>
        <v/>
      </c>
      <c r="G81" s="217" t="str">
        <f t="shared" si="12"/>
        <v/>
      </c>
      <c r="H81" s="217" t="str">
        <f t="shared" si="13"/>
        <v/>
      </c>
      <c r="I81" s="217" t="str">
        <f t="shared" si="14"/>
        <v/>
      </c>
    </row>
    <row r="82" spans="3:9">
      <c r="C82" s="221">
        <f t="shared" si="15"/>
        <v>2029</v>
      </c>
      <c r="D82" s="212">
        <v>80</v>
      </c>
      <c r="E82" s="216" t="str">
        <f t="shared" si="10"/>
        <v/>
      </c>
      <c r="F82" s="217" t="str">
        <f t="shared" si="11"/>
        <v/>
      </c>
      <c r="G82" s="217" t="str">
        <f t="shared" si="12"/>
        <v/>
      </c>
      <c r="H82" s="217" t="str">
        <f t="shared" si="13"/>
        <v/>
      </c>
      <c r="I82" s="217" t="str">
        <f t="shared" si="14"/>
        <v/>
      </c>
    </row>
    <row r="83" spans="3:9">
      <c r="C83" s="221">
        <f t="shared" si="15"/>
        <v>2029</v>
      </c>
      <c r="D83" s="212">
        <v>81</v>
      </c>
      <c r="E83" s="216" t="str">
        <f t="shared" si="10"/>
        <v/>
      </c>
      <c r="F83" s="217" t="str">
        <f t="shared" si="11"/>
        <v/>
      </c>
      <c r="G83" s="217" t="str">
        <f t="shared" si="12"/>
        <v/>
      </c>
      <c r="H83" s="217" t="str">
        <f t="shared" si="13"/>
        <v/>
      </c>
      <c r="I83" s="217" t="str">
        <f t="shared" si="14"/>
        <v/>
      </c>
    </row>
    <row r="84" spans="3:9">
      <c r="C84" s="221">
        <f t="shared" si="15"/>
        <v>2029</v>
      </c>
      <c r="D84" s="212">
        <v>82</v>
      </c>
      <c r="E84" s="216" t="str">
        <f t="shared" si="10"/>
        <v/>
      </c>
      <c r="F84" s="217" t="str">
        <f t="shared" si="11"/>
        <v/>
      </c>
      <c r="G84" s="217" t="str">
        <f t="shared" si="12"/>
        <v/>
      </c>
      <c r="H84" s="217" t="str">
        <f t="shared" si="13"/>
        <v/>
      </c>
      <c r="I84" s="217" t="str">
        <f t="shared" si="14"/>
        <v/>
      </c>
    </row>
    <row r="85" spans="3:9">
      <c r="C85" s="221">
        <f t="shared" si="15"/>
        <v>2029</v>
      </c>
      <c r="D85" s="212">
        <v>83</v>
      </c>
      <c r="E85" s="216" t="str">
        <f t="shared" si="10"/>
        <v/>
      </c>
      <c r="F85" s="217" t="str">
        <f t="shared" si="11"/>
        <v/>
      </c>
      <c r="G85" s="217" t="str">
        <f t="shared" si="12"/>
        <v/>
      </c>
      <c r="H85" s="217" t="str">
        <f t="shared" si="13"/>
        <v/>
      </c>
      <c r="I85" s="217" t="str">
        <f t="shared" si="14"/>
        <v/>
      </c>
    </row>
    <row r="86" spans="3:9">
      <c r="C86" s="221">
        <f t="shared" si="15"/>
        <v>2029</v>
      </c>
      <c r="D86" s="212">
        <v>84</v>
      </c>
      <c r="E86" s="216" t="str">
        <f t="shared" si="10"/>
        <v/>
      </c>
      <c r="F86" s="217" t="str">
        <f t="shared" si="11"/>
        <v/>
      </c>
      <c r="G86" s="217" t="str">
        <f t="shared" si="12"/>
        <v/>
      </c>
      <c r="H86" s="217" t="str">
        <f t="shared" si="13"/>
        <v/>
      </c>
      <c r="I86" s="217" t="str">
        <f t="shared" si="14"/>
        <v/>
      </c>
    </row>
    <row r="87" spans="3:9">
      <c r="C87" s="221">
        <f>+C86+1</f>
        <v>2030</v>
      </c>
      <c r="D87" s="212">
        <v>85</v>
      </c>
      <c r="E87" s="216" t="str">
        <f t="shared" si="10"/>
        <v/>
      </c>
      <c r="F87" s="217" t="str">
        <f t="shared" si="11"/>
        <v/>
      </c>
      <c r="G87" s="217" t="str">
        <f t="shared" si="12"/>
        <v/>
      </c>
      <c r="H87" s="217" t="str">
        <f t="shared" si="13"/>
        <v/>
      </c>
      <c r="I87" s="217" t="str">
        <f t="shared" si="14"/>
        <v/>
      </c>
    </row>
    <row r="88" spans="3:9">
      <c r="C88" s="221">
        <f>+C87</f>
        <v>2030</v>
      </c>
      <c r="D88" s="212">
        <v>86</v>
      </c>
      <c r="E88" s="216" t="str">
        <f t="shared" si="10"/>
        <v/>
      </c>
      <c r="F88" s="217" t="str">
        <f t="shared" si="11"/>
        <v/>
      </c>
      <c r="G88" s="217" t="str">
        <f t="shared" si="12"/>
        <v/>
      </c>
      <c r="H88" s="217" t="str">
        <f t="shared" si="13"/>
        <v/>
      </c>
      <c r="I88" s="217" t="str">
        <f t="shared" si="14"/>
        <v/>
      </c>
    </row>
    <row r="89" spans="3:9">
      <c r="C89" s="221">
        <f t="shared" ref="C89:C98" si="16">+C88</f>
        <v>2030</v>
      </c>
      <c r="D89" s="212">
        <v>87</v>
      </c>
      <c r="E89" s="216" t="str">
        <f t="shared" si="10"/>
        <v/>
      </c>
      <c r="F89" s="217" t="str">
        <f t="shared" si="11"/>
        <v/>
      </c>
      <c r="G89" s="217" t="str">
        <f t="shared" si="12"/>
        <v/>
      </c>
      <c r="H89" s="217" t="str">
        <f t="shared" si="13"/>
        <v/>
      </c>
      <c r="I89" s="217" t="str">
        <f t="shared" si="14"/>
        <v/>
      </c>
    </row>
    <row r="90" spans="3:9">
      <c r="C90" s="221">
        <f t="shared" si="16"/>
        <v>2030</v>
      </c>
      <c r="D90" s="212">
        <v>88</v>
      </c>
      <c r="E90" s="216" t="str">
        <f t="shared" si="10"/>
        <v/>
      </c>
      <c r="F90" s="217" t="str">
        <f t="shared" si="11"/>
        <v/>
      </c>
      <c r="G90" s="217" t="str">
        <f t="shared" si="12"/>
        <v/>
      </c>
      <c r="H90" s="217" t="str">
        <f t="shared" si="13"/>
        <v/>
      </c>
      <c r="I90" s="217" t="str">
        <f t="shared" si="14"/>
        <v/>
      </c>
    </row>
    <row r="91" spans="3:9">
      <c r="C91" s="221">
        <f t="shared" si="16"/>
        <v>2030</v>
      </c>
      <c r="D91" s="212">
        <v>89</v>
      </c>
      <c r="E91" s="216" t="str">
        <f t="shared" si="10"/>
        <v/>
      </c>
      <c r="F91" s="217" t="str">
        <f t="shared" si="11"/>
        <v/>
      </c>
      <c r="G91" s="217" t="str">
        <f t="shared" si="12"/>
        <v/>
      </c>
      <c r="H91" s="217" t="str">
        <f t="shared" si="13"/>
        <v/>
      </c>
      <c r="I91" s="217" t="str">
        <f t="shared" si="14"/>
        <v/>
      </c>
    </row>
    <row r="92" spans="3:9">
      <c r="C92" s="221">
        <f t="shared" si="16"/>
        <v>2030</v>
      </c>
      <c r="D92" s="212">
        <v>90</v>
      </c>
      <c r="E92" s="216" t="str">
        <f t="shared" si="10"/>
        <v/>
      </c>
      <c r="F92" s="217" t="str">
        <f t="shared" si="11"/>
        <v/>
      </c>
      <c r="G92" s="217" t="str">
        <f t="shared" si="12"/>
        <v/>
      </c>
      <c r="H92" s="217" t="str">
        <f t="shared" si="13"/>
        <v/>
      </c>
      <c r="I92" s="217" t="str">
        <f t="shared" si="14"/>
        <v/>
      </c>
    </row>
    <row r="93" spans="3:9">
      <c r="C93" s="221">
        <f t="shared" si="16"/>
        <v>2030</v>
      </c>
      <c r="D93" s="212">
        <v>91</v>
      </c>
      <c r="E93" s="216" t="str">
        <f t="shared" si="10"/>
        <v/>
      </c>
      <c r="F93" s="217" t="str">
        <f t="shared" si="11"/>
        <v/>
      </c>
      <c r="G93" s="217" t="str">
        <f t="shared" si="12"/>
        <v/>
      </c>
      <c r="H93" s="217" t="str">
        <f t="shared" si="13"/>
        <v/>
      </c>
      <c r="I93" s="217" t="str">
        <f t="shared" si="14"/>
        <v/>
      </c>
    </row>
    <row r="94" spans="3:9">
      <c r="C94" s="221">
        <f t="shared" si="16"/>
        <v>2030</v>
      </c>
      <c r="D94" s="212">
        <v>92</v>
      </c>
      <c r="E94" s="216" t="str">
        <f t="shared" si="10"/>
        <v/>
      </c>
      <c r="F94" s="217" t="str">
        <f t="shared" si="11"/>
        <v/>
      </c>
      <c r="G94" s="217" t="str">
        <f t="shared" si="12"/>
        <v/>
      </c>
      <c r="H94" s="217" t="str">
        <f t="shared" si="13"/>
        <v/>
      </c>
      <c r="I94" s="217" t="str">
        <f t="shared" si="14"/>
        <v/>
      </c>
    </row>
    <row r="95" spans="3:9">
      <c r="C95" s="221">
        <f t="shared" si="16"/>
        <v>2030</v>
      </c>
      <c r="D95" s="212">
        <v>93</v>
      </c>
      <c r="E95" s="216" t="str">
        <f t="shared" si="10"/>
        <v/>
      </c>
      <c r="F95" s="217" t="str">
        <f t="shared" si="11"/>
        <v/>
      </c>
      <c r="G95" s="217" t="str">
        <f t="shared" si="12"/>
        <v/>
      </c>
      <c r="H95" s="217" t="str">
        <f t="shared" si="13"/>
        <v/>
      </c>
      <c r="I95" s="217" t="str">
        <f t="shared" si="14"/>
        <v/>
      </c>
    </row>
    <row r="96" spans="3:9">
      <c r="C96" s="221">
        <f t="shared" si="16"/>
        <v>2030</v>
      </c>
      <c r="D96" s="212">
        <v>94</v>
      </c>
      <c r="E96" s="216" t="str">
        <f t="shared" si="10"/>
        <v/>
      </c>
      <c r="F96" s="217" t="str">
        <f t="shared" si="11"/>
        <v/>
      </c>
      <c r="G96" s="217" t="str">
        <f t="shared" si="12"/>
        <v/>
      </c>
      <c r="H96" s="217" t="str">
        <f t="shared" si="13"/>
        <v/>
      </c>
      <c r="I96" s="217" t="str">
        <f t="shared" si="14"/>
        <v/>
      </c>
    </row>
    <row r="97" spans="3:9">
      <c r="C97" s="221">
        <f t="shared" si="16"/>
        <v>2030</v>
      </c>
      <c r="D97" s="212">
        <v>95</v>
      </c>
      <c r="E97" s="216" t="str">
        <f t="shared" si="10"/>
        <v/>
      </c>
      <c r="F97" s="217" t="str">
        <f t="shared" si="11"/>
        <v/>
      </c>
      <c r="G97" s="217" t="str">
        <f t="shared" si="12"/>
        <v/>
      </c>
      <c r="H97" s="217" t="str">
        <f t="shared" si="13"/>
        <v/>
      </c>
      <c r="I97" s="217" t="str">
        <f t="shared" si="14"/>
        <v/>
      </c>
    </row>
    <row r="98" spans="3:9">
      <c r="C98" s="221">
        <f t="shared" si="16"/>
        <v>2030</v>
      </c>
      <c r="D98" s="212">
        <v>96</v>
      </c>
      <c r="E98" s="216" t="str">
        <f t="shared" si="10"/>
        <v/>
      </c>
      <c r="F98" s="217" t="str">
        <f t="shared" si="11"/>
        <v/>
      </c>
      <c r="G98" s="217" t="str">
        <f t="shared" si="12"/>
        <v/>
      </c>
      <c r="H98" s="217" t="str">
        <f t="shared" si="13"/>
        <v/>
      </c>
      <c r="I98" s="217" t="str">
        <f t="shared" si="14"/>
        <v/>
      </c>
    </row>
    <row r="99" spans="3:9">
      <c r="D99" s="212">
        <v>97</v>
      </c>
      <c r="E99" s="216" t="str">
        <f t="shared" si="10"/>
        <v/>
      </c>
      <c r="F99" s="217" t="str">
        <f t="shared" si="11"/>
        <v/>
      </c>
      <c r="G99" s="217" t="str">
        <f t="shared" si="12"/>
        <v/>
      </c>
      <c r="H99" s="217" t="str">
        <f t="shared" si="13"/>
        <v/>
      </c>
      <c r="I99" s="217" t="str">
        <f t="shared" si="14"/>
        <v/>
      </c>
    </row>
    <row r="100" spans="3:9">
      <c r="D100" s="212">
        <v>98</v>
      </c>
      <c r="E100" s="216" t="str">
        <f t="shared" si="10"/>
        <v/>
      </c>
      <c r="F100" s="217" t="str">
        <f t="shared" si="11"/>
        <v/>
      </c>
      <c r="G100" s="217" t="str">
        <f t="shared" si="12"/>
        <v/>
      </c>
      <c r="H100" s="217" t="str">
        <f t="shared" si="13"/>
        <v/>
      </c>
      <c r="I100" s="217" t="str">
        <f t="shared" si="14"/>
        <v/>
      </c>
    </row>
    <row r="101" spans="3:9">
      <c r="D101" s="212">
        <v>99</v>
      </c>
      <c r="E101" s="216" t="str">
        <f t="shared" si="10"/>
        <v/>
      </c>
      <c r="F101" s="217" t="str">
        <f t="shared" si="11"/>
        <v/>
      </c>
      <c r="G101" s="217" t="str">
        <f t="shared" si="12"/>
        <v/>
      </c>
      <c r="H101" s="217" t="str">
        <f t="shared" si="13"/>
        <v/>
      </c>
      <c r="I101" s="217" t="str">
        <f t="shared" si="14"/>
        <v/>
      </c>
    </row>
    <row r="102" spans="3:9">
      <c r="D102" s="212">
        <v>100</v>
      </c>
      <c r="E102" s="216" t="str">
        <f t="shared" si="10"/>
        <v/>
      </c>
      <c r="F102" s="217" t="str">
        <f t="shared" si="11"/>
        <v/>
      </c>
      <c r="G102" s="217" t="str">
        <f t="shared" si="12"/>
        <v/>
      </c>
      <c r="H102" s="217" t="str">
        <f t="shared" si="13"/>
        <v/>
      </c>
      <c r="I102" s="217" t="str">
        <f t="shared" si="14"/>
        <v/>
      </c>
    </row>
    <row r="103" spans="3:9">
      <c r="D103" s="212">
        <v>101</v>
      </c>
      <c r="E103" s="216" t="str">
        <f t="shared" si="10"/>
        <v/>
      </c>
      <c r="F103" s="217" t="str">
        <f t="shared" si="11"/>
        <v/>
      </c>
      <c r="G103" s="217" t="str">
        <f t="shared" si="12"/>
        <v/>
      </c>
      <c r="H103" s="217" t="str">
        <f t="shared" si="13"/>
        <v/>
      </c>
      <c r="I103" s="217" t="str">
        <f t="shared" si="14"/>
        <v/>
      </c>
    </row>
    <row r="104" spans="3:9">
      <c r="D104" s="212">
        <v>102</v>
      </c>
      <c r="E104" s="216" t="str">
        <f t="shared" si="10"/>
        <v/>
      </c>
      <c r="F104" s="217" t="str">
        <f t="shared" si="11"/>
        <v/>
      </c>
      <c r="G104" s="217" t="str">
        <f t="shared" si="12"/>
        <v/>
      </c>
      <c r="H104" s="217" t="str">
        <f t="shared" si="13"/>
        <v/>
      </c>
      <c r="I104" s="217" t="str">
        <f t="shared" si="14"/>
        <v/>
      </c>
    </row>
    <row r="105" spans="3:9">
      <c r="D105" s="212">
        <v>103</v>
      </c>
      <c r="E105" s="216" t="str">
        <f t="shared" si="10"/>
        <v/>
      </c>
      <c r="F105" s="217" t="str">
        <f t="shared" si="11"/>
        <v/>
      </c>
      <c r="G105" s="217" t="str">
        <f t="shared" si="12"/>
        <v/>
      </c>
      <c r="H105" s="217" t="str">
        <f t="shared" si="13"/>
        <v/>
      </c>
      <c r="I105" s="217" t="str">
        <f t="shared" si="14"/>
        <v/>
      </c>
    </row>
    <row r="106" spans="3:9">
      <c r="D106" s="212">
        <v>104</v>
      </c>
      <c r="E106" s="216" t="str">
        <f t="shared" si="10"/>
        <v/>
      </c>
      <c r="F106" s="217" t="str">
        <f t="shared" si="11"/>
        <v/>
      </c>
      <c r="G106" s="217" t="s">
        <v>515</v>
      </c>
      <c r="H106" s="217" t="str">
        <f t="shared" si="13"/>
        <v/>
      </c>
      <c r="I106" s="217" t="s">
        <v>515</v>
      </c>
    </row>
    <row r="107" spans="3:9">
      <c r="D107" s="212">
        <v>105</v>
      </c>
      <c r="E107" s="216" t="str">
        <f t="shared" si="10"/>
        <v/>
      </c>
      <c r="F107" s="217" t="str">
        <f t="shared" si="11"/>
        <v/>
      </c>
      <c r="G107" s="217" t="s">
        <v>515</v>
      </c>
      <c r="H107" s="217" t="str">
        <f t="shared" si="13"/>
        <v/>
      </c>
      <c r="I107" s="217" t="s">
        <v>515</v>
      </c>
    </row>
    <row r="108" spans="3:9">
      <c r="D108" s="212">
        <v>106</v>
      </c>
      <c r="E108" s="216" t="str">
        <f t="shared" si="10"/>
        <v/>
      </c>
      <c r="F108" s="217" t="str">
        <f t="shared" si="11"/>
        <v/>
      </c>
      <c r="G108" s="217" t="s">
        <v>515</v>
      </c>
      <c r="H108" s="217" t="str">
        <f t="shared" si="13"/>
        <v/>
      </c>
      <c r="I108" s="217" t="s">
        <v>515</v>
      </c>
    </row>
    <row r="109" spans="3:9">
      <c r="D109" s="212">
        <v>107</v>
      </c>
      <c r="E109" s="216" t="str">
        <f t="shared" si="10"/>
        <v/>
      </c>
      <c r="F109" s="217" t="str">
        <f t="shared" si="11"/>
        <v/>
      </c>
      <c r="G109" s="217" t="s">
        <v>515</v>
      </c>
      <c r="H109" s="217" t="str">
        <f t="shared" si="13"/>
        <v/>
      </c>
      <c r="I109" s="217" t="s">
        <v>515</v>
      </c>
    </row>
    <row r="110" spans="3:9">
      <c r="D110" s="212">
        <v>108</v>
      </c>
      <c r="E110" s="216" t="str">
        <f t="shared" si="10"/>
        <v/>
      </c>
      <c r="F110" s="217" t="str">
        <f t="shared" si="11"/>
        <v/>
      </c>
      <c r="G110" s="217" t="s">
        <v>515</v>
      </c>
      <c r="H110" s="217" t="str">
        <f t="shared" si="13"/>
        <v/>
      </c>
      <c r="I110" s="217" t="s">
        <v>515</v>
      </c>
    </row>
    <row r="111" spans="3:9">
      <c r="D111" s="212">
        <v>109</v>
      </c>
      <c r="E111" s="216" t="str">
        <f t="shared" si="10"/>
        <v/>
      </c>
      <c r="F111" s="217" t="str">
        <f t="shared" si="11"/>
        <v/>
      </c>
      <c r="G111" s="217" t="s">
        <v>515</v>
      </c>
      <c r="H111" s="217" t="str">
        <f t="shared" si="13"/>
        <v/>
      </c>
      <c r="I111" s="217" t="s">
        <v>515</v>
      </c>
    </row>
    <row r="112" spans="3:9">
      <c r="D112" s="212">
        <v>110</v>
      </c>
      <c r="E112" s="216" t="str">
        <f t="shared" si="10"/>
        <v/>
      </c>
      <c r="F112" s="217" t="str">
        <f t="shared" si="11"/>
        <v/>
      </c>
      <c r="G112" s="217" t="s">
        <v>515</v>
      </c>
      <c r="H112" s="217" t="str">
        <f t="shared" si="13"/>
        <v/>
      </c>
      <c r="I112" s="217" t="s">
        <v>515</v>
      </c>
    </row>
    <row r="113" spans="4:9">
      <c r="D113" s="212">
        <v>111</v>
      </c>
      <c r="E113" s="216" t="str">
        <f t="shared" si="10"/>
        <v/>
      </c>
      <c r="F113" s="217" t="str">
        <f t="shared" si="11"/>
        <v/>
      </c>
      <c r="G113" s="217" t="s">
        <v>515</v>
      </c>
      <c r="H113" s="217" t="str">
        <f t="shared" si="13"/>
        <v/>
      </c>
      <c r="I113" s="217" t="s">
        <v>515</v>
      </c>
    </row>
    <row r="114" spans="4:9">
      <c r="D114" s="212">
        <v>112</v>
      </c>
      <c r="E114" s="216" t="str">
        <f t="shared" si="10"/>
        <v/>
      </c>
      <c r="F114" s="217" t="str">
        <f t="shared" si="11"/>
        <v/>
      </c>
      <c r="G114" s="217" t="s">
        <v>515</v>
      </c>
      <c r="H114" s="217" t="str">
        <f t="shared" si="13"/>
        <v/>
      </c>
      <c r="I114" s="217" t="s">
        <v>515</v>
      </c>
    </row>
    <row r="115" spans="4:9">
      <c r="D115" s="212">
        <v>113</v>
      </c>
      <c r="E115" s="216" t="str">
        <f t="shared" si="10"/>
        <v/>
      </c>
      <c r="F115" s="217" t="str">
        <f t="shared" si="11"/>
        <v/>
      </c>
      <c r="G115" s="217" t="s">
        <v>515</v>
      </c>
      <c r="H115" s="217" t="str">
        <f t="shared" si="13"/>
        <v/>
      </c>
      <c r="I115" s="217" t="s">
        <v>515</v>
      </c>
    </row>
    <row r="116" spans="4:9">
      <c r="D116" s="212">
        <v>114</v>
      </c>
      <c r="E116" s="216" t="str">
        <f t="shared" si="10"/>
        <v/>
      </c>
      <c r="F116" s="217" t="str">
        <f t="shared" si="11"/>
        <v/>
      </c>
      <c r="G116" s="217" t="s">
        <v>515</v>
      </c>
      <c r="H116" s="217" t="str">
        <f t="shared" si="13"/>
        <v/>
      </c>
      <c r="I116" s="217" t="s">
        <v>515</v>
      </c>
    </row>
    <row r="117" spans="4:9">
      <c r="D117" s="212">
        <v>115</v>
      </c>
      <c r="E117" s="216" t="str">
        <f t="shared" si="10"/>
        <v/>
      </c>
      <c r="F117" s="217" t="str">
        <f t="shared" si="11"/>
        <v/>
      </c>
      <c r="G117" s="217" t="s">
        <v>515</v>
      </c>
      <c r="H117" s="217" t="str">
        <f t="shared" si="13"/>
        <v/>
      </c>
      <c r="I117" s="217" t="s">
        <v>515</v>
      </c>
    </row>
    <row r="118" spans="4:9">
      <c r="D118" s="212">
        <v>116</v>
      </c>
      <c r="E118" s="216" t="str">
        <f t="shared" si="10"/>
        <v/>
      </c>
      <c r="F118" s="217" t="str">
        <f t="shared" si="11"/>
        <v/>
      </c>
      <c r="G118" s="217" t="s">
        <v>515</v>
      </c>
      <c r="H118" s="217" t="str">
        <f t="shared" si="13"/>
        <v/>
      </c>
      <c r="I118" s="217" t="s">
        <v>515</v>
      </c>
    </row>
    <row r="119" spans="4:9">
      <c r="D119" s="212">
        <v>117</v>
      </c>
      <c r="E119" s="216" t="str">
        <f t="shared" si="10"/>
        <v/>
      </c>
      <c r="F119" s="217" t="str">
        <f t="shared" si="11"/>
        <v/>
      </c>
      <c r="G119" s="217" t="s">
        <v>515</v>
      </c>
      <c r="H119" s="217" t="str">
        <f t="shared" si="13"/>
        <v/>
      </c>
      <c r="I119" s="217" t="s">
        <v>515</v>
      </c>
    </row>
    <row r="120" spans="4:9">
      <c r="D120" s="212">
        <v>118</v>
      </c>
      <c r="E120" s="216" t="str">
        <f t="shared" si="10"/>
        <v/>
      </c>
      <c r="F120" s="217" t="str">
        <f t="shared" si="11"/>
        <v/>
      </c>
      <c r="G120" s="217" t="s">
        <v>515</v>
      </c>
      <c r="H120" s="217" t="str">
        <f t="shared" si="13"/>
        <v/>
      </c>
      <c r="I120" s="217" t="s">
        <v>515</v>
      </c>
    </row>
    <row r="121" spans="4:9">
      <c r="D121" s="212">
        <v>119</v>
      </c>
      <c r="E121" s="216" t="str">
        <f t="shared" si="10"/>
        <v/>
      </c>
      <c r="F121" s="217" t="str">
        <f t="shared" si="11"/>
        <v/>
      </c>
      <c r="G121" s="217" t="s">
        <v>515</v>
      </c>
      <c r="H121" s="217" t="str">
        <f t="shared" si="13"/>
        <v/>
      </c>
      <c r="I121" s="217" t="s">
        <v>515</v>
      </c>
    </row>
    <row r="122" spans="4:9">
      <c r="D122" s="212">
        <v>120</v>
      </c>
      <c r="E122" s="216" t="str">
        <f t="shared" si="10"/>
        <v/>
      </c>
      <c r="F122" s="217" t="str">
        <f t="shared" si="11"/>
        <v/>
      </c>
      <c r="G122" s="217" t="s">
        <v>515</v>
      </c>
      <c r="H122" s="217" t="str">
        <f t="shared" si="13"/>
        <v/>
      </c>
      <c r="I122" s="217" t="s">
        <v>515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53DA-F9BA-4920-9EB8-AAA2B49352C2}">
  <dimension ref="A1:M122"/>
  <sheetViews>
    <sheetView workbookViewId="0">
      <selection activeCell="B5" sqref="B5"/>
    </sheetView>
  </sheetViews>
  <sheetFormatPr baseColWidth="10" defaultRowHeight="14.5"/>
  <cols>
    <col min="1" max="1" width="20" bestFit="1" customWidth="1"/>
    <col min="2" max="2" width="15.1796875" bestFit="1" customWidth="1"/>
    <col min="3" max="3" width="15.1796875" hidden="1" customWidth="1"/>
    <col min="4" max="4" width="11.453125" style="212"/>
    <col min="5" max="5" width="5.453125" bestFit="1" customWidth="1"/>
    <col min="6" max="8" width="14.26953125" style="152" bestFit="1" customWidth="1"/>
    <col min="9" max="9" width="15.453125" style="152" bestFit="1" customWidth="1"/>
    <col min="11" max="11" width="5.26953125" bestFit="1" customWidth="1"/>
    <col min="12" max="12" width="12" style="152" bestFit="1" customWidth="1"/>
    <col min="13" max="13" width="13.26953125" style="152" bestFit="1" customWidth="1"/>
  </cols>
  <sheetData>
    <row r="1" spans="1:9">
      <c r="A1" s="178" t="s">
        <v>504</v>
      </c>
      <c r="B1" s="211">
        <f>+Financiacion!D8</f>
        <v>14351781.599999996</v>
      </c>
      <c r="C1" s="211"/>
      <c r="E1" s="213" t="s">
        <v>505</v>
      </c>
      <c r="F1" s="214" t="s">
        <v>506</v>
      </c>
      <c r="G1" s="215" t="s">
        <v>507</v>
      </c>
      <c r="H1" s="214" t="s">
        <v>508</v>
      </c>
      <c r="I1" s="215" t="s">
        <v>509</v>
      </c>
    </row>
    <row r="2" spans="1:9">
      <c r="A2" s="149" t="s">
        <v>511</v>
      </c>
      <c r="B2">
        <f>+Financiacion!E8</f>
        <v>24</v>
      </c>
      <c r="D2" s="212">
        <v>0</v>
      </c>
      <c r="E2" s="216">
        <v>0</v>
      </c>
      <c r="F2" s="217"/>
      <c r="G2" s="217"/>
      <c r="H2" s="217"/>
      <c r="I2" s="217">
        <f>+B1</f>
        <v>14351781.599999996</v>
      </c>
    </row>
    <row r="3" spans="1:9">
      <c r="A3" s="149" t="s">
        <v>512</v>
      </c>
      <c r="B3" s="219">
        <f>NOMINAL(Financiacion!F8,12)/12</f>
        <v>1.1001019865397366E-2</v>
      </c>
      <c r="C3" s="220">
        <v>2023</v>
      </c>
      <c r="D3" s="212">
        <v>1</v>
      </c>
      <c r="E3" s="216">
        <f t="shared" ref="E3:E34" si="0">IF(D3&lt;=$B$2,D3,"")</f>
        <v>1</v>
      </c>
      <c r="F3" s="217">
        <f t="shared" ref="F3:F34" si="1">IF($B$5="FIJA",IF(E3&lt;=$B$4,0,IF(E3&lt;=$B$2,$B$1/($B$2-$B$4),"")),IF(E3&lt;=$B$4,0,IF($B$5="VARIABLE",IF(E3&lt;=$B$2,PPMT($B$3,E3-$B$4,$B$2-$B$4,-$B$1),""))))</f>
        <v>525782.88275427825</v>
      </c>
      <c r="G3" s="217">
        <f t="shared" ref="G3:G34" si="2">IF(E3&lt;=$B$2,I2*$B$3,"")</f>
        <v>157884.23448544435</v>
      </c>
      <c r="H3" s="217">
        <f t="shared" ref="H3:H34" si="3">IF(E3&lt;=$B$2,F3+G3,"")</f>
        <v>683667.11723972263</v>
      </c>
      <c r="I3" s="217">
        <f t="shared" ref="I3:I34" si="4">IF(E3&lt;=$B$2,I2-F3,"")</f>
        <v>13825998.717245718</v>
      </c>
    </row>
    <row r="4" spans="1:9">
      <c r="A4" s="149" t="s">
        <v>513</v>
      </c>
      <c r="B4">
        <v>0</v>
      </c>
      <c r="C4" s="220">
        <v>2023</v>
      </c>
      <c r="D4" s="212">
        <v>2</v>
      </c>
      <c r="E4" s="216">
        <f t="shared" si="0"/>
        <v>2</v>
      </c>
      <c r="F4" s="217">
        <f t="shared" si="1"/>
        <v>531567.03069234395</v>
      </c>
      <c r="G4" s="217">
        <f t="shared" si="2"/>
        <v>152100.08654737865</v>
      </c>
      <c r="H4" s="217">
        <f t="shared" si="3"/>
        <v>683667.11723972263</v>
      </c>
      <c r="I4" s="217">
        <f t="shared" si="4"/>
        <v>13294431.686553374</v>
      </c>
    </row>
    <row r="5" spans="1:9">
      <c r="A5" s="149" t="s">
        <v>514</v>
      </c>
      <c r="B5" t="s">
        <v>770</v>
      </c>
      <c r="C5" s="220">
        <v>2023</v>
      </c>
      <c r="D5" s="212">
        <v>3</v>
      </c>
      <c r="E5" s="216">
        <f t="shared" si="0"/>
        <v>3</v>
      </c>
      <c r="F5" s="217">
        <f t="shared" si="1"/>
        <v>537414.81015678076</v>
      </c>
      <c r="G5" s="217">
        <f t="shared" si="2"/>
        <v>146252.30708294187</v>
      </c>
      <c r="H5" s="217">
        <f t="shared" si="3"/>
        <v>683667.11723972263</v>
      </c>
      <c r="I5" s="217">
        <f t="shared" si="4"/>
        <v>12757016.876396593</v>
      </c>
    </row>
    <row r="6" spans="1:9">
      <c r="C6" s="220">
        <v>2023</v>
      </c>
      <c r="D6" s="212">
        <v>4</v>
      </c>
      <c r="E6" s="216">
        <f t="shared" si="0"/>
        <v>4</v>
      </c>
      <c r="F6" s="217">
        <f t="shared" si="1"/>
        <v>543326.92115927418</v>
      </c>
      <c r="G6" s="217">
        <f t="shared" si="2"/>
        <v>140340.19608044837</v>
      </c>
      <c r="H6" s="217">
        <f t="shared" si="3"/>
        <v>683667.11723972252</v>
      </c>
      <c r="I6" s="217">
        <f t="shared" si="4"/>
        <v>12213689.955237318</v>
      </c>
    </row>
    <row r="7" spans="1:9">
      <c r="C7" s="220">
        <v>2023</v>
      </c>
      <c r="D7" s="212">
        <v>5</v>
      </c>
      <c r="E7" s="216">
        <f t="shared" si="0"/>
        <v>5</v>
      </c>
      <c r="F7" s="217">
        <f t="shared" si="1"/>
        <v>549304.0714123525</v>
      </c>
      <c r="G7" s="217">
        <f t="shared" si="2"/>
        <v>134363.04582736999</v>
      </c>
      <c r="H7" s="217">
        <f t="shared" si="3"/>
        <v>683667.11723972252</v>
      </c>
      <c r="I7" s="217">
        <f t="shared" si="4"/>
        <v>11664385.883824965</v>
      </c>
    </row>
    <row r="8" spans="1:9">
      <c r="C8" s="220">
        <v>2023</v>
      </c>
      <c r="D8" s="212">
        <v>6</v>
      </c>
      <c r="E8" s="216">
        <f t="shared" si="0"/>
        <v>6</v>
      </c>
      <c r="F8" s="217">
        <f t="shared" si="1"/>
        <v>555346.97641410353</v>
      </c>
      <c r="G8" s="217">
        <f t="shared" si="2"/>
        <v>128320.14082561905</v>
      </c>
      <c r="H8" s="217">
        <f t="shared" si="3"/>
        <v>683667.11723972252</v>
      </c>
      <c r="I8" s="217">
        <f t="shared" si="4"/>
        <v>11109038.907410862</v>
      </c>
    </row>
    <row r="9" spans="1:9">
      <c r="C9" s="220">
        <v>2023</v>
      </c>
      <c r="D9" s="212">
        <v>7</v>
      </c>
      <c r="E9" s="216">
        <f t="shared" si="0"/>
        <v>7</v>
      </c>
      <c r="F9" s="217">
        <f t="shared" si="1"/>
        <v>561456.35953382344</v>
      </c>
      <c r="G9" s="217">
        <f t="shared" si="2"/>
        <v>122210.75770589914</v>
      </c>
      <c r="H9" s="217">
        <f t="shared" si="3"/>
        <v>683667.11723972263</v>
      </c>
      <c r="I9" s="217">
        <f t="shared" si="4"/>
        <v>10547582.547877038</v>
      </c>
    </row>
    <row r="10" spans="1:9">
      <c r="C10" s="220">
        <v>2023</v>
      </c>
      <c r="D10" s="212">
        <v>8</v>
      </c>
      <c r="E10" s="216">
        <f t="shared" si="0"/>
        <v>8</v>
      </c>
      <c r="F10" s="217">
        <f t="shared" si="1"/>
        <v>567632.95209860872</v>
      </c>
      <c r="G10" s="217">
        <f t="shared" si="2"/>
        <v>116034.16514111386</v>
      </c>
      <c r="H10" s="217">
        <f t="shared" si="3"/>
        <v>683667.11723972252</v>
      </c>
      <c r="I10" s="217">
        <f t="shared" si="4"/>
        <v>9979949.5957784299</v>
      </c>
    </row>
    <row r="11" spans="1:9">
      <c r="C11" s="220">
        <v>2023</v>
      </c>
      <c r="D11" s="212">
        <v>9</v>
      </c>
      <c r="E11" s="216">
        <f t="shared" si="0"/>
        <v>9</v>
      </c>
      <c r="F11" s="217">
        <f t="shared" si="1"/>
        <v>573877.4934808996</v>
      </c>
      <c r="G11" s="217">
        <f t="shared" si="2"/>
        <v>109789.62375882291</v>
      </c>
      <c r="H11" s="217">
        <f t="shared" si="3"/>
        <v>683667.11723972252</v>
      </c>
      <c r="I11" s="217">
        <f t="shared" si="4"/>
        <v>9406072.1022975296</v>
      </c>
    </row>
    <row r="12" spans="1:9">
      <c r="C12" s="220">
        <v>2023</v>
      </c>
      <c r="D12" s="212">
        <v>10</v>
      </c>
      <c r="E12" s="216">
        <f t="shared" si="0"/>
        <v>10</v>
      </c>
      <c r="F12" s="217">
        <f t="shared" si="1"/>
        <v>580190.73118698748</v>
      </c>
      <c r="G12" s="217">
        <f t="shared" si="2"/>
        <v>103476.38605273509</v>
      </c>
      <c r="H12" s="217">
        <f t="shared" si="3"/>
        <v>683667.11723972252</v>
      </c>
      <c r="I12" s="217">
        <f t="shared" si="4"/>
        <v>8825881.3711105417</v>
      </c>
    </row>
    <row r="13" spans="1:9">
      <c r="C13" s="220">
        <v>2023</v>
      </c>
      <c r="D13" s="212">
        <v>11</v>
      </c>
      <c r="E13" s="216">
        <f t="shared" si="0"/>
        <v>11</v>
      </c>
      <c r="F13" s="217">
        <f t="shared" si="1"/>
        <v>586573.42094649503</v>
      </c>
      <c r="G13" s="217">
        <f t="shared" si="2"/>
        <v>97093.696293227607</v>
      </c>
      <c r="H13" s="217">
        <f t="shared" si="3"/>
        <v>683667.11723972263</v>
      </c>
      <c r="I13" s="217">
        <f t="shared" si="4"/>
        <v>8239307.9501640471</v>
      </c>
    </row>
    <row r="14" spans="1:9">
      <c r="C14" s="220">
        <v>2023</v>
      </c>
      <c r="D14" s="212">
        <v>12</v>
      </c>
      <c r="E14" s="216">
        <f t="shared" si="0"/>
        <v>12</v>
      </c>
      <c r="F14" s="217">
        <f t="shared" si="1"/>
        <v>593026.32680284139</v>
      </c>
      <c r="G14" s="217">
        <f t="shared" si="2"/>
        <v>90640.790436881129</v>
      </c>
      <c r="H14" s="217">
        <f t="shared" si="3"/>
        <v>683667.11723972252</v>
      </c>
      <c r="I14" s="217">
        <f t="shared" si="4"/>
        <v>7646281.6233612057</v>
      </c>
    </row>
    <row r="15" spans="1:9">
      <c r="C15" s="221">
        <f>+C14+1</f>
        <v>2024</v>
      </c>
      <c r="D15" s="212">
        <v>13</v>
      </c>
      <c r="E15" s="216">
        <f t="shared" si="0"/>
        <v>13</v>
      </c>
      <c r="F15" s="217">
        <f t="shared" si="1"/>
        <v>599550.22120470309</v>
      </c>
      <c r="G15" s="217">
        <f t="shared" si="2"/>
        <v>84116.896035019439</v>
      </c>
      <c r="H15" s="217">
        <f t="shared" si="3"/>
        <v>683667.11723972252</v>
      </c>
      <c r="I15" s="217">
        <f t="shared" si="4"/>
        <v>7046731.4021565029</v>
      </c>
    </row>
    <row r="16" spans="1:9">
      <c r="C16" s="221">
        <f t="shared" ref="C16:C26" si="5">+C15</f>
        <v>2024</v>
      </c>
      <c r="D16" s="212">
        <v>14</v>
      </c>
      <c r="E16" s="216">
        <f t="shared" si="0"/>
        <v>14</v>
      </c>
      <c r="F16" s="217">
        <f t="shared" si="1"/>
        <v>606145.88509847946</v>
      </c>
      <c r="G16" s="217">
        <f t="shared" si="2"/>
        <v>77521.232141243119</v>
      </c>
      <c r="H16" s="217">
        <f t="shared" si="3"/>
        <v>683667.11723972252</v>
      </c>
      <c r="I16" s="217">
        <f t="shared" si="4"/>
        <v>6440585.5170580233</v>
      </c>
    </row>
    <row r="17" spans="3:9">
      <c r="C17" s="221">
        <f t="shared" si="5"/>
        <v>2024</v>
      </c>
      <c r="D17" s="212">
        <v>15</v>
      </c>
      <c r="E17" s="216">
        <f t="shared" si="0"/>
        <v>15</v>
      </c>
      <c r="F17" s="217">
        <f t="shared" si="1"/>
        <v>612814.10802177677</v>
      </c>
      <c r="G17" s="217">
        <f t="shared" si="2"/>
        <v>70853.009217945873</v>
      </c>
      <c r="H17" s="217">
        <f t="shared" si="3"/>
        <v>683667.11723972263</v>
      </c>
      <c r="I17" s="217">
        <f t="shared" si="4"/>
        <v>5827771.4090362461</v>
      </c>
    </row>
    <row r="18" spans="3:9">
      <c r="C18" s="221">
        <f t="shared" si="5"/>
        <v>2024</v>
      </c>
      <c r="D18" s="212">
        <v>16</v>
      </c>
      <c r="E18" s="216">
        <f t="shared" si="0"/>
        <v>16</v>
      </c>
      <c r="F18" s="217">
        <f t="shared" si="1"/>
        <v>619555.68819791998</v>
      </c>
      <c r="G18" s="217">
        <f t="shared" si="2"/>
        <v>64111.429041802541</v>
      </c>
      <c r="H18" s="217">
        <f t="shared" si="3"/>
        <v>683667.11723972252</v>
      </c>
      <c r="I18" s="217">
        <f t="shared" si="4"/>
        <v>5208215.720838326</v>
      </c>
    </row>
    <row r="19" spans="3:9">
      <c r="C19" s="221">
        <f t="shared" si="5"/>
        <v>2024</v>
      </c>
      <c r="D19" s="212">
        <v>17</v>
      </c>
      <c r="E19" s="216">
        <f t="shared" si="0"/>
        <v>17</v>
      </c>
      <c r="F19" s="217">
        <f t="shared" si="1"/>
        <v>626371.4326315053</v>
      </c>
      <c r="G19" s="217">
        <f t="shared" si="2"/>
        <v>57295.684608217285</v>
      </c>
      <c r="H19" s="217">
        <f t="shared" si="3"/>
        <v>683667.11723972263</v>
      </c>
      <c r="I19" s="217">
        <f t="shared" si="4"/>
        <v>4581844.2882068204</v>
      </c>
    </row>
    <row r="20" spans="3:9">
      <c r="C20" s="221">
        <f t="shared" si="5"/>
        <v>2024</v>
      </c>
      <c r="D20" s="212">
        <v>18</v>
      </c>
      <c r="E20" s="216">
        <f t="shared" si="0"/>
        <v>18</v>
      </c>
      <c r="F20" s="217">
        <f t="shared" si="1"/>
        <v>633262.15720500192</v>
      </c>
      <c r="G20" s="217">
        <f t="shared" si="2"/>
        <v>50404.960034720687</v>
      </c>
      <c r="H20" s="217">
        <f t="shared" si="3"/>
        <v>683667.11723972263</v>
      </c>
      <c r="I20" s="217">
        <f t="shared" si="4"/>
        <v>3948582.1310018185</v>
      </c>
    </row>
    <row r="21" spans="3:9">
      <c r="C21" s="221">
        <f t="shared" si="5"/>
        <v>2024</v>
      </c>
      <c r="D21" s="212">
        <v>19</v>
      </c>
      <c r="E21" s="216">
        <f t="shared" si="0"/>
        <v>19</v>
      </c>
      <c r="F21" s="217">
        <f t="shared" si="1"/>
        <v>640228.68677641859</v>
      </c>
      <c r="G21" s="217">
        <f t="shared" si="2"/>
        <v>43438.430463304067</v>
      </c>
      <c r="H21" s="217">
        <f t="shared" si="3"/>
        <v>683667.11723972263</v>
      </c>
      <c r="I21" s="217">
        <f t="shared" si="4"/>
        <v>3308353.4442253998</v>
      </c>
    </row>
    <row r="22" spans="3:9">
      <c r="C22" s="221">
        <f t="shared" si="5"/>
        <v>2024</v>
      </c>
      <c r="D22" s="212">
        <v>20</v>
      </c>
      <c r="E22" s="216">
        <f t="shared" si="0"/>
        <v>20</v>
      </c>
      <c r="F22" s="217">
        <f t="shared" si="1"/>
        <v>647271.85527804319</v>
      </c>
      <c r="G22" s="217">
        <f t="shared" si="2"/>
        <v>36395.261961679418</v>
      </c>
      <c r="H22" s="217">
        <f t="shared" si="3"/>
        <v>683667.11723972263</v>
      </c>
      <c r="I22" s="217">
        <f t="shared" si="4"/>
        <v>2661081.5889473567</v>
      </c>
    </row>
    <row r="23" spans="3:9">
      <c r="C23" s="221">
        <f t="shared" si="5"/>
        <v>2024</v>
      </c>
      <c r="D23" s="212">
        <v>21</v>
      </c>
      <c r="E23" s="216">
        <f t="shared" si="0"/>
        <v>21</v>
      </c>
      <c r="F23" s="217">
        <f t="shared" si="1"/>
        <v>654392.50581626955</v>
      </c>
      <c r="G23" s="217">
        <f t="shared" si="2"/>
        <v>29274.611423453058</v>
      </c>
      <c r="H23" s="217">
        <f t="shared" si="3"/>
        <v>683667.11723972263</v>
      </c>
      <c r="I23" s="217">
        <f t="shared" si="4"/>
        <v>2006689.083131087</v>
      </c>
    </row>
    <row r="24" spans="3:9">
      <c r="C24" s="221">
        <f t="shared" si="5"/>
        <v>2024</v>
      </c>
      <c r="D24" s="212">
        <v>22</v>
      </c>
      <c r="E24" s="216">
        <f t="shared" si="0"/>
        <v>22</v>
      </c>
      <c r="F24" s="217">
        <f t="shared" si="1"/>
        <v>661591.49077252147</v>
      </c>
      <c r="G24" s="217">
        <f t="shared" si="2"/>
        <v>22075.626467201113</v>
      </c>
      <c r="H24" s="217">
        <f t="shared" si="3"/>
        <v>683667.11723972263</v>
      </c>
      <c r="I24" s="217">
        <f t="shared" si="4"/>
        <v>1345097.5923585654</v>
      </c>
    </row>
    <row r="25" spans="3:9">
      <c r="C25" s="221">
        <f t="shared" si="5"/>
        <v>2024</v>
      </c>
      <c r="D25" s="212">
        <v>23</v>
      </c>
      <c r="E25" s="216">
        <f t="shared" si="0"/>
        <v>23</v>
      </c>
      <c r="F25" s="217">
        <f t="shared" si="1"/>
        <v>668869.67190528777</v>
      </c>
      <c r="G25" s="217">
        <f t="shared" si="2"/>
        <v>14797.445334434746</v>
      </c>
      <c r="H25" s="217">
        <f t="shared" si="3"/>
        <v>683667.11723972252</v>
      </c>
      <c r="I25" s="217">
        <f t="shared" si="4"/>
        <v>676227.92045327765</v>
      </c>
    </row>
    <row r="26" spans="3:9">
      <c r="C26" s="221">
        <f t="shared" si="5"/>
        <v>2024</v>
      </c>
      <c r="D26" s="212">
        <v>24</v>
      </c>
      <c r="E26" s="216">
        <f t="shared" si="0"/>
        <v>24</v>
      </c>
      <c r="F26" s="217">
        <f t="shared" si="1"/>
        <v>676227.92045327974</v>
      </c>
      <c r="G26" s="217">
        <f t="shared" si="2"/>
        <v>7439.196786442857</v>
      </c>
      <c r="H26" s="217">
        <f t="shared" si="3"/>
        <v>683667.11723972263</v>
      </c>
      <c r="I26" s="217">
        <f t="shared" si="4"/>
        <v>-2.0954757928848267E-9</v>
      </c>
    </row>
    <row r="27" spans="3:9">
      <c r="C27" s="221">
        <f>+C26+1</f>
        <v>2025</v>
      </c>
      <c r="D27" s="212">
        <v>25</v>
      </c>
      <c r="E27" s="216" t="str">
        <f t="shared" si="0"/>
        <v/>
      </c>
      <c r="F27" s="217" t="str">
        <f t="shared" si="1"/>
        <v/>
      </c>
      <c r="G27" s="217" t="str">
        <f t="shared" si="2"/>
        <v/>
      </c>
      <c r="H27" s="217" t="str">
        <f t="shared" si="3"/>
        <v/>
      </c>
      <c r="I27" s="217" t="str">
        <f t="shared" si="4"/>
        <v/>
      </c>
    </row>
    <row r="28" spans="3:9">
      <c r="C28" s="221">
        <f t="shared" ref="C28:C38" si="6">+C27</f>
        <v>2025</v>
      </c>
      <c r="D28" s="212">
        <v>26</v>
      </c>
      <c r="E28" s="216" t="str">
        <f t="shared" si="0"/>
        <v/>
      </c>
      <c r="F28" s="217" t="str">
        <f t="shared" si="1"/>
        <v/>
      </c>
      <c r="G28" s="217" t="str">
        <f t="shared" si="2"/>
        <v/>
      </c>
      <c r="H28" s="217" t="str">
        <f t="shared" si="3"/>
        <v/>
      </c>
      <c r="I28" s="217" t="str">
        <f t="shared" si="4"/>
        <v/>
      </c>
    </row>
    <row r="29" spans="3:9">
      <c r="C29" s="221">
        <f t="shared" si="6"/>
        <v>2025</v>
      </c>
      <c r="D29" s="212">
        <v>27</v>
      </c>
      <c r="E29" s="216" t="str">
        <f t="shared" si="0"/>
        <v/>
      </c>
      <c r="F29" s="217" t="str">
        <f t="shared" si="1"/>
        <v/>
      </c>
      <c r="G29" s="217" t="str">
        <f t="shared" si="2"/>
        <v/>
      </c>
      <c r="H29" s="217" t="str">
        <f t="shared" si="3"/>
        <v/>
      </c>
      <c r="I29" s="217" t="str">
        <f t="shared" si="4"/>
        <v/>
      </c>
    </row>
    <row r="30" spans="3:9">
      <c r="C30" s="221">
        <f t="shared" si="6"/>
        <v>2025</v>
      </c>
      <c r="D30" s="212">
        <v>28</v>
      </c>
      <c r="E30" s="216" t="str">
        <f t="shared" si="0"/>
        <v/>
      </c>
      <c r="F30" s="217" t="str">
        <f t="shared" si="1"/>
        <v/>
      </c>
      <c r="G30" s="217" t="str">
        <f t="shared" si="2"/>
        <v/>
      </c>
      <c r="H30" s="217" t="str">
        <f t="shared" si="3"/>
        <v/>
      </c>
      <c r="I30" s="217" t="str">
        <f t="shared" si="4"/>
        <v/>
      </c>
    </row>
    <row r="31" spans="3:9">
      <c r="C31" s="221">
        <f t="shared" si="6"/>
        <v>2025</v>
      </c>
      <c r="D31" s="212">
        <v>29</v>
      </c>
      <c r="E31" s="216" t="str">
        <f t="shared" si="0"/>
        <v/>
      </c>
      <c r="F31" s="217" t="str">
        <f t="shared" si="1"/>
        <v/>
      </c>
      <c r="G31" s="217" t="str">
        <f t="shared" si="2"/>
        <v/>
      </c>
      <c r="H31" s="217" t="str">
        <f t="shared" si="3"/>
        <v/>
      </c>
      <c r="I31" s="217" t="str">
        <f t="shared" si="4"/>
        <v/>
      </c>
    </row>
    <row r="32" spans="3:9">
      <c r="C32" s="221">
        <f t="shared" si="6"/>
        <v>2025</v>
      </c>
      <c r="D32" s="212">
        <v>30</v>
      </c>
      <c r="E32" s="216" t="str">
        <f t="shared" si="0"/>
        <v/>
      </c>
      <c r="F32" s="217" t="str">
        <f t="shared" si="1"/>
        <v/>
      </c>
      <c r="G32" s="217" t="str">
        <f t="shared" si="2"/>
        <v/>
      </c>
      <c r="H32" s="217" t="str">
        <f t="shared" si="3"/>
        <v/>
      </c>
      <c r="I32" s="217" t="str">
        <f t="shared" si="4"/>
        <v/>
      </c>
    </row>
    <row r="33" spans="3:9">
      <c r="C33" s="221">
        <f t="shared" si="6"/>
        <v>2025</v>
      </c>
      <c r="D33" s="212">
        <v>31</v>
      </c>
      <c r="E33" s="216" t="str">
        <f t="shared" si="0"/>
        <v/>
      </c>
      <c r="F33" s="217" t="str">
        <f t="shared" si="1"/>
        <v/>
      </c>
      <c r="G33" s="217" t="str">
        <f t="shared" si="2"/>
        <v/>
      </c>
      <c r="H33" s="217" t="str">
        <f t="shared" si="3"/>
        <v/>
      </c>
      <c r="I33" s="217" t="str">
        <f t="shared" si="4"/>
        <v/>
      </c>
    </row>
    <row r="34" spans="3:9">
      <c r="C34" s="221">
        <f t="shared" si="6"/>
        <v>2025</v>
      </c>
      <c r="D34" s="212">
        <v>32</v>
      </c>
      <c r="E34" s="216" t="str">
        <f t="shared" si="0"/>
        <v/>
      </c>
      <c r="F34" s="217" t="str">
        <f t="shared" si="1"/>
        <v/>
      </c>
      <c r="G34" s="217" t="str">
        <f t="shared" si="2"/>
        <v/>
      </c>
      <c r="H34" s="217" t="str">
        <f t="shared" si="3"/>
        <v/>
      </c>
      <c r="I34" s="217" t="str">
        <f t="shared" si="4"/>
        <v/>
      </c>
    </row>
    <row r="35" spans="3:9">
      <c r="C35" s="221">
        <f t="shared" si="6"/>
        <v>2025</v>
      </c>
      <c r="D35" s="212">
        <v>33</v>
      </c>
      <c r="E35" s="216" t="str">
        <f t="shared" ref="E35:E66" si="7">IF(D35&lt;=$B$2,D35,"")</f>
        <v/>
      </c>
      <c r="F35" s="217" t="str">
        <f t="shared" ref="F35:F66" si="8">IF($B$5="FIJA",IF(E35&lt;=$B$4,0,IF(E35&lt;=$B$2,$B$1/($B$2-$B$4),"")),IF(E35&lt;=$B$4,0,IF($B$5="VARIABLE",IF(E35&lt;=$B$2,PPMT($B$3,E35-$B$4,$B$2-$B$4,-$B$1),""))))</f>
        <v/>
      </c>
      <c r="G35" s="217" t="str">
        <f t="shared" ref="G35:G66" si="9">IF(E35&lt;=$B$2,I34*$B$3,"")</f>
        <v/>
      </c>
      <c r="H35" s="217" t="str">
        <f t="shared" ref="H35:H66" si="10">IF(E35&lt;=$B$2,F35+G35,"")</f>
        <v/>
      </c>
      <c r="I35" s="217" t="str">
        <f t="shared" ref="I35:I66" si="11">IF(E35&lt;=$B$2,I34-F35,"")</f>
        <v/>
      </c>
    </row>
    <row r="36" spans="3:9">
      <c r="C36" s="221">
        <f t="shared" si="6"/>
        <v>2025</v>
      </c>
      <c r="D36" s="212">
        <v>34</v>
      </c>
      <c r="E36" s="216" t="str">
        <f t="shared" si="7"/>
        <v/>
      </c>
      <c r="F36" s="217" t="str">
        <f t="shared" si="8"/>
        <v/>
      </c>
      <c r="G36" s="217" t="str">
        <f t="shared" si="9"/>
        <v/>
      </c>
      <c r="H36" s="217" t="str">
        <f t="shared" si="10"/>
        <v/>
      </c>
      <c r="I36" s="217" t="str">
        <f t="shared" si="11"/>
        <v/>
      </c>
    </row>
    <row r="37" spans="3:9">
      <c r="C37" s="221">
        <f t="shared" si="6"/>
        <v>2025</v>
      </c>
      <c r="D37" s="212">
        <v>35</v>
      </c>
      <c r="E37" s="216" t="str">
        <f t="shared" si="7"/>
        <v/>
      </c>
      <c r="F37" s="217" t="str">
        <f t="shared" si="8"/>
        <v/>
      </c>
      <c r="G37" s="217" t="str">
        <f t="shared" si="9"/>
        <v/>
      </c>
      <c r="H37" s="217" t="str">
        <f t="shared" si="10"/>
        <v/>
      </c>
      <c r="I37" s="217" t="str">
        <f t="shared" si="11"/>
        <v/>
      </c>
    </row>
    <row r="38" spans="3:9">
      <c r="C38" s="221">
        <f t="shared" si="6"/>
        <v>2025</v>
      </c>
      <c r="D38" s="212">
        <v>36</v>
      </c>
      <c r="E38" s="216" t="str">
        <f t="shared" si="7"/>
        <v/>
      </c>
      <c r="F38" s="217" t="str">
        <f t="shared" si="8"/>
        <v/>
      </c>
      <c r="G38" s="217" t="str">
        <f t="shared" si="9"/>
        <v/>
      </c>
      <c r="H38" s="217" t="str">
        <f t="shared" si="10"/>
        <v/>
      </c>
      <c r="I38" s="217" t="str">
        <f t="shared" si="11"/>
        <v/>
      </c>
    </row>
    <row r="39" spans="3:9">
      <c r="C39" s="221">
        <f>+C38+1</f>
        <v>2026</v>
      </c>
      <c r="D39" s="212">
        <v>37</v>
      </c>
      <c r="E39" s="216" t="str">
        <f t="shared" si="7"/>
        <v/>
      </c>
      <c r="F39" s="217" t="str">
        <f t="shared" si="8"/>
        <v/>
      </c>
      <c r="G39" s="217" t="str">
        <f t="shared" si="9"/>
        <v/>
      </c>
      <c r="H39" s="217" t="str">
        <f t="shared" si="10"/>
        <v/>
      </c>
      <c r="I39" s="217" t="str">
        <f t="shared" si="11"/>
        <v/>
      </c>
    </row>
    <row r="40" spans="3:9">
      <c r="C40" s="221">
        <f>+C39</f>
        <v>2026</v>
      </c>
      <c r="D40" s="212">
        <v>38</v>
      </c>
      <c r="E40" s="216" t="str">
        <f t="shared" si="7"/>
        <v/>
      </c>
      <c r="F40" s="217" t="str">
        <f t="shared" si="8"/>
        <v/>
      </c>
      <c r="G40" s="217" t="str">
        <f t="shared" si="9"/>
        <v/>
      </c>
      <c r="H40" s="217" t="str">
        <f t="shared" si="10"/>
        <v/>
      </c>
      <c r="I40" s="217" t="str">
        <f t="shared" si="11"/>
        <v/>
      </c>
    </row>
    <row r="41" spans="3:9">
      <c r="C41" s="221">
        <f t="shared" ref="C41:C50" si="12">+C40</f>
        <v>2026</v>
      </c>
      <c r="D41" s="212">
        <v>39</v>
      </c>
      <c r="E41" s="216" t="str">
        <f t="shared" si="7"/>
        <v/>
      </c>
      <c r="F41" s="217" t="str">
        <f t="shared" si="8"/>
        <v/>
      </c>
      <c r="G41" s="217" t="str">
        <f t="shared" si="9"/>
        <v/>
      </c>
      <c r="H41" s="217" t="str">
        <f t="shared" si="10"/>
        <v/>
      </c>
      <c r="I41" s="217" t="str">
        <f t="shared" si="11"/>
        <v/>
      </c>
    </row>
    <row r="42" spans="3:9">
      <c r="C42" s="221">
        <f t="shared" si="12"/>
        <v>2026</v>
      </c>
      <c r="D42" s="212">
        <v>40</v>
      </c>
      <c r="E42" s="216" t="str">
        <f t="shared" si="7"/>
        <v/>
      </c>
      <c r="F42" s="217" t="str">
        <f t="shared" si="8"/>
        <v/>
      </c>
      <c r="G42" s="217" t="str">
        <f t="shared" si="9"/>
        <v/>
      </c>
      <c r="H42" s="217" t="str">
        <f t="shared" si="10"/>
        <v/>
      </c>
      <c r="I42" s="217" t="str">
        <f t="shared" si="11"/>
        <v/>
      </c>
    </row>
    <row r="43" spans="3:9">
      <c r="C43" s="221">
        <f t="shared" si="12"/>
        <v>2026</v>
      </c>
      <c r="D43" s="212">
        <v>41</v>
      </c>
      <c r="E43" s="216" t="str">
        <f t="shared" si="7"/>
        <v/>
      </c>
      <c r="F43" s="217" t="str">
        <f t="shared" si="8"/>
        <v/>
      </c>
      <c r="G43" s="217" t="str">
        <f t="shared" si="9"/>
        <v/>
      </c>
      <c r="H43" s="217" t="str">
        <f t="shared" si="10"/>
        <v/>
      </c>
      <c r="I43" s="217" t="str">
        <f t="shared" si="11"/>
        <v/>
      </c>
    </row>
    <row r="44" spans="3:9">
      <c r="C44" s="221">
        <f t="shared" si="12"/>
        <v>2026</v>
      </c>
      <c r="D44" s="212">
        <v>42</v>
      </c>
      <c r="E44" s="216" t="str">
        <f t="shared" si="7"/>
        <v/>
      </c>
      <c r="F44" s="217" t="str">
        <f t="shared" si="8"/>
        <v/>
      </c>
      <c r="G44" s="217" t="str">
        <f t="shared" si="9"/>
        <v/>
      </c>
      <c r="H44" s="217" t="str">
        <f t="shared" si="10"/>
        <v/>
      </c>
      <c r="I44" s="217" t="str">
        <f t="shared" si="11"/>
        <v/>
      </c>
    </row>
    <row r="45" spans="3:9">
      <c r="C45" s="221">
        <f t="shared" si="12"/>
        <v>2026</v>
      </c>
      <c r="D45" s="212">
        <v>43</v>
      </c>
      <c r="E45" s="216" t="str">
        <f t="shared" si="7"/>
        <v/>
      </c>
      <c r="F45" s="217" t="str">
        <f t="shared" si="8"/>
        <v/>
      </c>
      <c r="G45" s="217" t="str">
        <f t="shared" si="9"/>
        <v/>
      </c>
      <c r="H45" s="217" t="str">
        <f t="shared" si="10"/>
        <v/>
      </c>
      <c r="I45" s="217" t="str">
        <f t="shared" si="11"/>
        <v/>
      </c>
    </row>
    <row r="46" spans="3:9">
      <c r="C46" s="221">
        <f t="shared" si="12"/>
        <v>2026</v>
      </c>
      <c r="D46" s="212">
        <v>44</v>
      </c>
      <c r="E46" s="216" t="str">
        <f t="shared" si="7"/>
        <v/>
      </c>
      <c r="F46" s="217" t="str">
        <f t="shared" si="8"/>
        <v/>
      </c>
      <c r="G46" s="217" t="str">
        <f t="shared" si="9"/>
        <v/>
      </c>
      <c r="H46" s="217" t="str">
        <f t="shared" si="10"/>
        <v/>
      </c>
      <c r="I46" s="217" t="str">
        <f t="shared" si="11"/>
        <v/>
      </c>
    </row>
    <row r="47" spans="3:9">
      <c r="C47" s="221">
        <f t="shared" si="12"/>
        <v>2026</v>
      </c>
      <c r="D47" s="212">
        <v>45</v>
      </c>
      <c r="E47" s="216" t="str">
        <f t="shared" si="7"/>
        <v/>
      </c>
      <c r="F47" s="217" t="str">
        <f t="shared" si="8"/>
        <v/>
      </c>
      <c r="G47" s="217" t="str">
        <f t="shared" si="9"/>
        <v/>
      </c>
      <c r="H47" s="217" t="str">
        <f t="shared" si="10"/>
        <v/>
      </c>
      <c r="I47" s="217" t="str">
        <f t="shared" si="11"/>
        <v/>
      </c>
    </row>
    <row r="48" spans="3:9">
      <c r="C48" s="221">
        <f t="shared" si="12"/>
        <v>2026</v>
      </c>
      <c r="D48" s="212">
        <v>46</v>
      </c>
      <c r="E48" s="216" t="str">
        <f t="shared" si="7"/>
        <v/>
      </c>
      <c r="F48" s="217" t="str">
        <f t="shared" si="8"/>
        <v/>
      </c>
      <c r="G48" s="217" t="str">
        <f t="shared" si="9"/>
        <v/>
      </c>
      <c r="H48" s="217" t="str">
        <f t="shared" si="10"/>
        <v/>
      </c>
      <c r="I48" s="217" t="str">
        <f t="shared" si="11"/>
        <v/>
      </c>
    </row>
    <row r="49" spans="3:9">
      <c r="C49" s="221">
        <f t="shared" si="12"/>
        <v>2026</v>
      </c>
      <c r="D49" s="212">
        <v>47</v>
      </c>
      <c r="E49" s="216" t="str">
        <f t="shared" si="7"/>
        <v/>
      </c>
      <c r="F49" s="217" t="str">
        <f t="shared" si="8"/>
        <v/>
      </c>
      <c r="G49" s="217" t="str">
        <f t="shared" si="9"/>
        <v/>
      </c>
      <c r="H49" s="217" t="str">
        <f t="shared" si="10"/>
        <v/>
      </c>
      <c r="I49" s="217" t="str">
        <f t="shared" si="11"/>
        <v/>
      </c>
    </row>
    <row r="50" spans="3:9">
      <c r="C50" s="221">
        <f t="shared" si="12"/>
        <v>2026</v>
      </c>
      <c r="D50" s="212">
        <v>48</v>
      </c>
      <c r="E50" s="216" t="str">
        <f t="shared" si="7"/>
        <v/>
      </c>
      <c r="F50" s="217" t="str">
        <f t="shared" si="8"/>
        <v/>
      </c>
      <c r="G50" s="217" t="str">
        <f t="shared" si="9"/>
        <v/>
      </c>
      <c r="H50" s="217" t="str">
        <f t="shared" si="10"/>
        <v/>
      </c>
      <c r="I50" s="217" t="str">
        <f t="shared" si="11"/>
        <v/>
      </c>
    </row>
    <row r="51" spans="3:9">
      <c r="C51" s="221">
        <f>+C50+1</f>
        <v>2027</v>
      </c>
      <c r="D51" s="212">
        <v>49</v>
      </c>
      <c r="E51" s="216" t="str">
        <f t="shared" si="7"/>
        <v/>
      </c>
      <c r="F51" s="217" t="str">
        <f t="shared" si="8"/>
        <v/>
      </c>
      <c r="G51" s="217" t="str">
        <f t="shared" si="9"/>
        <v/>
      </c>
      <c r="H51" s="217" t="str">
        <f t="shared" si="10"/>
        <v/>
      </c>
      <c r="I51" s="217" t="str">
        <f t="shared" si="11"/>
        <v/>
      </c>
    </row>
    <row r="52" spans="3:9">
      <c r="C52" s="221">
        <f>+C51</f>
        <v>2027</v>
      </c>
      <c r="D52" s="212">
        <v>50</v>
      </c>
      <c r="E52" s="216" t="str">
        <f t="shared" si="7"/>
        <v/>
      </c>
      <c r="F52" s="217" t="str">
        <f t="shared" si="8"/>
        <v/>
      </c>
      <c r="G52" s="217" t="str">
        <f t="shared" si="9"/>
        <v/>
      </c>
      <c r="H52" s="217" t="str">
        <f t="shared" si="10"/>
        <v/>
      </c>
      <c r="I52" s="217" t="str">
        <f t="shared" si="11"/>
        <v/>
      </c>
    </row>
    <row r="53" spans="3:9">
      <c r="C53" s="221">
        <f t="shared" ref="C53:C62" si="13">+C52</f>
        <v>2027</v>
      </c>
      <c r="D53" s="212">
        <v>51</v>
      </c>
      <c r="E53" s="216" t="str">
        <f t="shared" si="7"/>
        <v/>
      </c>
      <c r="F53" s="217" t="str">
        <f t="shared" si="8"/>
        <v/>
      </c>
      <c r="G53" s="217" t="str">
        <f t="shared" si="9"/>
        <v/>
      </c>
      <c r="H53" s="217" t="str">
        <f t="shared" si="10"/>
        <v/>
      </c>
      <c r="I53" s="217" t="str">
        <f t="shared" si="11"/>
        <v/>
      </c>
    </row>
    <row r="54" spans="3:9">
      <c r="C54" s="221">
        <f t="shared" si="13"/>
        <v>2027</v>
      </c>
      <c r="D54" s="212">
        <v>52</v>
      </c>
      <c r="E54" s="216" t="str">
        <f t="shared" si="7"/>
        <v/>
      </c>
      <c r="F54" s="217" t="str">
        <f t="shared" si="8"/>
        <v/>
      </c>
      <c r="G54" s="217" t="str">
        <f t="shared" si="9"/>
        <v/>
      </c>
      <c r="H54" s="217" t="str">
        <f t="shared" si="10"/>
        <v/>
      </c>
      <c r="I54" s="217" t="str">
        <f t="shared" si="11"/>
        <v/>
      </c>
    </row>
    <row r="55" spans="3:9">
      <c r="C55" s="221">
        <f t="shared" si="13"/>
        <v>2027</v>
      </c>
      <c r="D55" s="212">
        <v>53</v>
      </c>
      <c r="E55" s="216" t="str">
        <f t="shared" si="7"/>
        <v/>
      </c>
      <c r="F55" s="217" t="str">
        <f t="shared" si="8"/>
        <v/>
      </c>
      <c r="G55" s="217" t="str">
        <f t="shared" si="9"/>
        <v/>
      </c>
      <c r="H55" s="217" t="str">
        <f t="shared" si="10"/>
        <v/>
      </c>
      <c r="I55" s="217" t="str">
        <f t="shared" si="11"/>
        <v/>
      </c>
    </row>
    <row r="56" spans="3:9">
      <c r="C56" s="221">
        <f t="shared" si="13"/>
        <v>2027</v>
      </c>
      <c r="D56" s="212">
        <v>54</v>
      </c>
      <c r="E56" s="216" t="str">
        <f t="shared" si="7"/>
        <v/>
      </c>
      <c r="F56" s="217" t="str">
        <f t="shared" si="8"/>
        <v/>
      </c>
      <c r="G56" s="217" t="str">
        <f t="shared" si="9"/>
        <v/>
      </c>
      <c r="H56" s="217" t="str">
        <f t="shared" si="10"/>
        <v/>
      </c>
      <c r="I56" s="217" t="str">
        <f t="shared" si="11"/>
        <v/>
      </c>
    </row>
    <row r="57" spans="3:9">
      <c r="C57" s="221">
        <f t="shared" si="13"/>
        <v>2027</v>
      </c>
      <c r="D57" s="212">
        <v>55</v>
      </c>
      <c r="E57" s="216" t="str">
        <f t="shared" si="7"/>
        <v/>
      </c>
      <c r="F57" s="217" t="str">
        <f t="shared" si="8"/>
        <v/>
      </c>
      <c r="G57" s="217" t="str">
        <f t="shared" si="9"/>
        <v/>
      </c>
      <c r="H57" s="217" t="str">
        <f t="shared" si="10"/>
        <v/>
      </c>
      <c r="I57" s="217" t="str">
        <f t="shared" si="11"/>
        <v/>
      </c>
    </row>
    <row r="58" spans="3:9">
      <c r="C58" s="221">
        <f t="shared" si="13"/>
        <v>2027</v>
      </c>
      <c r="D58" s="212">
        <v>56</v>
      </c>
      <c r="E58" s="216" t="str">
        <f t="shared" si="7"/>
        <v/>
      </c>
      <c r="F58" s="217" t="str">
        <f t="shared" si="8"/>
        <v/>
      </c>
      <c r="G58" s="217" t="str">
        <f t="shared" si="9"/>
        <v/>
      </c>
      <c r="H58" s="217" t="str">
        <f t="shared" si="10"/>
        <v/>
      </c>
      <c r="I58" s="217" t="str">
        <f t="shared" si="11"/>
        <v/>
      </c>
    </row>
    <row r="59" spans="3:9">
      <c r="C59" s="221">
        <f t="shared" si="13"/>
        <v>2027</v>
      </c>
      <c r="D59" s="212">
        <v>57</v>
      </c>
      <c r="E59" s="216" t="str">
        <f t="shared" si="7"/>
        <v/>
      </c>
      <c r="F59" s="217" t="str">
        <f t="shared" si="8"/>
        <v/>
      </c>
      <c r="G59" s="217" t="str">
        <f t="shared" si="9"/>
        <v/>
      </c>
      <c r="H59" s="217" t="str">
        <f t="shared" si="10"/>
        <v/>
      </c>
      <c r="I59" s="217" t="str">
        <f t="shared" si="11"/>
        <v/>
      </c>
    </row>
    <row r="60" spans="3:9">
      <c r="C60" s="221">
        <f t="shared" si="13"/>
        <v>2027</v>
      </c>
      <c r="D60" s="212">
        <v>58</v>
      </c>
      <c r="E60" s="216" t="str">
        <f t="shared" si="7"/>
        <v/>
      </c>
      <c r="F60" s="217" t="str">
        <f t="shared" si="8"/>
        <v/>
      </c>
      <c r="G60" s="217" t="str">
        <f t="shared" si="9"/>
        <v/>
      </c>
      <c r="H60" s="217" t="str">
        <f t="shared" si="10"/>
        <v/>
      </c>
      <c r="I60" s="217" t="str">
        <f t="shared" si="11"/>
        <v/>
      </c>
    </row>
    <row r="61" spans="3:9">
      <c r="C61" s="221">
        <f t="shared" si="13"/>
        <v>2027</v>
      </c>
      <c r="D61" s="212">
        <v>59</v>
      </c>
      <c r="E61" s="216" t="str">
        <f t="shared" si="7"/>
        <v/>
      </c>
      <c r="F61" s="217" t="str">
        <f t="shared" si="8"/>
        <v/>
      </c>
      <c r="G61" s="217" t="str">
        <f t="shared" si="9"/>
        <v/>
      </c>
      <c r="H61" s="217" t="str">
        <f t="shared" si="10"/>
        <v/>
      </c>
      <c r="I61" s="217" t="str">
        <f t="shared" si="11"/>
        <v/>
      </c>
    </row>
    <row r="62" spans="3:9">
      <c r="C62" s="221">
        <f t="shared" si="13"/>
        <v>2027</v>
      </c>
      <c r="D62" s="212">
        <v>60</v>
      </c>
      <c r="E62" s="216" t="str">
        <f t="shared" si="7"/>
        <v/>
      </c>
      <c r="F62" s="217" t="str">
        <f t="shared" si="8"/>
        <v/>
      </c>
      <c r="G62" s="217" t="str">
        <f t="shared" si="9"/>
        <v/>
      </c>
      <c r="H62" s="217" t="str">
        <f t="shared" si="10"/>
        <v/>
      </c>
      <c r="I62" s="217" t="str">
        <f t="shared" si="11"/>
        <v/>
      </c>
    </row>
    <row r="63" spans="3:9">
      <c r="C63" s="221">
        <f>+C62+1</f>
        <v>2028</v>
      </c>
      <c r="D63" s="212">
        <v>61</v>
      </c>
      <c r="E63" s="216" t="str">
        <f t="shared" si="7"/>
        <v/>
      </c>
      <c r="F63" s="217" t="str">
        <f t="shared" si="8"/>
        <v/>
      </c>
      <c r="G63" s="217" t="str">
        <f t="shared" si="9"/>
        <v/>
      </c>
      <c r="H63" s="217" t="str">
        <f t="shared" si="10"/>
        <v/>
      </c>
      <c r="I63" s="217" t="str">
        <f t="shared" si="11"/>
        <v/>
      </c>
    </row>
    <row r="64" spans="3:9">
      <c r="C64" s="221">
        <f>+C63</f>
        <v>2028</v>
      </c>
      <c r="D64" s="212">
        <v>62</v>
      </c>
      <c r="E64" s="216" t="str">
        <f t="shared" si="7"/>
        <v/>
      </c>
      <c r="F64" s="217" t="str">
        <f t="shared" si="8"/>
        <v/>
      </c>
      <c r="G64" s="217" t="str">
        <f t="shared" si="9"/>
        <v/>
      </c>
      <c r="H64" s="217" t="str">
        <f t="shared" si="10"/>
        <v/>
      </c>
      <c r="I64" s="217" t="str">
        <f t="shared" si="11"/>
        <v/>
      </c>
    </row>
    <row r="65" spans="3:9">
      <c r="C65" s="221">
        <f t="shared" ref="C65:C74" si="14">+C64</f>
        <v>2028</v>
      </c>
      <c r="D65" s="212">
        <v>63</v>
      </c>
      <c r="E65" s="216" t="str">
        <f t="shared" si="7"/>
        <v/>
      </c>
      <c r="F65" s="217" t="str">
        <f t="shared" si="8"/>
        <v/>
      </c>
      <c r="G65" s="217" t="str">
        <f t="shared" si="9"/>
        <v/>
      </c>
      <c r="H65" s="217" t="str">
        <f t="shared" si="10"/>
        <v/>
      </c>
      <c r="I65" s="217" t="str">
        <f t="shared" si="11"/>
        <v/>
      </c>
    </row>
    <row r="66" spans="3:9">
      <c r="C66" s="221">
        <f t="shared" si="14"/>
        <v>2028</v>
      </c>
      <c r="D66" s="212">
        <v>64</v>
      </c>
      <c r="E66" s="216" t="str">
        <f t="shared" si="7"/>
        <v/>
      </c>
      <c r="F66" s="217" t="str">
        <f t="shared" si="8"/>
        <v/>
      </c>
      <c r="G66" s="217" t="str">
        <f t="shared" si="9"/>
        <v/>
      </c>
      <c r="H66" s="217" t="str">
        <f t="shared" si="10"/>
        <v/>
      </c>
      <c r="I66" s="217" t="str">
        <f t="shared" si="11"/>
        <v/>
      </c>
    </row>
    <row r="67" spans="3:9">
      <c r="C67" s="221">
        <f t="shared" si="14"/>
        <v>2028</v>
      </c>
      <c r="D67" s="212">
        <v>65</v>
      </c>
      <c r="E67" s="216" t="str">
        <f t="shared" ref="E67:E122" si="15">IF(D67&lt;=$B$2,D67,"")</f>
        <v/>
      </c>
      <c r="F67" s="217" t="str">
        <f t="shared" ref="F67:F122" si="16">IF($B$5="FIJA",IF(E67&lt;=$B$4,0,IF(E67&lt;=$B$2,$B$1/($B$2-$B$4),"")),IF(E67&lt;=$B$4,0,IF($B$5="VARIABLE",IF(E67&lt;=$B$2,PPMT($B$3,E67-$B$4,$B$2-$B$4,-$B$1),""))))</f>
        <v/>
      </c>
      <c r="G67" s="217" t="str">
        <f t="shared" ref="G67:G105" si="17">IF(E67&lt;=$B$2,I66*$B$3,"")</f>
        <v/>
      </c>
      <c r="H67" s="217" t="str">
        <f t="shared" ref="H67:H122" si="18">IF(E67&lt;=$B$2,F67+G67,"")</f>
        <v/>
      </c>
      <c r="I67" s="217" t="str">
        <f t="shared" ref="I67:I105" si="19">IF(E67&lt;=$B$2,I66-F67,"")</f>
        <v/>
      </c>
    </row>
    <row r="68" spans="3:9">
      <c r="C68" s="221">
        <f t="shared" si="14"/>
        <v>2028</v>
      </c>
      <c r="D68" s="212">
        <v>66</v>
      </c>
      <c r="E68" s="216" t="str">
        <f t="shared" si="15"/>
        <v/>
      </c>
      <c r="F68" s="217" t="str">
        <f t="shared" si="16"/>
        <v/>
      </c>
      <c r="G68" s="217" t="str">
        <f t="shared" si="17"/>
        <v/>
      </c>
      <c r="H68" s="217" t="str">
        <f t="shared" si="18"/>
        <v/>
      </c>
      <c r="I68" s="217" t="str">
        <f t="shared" si="19"/>
        <v/>
      </c>
    </row>
    <row r="69" spans="3:9">
      <c r="C69" s="221">
        <f t="shared" si="14"/>
        <v>2028</v>
      </c>
      <c r="D69" s="212">
        <v>67</v>
      </c>
      <c r="E69" s="216" t="str">
        <f t="shared" si="15"/>
        <v/>
      </c>
      <c r="F69" s="217" t="str">
        <f t="shared" si="16"/>
        <v/>
      </c>
      <c r="G69" s="217" t="str">
        <f t="shared" si="17"/>
        <v/>
      </c>
      <c r="H69" s="217" t="str">
        <f t="shared" si="18"/>
        <v/>
      </c>
      <c r="I69" s="217" t="str">
        <f t="shared" si="19"/>
        <v/>
      </c>
    </row>
    <row r="70" spans="3:9">
      <c r="C70" s="221">
        <f t="shared" si="14"/>
        <v>2028</v>
      </c>
      <c r="D70" s="212">
        <v>68</v>
      </c>
      <c r="E70" s="216" t="str">
        <f t="shared" si="15"/>
        <v/>
      </c>
      <c r="F70" s="217" t="str">
        <f t="shared" si="16"/>
        <v/>
      </c>
      <c r="G70" s="217" t="str">
        <f t="shared" si="17"/>
        <v/>
      </c>
      <c r="H70" s="217" t="str">
        <f t="shared" si="18"/>
        <v/>
      </c>
      <c r="I70" s="217" t="str">
        <f t="shared" si="19"/>
        <v/>
      </c>
    </row>
    <row r="71" spans="3:9">
      <c r="C71" s="221">
        <f t="shared" si="14"/>
        <v>2028</v>
      </c>
      <c r="D71" s="212">
        <v>69</v>
      </c>
      <c r="E71" s="216" t="str">
        <f t="shared" si="15"/>
        <v/>
      </c>
      <c r="F71" s="217" t="str">
        <f t="shared" si="16"/>
        <v/>
      </c>
      <c r="G71" s="217" t="str">
        <f t="shared" si="17"/>
        <v/>
      </c>
      <c r="H71" s="217" t="str">
        <f t="shared" si="18"/>
        <v/>
      </c>
      <c r="I71" s="217" t="str">
        <f t="shared" si="19"/>
        <v/>
      </c>
    </row>
    <row r="72" spans="3:9">
      <c r="C72" s="221">
        <f t="shared" si="14"/>
        <v>2028</v>
      </c>
      <c r="D72" s="212">
        <v>70</v>
      </c>
      <c r="E72" s="216" t="str">
        <f t="shared" si="15"/>
        <v/>
      </c>
      <c r="F72" s="217" t="str">
        <f t="shared" si="16"/>
        <v/>
      </c>
      <c r="G72" s="217" t="str">
        <f t="shared" si="17"/>
        <v/>
      </c>
      <c r="H72" s="217" t="str">
        <f t="shared" si="18"/>
        <v/>
      </c>
      <c r="I72" s="217" t="str">
        <f t="shared" si="19"/>
        <v/>
      </c>
    </row>
    <row r="73" spans="3:9">
      <c r="C73" s="221">
        <f t="shared" si="14"/>
        <v>2028</v>
      </c>
      <c r="D73" s="212">
        <v>71</v>
      </c>
      <c r="E73" s="216" t="str">
        <f t="shared" si="15"/>
        <v/>
      </c>
      <c r="F73" s="217" t="str">
        <f t="shared" si="16"/>
        <v/>
      </c>
      <c r="G73" s="217" t="str">
        <f t="shared" si="17"/>
        <v/>
      </c>
      <c r="H73" s="217" t="str">
        <f t="shared" si="18"/>
        <v/>
      </c>
      <c r="I73" s="217" t="str">
        <f t="shared" si="19"/>
        <v/>
      </c>
    </row>
    <row r="74" spans="3:9">
      <c r="C74" s="221">
        <f t="shared" si="14"/>
        <v>2028</v>
      </c>
      <c r="D74" s="212">
        <v>72</v>
      </c>
      <c r="E74" s="216" t="str">
        <f t="shared" si="15"/>
        <v/>
      </c>
      <c r="F74" s="217" t="str">
        <f t="shared" si="16"/>
        <v/>
      </c>
      <c r="G74" s="217" t="str">
        <f t="shared" si="17"/>
        <v/>
      </c>
      <c r="H74" s="217" t="str">
        <f t="shared" si="18"/>
        <v/>
      </c>
      <c r="I74" s="217" t="str">
        <f t="shared" si="19"/>
        <v/>
      </c>
    </row>
    <row r="75" spans="3:9">
      <c r="C75" s="221">
        <f>+C74+1</f>
        <v>2029</v>
      </c>
      <c r="D75" s="212">
        <v>73</v>
      </c>
      <c r="E75" s="216" t="str">
        <f t="shared" si="15"/>
        <v/>
      </c>
      <c r="F75" s="217" t="str">
        <f t="shared" si="16"/>
        <v/>
      </c>
      <c r="G75" s="217" t="str">
        <f t="shared" si="17"/>
        <v/>
      </c>
      <c r="H75" s="217" t="str">
        <f t="shared" si="18"/>
        <v/>
      </c>
      <c r="I75" s="217" t="str">
        <f t="shared" si="19"/>
        <v/>
      </c>
    </row>
    <row r="76" spans="3:9">
      <c r="C76" s="221">
        <f>+C75</f>
        <v>2029</v>
      </c>
      <c r="D76" s="212">
        <v>74</v>
      </c>
      <c r="E76" s="216" t="str">
        <f t="shared" si="15"/>
        <v/>
      </c>
      <c r="F76" s="217" t="str">
        <f t="shared" si="16"/>
        <v/>
      </c>
      <c r="G76" s="217" t="str">
        <f t="shared" si="17"/>
        <v/>
      </c>
      <c r="H76" s="217" t="str">
        <f t="shared" si="18"/>
        <v/>
      </c>
      <c r="I76" s="217" t="str">
        <f t="shared" si="19"/>
        <v/>
      </c>
    </row>
    <row r="77" spans="3:9">
      <c r="C77" s="221">
        <f t="shared" ref="C77:C86" si="20">+C76</f>
        <v>2029</v>
      </c>
      <c r="D77" s="212">
        <v>75</v>
      </c>
      <c r="E77" s="216" t="str">
        <f t="shared" si="15"/>
        <v/>
      </c>
      <c r="F77" s="217" t="str">
        <f t="shared" si="16"/>
        <v/>
      </c>
      <c r="G77" s="217" t="str">
        <f t="shared" si="17"/>
        <v/>
      </c>
      <c r="H77" s="217" t="str">
        <f t="shared" si="18"/>
        <v/>
      </c>
      <c r="I77" s="217" t="str">
        <f t="shared" si="19"/>
        <v/>
      </c>
    </row>
    <row r="78" spans="3:9">
      <c r="C78" s="221">
        <f t="shared" si="20"/>
        <v>2029</v>
      </c>
      <c r="D78" s="212">
        <v>76</v>
      </c>
      <c r="E78" s="216" t="str">
        <f t="shared" si="15"/>
        <v/>
      </c>
      <c r="F78" s="217" t="str">
        <f t="shared" si="16"/>
        <v/>
      </c>
      <c r="G78" s="217" t="str">
        <f t="shared" si="17"/>
        <v/>
      </c>
      <c r="H78" s="217" t="str">
        <f t="shared" si="18"/>
        <v/>
      </c>
      <c r="I78" s="217" t="str">
        <f t="shared" si="19"/>
        <v/>
      </c>
    </row>
    <row r="79" spans="3:9">
      <c r="C79" s="221">
        <f t="shared" si="20"/>
        <v>2029</v>
      </c>
      <c r="D79" s="212">
        <v>77</v>
      </c>
      <c r="E79" s="216" t="str">
        <f t="shared" si="15"/>
        <v/>
      </c>
      <c r="F79" s="217" t="str">
        <f t="shared" si="16"/>
        <v/>
      </c>
      <c r="G79" s="217" t="str">
        <f t="shared" si="17"/>
        <v/>
      </c>
      <c r="H79" s="217" t="str">
        <f t="shared" si="18"/>
        <v/>
      </c>
      <c r="I79" s="217" t="str">
        <f t="shared" si="19"/>
        <v/>
      </c>
    </row>
    <row r="80" spans="3:9">
      <c r="C80" s="221">
        <f t="shared" si="20"/>
        <v>2029</v>
      </c>
      <c r="D80" s="212">
        <v>78</v>
      </c>
      <c r="E80" s="216" t="str">
        <f t="shared" si="15"/>
        <v/>
      </c>
      <c r="F80" s="217" t="str">
        <f t="shared" si="16"/>
        <v/>
      </c>
      <c r="G80" s="217" t="str">
        <f t="shared" si="17"/>
        <v/>
      </c>
      <c r="H80" s="217" t="str">
        <f t="shared" si="18"/>
        <v/>
      </c>
      <c r="I80" s="217" t="str">
        <f t="shared" si="19"/>
        <v/>
      </c>
    </row>
    <row r="81" spans="3:9">
      <c r="C81" s="221">
        <f t="shared" si="20"/>
        <v>2029</v>
      </c>
      <c r="D81" s="212">
        <v>79</v>
      </c>
      <c r="E81" s="216" t="str">
        <f t="shared" si="15"/>
        <v/>
      </c>
      <c r="F81" s="217" t="str">
        <f t="shared" si="16"/>
        <v/>
      </c>
      <c r="G81" s="217" t="str">
        <f t="shared" si="17"/>
        <v/>
      </c>
      <c r="H81" s="217" t="str">
        <f t="shared" si="18"/>
        <v/>
      </c>
      <c r="I81" s="217" t="str">
        <f t="shared" si="19"/>
        <v/>
      </c>
    </row>
    <row r="82" spans="3:9">
      <c r="C82" s="221">
        <f t="shared" si="20"/>
        <v>2029</v>
      </c>
      <c r="D82" s="212">
        <v>80</v>
      </c>
      <c r="E82" s="216" t="str">
        <f t="shared" si="15"/>
        <v/>
      </c>
      <c r="F82" s="217" t="str">
        <f t="shared" si="16"/>
        <v/>
      </c>
      <c r="G82" s="217" t="str">
        <f t="shared" si="17"/>
        <v/>
      </c>
      <c r="H82" s="217" t="str">
        <f t="shared" si="18"/>
        <v/>
      </c>
      <c r="I82" s="217" t="str">
        <f t="shared" si="19"/>
        <v/>
      </c>
    </row>
    <row r="83" spans="3:9">
      <c r="C83" s="221">
        <f t="shared" si="20"/>
        <v>2029</v>
      </c>
      <c r="D83" s="212">
        <v>81</v>
      </c>
      <c r="E83" s="216" t="str">
        <f t="shared" si="15"/>
        <v/>
      </c>
      <c r="F83" s="217" t="str">
        <f t="shared" si="16"/>
        <v/>
      </c>
      <c r="G83" s="217" t="str">
        <f t="shared" si="17"/>
        <v/>
      </c>
      <c r="H83" s="217" t="str">
        <f t="shared" si="18"/>
        <v/>
      </c>
      <c r="I83" s="217" t="str">
        <f t="shared" si="19"/>
        <v/>
      </c>
    </row>
    <row r="84" spans="3:9">
      <c r="C84" s="221">
        <f t="shared" si="20"/>
        <v>2029</v>
      </c>
      <c r="D84" s="212">
        <v>82</v>
      </c>
      <c r="E84" s="216" t="str">
        <f t="shared" si="15"/>
        <v/>
      </c>
      <c r="F84" s="217" t="str">
        <f t="shared" si="16"/>
        <v/>
      </c>
      <c r="G84" s="217" t="str">
        <f t="shared" si="17"/>
        <v/>
      </c>
      <c r="H84" s="217" t="str">
        <f t="shared" si="18"/>
        <v/>
      </c>
      <c r="I84" s="217" t="str">
        <f t="shared" si="19"/>
        <v/>
      </c>
    </row>
    <row r="85" spans="3:9">
      <c r="C85" s="221">
        <f t="shared" si="20"/>
        <v>2029</v>
      </c>
      <c r="D85" s="212">
        <v>83</v>
      </c>
      <c r="E85" s="216" t="str">
        <f t="shared" si="15"/>
        <v/>
      </c>
      <c r="F85" s="217" t="str">
        <f t="shared" si="16"/>
        <v/>
      </c>
      <c r="G85" s="217" t="str">
        <f t="shared" si="17"/>
        <v/>
      </c>
      <c r="H85" s="217" t="str">
        <f t="shared" si="18"/>
        <v/>
      </c>
      <c r="I85" s="217" t="str">
        <f t="shared" si="19"/>
        <v/>
      </c>
    </row>
    <row r="86" spans="3:9">
      <c r="C86" s="221">
        <f t="shared" si="20"/>
        <v>2029</v>
      </c>
      <c r="D86" s="212">
        <v>84</v>
      </c>
      <c r="E86" s="216" t="str">
        <f t="shared" si="15"/>
        <v/>
      </c>
      <c r="F86" s="217" t="str">
        <f t="shared" si="16"/>
        <v/>
      </c>
      <c r="G86" s="217" t="str">
        <f t="shared" si="17"/>
        <v/>
      </c>
      <c r="H86" s="217" t="str">
        <f t="shared" si="18"/>
        <v/>
      </c>
      <c r="I86" s="217" t="str">
        <f t="shared" si="19"/>
        <v/>
      </c>
    </row>
    <row r="87" spans="3:9">
      <c r="C87" s="221">
        <f>+C86+1</f>
        <v>2030</v>
      </c>
      <c r="D87" s="212">
        <v>85</v>
      </c>
      <c r="E87" s="216" t="str">
        <f t="shared" si="15"/>
        <v/>
      </c>
      <c r="F87" s="217" t="str">
        <f t="shared" si="16"/>
        <v/>
      </c>
      <c r="G87" s="217" t="str">
        <f t="shared" si="17"/>
        <v/>
      </c>
      <c r="H87" s="217" t="str">
        <f t="shared" si="18"/>
        <v/>
      </c>
      <c r="I87" s="217" t="str">
        <f t="shared" si="19"/>
        <v/>
      </c>
    </row>
    <row r="88" spans="3:9">
      <c r="C88" s="221">
        <f>+C87</f>
        <v>2030</v>
      </c>
      <c r="D88" s="212">
        <v>86</v>
      </c>
      <c r="E88" s="216" t="str">
        <f t="shared" si="15"/>
        <v/>
      </c>
      <c r="F88" s="217" t="str">
        <f t="shared" si="16"/>
        <v/>
      </c>
      <c r="G88" s="217" t="str">
        <f t="shared" si="17"/>
        <v/>
      </c>
      <c r="H88" s="217" t="str">
        <f t="shared" si="18"/>
        <v/>
      </c>
      <c r="I88" s="217" t="str">
        <f t="shared" si="19"/>
        <v/>
      </c>
    </row>
    <row r="89" spans="3:9">
      <c r="C89" s="221">
        <f t="shared" ref="C89:C98" si="21">+C88</f>
        <v>2030</v>
      </c>
      <c r="D89" s="212">
        <v>87</v>
      </c>
      <c r="E89" s="216" t="str">
        <f t="shared" si="15"/>
        <v/>
      </c>
      <c r="F89" s="217" t="str">
        <f t="shared" si="16"/>
        <v/>
      </c>
      <c r="G89" s="217" t="str">
        <f t="shared" si="17"/>
        <v/>
      </c>
      <c r="H89" s="217" t="str">
        <f t="shared" si="18"/>
        <v/>
      </c>
      <c r="I89" s="217" t="str">
        <f t="shared" si="19"/>
        <v/>
      </c>
    </row>
    <row r="90" spans="3:9">
      <c r="C90" s="221">
        <f t="shared" si="21"/>
        <v>2030</v>
      </c>
      <c r="D90" s="212">
        <v>88</v>
      </c>
      <c r="E90" s="216" t="str">
        <f t="shared" si="15"/>
        <v/>
      </c>
      <c r="F90" s="217" t="str">
        <f t="shared" si="16"/>
        <v/>
      </c>
      <c r="G90" s="217" t="str">
        <f t="shared" si="17"/>
        <v/>
      </c>
      <c r="H90" s="217" t="str">
        <f t="shared" si="18"/>
        <v/>
      </c>
      <c r="I90" s="217" t="str">
        <f t="shared" si="19"/>
        <v/>
      </c>
    </row>
    <row r="91" spans="3:9">
      <c r="C91" s="221">
        <f t="shared" si="21"/>
        <v>2030</v>
      </c>
      <c r="D91" s="212">
        <v>89</v>
      </c>
      <c r="E91" s="216" t="str">
        <f t="shared" si="15"/>
        <v/>
      </c>
      <c r="F91" s="217" t="str">
        <f t="shared" si="16"/>
        <v/>
      </c>
      <c r="G91" s="217" t="str">
        <f t="shared" si="17"/>
        <v/>
      </c>
      <c r="H91" s="217" t="str">
        <f t="shared" si="18"/>
        <v/>
      </c>
      <c r="I91" s="217" t="str">
        <f t="shared" si="19"/>
        <v/>
      </c>
    </row>
    <row r="92" spans="3:9">
      <c r="C92" s="221">
        <f t="shared" si="21"/>
        <v>2030</v>
      </c>
      <c r="D92" s="212">
        <v>90</v>
      </c>
      <c r="E92" s="216" t="str">
        <f t="shared" si="15"/>
        <v/>
      </c>
      <c r="F92" s="217" t="str">
        <f t="shared" si="16"/>
        <v/>
      </c>
      <c r="G92" s="217" t="str">
        <f t="shared" si="17"/>
        <v/>
      </c>
      <c r="H92" s="217" t="str">
        <f t="shared" si="18"/>
        <v/>
      </c>
      <c r="I92" s="217" t="str">
        <f t="shared" si="19"/>
        <v/>
      </c>
    </row>
    <row r="93" spans="3:9">
      <c r="C93" s="221">
        <f t="shared" si="21"/>
        <v>2030</v>
      </c>
      <c r="D93" s="212">
        <v>91</v>
      </c>
      <c r="E93" s="216" t="str">
        <f t="shared" si="15"/>
        <v/>
      </c>
      <c r="F93" s="217" t="str">
        <f t="shared" si="16"/>
        <v/>
      </c>
      <c r="G93" s="217" t="str">
        <f t="shared" si="17"/>
        <v/>
      </c>
      <c r="H93" s="217" t="str">
        <f t="shared" si="18"/>
        <v/>
      </c>
      <c r="I93" s="217" t="str">
        <f t="shared" si="19"/>
        <v/>
      </c>
    </row>
    <row r="94" spans="3:9">
      <c r="C94" s="221">
        <f t="shared" si="21"/>
        <v>2030</v>
      </c>
      <c r="D94" s="212">
        <v>92</v>
      </c>
      <c r="E94" s="216" t="str">
        <f t="shared" si="15"/>
        <v/>
      </c>
      <c r="F94" s="217" t="str">
        <f t="shared" si="16"/>
        <v/>
      </c>
      <c r="G94" s="217" t="str">
        <f t="shared" si="17"/>
        <v/>
      </c>
      <c r="H94" s="217" t="str">
        <f t="shared" si="18"/>
        <v/>
      </c>
      <c r="I94" s="217" t="str">
        <f t="shared" si="19"/>
        <v/>
      </c>
    </row>
    <row r="95" spans="3:9">
      <c r="C95" s="221">
        <f t="shared" si="21"/>
        <v>2030</v>
      </c>
      <c r="D95" s="212">
        <v>93</v>
      </c>
      <c r="E95" s="216" t="str">
        <f t="shared" si="15"/>
        <v/>
      </c>
      <c r="F95" s="217" t="str">
        <f t="shared" si="16"/>
        <v/>
      </c>
      <c r="G95" s="217" t="str">
        <f t="shared" si="17"/>
        <v/>
      </c>
      <c r="H95" s="217" t="str">
        <f t="shared" si="18"/>
        <v/>
      </c>
      <c r="I95" s="217" t="str">
        <f t="shared" si="19"/>
        <v/>
      </c>
    </row>
    <row r="96" spans="3:9">
      <c r="C96" s="221">
        <f t="shared" si="21"/>
        <v>2030</v>
      </c>
      <c r="D96" s="212">
        <v>94</v>
      </c>
      <c r="E96" s="216" t="str">
        <f t="shared" si="15"/>
        <v/>
      </c>
      <c r="F96" s="217" t="str">
        <f t="shared" si="16"/>
        <v/>
      </c>
      <c r="G96" s="217" t="str">
        <f t="shared" si="17"/>
        <v/>
      </c>
      <c r="H96" s="217" t="str">
        <f t="shared" si="18"/>
        <v/>
      </c>
      <c r="I96" s="217" t="str">
        <f t="shared" si="19"/>
        <v/>
      </c>
    </row>
    <row r="97" spans="3:9">
      <c r="C97" s="221">
        <f t="shared" si="21"/>
        <v>2030</v>
      </c>
      <c r="D97" s="212">
        <v>95</v>
      </c>
      <c r="E97" s="216" t="str">
        <f t="shared" si="15"/>
        <v/>
      </c>
      <c r="F97" s="217" t="str">
        <f t="shared" si="16"/>
        <v/>
      </c>
      <c r="G97" s="217" t="str">
        <f t="shared" si="17"/>
        <v/>
      </c>
      <c r="H97" s="217" t="str">
        <f t="shared" si="18"/>
        <v/>
      </c>
      <c r="I97" s="217" t="str">
        <f t="shared" si="19"/>
        <v/>
      </c>
    </row>
    <row r="98" spans="3:9">
      <c r="C98" s="221">
        <f t="shared" si="21"/>
        <v>2030</v>
      </c>
      <c r="D98" s="212">
        <v>96</v>
      </c>
      <c r="E98" s="216" t="str">
        <f t="shared" si="15"/>
        <v/>
      </c>
      <c r="F98" s="217" t="str">
        <f t="shared" si="16"/>
        <v/>
      </c>
      <c r="G98" s="217" t="str">
        <f t="shared" si="17"/>
        <v/>
      </c>
      <c r="H98" s="217" t="str">
        <f t="shared" si="18"/>
        <v/>
      </c>
      <c r="I98" s="217" t="str">
        <f t="shared" si="19"/>
        <v/>
      </c>
    </row>
    <row r="99" spans="3:9">
      <c r="D99" s="212">
        <v>97</v>
      </c>
      <c r="E99" s="216" t="str">
        <f t="shared" si="15"/>
        <v/>
      </c>
      <c r="F99" s="217" t="str">
        <f t="shared" si="16"/>
        <v/>
      </c>
      <c r="G99" s="217" t="str">
        <f t="shared" si="17"/>
        <v/>
      </c>
      <c r="H99" s="217" t="str">
        <f t="shared" si="18"/>
        <v/>
      </c>
      <c r="I99" s="217" t="str">
        <f t="shared" si="19"/>
        <v/>
      </c>
    </row>
    <row r="100" spans="3:9">
      <c r="D100" s="212">
        <v>98</v>
      </c>
      <c r="E100" s="216" t="str">
        <f t="shared" si="15"/>
        <v/>
      </c>
      <c r="F100" s="217" t="str">
        <f t="shared" si="16"/>
        <v/>
      </c>
      <c r="G100" s="217" t="str">
        <f t="shared" si="17"/>
        <v/>
      </c>
      <c r="H100" s="217" t="str">
        <f t="shared" si="18"/>
        <v/>
      </c>
      <c r="I100" s="217" t="str">
        <f t="shared" si="19"/>
        <v/>
      </c>
    </row>
    <row r="101" spans="3:9">
      <c r="D101" s="212">
        <v>99</v>
      </c>
      <c r="E101" s="216" t="str">
        <f t="shared" si="15"/>
        <v/>
      </c>
      <c r="F101" s="217" t="str">
        <f t="shared" si="16"/>
        <v/>
      </c>
      <c r="G101" s="217" t="str">
        <f t="shared" si="17"/>
        <v/>
      </c>
      <c r="H101" s="217" t="str">
        <f t="shared" si="18"/>
        <v/>
      </c>
      <c r="I101" s="217" t="str">
        <f t="shared" si="19"/>
        <v/>
      </c>
    </row>
    <row r="102" spans="3:9">
      <c r="D102" s="212">
        <v>100</v>
      </c>
      <c r="E102" s="216" t="str">
        <f t="shared" si="15"/>
        <v/>
      </c>
      <c r="F102" s="217" t="str">
        <f t="shared" si="16"/>
        <v/>
      </c>
      <c r="G102" s="217" t="str">
        <f t="shared" si="17"/>
        <v/>
      </c>
      <c r="H102" s="217" t="str">
        <f t="shared" si="18"/>
        <v/>
      </c>
      <c r="I102" s="217" t="str">
        <f t="shared" si="19"/>
        <v/>
      </c>
    </row>
    <row r="103" spans="3:9">
      <c r="D103" s="212">
        <v>101</v>
      </c>
      <c r="E103" s="216" t="str">
        <f t="shared" si="15"/>
        <v/>
      </c>
      <c r="F103" s="217" t="str">
        <f t="shared" si="16"/>
        <v/>
      </c>
      <c r="G103" s="217" t="str">
        <f t="shared" si="17"/>
        <v/>
      </c>
      <c r="H103" s="217" t="str">
        <f t="shared" si="18"/>
        <v/>
      </c>
      <c r="I103" s="217" t="str">
        <f t="shared" si="19"/>
        <v/>
      </c>
    </row>
    <row r="104" spans="3:9">
      <c r="D104" s="212">
        <v>102</v>
      </c>
      <c r="E104" s="216" t="str">
        <f t="shared" si="15"/>
        <v/>
      </c>
      <c r="F104" s="217" t="str">
        <f t="shared" si="16"/>
        <v/>
      </c>
      <c r="G104" s="217" t="str">
        <f t="shared" si="17"/>
        <v/>
      </c>
      <c r="H104" s="217" t="str">
        <f t="shared" si="18"/>
        <v/>
      </c>
      <c r="I104" s="217" t="str">
        <f t="shared" si="19"/>
        <v/>
      </c>
    </row>
    <row r="105" spans="3:9">
      <c r="D105" s="212">
        <v>103</v>
      </c>
      <c r="E105" s="216" t="str">
        <f t="shared" si="15"/>
        <v/>
      </c>
      <c r="F105" s="217" t="str">
        <f t="shared" si="16"/>
        <v/>
      </c>
      <c r="G105" s="217" t="str">
        <f t="shared" si="17"/>
        <v/>
      </c>
      <c r="H105" s="217" t="str">
        <f t="shared" si="18"/>
        <v/>
      </c>
      <c r="I105" s="217" t="str">
        <f t="shared" si="19"/>
        <v/>
      </c>
    </row>
    <row r="106" spans="3:9">
      <c r="D106" s="212">
        <v>104</v>
      </c>
      <c r="E106" s="216" t="str">
        <f t="shared" si="15"/>
        <v/>
      </c>
      <c r="F106" s="217" t="str">
        <f t="shared" si="16"/>
        <v/>
      </c>
      <c r="G106" s="217" t="s">
        <v>515</v>
      </c>
      <c r="H106" s="217" t="str">
        <f t="shared" si="18"/>
        <v/>
      </c>
      <c r="I106" s="217" t="s">
        <v>515</v>
      </c>
    </row>
    <row r="107" spans="3:9">
      <c r="D107" s="212">
        <v>105</v>
      </c>
      <c r="E107" s="216" t="str">
        <f t="shared" si="15"/>
        <v/>
      </c>
      <c r="F107" s="217" t="str">
        <f t="shared" si="16"/>
        <v/>
      </c>
      <c r="G107" s="217" t="s">
        <v>515</v>
      </c>
      <c r="H107" s="217" t="str">
        <f t="shared" si="18"/>
        <v/>
      </c>
      <c r="I107" s="217" t="s">
        <v>515</v>
      </c>
    </row>
    <row r="108" spans="3:9">
      <c r="D108" s="212">
        <v>106</v>
      </c>
      <c r="E108" s="216" t="str">
        <f t="shared" si="15"/>
        <v/>
      </c>
      <c r="F108" s="217" t="str">
        <f t="shared" si="16"/>
        <v/>
      </c>
      <c r="G108" s="217" t="s">
        <v>515</v>
      </c>
      <c r="H108" s="217" t="str">
        <f t="shared" si="18"/>
        <v/>
      </c>
      <c r="I108" s="217" t="s">
        <v>515</v>
      </c>
    </row>
    <row r="109" spans="3:9">
      <c r="D109" s="212">
        <v>107</v>
      </c>
      <c r="E109" s="216" t="str">
        <f t="shared" si="15"/>
        <v/>
      </c>
      <c r="F109" s="217" t="str">
        <f t="shared" si="16"/>
        <v/>
      </c>
      <c r="G109" s="217" t="s">
        <v>515</v>
      </c>
      <c r="H109" s="217" t="str">
        <f t="shared" si="18"/>
        <v/>
      </c>
      <c r="I109" s="217" t="s">
        <v>515</v>
      </c>
    </row>
    <row r="110" spans="3:9">
      <c r="D110" s="212">
        <v>108</v>
      </c>
      <c r="E110" s="216" t="str">
        <f t="shared" si="15"/>
        <v/>
      </c>
      <c r="F110" s="217" t="str">
        <f t="shared" si="16"/>
        <v/>
      </c>
      <c r="G110" s="217" t="s">
        <v>515</v>
      </c>
      <c r="H110" s="217" t="str">
        <f t="shared" si="18"/>
        <v/>
      </c>
      <c r="I110" s="217" t="s">
        <v>515</v>
      </c>
    </row>
    <row r="111" spans="3:9">
      <c r="D111" s="212">
        <v>109</v>
      </c>
      <c r="E111" s="216" t="str">
        <f t="shared" si="15"/>
        <v/>
      </c>
      <c r="F111" s="217" t="str">
        <f t="shared" si="16"/>
        <v/>
      </c>
      <c r="G111" s="217" t="s">
        <v>515</v>
      </c>
      <c r="H111" s="217" t="str">
        <f t="shared" si="18"/>
        <v/>
      </c>
      <c r="I111" s="217" t="s">
        <v>515</v>
      </c>
    </row>
    <row r="112" spans="3:9">
      <c r="D112" s="212">
        <v>110</v>
      </c>
      <c r="E112" s="216" t="str">
        <f t="shared" si="15"/>
        <v/>
      </c>
      <c r="F112" s="217" t="str">
        <f t="shared" si="16"/>
        <v/>
      </c>
      <c r="G112" s="217" t="s">
        <v>515</v>
      </c>
      <c r="H112" s="217" t="str">
        <f t="shared" si="18"/>
        <v/>
      </c>
      <c r="I112" s="217" t="s">
        <v>515</v>
      </c>
    </row>
    <row r="113" spans="4:9">
      <c r="D113" s="212">
        <v>111</v>
      </c>
      <c r="E113" s="216" t="str">
        <f t="shared" si="15"/>
        <v/>
      </c>
      <c r="F113" s="217" t="str">
        <f t="shared" si="16"/>
        <v/>
      </c>
      <c r="G113" s="217" t="s">
        <v>515</v>
      </c>
      <c r="H113" s="217" t="str">
        <f t="shared" si="18"/>
        <v/>
      </c>
      <c r="I113" s="217" t="s">
        <v>515</v>
      </c>
    </row>
    <row r="114" spans="4:9">
      <c r="D114" s="212">
        <v>112</v>
      </c>
      <c r="E114" s="216" t="str">
        <f t="shared" si="15"/>
        <v/>
      </c>
      <c r="F114" s="217" t="str">
        <f t="shared" si="16"/>
        <v/>
      </c>
      <c r="G114" s="217" t="s">
        <v>515</v>
      </c>
      <c r="H114" s="217" t="str">
        <f t="shared" si="18"/>
        <v/>
      </c>
      <c r="I114" s="217" t="s">
        <v>515</v>
      </c>
    </row>
    <row r="115" spans="4:9">
      <c r="D115" s="212">
        <v>113</v>
      </c>
      <c r="E115" s="216" t="str">
        <f t="shared" si="15"/>
        <v/>
      </c>
      <c r="F115" s="217" t="str">
        <f t="shared" si="16"/>
        <v/>
      </c>
      <c r="G115" s="217" t="s">
        <v>515</v>
      </c>
      <c r="H115" s="217" t="str">
        <f t="shared" si="18"/>
        <v/>
      </c>
      <c r="I115" s="217" t="s">
        <v>515</v>
      </c>
    </row>
    <row r="116" spans="4:9">
      <c r="D116" s="212">
        <v>114</v>
      </c>
      <c r="E116" s="216" t="str">
        <f t="shared" si="15"/>
        <v/>
      </c>
      <c r="F116" s="217" t="str">
        <f t="shared" si="16"/>
        <v/>
      </c>
      <c r="G116" s="217" t="s">
        <v>515</v>
      </c>
      <c r="H116" s="217" t="str">
        <f t="shared" si="18"/>
        <v/>
      </c>
      <c r="I116" s="217" t="s">
        <v>515</v>
      </c>
    </row>
    <row r="117" spans="4:9">
      <c r="D117" s="212">
        <v>115</v>
      </c>
      <c r="E117" s="216" t="str">
        <f t="shared" si="15"/>
        <v/>
      </c>
      <c r="F117" s="217" t="str">
        <f t="shared" si="16"/>
        <v/>
      </c>
      <c r="G117" s="217" t="s">
        <v>515</v>
      </c>
      <c r="H117" s="217" t="str">
        <f t="shared" si="18"/>
        <v/>
      </c>
      <c r="I117" s="217" t="s">
        <v>515</v>
      </c>
    </row>
    <row r="118" spans="4:9">
      <c r="D118" s="212">
        <v>116</v>
      </c>
      <c r="E118" s="216" t="str">
        <f t="shared" si="15"/>
        <v/>
      </c>
      <c r="F118" s="217" t="str">
        <f t="shared" si="16"/>
        <v/>
      </c>
      <c r="G118" s="217" t="s">
        <v>515</v>
      </c>
      <c r="H118" s="217" t="str">
        <f t="shared" si="18"/>
        <v/>
      </c>
      <c r="I118" s="217" t="s">
        <v>515</v>
      </c>
    </row>
    <row r="119" spans="4:9">
      <c r="D119" s="212">
        <v>117</v>
      </c>
      <c r="E119" s="216" t="str">
        <f t="shared" si="15"/>
        <v/>
      </c>
      <c r="F119" s="217" t="str">
        <f t="shared" si="16"/>
        <v/>
      </c>
      <c r="G119" s="217" t="s">
        <v>515</v>
      </c>
      <c r="H119" s="217" t="str">
        <f t="shared" si="18"/>
        <v/>
      </c>
      <c r="I119" s="217" t="s">
        <v>515</v>
      </c>
    </row>
    <row r="120" spans="4:9">
      <c r="D120" s="212">
        <v>118</v>
      </c>
      <c r="E120" s="216" t="str">
        <f t="shared" si="15"/>
        <v/>
      </c>
      <c r="F120" s="217" t="str">
        <f t="shared" si="16"/>
        <v/>
      </c>
      <c r="G120" s="217" t="s">
        <v>515</v>
      </c>
      <c r="H120" s="217" t="str">
        <f t="shared" si="18"/>
        <v/>
      </c>
      <c r="I120" s="217" t="s">
        <v>515</v>
      </c>
    </row>
    <row r="121" spans="4:9">
      <c r="D121" s="212">
        <v>119</v>
      </c>
      <c r="E121" s="216" t="str">
        <f t="shared" si="15"/>
        <v/>
      </c>
      <c r="F121" s="217" t="str">
        <f t="shared" si="16"/>
        <v/>
      </c>
      <c r="G121" s="217" t="s">
        <v>515</v>
      </c>
      <c r="H121" s="217" t="str">
        <f t="shared" si="18"/>
        <v/>
      </c>
      <c r="I121" s="217" t="s">
        <v>515</v>
      </c>
    </row>
    <row r="122" spans="4:9">
      <c r="D122" s="212">
        <v>120</v>
      </c>
      <c r="E122" s="216" t="str">
        <f t="shared" si="15"/>
        <v/>
      </c>
      <c r="F122" s="217" t="str">
        <f t="shared" si="16"/>
        <v/>
      </c>
      <c r="G122" s="217" t="s">
        <v>515</v>
      </c>
      <c r="H122" s="217" t="str">
        <f t="shared" si="18"/>
        <v/>
      </c>
      <c r="I122" s="217" t="s">
        <v>515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2F6C-F239-4A64-8B5E-99DA7CF3DC26}">
  <dimension ref="A1:M122"/>
  <sheetViews>
    <sheetView workbookViewId="0">
      <selection activeCell="B3" sqref="B3"/>
    </sheetView>
  </sheetViews>
  <sheetFormatPr baseColWidth="10" defaultRowHeight="14.5"/>
  <cols>
    <col min="1" max="1" width="20" bestFit="1" customWidth="1"/>
    <col min="2" max="2" width="15.1796875" bestFit="1" customWidth="1"/>
    <col min="3" max="3" width="15.1796875" customWidth="1"/>
    <col min="4" max="4" width="11.453125" style="212"/>
    <col min="5" max="5" width="5.453125" bestFit="1" customWidth="1"/>
    <col min="6" max="8" width="14.26953125" style="152" bestFit="1" customWidth="1"/>
    <col min="9" max="9" width="15.453125" style="152" bestFit="1" customWidth="1"/>
    <col min="11" max="11" width="5.26953125" bestFit="1" customWidth="1"/>
    <col min="12" max="12" width="12" style="152" bestFit="1" customWidth="1"/>
    <col min="13" max="13" width="13.26953125" style="152" bestFit="1" customWidth="1"/>
  </cols>
  <sheetData>
    <row r="1" spans="1:9">
      <c r="A1" s="178" t="s">
        <v>504</v>
      </c>
      <c r="B1" s="211">
        <f>+'Flujo de Caja'!G6</f>
        <v>75000000</v>
      </c>
      <c r="C1" s="211"/>
      <c r="E1" s="213" t="s">
        <v>505</v>
      </c>
      <c r="F1" s="214" t="s">
        <v>506</v>
      </c>
      <c r="G1" s="215" t="s">
        <v>507</v>
      </c>
      <c r="H1" s="214" t="s">
        <v>508</v>
      </c>
      <c r="I1" s="215" t="s">
        <v>509</v>
      </c>
    </row>
    <row r="2" spans="1:9">
      <c r="A2" s="149" t="s">
        <v>511</v>
      </c>
      <c r="B2">
        <f>+Financiacion!E20</f>
        <v>84</v>
      </c>
      <c r="D2" s="212">
        <v>0</v>
      </c>
      <c r="E2" s="216">
        <v>0</v>
      </c>
      <c r="F2" s="217"/>
      <c r="G2" s="217"/>
      <c r="H2" s="217"/>
      <c r="I2" s="217">
        <f>+B1</f>
        <v>75000000</v>
      </c>
    </row>
    <row r="3" spans="1:9">
      <c r="A3" s="149" t="s">
        <v>512</v>
      </c>
      <c r="B3" s="219">
        <f>NOMINAL(Financiacion!F20,12)/12</f>
        <v>1.5773651709058312E-2</v>
      </c>
      <c r="C3" s="220">
        <v>2027</v>
      </c>
      <c r="D3" s="212">
        <v>1</v>
      </c>
      <c r="E3" s="216">
        <f t="shared" ref="E3:E66" si="0">IF(D3&lt;=$B$2,D3,"")</f>
        <v>1</v>
      </c>
      <c r="F3" s="217">
        <f t="shared" ref="F3:F66" si="1">IF($B$5="FIJA",IF(E3&lt;=$B$4,0,IF(E3&lt;=$B$2,$B$1/($B$2-$B$4),"")),IF(E3&lt;=$B$4,0,IF($B$5="VARIABLE",IF(E3&lt;=$B$2,PPMT($B$3,E3-$B$4,$B$2-$B$4,-$B$1),""))))</f>
        <v>434387.40108203021</v>
      </c>
      <c r="G3" s="217">
        <f t="shared" ref="G3:G66" si="2">IF(E3&lt;=$B$2,I2*$B$3,"")</f>
        <v>1183023.8781793735</v>
      </c>
      <c r="H3" s="217">
        <f t="shared" ref="H3:H66" si="3">IF(E3&lt;=$B$2,F3+G3,"")</f>
        <v>1617411.2792614037</v>
      </c>
      <c r="I3" s="217">
        <f t="shared" ref="I3:I66" si="4">IF(E3&lt;=$B$2,I2-F3,"")</f>
        <v>74565612.598917976</v>
      </c>
    </row>
    <row r="4" spans="1:9">
      <c r="A4" s="149" t="s">
        <v>513</v>
      </c>
      <c r="B4">
        <v>0</v>
      </c>
      <c r="C4" s="220">
        <f>+C3</f>
        <v>2027</v>
      </c>
      <c r="D4" s="212">
        <v>2</v>
      </c>
      <c r="E4" s="216">
        <f t="shared" si="0"/>
        <v>2</v>
      </c>
      <c r="F4" s="217">
        <f t="shared" si="1"/>
        <v>441239.27665350121</v>
      </c>
      <c r="G4" s="217">
        <f t="shared" si="2"/>
        <v>1176172.0026079025</v>
      </c>
      <c r="H4" s="217">
        <f t="shared" si="3"/>
        <v>1617411.2792614037</v>
      </c>
      <c r="I4" s="217">
        <f t="shared" si="4"/>
        <v>74124373.322264478</v>
      </c>
    </row>
    <row r="5" spans="1:9">
      <c r="A5" s="149" t="s">
        <v>514</v>
      </c>
      <c r="B5" t="s">
        <v>770</v>
      </c>
      <c r="C5" s="220">
        <f t="shared" ref="C5:C14" si="5">+C4</f>
        <v>2027</v>
      </c>
      <c r="D5" s="212">
        <v>3</v>
      </c>
      <c r="E5" s="216">
        <f t="shared" si="0"/>
        <v>3</v>
      </c>
      <c r="F5" s="217">
        <f t="shared" si="1"/>
        <v>448199.23132379033</v>
      </c>
      <c r="G5" s="217">
        <f t="shared" si="2"/>
        <v>1169212.0479376134</v>
      </c>
      <c r="H5" s="217">
        <f t="shared" si="3"/>
        <v>1617411.2792614037</v>
      </c>
      <c r="I5" s="217">
        <f t="shared" si="4"/>
        <v>73676174.090940684</v>
      </c>
    </row>
    <row r="6" spans="1:9">
      <c r="C6" s="220">
        <f t="shared" si="5"/>
        <v>2027</v>
      </c>
      <c r="D6" s="212">
        <v>4</v>
      </c>
      <c r="E6" s="216">
        <f t="shared" si="0"/>
        <v>4</v>
      </c>
      <c r="F6" s="217">
        <f t="shared" si="1"/>
        <v>455268.96989495942</v>
      </c>
      <c r="G6" s="217">
        <f t="shared" si="2"/>
        <v>1162142.3093664441</v>
      </c>
      <c r="H6" s="217">
        <f t="shared" si="3"/>
        <v>1617411.2792614035</v>
      </c>
      <c r="I6" s="217">
        <f t="shared" si="4"/>
        <v>73220905.121045724</v>
      </c>
    </row>
    <row r="7" spans="1:9">
      <c r="C7" s="220">
        <f t="shared" si="5"/>
        <v>2027</v>
      </c>
      <c r="D7" s="212">
        <v>5</v>
      </c>
      <c r="E7" s="216">
        <f t="shared" si="0"/>
        <v>5</v>
      </c>
      <c r="F7" s="217">
        <f t="shared" si="1"/>
        <v>462450.22406002431</v>
      </c>
      <c r="G7" s="217">
        <f t="shared" si="2"/>
        <v>1154961.0552013793</v>
      </c>
      <c r="H7" s="217">
        <f t="shared" si="3"/>
        <v>1617411.2792614037</v>
      </c>
      <c r="I7" s="217">
        <f t="shared" si="4"/>
        <v>72758454.896985695</v>
      </c>
    </row>
    <row r="8" spans="1:9">
      <c r="C8" s="220">
        <f t="shared" si="5"/>
        <v>2027</v>
      </c>
      <c r="D8" s="212">
        <v>6</v>
      </c>
      <c r="E8" s="216">
        <f t="shared" si="0"/>
        <v>6</v>
      </c>
      <c r="F8" s="217">
        <f t="shared" si="1"/>
        <v>469744.7528271231</v>
      </c>
      <c r="G8" s="217">
        <f t="shared" si="2"/>
        <v>1147666.5264342804</v>
      </c>
      <c r="H8" s="217">
        <f t="shared" si="3"/>
        <v>1617411.2792614035</v>
      </c>
      <c r="I8" s="217">
        <f t="shared" si="4"/>
        <v>72288710.144158572</v>
      </c>
    </row>
    <row r="9" spans="1:9">
      <c r="C9" s="220">
        <f t="shared" si="5"/>
        <v>2027</v>
      </c>
      <c r="D9" s="212">
        <v>7</v>
      </c>
      <c r="E9" s="216">
        <f t="shared" si="0"/>
        <v>7</v>
      </c>
      <c r="F9" s="217">
        <f t="shared" si="1"/>
        <v>477154.34295037587</v>
      </c>
      <c r="G9" s="217">
        <f t="shared" si="2"/>
        <v>1140256.9363110277</v>
      </c>
      <c r="H9" s="217">
        <f t="shared" si="3"/>
        <v>1617411.2792614037</v>
      </c>
      <c r="I9" s="217">
        <f t="shared" si="4"/>
        <v>71811555.801208198</v>
      </c>
    </row>
    <row r="10" spans="1:9">
      <c r="C10" s="220">
        <f t="shared" si="5"/>
        <v>2027</v>
      </c>
      <c r="D10" s="212">
        <v>8</v>
      </c>
      <c r="E10" s="216">
        <f t="shared" si="0"/>
        <v>8</v>
      </c>
      <c r="F10" s="217">
        <f t="shared" si="1"/>
        <v>484680.80936753965</v>
      </c>
      <c r="G10" s="217">
        <f t="shared" si="2"/>
        <v>1132730.4698938641</v>
      </c>
      <c r="H10" s="217">
        <f t="shared" si="3"/>
        <v>1617411.2792614037</v>
      </c>
      <c r="I10" s="217">
        <f t="shared" si="4"/>
        <v>71326874.991840661</v>
      </c>
    </row>
    <row r="11" spans="1:9">
      <c r="C11" s="220">
        <f t="shared" si="5"/>
        <v>2027</v>
      </c>
      <c r="D11" s="212">
        <v>9</v>
      </c>
      <c r="E11" s="216">
        <f t="shared" si="0"/>
        <v>9</v>
      </c>
      <c r="F11" s="217">
        <f t="shared" si="1"/>
        <v>492325.99564456771</v>
      </c>
      <c r="G11" s="217">
        <f t="shared" si="2"/>
        <v>1125085.2836168359</v>
      </c>
      <c r="H11" s="217">
        <f t="shared" si="3"/>
        <v>1617411.2792614037</v>
      </c>
      <c r="I11" s="217">
        <f t="shared" si="4"/>
        <v>70834548.996196091</v>
      </c>
    </row>
    <row r="12" spans="1:9">
      <c r="C12" s="220">
        <f t="shared" si="5"/>
        <v>2027</v>
      </c>
      <c r="D12" s="212">
        <v>10</v>
      </c>
      <c r="E12" s="216">
        <f t="shared" si="0"/>
        <v>10</v>
      </c>
      <c r="F12" s="217">
        <f t="shared" si="1"/>
        <v>500091.77442718053</v>
      </c>
      <c r="G12" s="217">
        <f t="shared" si="2"/>
        <v>1117319.5048342233</v>
      </c>
      <c r="H12" s="217">
        <f t="shared" si="3"/>
        <v>1617411.2792614037</v>
      </c>
      <c r="I12" s="217">
        <f t="shared" si="4"/>
        <v>70334457.221768916</v>
      </c>
    </row>
    <row r="13" spans="1:9">
      <c r="C13" s="220">
        <f t="shared" si="5"/>
        <v>2027</v>
      </c>
      <c r="D13" s="212">
        <v>11</v>
      </c>
      <c r="E13" s="216">
        <f t="shared" si="0"/>
        <v>11</v>
      </c>
      <c r="F13" s="217">
        <f t="shared" si="1"/>
        <v>507980.04789955978</v>
      </c>
      <c r="G13" s="217">
        <f t="shared" si="2"/>
        <v>1109431.2313618439</v>
      </c>
      <c r="H13" s="217">
        <f t="shared" si="3"/>
        <v>1617411.2792614037</v>
      </c>
      <c r="I13" s="217">
        <f t="shared" si="4"/>
        <v>69826477.173869357</v>
      </c>
    </row>
    <row r="14" spans="1:9">
      <c r="C14" s="220">
        <f t="shared" si="5"/>
        <v>2027</v>
      </c>
      <c r="D14" s="212">
        <v>12</v>
      </c>
      <c r="E14" s="216">
        <f t="shared" si="0"/>
        <v>12</v>
      </c>
      <c r="F14" s="217">
        <f t="shared" si="1"/>
        <v>515992.74825027818</v>
      </c>
      <c r="G14" s="217">
        <f t="shared" si="2"/>
        <v>1101418.5310111255</v>
      </c>
      <c r="H14" s="217">
        <f t="shared" si="3"/>
        <v>1617411.2792614037</v>
      </c>
      <c r="I14" s="217">
        <f t="shared" si="4"/>
        <v>69310484.425619081</v>
      </c>
    </row>
    <row r="15" spans="1:9">
      <c r="C15" s="221">
        <f>+C14+1</f>
        <v>2028</v>
      </c>
      <c r="D15" s="212">
        <v>13</v>
      </c>
      <c r="E15" s="216">
        <f t="shared" si="0"/>
        <v>13</v>
      </c>
      <c r="F15" s="217">
        <f t="shared" si="1"/>
        <v>524131.83814557787</v>
      </c>
      <c r="G15" s="217">
        <f t="shared" si="2"/>
        <v>1093279.4411158259</v>
      </c>
      <c r="H15" s="217">
        <f t="shared" si="3"/>
        <v>1617411.2792614037</v>
      </c>
      <c r="I15" s="217">
        <f t="shared" si="4"/>
        <v>68786352.587473497</v>
      </c>
    </row>
    <row r="16" spans="1:9">
      <c r="C16" s="221">
        <f t="shared" ref="C16:C26" si="6">+C15</f>
        <v>2028</v>
      </c>
      <c r="D16" s="212">
        <v>14</v>
      </c>
      <c r="E16" s="216">
        <f t="shared" si="0"/>
        <v>14</v>
      </c>
      <c r="F16" s="217">
        <f t="shared" si="1"/>
        <v>532399.31121011463</v>
      </c>
      <c r="G16" s="217">
        <f t="shared" si="2"/>
        <v>1085011.968051289</v>
      </c>
      <c r="H16" s="217">
        <f t="shared" si="3"/>
        <v>1617411.2792614037</v>
      </c>
      <c r="I16" s="217">
        <f t="shared" si="4"/>
        <v>68253953.276263386</v>
      </c>
    </row>
    <row r="17" spans="3:9">
      <c r="C17" s="221">
        <f t="shared" si="6"/>
        <v>2028</v>
      </c>
      <c r="D17" s="212">
        <v>15</v>
      </c>
      <c r="E17" s="216">
        <f t="shared" si="0"/>
        <v>15</v>
      </c>
      <c r="F17" s="217">
        <f t="shared" si="1"/>
        <v>540797.19251528557</v>
      </c>
      <c r="G17" s="217">
        <f t="shared" si="2"/>
        <v>1076614.086746118</v>
      </c>
      <c r="H17" s="217">
        <f t="shared" si="3"/>
        <v>1617411.2792614037</v>
      </c>
      <c r="I17" s="217">
        <f t="shared" si="4"/>
        <v>67713156.083748102</v>
      </c>
    </row>
    <row r="18" spans="3:9">
      <c r="C18" s="221">
        <f t="shared" si="6"/>
        <v>2028</v>
      </c>
      <c r="D18" s="212">
        <v>16</v>
      </c>
      <c r="E18" s="216">
        <f t="shared" si="0"/>
        <v>16</v>
      </c>
      <c r="F18" s="217">
        <f t="shared" si="1"/>
        <v>549327.5390752583</v>
      </c>
      <c r="G18" s="217">
        <f t="shared" si="2"/>
        <v>1068083.7401861455</v>
      </c>
      <c r="H18" s="217">
        <f t="shared" si="3"/>
        <v>1617411.2792614037</v>
      </c>
      <c r="I18" s="217">
        <f t="shared" si="4"/>
        <v>67163828.544672847</v>
      </c>
    </row>
    <row r="19" spans="3:9">
      <c r="C19" s="221">
        <f t="shared" si="6"/>
        <v>2028</v>
      </c>
      <c r="D19" s="212">
        <v>17</v>
      </c>
      <c r="E19" s="216">
        <f t="shared" si="0"/>
        <v>17</v>
      </c>
      <c r="F19" s="217">
        <f t="shared" si="1"/>
        <v>557992.44035082555</v>
      </c>
      <c r="G19" s="217">
        <f t="shared" si="2"/>
        <v>1059418.8389105783</v>
      </c>
      <c r="H19" s="217">
        <f t="shared" si="3"/>
        <v>1617411.2792614037</v>
      </c>
      <c r="I19" s="217">
        <f t="shared" si="4"/>
        <v>66605836.104322024</v>
      </c>
    </row>
    <row r="20" spans="3:9">
      <c r="C20" s="221">
        <f t="shared" si="6"/>
        <v>2028</v>
      </c>
      <c r="D20" s="212">
        <v>18</v>
      </c>
      <c r="E20" s="216">
        <f t="shared" si="0"/>
        <v>18</v>
      </c>
      <c r="F20" s="217">
        <f t="shared" si="1"/>
        <v>566794.01876120688</v>
      </c>
      <c r="G20" s="217">
        <f t="shared" si="2"/>
        <v>1050617.2605001968</v>
      </c>
      <c r="H20" s="217">
        <f t="shared" si="3"/>
        <v>1617411.2792614037</v>
      </c>
      <c r="I20" s="217">
        <f t="shared" si="4"/>
        <v>66039042.085560814</v>
      </c>
    </row>
    <row r="21" spans="3:9">
      <c r="C21" s="221">
        <f t="shared" si="6"/>
        <v>2028</v>
      </c>
      <c r="D21" s="212">
        <v>19</v>
      </c>
      <c r="E21" s="216">
        <f t="shared" si="0"/>
        <v>19</v>
      </c>
      <c r="F21" s="217">
        <f t="shared" si="1"/>
        <v>575734.43020392361</v>
      </c>
      <c r="G21" s="217">
        <f t="shared" si="2"/>
        <v>1041676.8490574801</v>
      </c>
      <c r="H21" s="217">
        <f t="shared" si="3"/>
        <v>1617411.2792614037</v>
      </c>
      <c r="I21" s="217">
        <f t="shared" si="4"/>
        <v>65463307.655356891</v>
      </c>
    </row>
    <row r="22" spans="3:9">
      <c r="C22" s="221">
        <f t="shared" si="6"/>
        <v>2028</v>
      </c>
      <c r="D22" s="212">
        <v>20</v>
      </c>
      <c r="E22" s="216">
        <f t="shared" si="0"/>
        <v>20</v>
      </c>
      <c r="F22" s="217">
        <f t="shared" si="1"/>
        <v>584815.86458287353</v>
      </c>
      <c r="G22" s="217">
        <f t="shared" si="2"/>
        <v>1032595.4146785303</v>
      </c>
      <c r="H22" s="217">
        <f t="shared" si="3"/>
        <v>1617411.2792614037</v>
      </c>
      <c r="I22" s="217">
        <f t="shared" si="4"/>
        <v>64878491.790774018</v>
      </c>
    </row>
    <row r="23" spans="3:9">
      <c r="C23" s="221">
        <f t="shared" si="6"/>
        <v>2028</v>
      </c>
      <c r="D23" s="212">
        <v>21</v>
      </c>
      <c r="E23" s="216">
        <f t="shared" si="0"/>
        <v>21</v>
      </c>
      <c r="F23" s="217">
        <f t="shared" si="1"/>
        <v>594040.54634473554</v>
      </c>
      <c r="G23" s="217">
        <f t="shared" si="2"/>
        <v>1023370.7329166682</v>
      </c>
      <c r="H23" s="217">
        <f t="shared" si="3"/>
        <v>1617411.2792614037</v>
      </c>
      <c r="I23" s="217">
        <f t="shared" si="4"/>
        <v>64284451.244429283</v>
      </c>
    </row>
    <row r="24" spans="3:9">
      <c r="C24" s="221">
        <f t="shared" si="6"/>
        <v>2028</v>
      </c>
      <c r="D24" s="212">
        <v>22</v>
      </c>
      <c r="E24" s="216">
        <f t="shared" si="0"/>
        <v>22</v>
      </c>
      <c r="F24" s="217">
        <f t="shared" si="1"/>
        <v>603410.73502383626</v>
      </c>
      <c r="G24" s="217">
        <f t="shared" si="2"/>
        <v>1014000.5442375677</v>
      </c>
      <c r="H24" s="217">
        <f t="shared" si="3"/>
        <v>1617411.2792614039</v>
      </c>
      <c r="I24" s="217">
        <f t="shared" si="4"/>
        <v>63681040.509405449</v>
      </c>
    </row>
    <row r="25" spans="3:9">
      <c r="C25" s="221">
        <f t="shared" si="6"/>
        <v>2028</v>
      </c>
      <c r="D25" s="212">
        <v>23</v>
      </c>
      <c r="E25" s="216">
        <f t="shared" si="0"/>
        <v>23</v>
      </c>
      <c r="F25" s="217">
        <f t="shared" si="1"/>
        <v>612928.72579560895</v>
      </c>
      <c r="G25" s="217">
        <f t="shared" si="2"/>
        <v>1004482.5534657949</v>
      </c>
      <c r="H25" s="217">
        <f t="shared" si="3"/>
        <v>1617411.2792614037</v>
      </c>
      <c r="I25" s="217">
        <f t="shared" si="4"/>
        <v>63068111.783609837</v>
      </c>
    </row>
    <row r="26" spans="3:9">
      <c r="C26" s="221">
        <f t="shared" si="6"/>
        <v>2028</v>
      </c>
      <c r="D26" s="212">
        <v>24</v>
      </c>
      <c r="E26" s="216">
        <f t="shared" si="0"/>
        <v>24</v>
      </c>
      <c r="F26" s="217">
        <f t="shared" si="1"/>
        <v>622596.85003878584</v>
      </c>
      <c r="G26" s="217">
        <f t="shared" si="2"/>
        <v>994814.429222618</v>
      </c>
      <c r="H26" s="217">
        <f t="shared" si="3"/>
        <v>1617411.2792614037</v>
      </c>
      <c r="I26" s="217">
        <f t="shared" si="4"/>
        <v>62445514.933571048</v>
      </c>
    </row>
    <row r="27" spans="3:9">
      <c r="C27" s="221">
        <f>+C26+1</f>
        <v>2029</v>
      </c>
      <c r="D27" s="212">
        <v>25</v>
      </c>
      <c r="E27" s="216">
        <f t="shared" si="0"/>
        <v>25</v>
      </c>
      <c r="F27" s="217">
        <f t="shared" si="1"/>
        <v>632417.47590645449</v>
      </c>
      <c r="G27" s="217">
        <f t="shared" si="2"/>
        <v>984993.80335494934</v>
      </c>
      <c r="H27" s="217">
        <f t="shared" si="3"/>
        <v>1617411.2792614037</v>
      </c>
      <c r="I27" s="217">
        <f t="shared" si="4"/>
        <v>61813097.457664594</v>
      </c>
    </row>
    <row r="28" spans="3:9">
      <c r="C28" s="221">
        <f t="shared" ref="C28:C38" si="7">+C27</f>
        <v>2029</v>
      </c>
      <c r="D28" s="212">
        <v>26</v>
      </c>
      <c r="E28" s="216">
        <f t="shared" si="0"/>
        <v>26</v>
      </c>
      <c r="F28" s="217">
        <f t="shared" si="1"/>
        <v>642393.00890612474</v>
      </c>
      <c r="G28" s="217">
        <f t="shared" si="2"/>
        <v>975018.27035527909</v>
      </c>
      <c r="H28" s="217">
        <f t="shared" si="3"/>
        <v>1617411.2792614037</v>
      </c>
      <c r="I28" s="217">
        <f t="shared" si="4"/>
        <v>61170704.448758468</v>
      </c>
    </row>
    <row r="29" spans="3:9">
      <c r="C29" s="221">
        <f t="shared" si="7"/>
        <v>2029</v>
      </c>
      <c r="D29" s="212">
        <v>27</v>
      </c>
      <c r="E29" s="216">
        <f t="shared" si="0"/>
        <v>27</v>
      </c>
      <c r="F29" s="217">
        <f t="shared" si="1"/>
        <v>652525.89248894388</v>
      </c>
      <c r="G29" s="217">
        <f t="shared" si="2"/>
        <v>964885.38677245984</v>
      </c>
      <c r="H29" s="217">
        <f t="shared" si="3"/>
        <v>1617411.2792614037</v>
      </c>
      <c r="I29" s="217">
        <f t="shared" si="4"/>
        <v>60518178.556269526</v>
      </c>
    </row>
    <row r="30" spans="3:9">
      <c r="C30" s="221">
        <f t="shared" si="7"/>
        <v>2029</v>
      </c>
      <c r="D30" s="212">
        <v>28</v>
      </c>
      <c r="E30" s="216">
        <f t="shared" si="0"/>
        <v>28</v>
      </c>
      <c r="F30" s="217">
        <f t="shared" si="1"/>
        <v>662818.60864820692</v>
      </c>
      <c r="G30" s="217">
        <f t="shared" si="2"/>
        <v>954592.67061319691</v>
      </c>
      <c r="H30" s="217">
        <f t="shared" si="3"/>
        <v>1617411.2792614037</v>
      </c>
      <c r="I30" s="217">
        <f t="shared" si="4"/>
        <v>59855359.947621323</v>
      </c>
    </row>
    <row r="31" spans="3:9">
      <c r="C31" s="221">
        <f t="shared" si="7"/>
        <v>2029</v>
      </c>
      <c r="D31" s="212">
        <v>29</v>
      </c>
      <c r="E31" s="216">
        <f t="shared" si="0"/>
        <v>29</v>
      </c>
      <c r="F31" s="217">
        <f t="shared" si="1"/>
        <v>673273.6785273063</v>
      </c>
      <c r="G31" s="217">
        <f t="shared" si="2"/>
        <v>944137.60073409753</v>
      </c>
      <c r="H31" s="217">
        <f t="shared" si="3"/>
        <v>1617411.2792614037</v>
      </c>
      <c r="I31" s="217">
        <f t="shared" si="4"/>
        <v>59182086.26909402</v>
      </c>
    </row>
    <row r="32" spans="3:9">
      <c r="C32" s="221">
        <f t="shared" si="7"/>
        <v>2029</v>
      </c>
      <c r="D32" s="212">
        <v>30</v>
      </c>
      <c r="E32" s="216">
        <f t="shared" si="0"/>
        <v>30</v>
      </c>
      <c r="F32" s="217">
        <f t="shared" si="1"/>
        <v>683893.66303727264</v>
      </c>
      <c r="G32" s="217">
        <f t="shared" si="2"/>
        <v>933517.61622413131</v>
      </c>
      <c r="H32" s="217">
        <f t="shared" si="3"/>
        <v>1617411.2792614039</v>
      </c>
      <c r="I32" s="217">
        <f t="shared" si="4"/>
        <v>58498192.60605675</v>
      </c>
    </row>
    <row r="33" spans="3:9">
      <c r="C33" s="221">
        <f t="shared" si="7"/>
        <v>2029</v>
      </c>
      <c r="D33" s="212">
        <v>31</v>
      </c>
      <c r="E33" s="216">
        <f t="shared" si="0"/>
        <v>31</v>
      </c>
      <c r="F33" s="217">
        <f t="shared" si="1"/>
        <v>694681.16348405462</v>
      </c>
      <c r="G33" s="217">
        <f t="shared" si="2"/>
        <v>922730.11577734933</v>
      </c>
      <c r="H33" s="217">
        <f t="shared" si="3"/>
        <v>1617411.2792614039</v>
      </c>
      <c r="I33" s="217">
        <f t="shared" si="4"/>
        <v>57803511.442572698</v>
      </c>
    </row>
    <row r="34" spans="3:9">
      <c r="C34" s="221">
        <f t="shared" si="7"/>
        <v>2029</v>
      </c>
      <c r="D34" s="212">
        <v>32</v>
      </c>
      <c r="E34" s="216">
        <f t="shared" si="0"/>
        <v>32</v>
      </c>
      <c r="F34" s="217">
        <f t="shared" si="1"/>
        <v>705638.82220569556</v>
      </c>
      <c r="G34" s="217">
        <f t="shared" si="2"/>
        <v>911772.45705570851</v>
      </c>
      <c r="H34" s="217">
        <f t="shared" si="3"/>
        <v>1617411.2792614042</v>
      </c>
      <c r="I34" s="217">
        <f t="shared" si="4"/>
        <v>57097872.620367005</v>
      </c>
    </row>
    <row r="35" spans="3:9">
      <c r="C35" s="221">
        <f t="shared" si="7"/>
        <v>2029</v>
      </c>
      <c r="D35" s="212">
        <v>33</v>
      </c>
      <c r="E35" s="216">
        <f t="shared" si="0"/>
        <v>33</v>
      </c>
      <c r="F35" s="217">
        <f t="shared" si="1"/>
        <v>716769.32321955822</v>
      </c>
      <c r="G35" s="217">
        <f t="shared" si="2"/>
        <v>900641.95604184584</v>
      </c>
      <c r="H35" s="217">
        <f t="shared" si="3"/>
        <v>1617411.2792614042</v>
      </c>
      <c r="I35" s="217">
        <f t="shared" si="4"/>
        <v>56381103.297147445</v>
      </c>
    </row>
    <row r="36" spans="3:9">
      <c r="C36" s="221">
        <f t="shared" si="7"/>
        <v>2029</v>
      </c>
      <c r="D36" s="212">
        <v>34</v>
      </c>
      <c r="E36" s="216">
        <f t="shared" si="0"/>
        <v>34</v>
      </c>
      <c r="F36" s="217">
        <f t="shared" si="1"/>
        <v>728075.39287976094</v>
      </c>
      <c r="G36" s="217">
        <f t="shared" si="2"/>
        <v>889335.88638164301</v>
      </c>
      <c r="H36" s="217">
        <f t="shared" si="3"/>
        <v>1617411.2792614039</v>
      </c>
      <c r="I36" s="217">
        <f t="shared" si="4"/>
        <v>55653027.904267684</v>
      </c>
    </row>
    <row r="37" spans="3:9">
      <c r="C37" s="221">
        <f t="shared" si="7"/>
        <v>2029</v>
      </c>
      <c r="D37" s="212">
        <v>35</v>
      </c>
      <c r="E37" s="216">
        <f t="shared" si="0"/>
        <v>35</v>
      </c>
      <c r="F37" s="217">
        <f t="shared" si="1"/>
        <v>739559.80054498219</v>
      </c>
      <c r="G37" s="217">
        <f t="shared" si="2"/>
        <v>877851.47871642187</v>
      </c>
      <c r="H37" s="217">
        <f t="shared" si="3"/>
        <v>1617411.2792614042</v>
      </c>
      <c r="I37" s="217">
        <f t="shared" si="4"/>
        <v>54913468.103722699</v>
      </c>
    </row>
    <row r="38" spans="3:9">
      <c r="C38" s="221">
        <f t="shared" si="7"/>
        <v>2029</v>
      </c>
      <c r="D38" s="212">
        <v>36</v>
      </c>
      <c r="E38" s="216">
        <f t="shared" si="0"/>
        <v>36</v>
      </c>
      <c r="F38" s="217">
        <f t="shared" si="1"/>
        <v>751225.35925679933</v>
      </c>
      <c r="G38" s="217">
        <f t="shared" si="2"/>
        <v>866185.92000460462</v>
      </c>
      <c r="H38" s="217">
        <f t="shared" si="3"/>
        <v>1617411.2792614039</v>
      </c>
      <c r="I38" s="217">
        <f t="shared" si="4"/>
        <v>54162242.744465902</v>
      </c>
    </row>
    <row r="39" spans="3:9">
      <c r="C39" s="221">
        <f>+C38+1</f>
        <v>2030</v>
      </c>
      <c r="D39" s="212">
        <v>37</v>
      </c>
      <c r="E39" s="216">
        <f t="shared" si="0"/>
        <v>37</v>
      </c>
      <c r="F39" s="217">
        <f t="shared" si="1"/>
        <v>763074.92642872815</v>
      </c>
      <c r="G39" s="217">
        <f t="shared" si="2"/>
        <v>854336.35283267568</v>
      </c>
      <c r="H39" s="217">
        <f t="shared" si="3"/>
        <v>1617411.2792614037</v>
      </c>
      <c r="I39" s="217">
        <f t="shared" si="4"/>
        <v>53399167.818037175</v>
      </c>
    </row>
    <row r="40" spans="3:9">
      <c r="C40" s="221">
        <f>+C39</f>
        <v>2030</v>
      </c>
      <c r="D40" s="212">
        <v>38</v>
      </c>
      <c r="E40" s="216">
        <f t="shared" si="0"/>
        <v>38</v>
      </c>
      <c r="F40" s="217">
        <f t="shared" si="1"/>
        <v>775111.40454613033</v>
      </c>
      <c r="G40" s="217">
        <f t="shared" si="2"/>
        <v>842299.87471527373</v>
      </c>
      <c r="H40" s="217">
        <f t="shared" si="3"/>
        <v>1617411.2792614042</v>
      </c>
      <c r="I40" s="217">
        <f t="shared" si="4"/>
        <v>52624056.413491048</v>
      </c>
    </row>
    <row r="41" spans="3:9">
      <c r="C41" s="221">
        <f t="shared" ref="C41:C50" si="8">+C40</f>
        <v>2030</v>
      </c>
      <c r="D41" s="212">
        <v>39</v>
      </c>
      <c r="E41" s="216">
        <f t="shared" si="0"/>
        <v>39</v>
      </c>
      <c r="F41" s="217">
        <f t="shared" si="1"/>
        <v>787337.74187715992</v>
      </c>
      <c r="G41" s="217">
        <f t="shared" si="2"/>
        <v>830073.53738424403</v>
      </c>
      <c r="H41" s="217">
        <f t="shared" si="3"/>
        <v>1617411.2792614039</v>
      </c>
      <c r="I41" s="217">
        <f t="shared" si="4"/>
        <v>51836718.671613887</v>
      </c>
    </row>
    <row r="42" spans="3:9">
      <c r="C42" s="221">
        <f t="shared" si="8"/>
        <v>2030</v>
      </c>
      <c r="D42" s="212">
        <v>40</v>
      </c>
      <c r="E42" s="216">
        <f t="shared" si="0"/>
        <v>40</v>
      </c>
      <c r="F42" s="217">
        <f t="shared" si="1"/>
        <v>799756.93319492682</v>
      </c>
      <c r="G42" s="217">
        <f t="shared" si="2"/>
        <v>817654.34606647724</v>
      </c>
      <c r="H42" s="217">
        <f t="shared" si="3"/>
        <v>1617411.2792614042</v>
      </c>
      <c r="I42" s="217">
        <f t="shared" si="4"/>
        <v>51036961.738418959</v>
      </c>
    </row>
    <row r="43" spans="3:9">
      <c r="C43" s="221">
        <f t="shared" si="8"/>
        <v>2030</v>
      </c>
      <c r="D43" s="212">
        <v>41</v>
      </c>
      <c r="E43" s="216">
        <f t="shared" si="0"/>
        <v>41</v>
      </c>
      <c r="F43" s="217">
        <f t="shared" si="1"/>
        <v>812372.02051104826</v>
      </c>
      <c r="G43" s="217">
        <f t="shared" si="2"/>
        <v>805039.25875035592</v>
      </c>
      <c r="H43" s="217">
        <f t="shared" si="3"/>
        <v>1617411.2792614042</v>
      </c>
      <c r="I43" s="217">
        <f t="shared" si="4"/>
        <v>50224589.717907913</v>
      </c>
    </row>
    <row r="44" spans="3:9">
      <c r="C44" s="221">
        <f t="shared" si="8"/>
        <v>2030</v>
      </c>
      <c r="D44" s="212">
        <v>42</v>
      </c>
      <c r="E44" s="216">
        <f t="shared" si="0"/>
        <v>42</v>
      </c>
      <c r="F44" s="217">
        <f t="shared" si="1"/>
        <v>825186.0938207733</v>
      </c>
      <c r="G44" s="217">
        <f t="shared" si="2"/>
        <v>792225.18544063065</v>
      </c>
      <c r="H44" s="217">
        <f t="shared" si="3"/>
        <v>1617411.2792614039</v>
      </c>
      <c r="I44" s="217">
        <f t="shared" si="4"/>
        <v>49399403.62408714</v>
      </c>
    </row>
    <row r="45" spans="3:9">
      <c r="C45" s="221">
        <f t="shared" si="8"/>
        <v>2030</v>
      </c>
      <c r="D45" s="212">
        <v>43</v>
      </c>
      <c r="E45" s="216">
        <f t="shared" si="0"/>
        <v>43</v>
      </c>
      <c r="F45" s="217">
        <f t="shared" si="1"/>
        <v>838202.29185986053</v>
      </c>
      <c r="G45" s="217">
        <f t="shared" si="2"/>
        <v>779208.98740154342</v>
      </c>
      <c r="H45" s="217">
        <f t="shared" si="3"/>
        <v>1617411.2792614039</v>
      </c>
      <c r="I45" s="217">
        <f t="shared" si="4"/>
        <v>48561201.332227282</v>
      </c>
    </row>
    <row r="46" spans="3:9">
      <c r="C46" s="221">
        <f t="shared" si="8"/>
        <v>2030</v>
      </c>
      <c r="D46" s="212">
        <v>44</v>
      </c>
      <c r="E46" s="216">
        <f t="shared" si="0"/>
        <v>44</v>
      </c>
      <c r="F46" s="217">
        <f t="shared" si="1"/>
        <v>851423.80287339247</v>
      </c>
      <c r="G46" s="217">
        <f t="shared" si="2"/>
        <v>765987.47638801159</v>
      </c>
      <c r="H46" s="217">
        <f t="shared" si="3"/>
        <v>1617411.2792614042</v>
      </c>
      <c r="I46" s="217">
        <f t="shared" si="4"/>
        <v>47709777.529353887</v>
      </c>
    </row>
    <row r="47" spans="3:9">
      <c r="C47" s="221">
        <f t="shared" si="8"/>
        <v>2030</v>
      </c>
      <c r="D47" s="212">
        <v>45</v>
      </c>
      <c r="E47" s="216">
        <f t="shared" si="0"/>
        <v>45</v>
      </c>
      <c r="F47" s="217">
        <f t="shared" si="1"/>
        <v>864853.86539671931</v>
      </c>
      <c r="G47" s="217">
        <f t="shared" si="2"/>
        <v>752557.41386468476</v>
      </c>
      <c r="H47" s="217">
        <f t="shared" si="3"/>
        <v>1617411.2792614042</v>
      </c>
      <c r="I47" s="217">
        <f t="shared" si="4"/>
        <v>46844923.663957171</v>
      </c>
    </row>
    <row r="48" spans="3:9">
      <c r="C48" s="221">
        <f t="shared" si="8"/>
        <v>2030</v>
      </c>
      <c r="D48" s="212">
        <v>46</v>
      </c>
      <c r="E48" s="216">
        <f t="shared" si="0"/>
        <v>46</v>
      </c>
      <c r="F48" s="217">
        <f t="shared" si="1"/>
        <v>878495.76904872002</v>
      </c>
      <c r="G48" s="217">
        <f t="shared" si="2"/>
        <v>738915.51021268417</v>
      </c>
      <c r="H48" s="217">
        <f t="shared" si="3"/>
        <v>1617411.2792614042</v>
      </c>
      <c r="I48" s="217">
        <f t="shared" si="4"/>
        <v>45966427.894908451</v>
      </c>
    </row>
    <row r="49" spans="3:9">
      <c r="C49" s="221">
        <f t="shared" si="8"/>
        <v>2030</v>
      </c>
      <c r="D49" s="212">
        <v>47</v>
      </c>
      <c r="E49" s="216">
        <f t="shared" si="0"/>
        <v>47</v>
      </c>
      <c r="F49" s="217">
        <f t="shared" si="1"/>
        <v>892352.85533757578</v>
      </c>
      <c r="G49" s="217">
        <f t="shared" si="2"/>
        <v>725058.42392382829</v>
      </c>
      <c r="H49" s="217">
        <f t="shared" si="3"/>
        <v>1617411.2792614042</v>
      </c>
      <c r="I49" s="217">
        <f t="shared" si="4"/>
        <v>45074075.039570875</v>
      </c>
    </row>
    <row r="50" spans="3:9">
      <c r="C50" s="221">
        <f t="shared" si="8"/>
        <v>2030</v>
      </c>
      <c r="D50" s="212">
        <v>48</v>
      </c>
      <c r="E50" s="216">
        <f t="shared" si="0"/>
        <v>48</v>
      </c>
      <c r="F50" s="217">
        <f t="shared" si="1"/>
        <v>906428.51847925445</v>
      </c>
      <c r="G50" s="217">
        <f t="shared" si="2"/>
        <v>710982.76078214974</v>
      </c>
      <c r="H50" s="217">
        <f t="shared" si="3"/>
        <v>1617411.2792614042</v>
      </c>
      <c r="I50" s="217">
        <f t="shared" si="4"/>
        <v>44167646.521091618</v>
      </c>
    </row>
    <row r="51" spans="3:9">
      <c r="C51" s="221">
        <f>+C50+1</f>
        <v>2031</v>
      </c>
      <c r="D51" s="212">
        <v>49</v>
      </c>
      <c r="E51" s="216">
        <f t="shared" si="0"/>
        <v>49</v>
      </c>
      <c r="F51" s="217">
        <f t="shared" si="1"/>
        <v>920726.20622890384</v>
      </c>
      <c r="G51" s="217">
        <f t="shared" si="2"/>
        <v>696685.07303250022</v>
      </c>
      <c r="H51" s="217">
        <f t="shared" si="3"/>
        <v>1617411.2792614042</v>
      </c>
      <c r="I51" s="217">
        <f t="shared" si="4"/>
        <v>43246920.314862713</v>
      </c>
    </row>
    <row r="52" spans="3:9">
      <c r="C52" s="221">
        <f>+C51</f>
        <v>2031</v>
      </c>
      <c r="D52" s="212">
        <v>50</v>
      </c>
      <c r="E52" s="216">
        <f t="shared" si="0"/>
        <v>50</v>
      </c>
      <c r="F52" s="217">
        <f t="shared" si="1"/>
        <v>935249.42072536109</v>
      </c>
      <c r="G52" s="217">
        <f t="shared" si="2"/>
        <v>682161.85853604286</v>
      </c>
      <c r="H52" s="217">
        <f t="shared" si="3"/>
        <v>1617411.2792614039</v>
      </c>
      <c r="I52" s="217">
        <f t="shared" si="4"/>
        <v>42311670.894137353</v>
      </c>
    </row>
    <row r="53" spans="3:9">
      <c r="C53" s="221">
        <f t="shared" ref="C53:C62" si="9">+C52</f>
        <v>2031</v>
      </c>
      <c r="D53" s="212">
        <v>51</v>
      </c>
      <c r="E53" s="216">
        <f t="shared" si="0"/>
        <v>51</v>
      </c>
      <c r="F53" s="217">
        <f t="shared" si="1"/>
        <v>950001.71934898151</v>
      </c>
      <c r="G53" s="217">
        <f t="shared" si="2"/>
        <v>667409.55991242244</v>
      </c>
      <c r="H53" s="217">
        <f t="shared" si="3"/>
        <v>1617411.2792614039</v>
      </c>
      <c r="I53" s="217">
        <f t="shared" si="4"/>
        <v>41361669.174788371</v>
      </c>
    </row>
    <row r="54" spans="3:9">
      <c r="C54" s="221">
        <f t="shared" si="9"/>
        <v>2031</v>
      </c>
      <c r="D54" s="212">
        <v>52</v>
      </c>
      <c r="E54" s="216">
        <f t="shared" si="0"/>
        <v>52</v>
      </c>
      <c r="F54" s="217">
        <f t="shared" si="1"/>
        <v>964986.71559299901</v>
      </c>
      <c r="G54" s="217">
        <f t="shared" si="2"/>
        <v>652424.56366840506</v>
      </c>
      <c r="H54" s="217">
        <f t="shared" si="3"/>
        <v>1617411.2792614042</v>
      </c>
      <c r="I54" s="217">
        <f t="shared" si="4"/>
        <v>40396682.459195375</v>
      </c>
    </row>
    <row r="55" spans="3:9">
      <c r="C55" s="221">
        <f t="shared" si="9"/>
        <v>2031</v>
      </c>
      <c r="D55" s="212">
        <v>53</v>
      </c>
      <c r="E55" s="216">
        <f t="shared" si="0"/>
        <v>53</v>
      </c>
      <c r="F55" s="217">
        <f t="shared" si="1"/>
        <v>980208.07994863112</v>
      </c>
      <c r="G55" s="217">
        <f t="shared" si="2"/>
        <v>637203.19931277307</v>
      </c>
      <c r="H55" s="217">
        <f t="shared" si="3"/>
        <v>1617411.2792614042</v>
      </c>
      <c r="I55" s="217">
        <f t="shared" si="4"/>
        <v>39416474.379246742</v>
      </c>
    </row>
    <row r="56" spans="3:9">
      <c r="C56" s="221">
        <f t="shared" si="9"/>
        <v>2031</v>
      </c>
      <c r="D56" s="212">
        <v>54</v>
      </c>
      <c r="E56" s="216">
        <f t="shared" si="0"/>
        <v>54</v>
      </c>
      <c r="F56" s="217">
        <f t="shared" si="1"/>
        <v>995669.54080414551</v>
      </c>
      <c r="G56" s="217">
        <f t="shared" si="2"/>
        <v>621741.73845725856</v>
      </c>
      <c r="H56" s="217">
        <f t="shared" si="3"/>
        <v>1617411.2792614042</v>
      </c>
      <c r="I56" s="217">
        <f t="shared" si="4"/>
        <v>38420804.838442594</v>
      </c>
    </row>
    <row r="57" spans="3:9">
      <c r="C57" s="221">
        <f t="shared" si="9"/>
        <v>2031</v>
      </c>
      <c r="D57" s="212">
        <v>55</v>
      </c>
      <c r="E57" s="216">
        <f t="shared" si="0"/>
        <v>55</v>
      </c>
      <c r="F57" s="217">
        <f t="shared" si="1"/>
        <v>1011374.8853581082</v>
      </c>
      <c r="G57" s="217">
        <f t="shared" si="2"/>
        <v>606036.39390329586</v>
      </c>
      <c r="H57" s="217">
        <f t="shared" si="3"/>
        <v>1617411.2792614042</v>
      </c>
      <c r="I57" s="217">
        <f t="shared" si="4"/>
        <v>37409429.953084484</v>
      </c>
    </row>
    <row r="58" spans="3:9">
      <c r="C58" s="221">
        <f t="shared" si="9"/>
        <v>2031</v>
      </c>
      <c r="D58" s="212">
        <v>56</v>
      </c>
      <c r="E58" s="216">
        <f t="shared" si="0"/>
        <v>56</v>
      </c>
      <c r="F58" s="217">
        <f t="shared" si="1"/>
        <v>1027327.9605470358</v>
      </c>
      <c r="G58" s="217">
        <f t="shared" si="2"/>
        <v>590083.31871436827</v>
      </c>
      <c r="H58" s="217">
        <f t="shared" si="3"/>
        <v>1617411.2792614042</v>
      </c>
      <c r="I58" s="217">
        <f t="shared" si="4"/>
        <v>36382101.992537446</v>
      </c>
    </row>
    <row r="59" spans="3:9">
      <c r="C59" s="221">
        <f t="shared" si="9"/>
        <v>2031</v>
      </c>
      <c r="D59" s="212">
        <v>57</v>
      </c>
      <c r="E59" s="216">
        <f t="shared" si="0"/>
        <v>57</v>
      </c>
      <c r="F59" s="217">
        <f t="shared" si="1"/>
        <v>1043532.6739876819</v>
      </c>
      <c r="G59" s="217">
        <f t="shared" si="2"/>
        <v>573878.60527372209</v>
      </c>
      <c r="H59" s="217">
        <f t="shared" si="3"/>
        <v>1617411.2792614039</v>
      </c>
      <c r="I59" s="217">
        <f t="shared" si="4"/>
        <v>35338569.318549767</v>
      </c>
    </row>
    <row r="60" spans="3:9">
      <c r="C60" s="221">
        <f t="shared" si="9"/>
        <v>2031</v>
      </c>
      <c r="D60" s="212">
        <v>58</v>
      </c>
      <c r="E60" s="216">
        <f t="shared" si="0"/>
        <v>58</v>
      </c>
      <c r="F60" s="217">
        <f t="shared" si="1"/>
        <v>1059992.9949341859</v>
      </c>
      <c r="G60" s="217">
        <f t="shared" si="2"/>
        <v>557418.28432721819</v>
      </c>
      <c r="H60" s="217">
        <f t="shared" si="3"/>
        <v>1617411.2792614042</v>
      </c>
      <c r="I60" s="217">
        <f t="shared" si="4"/>
        <v>34278576.323615581</v>
      </c>
    </row>
    <row r="61" spans="3:9">
      <c r="C61" s="221">
        <f t="shared" si="9"/>
        <v>2031</v>
      </c>
      <c r="D61" s="212">
        <v>59</v>
      </c>
      <c r="E61" s="216">
        <f t="shared" si="0"/>
        <v>59</v>
      </c>
      <c r="F61" s="217">
        <f t="shared" si="1"/>
        <v>1076712.9552503193</v>
      </c>
      <c r="G61" s="217">
        <f t="shared" si="2"/>
        <v>540698.32401108474</v>
      </c>
      <c r="H61" s="217">
        <f t="shared" si="3"/>
        <v>1617411.2792614042</v>
      </c>
      <c r="I61" s="217">
        <f t="shared" si="4"/>
        <v>33201863.368365262</v>
      </c>
    </row>
    <row r="62" spans="3:9">
      <c r="C62" s="221">
        <f t="shared" si="9"/>
        <v>2031</v>
      </c>
      <c r="D62" s="212">
        <v>60</v>
      </c>
      <c r="E62" s="216">
        <f t="shared" si="0"/>
        <v>60</v>
      </c>
      <c r="F62" s="217">
        <f t="shared" si="1"/>
        <v>1093696.6503970688</v>
      </c>
      <c r="G62" s="217">
        <f t="shared" si="2"/>
        <v>523714.62886433525</v>
      </c>
      <c r="H62" s="217">
        <f t="shared" si="3"/>
        <v>1617411.2792614042</v>
      </c>
      <c r="I62" s="217">
        <f t="shared" si="4"/>
        <v>32108166.717968192</v>
      </c>
    </row>
    <row r="63" spans="3:9">
      <c r="C63" s="221">
        <f>+C62+1</f>
        <v>2032</v>
      </c>
      <c r="D63" s="212">
        <v>61</v>
      </c>
      <c r="E63" s="216">
        <f t="shared" si="0"/>
        <v>61</v>
      </c>
      <c r="F63" s="217">
        <f t="shared" si="1"/>
        <v>1110948.2404357959</v>
      </c>
      <c r="G63" s="217">
        <f t="shared" si="2"/>
        <v>506463.03882560815</v>
      </c>
      <c r="H63" s="217">
        <f t="shared" si="3"/>
        <v>1617411.2792614039</v>
      </c>
      <c r="I63" s="217">
        <f t="shared" si="4"/>
        <v>30997218.477532394</v>
      </c>
    </row>
    <row r="64" spans="3:9">
      <c r="C64" s="221">
        <f>+C63</f>
        <v>2032</v>
      </c>
      <c r="D64" s="212">
        <v>62</v>
      </c>
      <c r="E64" s="216">
        <f t="shared" si="0"/>
        <v>62</v>
      </c>
      <c r="F64" s="217">
        <f t="shared" si="1"/>
        <v>1128471.9510472212</v>
      </c>
      <c r="G64" s="217">
        <f t="shared" si="2"/>
        <v>488939.32821418275</v>
      </c>
      <c r="H64" s="217">
        <f t="shared" si="3"/>
        <v>1617411.2792614039</v>
      </c>
      <c r="I64" s="217">
        <f t="shared" si="4"/>
        <v>29868746.526485175</v>
      </c>
    </row>
    <row r="65" spans="3:9">
      <c r="C65" s="221">
        <f t="shared" ref="C65:C74" si="10">+C64</f>
        <v>2032</v>
      </c>
      <c r="D65" s="212">
        <v>63</v>
      </c>
      <c r="E65" s="216">
        <f t="shared" si="0"/>
        <v>63</v>
      </c>
      <c r="F65" s="217">
        <f t="shared" si="1"/>
        <v>1146272.0745664816</v>
      </c>
      <c r="G65" s="217">
        <f t="shared" si="2"/>
        <v>471139.20469492237</v>
      </c>
      <c r="H65" s="217">
        <f t="shared" si="3"/>
        <v>1617411.2792614039</v>
      </c>
      <c r="I65" s="217">
        <f t="shared" si="4"/>
        <v>28722474.451918691</v>
      </c>
    </row>
    <row r="66" spans="3:9">
      <c r="C66" s="221">
        <f t="shared" si="10"/>
        <v>2032</v>
      </c>
      <c r="D66" s="212">
        <v>64</v>
      </c>
      <c r="E66" s="216">
        <f t="shared" si="0"/>
        <v>64</v>
      </c>
      <c r="F66" s="217">
        <f t="shared" si="1"/>
        <v>1164352.9710345131</v>
      </c>
      <c r="G66" s="217">
        <f t="shared" si="2"/>
        <v>453058.30822689098</v>
      </c>
      <c r="H66" s="217">
        <f t="shared" si="3"/>
        <v>1617411.2792614042</v>
      </c>
      <c r="I66" s="217">
        <f t="shared" si="4"/>
        <v>27558121.480884179</v>
      </c>
    </row>
    <row r="67" spans="3:9">
      <c r="C67" s="221">
        <f t="shared" si="10"/>
        <v>2032</v>
      </c>
      <c r="D67" s="212">
        <v>65</v>
      </c>
      <c r="E67" s="216">
        <f t="shared" ref="E67:E122" si="11">IF(D67&lt;=$B$2,D67,"")</f>
        <v>65</v>
      </c>
      <c r="F67" s="217">
        <f t="shared" ref="F67:F122" si="12">IF($B$5="FIJA",IF(E67&lt;=$B$4,0,IF(E67&lt;=$B$2,$B$1/($B$2-$B$4),"")),IF(E67&lt;=$B$4,0,IF($B$5="VARIABLE",IF(E67&lt;=$B$2,PPMT($B$3,E67-$B$4,$B$2-$B$4,-$B$1),""))))</f>
        <v>1182719.0692660187</v>
      </c>
      <c r="G67" s="217">
        <f t="shared" ref="G67:G105" si="13">IF(E67&lt;=$B$2,I66*$B$3,"")</f>
        <v>434692.20999538532</v>
      </c>
      <c r="H67" s="217">
        <f t="shared" ref="H67:H122" si="14">IF(E67&lt;=$B$2,F67+G67,"")</f>
        <v>1617411.2792614039</v>
      </c>
      <c r="I67" s="217">
        <f t="shared" ref="I67:I105" si="15">IF(E67&lt;=$B$2,I66-F67,"")</f>
        <v>26375402.411618162</v>
      </c>
    </row>
    <row r="68" spans="3:9">
      <c r="C68" s="221">
        <f t="shared" si="10"/>
        <v>2032</v>
      </c>
      <c r="D68" s="212">
        <v>66</v>
      </c>
      <c r="E68" s="216">
        <f t="shared" si="11"/>
        <v>66</v>
      </c>
      <c r="F68" s="217">
        <f t="shared" si="12"/>
        <v>1201374.8679342826</v>
      </c>
      <c r="G68" s="217">
        <f t="shared" si="13"/>
        <v>416036.41132712155</v>
      </c>
      <c r="H68" s="217">
        <f t="shared" si="14"/>
        <v>1617411.2792614042</v>
      </c>
      <c r="I68" s="217">
        <f t="shared" si="15"/>
        <v>25174027.543683879</v>
      </c>
    </row>
    <row r="69" spans="3:9">
      <c r="C69" s="221">
        <f t="shared" si="10"/>
        <v>2032</v>
      </c>
      <c r="D69" s="212">
        <v>67</v>
      </c>
      <c r="E69" s="216">
        <f t="shared" si="11"/>
        <v>67</v>
      </c>
      <c r="F69" s="217">
        <f t="shared" si="12"/>
        <v>1220324.9366730936</v>
      </c>
      <c r="G69" s="217">
        <f t="shared" si="13"/>
        <v>397086.34258831025</v>
      </c>
      <c r="H69" s="217">
        <f t="shared" si="14"/>
        <v>1617411.2792614037</v>
      </c>
      <c r="I69" s="217">
        <f t="shared" si="15"/>
        <v>23953702.607010785</v>
      </c>
    </row>
    <row r="70" spans="3:9">
      <c r="C70" s="221">
        <f t="shared" si="10"/>
        <v>2032</v>
      </c>
      <c r="D70" s="212">
        <v>68</v>
      </c>
      <c r="E70" s="216">
        <f t="shared" si="11"/>
        <v>68</v>
      </c>
      <c r="F70" s="217">
        <f t="shared" si="12"/>
        <v>1239573.917196054</v>
      </c>
      <c r="G70" s="217">
        <f t="shared" si="13"/>
        <v>377837.36206535023</v>
      </c>
      <c r="H70" s="217">
        <f t="shared" si="14"/>
        <v>1617411.2792614042</v>
      </c>
      <c r="I70" s="217">
        <f t="shared" si="15"/>
        <v>22714128.689814731</v>
      </c>
    </row>
    <row r="71" spans="3:9">
      <c r="C71" s="221">
        <f t="shared" si="10"/>
        <v>2032</v>
      </c>
      <c r="D71" s="212">
        <v>69</v>
      </c>
      <c r="E71" s="216">
        <f t="shared" si="11"/>
        <v>69</v>
      </c>
      <c r="F71" s="217">
        <f t="shared" si="12"/>
        <v>1259126.5244335374</v>
      </c>
      <c r="G71" s="217">
        <f t="shared" si="13"/>
        <v>358284.75482786656</v>
      </c>
      <c r="H71" s="217">
        <f t="shared" si="14"/>
        <v>1617411.2792614039</v>
      </c>
      <c r="I71" s="217">
        <f t="shared" si="15"/>
        <v>21455002.165381193</v>
      </c>
    </row>
    <row r="72" spans="3:9">
      <c r="C72" s="221">
        <f t="shared" si="10"/>
        <v>2032</v>
      </c>
      <c r="D72" s="212">
        <v>70</v>
      </c>
      <c r="E72" s="216">
        <f t="shared" si="11"/>
        <v>70</v>
      </c>
      <c r="F72" s="217">
        <f t="shared" si="12"/>
        <v>1278987.5476875892</v>
      </c>
      <c r="G72" s="217">
        <f t="shared" si="13"/>
        <v>338423.73157381482</v>
      </c>
      <c r="H72" s="217">
        <f t="shared" si="14"/>
        <v>1617411.2792614039</v>
      </c>
      <c r="I72" s="217">
        <f t="shared" si="15"/>
        <v>20176014.617693603</v>
      </c>
    </row>
    <row r="73" spans="3:9">
      <c r="C73" s="221">
        <f t="shared" si="10"/>
        <v>2032</v>
      </c>
      <c r="D73" s="212">
        <v>71</v>
      </c>
      <c r="E73" s="216">
        <f t="shared" si="11"/>
        <v>71</v>
      </c>
      <c r="F73" s="217">
        <f t="shared" si="12"/>
        <v>1299161.8518050357</v>
      </c>
      <c r="G73" s="217">
        <f t="shared" si="13"/>
        <v>318249.42745636817</v>
      </c>
      <c r="H73" s="217">
        <f t="shared" si="14"/>
        <v>1617411.2792614039</v>
      </c>
      <c r="I73" s="217">
        <f t="shared" si="15"/>
        <v>18876852.765888568</v>
      </c>
    </row>
    <row r="74" spans="3:9">
      <c r="C74" s="221">
        <f t="shared" si="10"/>
        <v>2032</v>
      </c>
      <c r="D74" s="212">
        <v>72</v>
      </c>
      <c r="E74" s="216">
        <f t="shared" si="11"/>
        <v>72</v>
      </c>
      <c r="F74" s="217">
        <f t="shared" si="12"/>
        <v>1319654.3783691037</v>
      </c>
      <c r="G74" s="217">
        <f t="shared" si="13"/>
        <v>297756.90089230036</v>
      </c>
      <c r="H74" s="217">
        <f t="shared" si="14"/>
        <v>1617411.2792614039</v>
      </c>
      <c r="I74" s="217">
        <f t="shared" si="15"/>
        <v>17557198.387519464</v>
      </c>
    </row>
    <row r="75" spans="3:9">
      <c r="C75" s="221">
        <f>+C74+1</f>
        <v>2033</v>
      </c>
      <c r="D75" s="212">
        <v>73</v>
      </c>
      <c r="E75" s="216">
        <f t="shared" si="11"/>
        <v>73</v>
      </c>
      <c r="F75" s="217">
        <f t="shared" si="12"/>
        <v>1340470.1469098318</v>
      </c>
      <c r="G75" s="217">
        <f t="shared" si="13"/>
        <v>276941.13235157222</v>
      </c>
      <c r="H75" s="217">
        <f t="shared" si="14"/>
        <v>1617411.2792614039</v>
      </c>
      <c r="I75" s="217">
        <f t="shared" si="15"/>
        <v>16216728.240609633</v>
      </c>
    </row>
    <row r="76" spans="3:9">
      <c r="C76" s="221">
        <f>+C75</f>
        <v>2033</v>
      </c>
      <c r="D76" s="212">
        <v>74</v>
      </c>
      <c r="E76" s="216">
        <f t="shared" si="11"/>
        <v>74</v>
      </c>
      <c r="F76" s="217">
        <f t="shared" si="12"/>
        <v>1361614.2561335778</v>
      </c>
      <c r="G76" s="217">
        <f t="shared" si="13"/>
        <v>255797.02312782631</v>
      </c>
      <c r="H76" s="217">
        <f t="shared" si="14"/>
        <v>1617411.2792614042</v>
      </c>
      <c r="I76" s="217">
        <f t="shared" si="15"/>
        <v>14855113.984476056</v>
      </c>
    </row>
    <row r="77" spans="3:9">
      <c r="C77" s="221">
        <f t="shared" ref="C77:C86" si="16">+C76</f>
        <v>2033</v>
      </c>
      <c r="D77" s="212">
        <v>75</v>
      </c>
      <c r="E77" s="216">
        <f t="shared" si="11"/>
        <v>75</v>
      </c>
      <c r="F77" s="217">
        <f t="shared" si="12"/>
        <v>1383091.8851719173</v>
      </c>
      <c r="G77" s="217">
        <f t="shared" si="13"/>
        <v>234319.39408948677</v>
      </c>
      <c r="H77" s="217">
        <f t="shared" si="14"/>
        <v>1617411.2792614039</v>
      </c>
      <c r="I77" s="217">
        <f t="shared" si="15"/>
        <v>13472022.09930414</v>
      </c>
    </row>
    <row r="78" spans="3:9">
      <c r="C78" s="221">
        <f t="shared" si="16"/>
        <v>2033</v>
      </c>
      <c r="D78" s="212">
        <v>76</v>
      </c>
      <c r="E78" s="216">
        <f t="shared" si="11"/>
        <v>76</v>
      </c>
      <c r="F78" s="217">
        <f t="shared" si="12"/>
        <v>1404908.294850244</v>
      </c>
      <c r="G78" s="217">
        <f t="shared" si="13"/>
        <v>212502.98441116008</v>
      </c>
      <c r="H78" s="217">
        <f t="shared" si="14"/>
        <v>1617411.2792614039</v>
      </c>
      <c r="I78" s="217">
        <f t="shared" si="15"/>
        <v>12067113.804453896</v>
      </c>
    </row>
    <row r="79" spans="3:9">
      <c r="C79" s="221">
        <f t="shared" si="16"/>
        <v>2033</v>
      </c>
      <c r="D79" s="212">
        <v>77</v>
      </c>
      <c r="E79" s="216">
        <f t="shared" si="11"/>
        <v>77</v>
      </c>
      <c r="F79" s="217">
        <f t="shared" si="12"/>
        <v>1427068.8289763788</v>
      </c>
      <c r="G79" s="217">
        <f t="shared" si="13"/>
        <v>190342.45028502535</v>
      </c>
      <c r="H79" s="217">
        <f t="shared" si="14"/>
        <v>1617411.2792614042</v>
      </c>
      <c r="I79" s="217">
        <f t="shared" si="15"/>
        <v>10640044.975477517</v>
      </c>
    </row>
    <row r="80" spans="3:9">
      <c r="C80" s="221">
        <f t="shared" si="16"/>
        <v>2033</v>
      </c>
      <c r="D80" s="212">
        <v>78</v>
      </c>
      <c r="E80" s="216">
        <f t="shared" si="11"/>
        <v>78</v>
      </c>
      <c r="F80" s="217">
        <f t="shared" si="12"/>
        <v>1449578.9156495058</v>
      </c>
      <c r="G80" s="217">
        <f t="shared" si="13"/>
        <v>167832.36361189824</v>
      </c>
      <c r="H80" s="217">
        <f t="shared" si="14"/>
        <v>1617411.2792614039</v>
      </c>
      <c r="I80" s="217">
        <f t="shared" si="15"/>
        <v>9190466.0598280113</v>
      </c>
    </row>
    <row r="81" spans="3:9">
      <c r="C81" s="221">
        <f t="shared" si="16"/>
        <v>2033</v>
      </c>
      <c r="D81" s="212">
        <v>79</v>
      </c>
      <c r="E81" s="216">
        <f t="shared" si="11"/>
        <v>79</v>
      </c>
      <c r="F81" s="217">
        <f t="shared" si="12"/>
        <v>1472444.0685897556</v>
      </c>
      <c r="G81" s="217">
        <f t="shared" si="13"/>
        <v>144967.21067164853</v>
      </c>
      <c r="H81" s="217">
        <f t="shared" si="14"/>
        <v>1617411.2792614042</v>
      </c>
      <c r="I81" s="217">
        <f t="shared" si="15"/>
        <v>7718021.991238256</v>
      </c>
    </row>
    <row r="82" spans="3:9">
      <c r="C82" s="221">
        <f t="shared" si="16"/>
        <v>2033</v>
      </c>
      <c r="D82" s="212">
        <v>80</v>
      </c>
      <c r="E82" s="216">
        <f t="shared" si="11"/>
        <v>80</v>
      </c>
      <c r="F82" s="217">
        <f t="shared" si="12"/>
        <v>1495669.8884887591</v>
      </c>
      <c r="G82" s="217">
        <f t="shared" si="13"/>
        <v>121741.39077264495</v>
      </c>
      <c r="H82" s="217">
        <f t="shared" si="14"/>
        <v>1617411.2792614039</v>
      </c>
      <c r="I82" s="217">
        <f t="shared" si="15"/>
        <v>6222352.1027494967</v>
      </c>
    </row>
    <row r="83" spans="3:9">
      <c r="C83" s="221">
        <f t="shared" si="16"/>
        <v>2033</v>
      </c>
      <c r="D83" s="212">
        <v>81</v>
      </c>
      <c r="E83" s="216">
        <f t="shared" si="11"/>
        <v>81</v>
      </c>
      <c r="F83" s="217">
        <f t="shared" si="12"/>
        <v>1519262.0643815068</v>
      </c>
      <c r="G83" s="217">
        <f t="shared" si="13"/>
        <v>98149.214879897176</v>
      </c>
      <c r="H83" s="217">
        <f t="shared" si="14"/>
        <v>1617411.2792614039</v>
      </c>
      <c r="I83" s="217">
        <f t="shared" si="15"/>
        <v>4703090.0383679904</v>
      </c>
    </row>
    <row r="84" spans="3:9">
      <c r="C84" s="221">
        <f t="shared" si="16"/>
        <v>2033</v>
      </c>
      <c r="D84" s="212">
        <v>82</v>
      </c>
      <c r="E84" s="216">
        <f t="shared" si="11"/>
        <v>82</v>
      </c>
      <c r="F84" s="217">
        <f t="shared" si="12"/>
        <v>1543226.3750398457</v>
      </c>
      <c r="G84" s="217">
        <f t="shared" si="13"/>
        <v>74184.904221558376</v>
      </c>
      <c r="H84" s="217">
        <f t="shared" si="14"/>
        <v>1617411.2792614042</v>
      </c>
      <c r="I84" s="217">
        <f t="shared" si="15"/>
        <v>3159863.6633281447</v>
      </c>
    </row>
    <row r="85" spans="3:9">
      <c r="C85" s="221">
        <f t="shared" si="16"/>
        <v>2033</v>
      </c>
      <c r="D85" s="212">
        <v>83</v>
      </c>
      <c r="E85" s="216">
        <f t="shared" si="11"/>
        <v>83</v>
      </c>
      <c r="F85" s="217">
        <f t="shared" si="12"/>
        <v>1567568.6903879568</v>
      </c>
      <c r="G85" s="217">
        <f t="shared" si="13"/>
        <v>49842.588873447246</v>
      </c>
      <c r="H85" s="217">
        <f t="shared" si="14"/>
        <v>1617411.2792614039</v>
      </c>
      <c r="I85" s="217">
        <f t="shared" si="15"/>
        <v>1592294.9729401879</v>
      </c>
    </row>
    <row r="86" spans="3:9">
      <c r="C86" s="221">
        <f t="shared" si="16"/>
        <v>2033</v>
      </c>
      <c r="D86" s="212">
        <v>84</v>
      </c>
      <c r="E86" s="216">
        <f t="shared" si="11"/>
        <v>84</v>
      </c>
      <c r="F86" s="217">
        <f t="shared" si="12"/>
        <v>1592294.9729401611</v>
      </c>
      <c r="G86" s="217">
        <f t="shared" si="13"/>
        <v>25116.306321242952</v>
      </c>
      <c r="H86" s="217">
        <f t="shared" si="14"/>
        <v>1617411.2792614042</v>
      </c>
      <c r="I86" s="217">
        <f t="shared" si="15"/>
        <v>2.6775524020195007E-8</v>
      </c>
    </row>
    <row r="87" spans="3:9">
      <c r="C87" s="221">
        <f>+C86+1</f>
        <v>2034</v>
      </c>
      <c r="D87" s="212">
        <v>85</v>
      </c>
      <c r="E87" s="216" t="str">
        <f t="shared" si="11"/>
        <v/>
      </c>
      <c r="F87" s="217" t="str">
        <f t="shared" si="12"/>
        <v/>
      </c>
      <c r="G87" s="217" t="str">
        <f t="shared" si="13"/>
        <v/>
      </c>
      <c r="H87" s="217" t="str">
        <f t="shared" si="14"/>
        <v/>
      </c>
      <c r="I87" s="217" t="str">
        <f t="shared" si="15"/>
        <v/>
      </c>
    </row>
    <row r="88" spans="3:9">
      <c r="C88" s="221">
        <f>+C87</f>
        <v>2034</v>
      </c>
      <c r="D88" s="212">
        <v>86</v>
      </c>
      <c r="E88" s="216" t="str">
        <f t="shared" si="11"/>
        <v/>
      </c>
      <c r="F88" s="217" t="str">
        <f t="shared" si="12"/>
        <v/>
      </c>
      <c r="G88" s="217" t="str">
        <f t="shared" si="13"/>
        <v/>
      </c>
      <c r="H88" s="217" t="str">
        <f t="shared" si="14"/>
        <v/>
      </c>
      <c r="I88" s="217" t="str">
        <f t="shared" si="15"/>
        <v/>
      </c>
    </row>
    <row r="89" spans="3:9">
      <c r="C89" s="221">
        <f t="shared" ref="C89:C98" si="17">+C88</f>
        <v>2034</v>
      </c>
      <c r="D89" s="212">
        <v>87</v>
      </c>
      <c r="E89" s="216" t="str">
        <f t="shared" si="11"/>
        <v/>
      </c>
      <c r="F89" s="217" t="str">
        <f t="shared" si="12"/>
        <v/>
      </c>
      <c r="G89" s="217" t="str">
        <f t="shared" si="13"/>
        <v/>
      </c>
      <c r="H89" s="217" t="str">
        <f t="shared" si="14"/>
        <v/>
      </c>
      <c r="I89" s="217" t="str">
        <f t="shared" si="15"/>
        <v/>
      </c>
    </row>
    <row r="90" spans="3:9">
      <c r="C90" s="221">
        <f t="shared" si="17"/>
        <v>2034</v>
      </c>
      <c r="D90" s="212">
        <v>88</v>
      </c>
      <c r="E90" s="216" t="str">
        <f t="shared" si="11"/>
        <v/>
      </c>
      <c r="F90" s="217" t="str">
        <f t="shared" si="12"/>
        <v/>
      </c>
      <c r="G90" s="217" t="str">
        <f t="shared" si="13"/>
        <v/>
      </c>
      <c r="H90" s="217" t="str">
        <f t="shared" si="14"/>
        <v/>
      </c>
      <c r="I90" s="217" t="str">
        <f t="shared" si="15"/>
        <v/>
      </c>
    </row>
    <row r="91" spans="3:9">
      <c r="C91" s="221">
        <f t="shared" si="17"/>
        <v>2034</v>
      </c>
      <c r="D91" s="212">
        <v>89</v>
      </c>
      <c r="E91" s="216" t="str">
        <f t="shared" si="11"/>
        <v/>
      </c>
      <c r="F91" s="217" t="str">
        <f t="shared" si="12"/>
        <v/>
      </c>
      <c r="G91" s="217" t="str">
        <f t="shared" si="13"/>
        <v/>
      </c>
      <c r="H91" s="217" t="str">
        <f t="shared" si="14"/>
        <v/>
      </c>
      <c r="I91" s="217" t="str">
        <f t="shared" si="15"/>
        <v/>
      </c>
    </row>
    <row r="92" spans="3:9">
      <c r="C92" s="221">
        <f t="shared" si="17"/>
        <v>2034</v>
      </c>
      <c r="D92" s="212">
        <v>90</v>
      </c>
      <c r="E92" s="216" t="str">
        <f t="shared" si="11"/>
        <v/>
      </c>
      <c r="F92" s="217" t="str">
        <f t="shared" si="12"/>
        <v/>
      </c>
      <c r="G92" s="217" t="str">
        <f t="shared" si="13"/>
        <v/>
      </c>
      <c r="H92" s="217" t="str">
        <f t="shared" si="14"/>
        <v/>
      </c>
      <c r="I92" s="217" t="str">
        <f t="shared" si="15"/>
        <v/>
      </c>
    </row>
    <row r="93" spans="3:9">
      <c r="C93" s="221">
        <f t="shared" si="17"/>
        <v>2034</v>
      </c>
      <c r="D93" s="212">
        <v>91</v>
      </c>
      <c r="E93" s="216" t="str">
        <f t="shared" si="11"/>
        <v/>
      </c>
      <c r="F93" s="217" t="str">
        <f t="shared" si="12"/>
        <v/>
      </c>
      <c r="G93" s="217" t="str">
        <f t="shared" si="13"/>
        <v/>
      </c>
      <c r="H93" s="217" t="str">
        <f t="shared" si="14"/>
        <v/>
      </c>
      <c r="I93" s="217" t="str">
        <f t="shared" si="15"/>
        <v/>
      </c>
    </row>
    <row r="94" spans="3:9">
      <c r="C94" s="221">
        <f t="shared" si="17"/>
        <v>2034</v>
      </c>
      <c r="D94" s="212">
        <v>92</v>
      </c>
      <c r="E94" s="216" t="str">
        <f t="shared" si="11"/>
        <v/>
      </c>
      <c r="F94" s="217" t="str">
        <f t="shared" si="12"/>
        <v/>
      </c>
      <c r="G94" s="217" t="str">
        <f t="shared" si="13"/>
        <v/>
      </c>
      <c r="H94" s="217" t="str">
        <f t="shared" si="14"/>
        <v/>
      </c>
      <c r="I94" s="217" t="str">
        <f t="shared" si="15"/>
        <v/>
      </c>
    </row>
    <row r="95" spans="3:9">
      <c r="C95" s="221">
        <f t="shared" si="17"/>
        <v>2034</v>
      </c>
      <c r="D95" s="212">
        <v>93</v>
      </c>
      <c r="E95" s="216" t="str">
        <f t="shared" si="11"/>
        <v/>
      </c>
      <c r="F95" s="217" t="str">
        <f t="shared" si="12"/>
        <v/>
      </c>
      <c r="G95" s="217" t="str">
        <f t="shared" si="13"/>
        <v/>
      </c>
      <c r="H95" s="217" t="str">
        <f t="shared" si="14"/>
        <v/>
      </c>
      <c r="I95" s="217" t="str">
        <f t="shared" si="15"/>
        <v/>
      </c>
    </row>
    <row r="96" spans="3:9">
      <c r="C96" s="221">
        <f t="shared" si="17"/>
        <v>2034</v>
      </c>
      <c r="D96" s="212">
        <v>94</v>
      </c>
      <c r="E96" s="216" t="str">
        <f t="shared" si="11"/>
        <v/>
      </c>
      <c r="F96" s="217" t="str">
        <f t="shared" si="12"/>
        <v/>
      </c>
      <c r="G96" s="217" t="str">
        <f t="shared" si="13"/>
        <v/>
      </c>
      <c r="H96" s="217" t="str">
        <f t="shared" si="14"/>
        <v/>
      </c>
      <c r="I96" s="217" t="str">
        <f t="shared" si="15"/>
        <v/>
      </c>
    </row>
    <row r="97" spans="3:9">
      <c r="C97" s="221">
        <f t="shared" si="17"/>
        <v>2034</v>
      </c>
      <c r="D97" s="212">
        <v>95</v>
      </c>
      <c r="E97" s="216" t="str">
        <f t="shared" si="11"/>
        <v/>
      </c>
      <c r="F97" s="217" t="str">
        <f t="shared" si="12"/>
        <v/>
      </c>
      <c r="G97" s="217" t="str">
        <f t="shared" si="13"/>
        <v/>
      </c>
      <c r="H97" s="217" t="str">
        <f t="shared" si="14"/>
        <v/>
      </c>
      <c r="I97" s="217" t="str">
        <f t="shared" si="15"/>
        <v/>
      </c>
    </row>
    <row r="98" spans="3:9">
      <c r="C98" s="221">
        <f t="shared" si="17"/>
        <v>2034</v>
      </c>
      <c r="D98" s="212">
        <v>96</v>
      </c>
      <c r="E98" s="216" t="str">
        <f t="shared" si="11"/>
        <v/>
      </c>
      <c r="F98" s="217" t="str">
        <f t="shared" si="12"/>
        <v/>
      </c>
      <c r="G98" s="217" t="str">
        <f t="shared" si="13"/>
        <v/>
      </c>
      <c r="H98" s="217" t="str">
        <f t="shared" si="14"/>
        <v/>
      </c>
      <c r="I98" s="217" t="str">
        <f t="shared" si="15"/>
        <v/>
      </c>
    </row>
    <row r="99" spans="3:9">
      <c r="D99" s="212">
        <v>97</v>
      </c>
      <c r="E99" s="216" t="str">
        <f t="shared" si="11"/>
        <v/>
      </c>
      <c r="F99" s="217" t="str">
        <f t="shared" si="12"/>
        <v/>
      </c>
      <c r="G99" s="217" t="str">
        <f t="shared" si="13"/>
        <v/>
      </c>
      <c r="H99" s="217" t="str">
        <f t="shared" si="14"/>
        <v/>
      </c>
      <c r="I99" s="217" t="str">
        <f t="shared" si="15"/>
        <v/>
      </c>
    </row>
    <row r="100" spans="3:9">
      <c r="D100" s="212">
        <v>98</v>
      </c>
      <c r="E100" s="216" t="str">
        <f t="shared" si="11"/>
        <v/>
      </c>
      <c r="F100" s="217" t="str">
        <f t="shared" si="12"/>
        <v/>
      </c>
      <c r="G100" s="217" t="str">
        <f t="shared" si="13"/>
        <v/>
      </c>
      <c r="H100" s="217" t="str">
        <f t="shared" si="14"/>
        <v/>
      </c>
      <c r="I100" s="217" t="str">
        <f t="shared" si="15"/>
        <v/>
      </c>
    </row>
    <row r="101" spans="3:9">
      <c r="D101" s="212">
        <v>99</v>
      </c>
      <c r="E101" s="216" t="str">
        <f t="shared" si="11"/>
        <v/>
      </c>
      <c r="F101" s="217" t="str">
        <f t="shared" si="12"/>
        <v/>
      </c>
      <c r="G101" s="217" t="str">
        <f t="shared" si="13"/>
        <v/>
      </c>
      <c r="H101" s="217" t="str">
        <f t="shared" si="14"/>
        <v/>
      </c>
      <c r="I101" s="217" t="str">
        <f t="shared" si="15"/>
        <v/>
      </c>
    </row>
    <row r="102" spans="3:9">
      <c r="D102" s="212">
        <v>100</v>
      </c>
      <c r="E102" s="216" t="str">
        <f t="shared" si="11"/>
        <v/>
      </c>
      <c r="F102" s="217" t="str">
        <f t="shared" si="12"/>
        <v/>
      </c>
      <c r="G102" s="217" t="str">
        <f t="shared" si="13"/>
        <v/>
      </c>
      <c r="H102" s="217" t="str">
        <f t="shared" si="14"/>
        <v/>
      </c>
      <c r="I102" s="217" t="str">
        <f t="shared" si="15"/>
        <v/>
      </c>
    </row>
    <row r="103" spans="3:9">
      <c r="D103" s="212">
        <v>101</v>
      </c>
      <c r="E103" s="216" t="str">
        <f t="shared" si="11"/>
        <v/>
      </c>
      <c r="F103" s="217" t="str">
        <f t="shared" si="12"/>
        <v/>
      </c>
      <c r="G103" s="217" t="str">
        <f t="shared" si="13"/>
        <v/>
      </c>
      <c r="H103" s="217" t="str">
        <f t="shared" si="14"/>
        <v/>
      </c>
      <c r="I103" s="217" t="str">
        <f t="shared" si="15"/>
        <v/>
      </c>
    </row>
    <row r="104" spans="3:9">
      <c r="D104" s="212">
        <v>102</v>
      </c>
      <c r="E104" s="216" t="str">
        <f t="shared" si="11"/>
        <v/>
      </c>
      <c r="F104" s="217" t="str">
        <f t="shared" si="12"/>
        <v/>
      </c>
      <c r="G104" s="217" t="str">
        <f t="shared" si="13"/>
        <v/>
      </c>
      <c r="H104" s="217" t="str">
        <f t="shared" si="14"/>
        <v/>
      </c>
      <c r="I104" s="217" t="str">
        <f t="shared" si="15"/>
        <v/>
      </c>
    </row>
    <row r="105" spans="3:9">
      <c r="D105" s="212">
        <v>103</v>
      </c>
      <c r="E105" s="216" t="str">
        <f t="shared" si="11"/>
        <v/>
      </c>
      <c r="F105" s="217" t="str">
        <f t="shared" si="12"/>
        <v/>
      </c>
      <c r="G105" s="217" t="str">
        <f t="shared" si="13"/>
        <v/>
      </c>
      <c r="H105" s="217" t="str">
        <f t="shared" si="14"/>
        <v/>
      </c>
      <c r="I105" s="217" t="str">
        <f t="shared" si="15"/>
        <v/>
      </c>
    </row>
    <row r="106" spans="3:9">
      <c r="D106" s="212">
        <v>104</v>
      </c>
      <c r="E106" s="216" t="str">
        <f t="shared" si="11"/>
        <v/>
      </c>
      <c r="F106" s="217" t="str">
        <f t="shared" si="12"/>
        <v/>
      </c>
      <c r="G106" s="217" t="s">
        <v>515</v>
      </c>
      <c r="H106" s="217" t="str">
        <f t="shared" si="14"/>
        <v/>
      </c>
      <c r="I106" s="217" t="s">
        <v>515</v>
      </c>
    </row>
    <row r="107" spans="3:9">
      <c r="D107" s="212">
        <v>105</v>
      </c>
      <c r="E107" s="216" t="str">
        <f t="shared" si="11"/>
        <v/>
      </c>
      <c r="F107" s="217" t="str">
        <f t="shared" si="12"/>
        <v/>
      </c>
      <c r="G107" s="217" t="s">
        <v>515</v>
      </c>
      <c r="H107" s="217" t="str">
        <f t="shared" si="14"/>
        <v/>
      </c>
      <c r="I107" s="217" t="s">
        <v>515</v>
      </c>
    </row>
    <row r="108" spans="3:9">
      <c r="D108" s="212">
        <v>106</v>
      </c>
      <c r="E108" s="216" t="str">
        <f t="shared" si="11"/>
        <v/>
      </c>
      <c r="F108" s="217" t="str">
        <f t="shared" si="12"/>
        <v/>
      </c>
      <c r="G108" s="217" t="s">
        <v>515</v>
      </c>
      <c r="H108" s="217" t="str">
        <f t="shared" si="14"/>
        <v/>
      </c>
      <c r="I108" s="217" t="s">
        <v>515</v>
      </c>
    </row>
    <row r="109" spans="3:9">
      <c r="D109" s="212">
        <v>107</v>
      </c>
      <c r="E109" s="216" t="str">
        <f t="shared" si="11"/>
        <v/>
      </c>
      <c r="F109" s="217" t="str">
        <f t="shared" si="12"/>
        <v/>
      </c>
      <c r="G109" s="217" t="s">
        <v>515</v>
      </c>
      <c r="H109" s="217" t="str">
        <f t="shared" si="14"/>
        <v/>
      </c>
      <c r="I109" s="217" t="s">
        <v>515</v>
      </c>
    </row>
    <row r="110" spans="3:9">
      <c r="D110" s="212">
        <v>108</v>
      </c>
      <c r="E110" s="216" t="str">
        <f t="shared" si="11"/>
        <v/>
      </c>
      <c r="F110" s="217" t="str">
        <f t="shared" si="12"/>
        <v/>
      </c>
      <c r="G110" s="217" t="s">
        <v>515</v>
      </c>
      <c r="H110" s="217" t="str">
        <f t="shared" si="14"/>
        <v/>
      </c>
      <c r="I110" s="217" t="s">
        <v>515</v>
      </c>
    </row>
    <row r="111" spans="3:9">
      <c r="D111" s="212">
        <v>109</v>
      </c>
      <c r="E111" s="216" t="str">
        <f t="shared" si="11"/>
        <v/>
      </c>
      <c r="F111" s="217" t="str">
        <f t="shared" si="12"/>
        <v/>
      </c>
      <c r="G111" s="217" t="s">
        <v>515</v>
      </c>
      <c r="H111" s="217" t="str">
        <f t="shared" si="14"/>
        <v/>
      </c>
      <c r="I111" s="217" t="s">
        <v>515</v>
      </c>
    </row>
    <row r="112" spans="3:9">
      <c r="D112" s="212">
        <v>110</v>
      </c>
      <c r="E112" s="216" t="str">
        <f t="shared" si="11"/>
        <v/>
      </c>
      <c r="F112" s="217" t="str">
        <f t="shared" si="12"/>
        <v/>
      </c>
      <c r="G112" s="217" t="s">
        <v>515</v>
      </c>
      <c r="H112" s="217" t="str">
        <f t="shared" si="14"/>
        <v/>
      </c>
      <c r="I112" s="217" t="s">
        <v>515</v>
      </c>
    </row>
    <row r="113" spans="4:9">
      <c r="D113" s="212">
        <v>111</v>
      </c>
      <c r="E113" s="216" t="str">
        <f t="shared" si="11"/>
        <v/>
      </c>
      <c r="F113" s="217" t="str">
        <f t="shared" si="12"/>
        <v/>
      </c>
      <c r="G113" s="217" t="s">
        <v>515</v>
      </c>
      <c r="H113" s="217" t="str">
        <f t="shared" si="14"/>
        <v/>
      </c>
      <c r="I113" s="217" t="s">
        <v>515</v>
      </c>
    </row>
    <row r="114" spans="4:9">
      <c r="D114" s="212">
        <v>112</v>
      </c>
      <c r="E114" s="216" t="str">
        <f t="shared" si="11"/>
        <v/>
      </c>
      <c r="F114" s="217" t="str">
        <f t="shared" si="12"/>
        <v/>
      </c>
      <c r="G114" s="217" t="s">
        <v>515</v>
      </c>
      <c r="H114" s="217" t="str">
        <f t="shared" si="14"/>
        <v/>
      </c>
      <c r="I114" s="217" t="s">
        <v>515</v>
      </c>
    </row>
    <row r="115" spans="4:9">
      <c r="D115" s="212">
        <v>113</v>
      </c>
      <c r="E115" s="216" t="str">
        <f t="shared" si="11"/>
        <v/>
      </c>
      <c r="F115" s="217" t="str">
        <f t="shared" si="12"/>
        <v/>
      </c>
      <c r="G115" s="217" t="s">
        <v>515</v>
      </c>
      <c r="H115" s="217" t="str">
        <f t="shared" si="14"/>
        <v/>
      </c>
      <c r="I115" s="217" t="s">
        <v>515</v>
      </c>
    </row>
    <row r="116" spans="4:9">
      <c r="D116" s="212">
        <v>114</v>
      </c>
      <c r="E116" s="216" t="str">
        <f t="shared" si="11"/>
        <v/>
      </c>
      <c r="F116" s="217" t="str">
        <f t="shared" si="12"/>
        <v/>
      </c>
      <c r="G116" s="217" t="s">
        <v>515</v>
      </c>
      <c r="H116" s="217" t="str">
        <f t="shared" si="14"/>
        <v/>
      </c>
      <c r="I116" s="217" t="s">
        <v>515</v>
      </c>
    </row>
    <row r="117" spans="4:9">
      <c r="D117" s="212">
        <v>115</v>
      </c>
      <c r="E117" s="216" t="str">
        <f t="shared" si="11"/>
        <v/>
      </c>
      <c r="F117" s="217" t="str">
        <f t="shared" si="12"/>
        <v/>
      </c>
      <c r="G117" s="217" t="s">
        <v>515</v>
      </c>
      <c r="H117" s="217" t="str">
        <f t="shared" si="14"/>
        <v/>
      </c>
      <c r="I117" s="217" t="s">
        <v>515</v>
      </c>
    </row>
    <row r="118" spans="4:9">
      <c r="D118" s="212">
        <v>116</v>
      </c>
      <c r="E118" s="216" t="str">
        <f t="shared" si="11"/>
        <v/>
      </c>
      <c r="F118" s="217" t="str">
        <f t="shared" si="12"/>
        <v/>
      </c>
      <c r="G118" s="217" t="s">
        <v>515</v>
      </c>
      <c r="H118" s="217" t="str">
        <f t="shared" si="14"/>
        <v/>
      </c>
      <c r="I118" s="217" t="s">
        <v>515</v>
      </c>
    </row>
    <row r="119" spans="4:9">
      <c r="D119" s="212">
        <v>117</v>
      </c>
      <c r="E119" s="216" t="str">
        <f t="shared" si="11"/>
        <v/>
      </c>
      <c r="F119" s="217" t="str">
        <f t="shared" si="12"/>
        <v/>
      </c>
      <c r="G119" s="217" t="s">
        <v>515</v>
      </c>
      <c r="H119" s="217" t="str">
        <f t="shared" si="14"/>
        <v/>
      </c>
      <c r="I119" s="217" t="s">
        <v>515</v>
      </c>
    </row>
    <row r="120" spans="4:9">
      <c r="D120" s="212">
        <v>118</v>
      </c>
      <c r="E120" s="216" t="str">
        <f t="shared" si="11"/>
        <v/>
      </c>
      <c r="F120" s="217" t="str">
        <f t="shared" si="12"/>
        <v/>
      </c>
      <c r="G120" s="217" t="s">
        <v>515</v>
      </c>
      <c r="H120" s="217" t="str">
        <f t="shared" si="14"/>
        <v/>
      </c>
      <c r="I120" s="217" t="s">
        <v>515</v>
      </c>
    </row>
    <row r="121" spans="4:9">
      <c r="D121" s="212">
        <v>119</v>
      </c>
      <c r="E121" s="216" t="str">
        <f t="shared" si="11"/>
        <v/>
      </c>
      <c r="F121" s="217" t="str">
        <f t="shared" si="12"/>
        <v/>
      </c>
      <c r="G121" s="217" t="s">
        <v>515</v>
      </c>
      <c r="H121" s="217" t="str">
        <f t="shared" si="14"/>
        <v/>
      </c>
      <c r="I121" s="217" t="s">
        <v>515</v>
      </c>
    </row>
    <row r="122" spans="4:9">
      <c r="D122" s="212">
        <v>120</v>
      </c>
      <c r="E122" s="216" t="str">
        <f t="shared" si="11"/>
        <v/>
      </c>
      <c r="F122" s="217" t="str">
        <f t="shared" si="12"/>
        <v/>
      </c>
      <c r="G122" s="217" t="s">
        <v>515</v>
      </c>
      <c r="H122" s="217" t="str">
        <f t="shared" si="14"/>
        <v/>
      </c>
      <c r="I122" s="217" t="s">
        <v>515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5231-CA61-48DF-9A98-8233714CEE29}">
  <sheetPr codeName="Hoja6"/>
  <dimension ref="B2:J22"/>
  <sheetViews>
    <sheetView topLeftCell="A7" zoomScale="85" zoomScaleNormal="85" workbookViewId="0">
      <selection activeCell="M28" sqref="M28"/>
    </sheetView>
  </sheetViews>
  <sheetFormatPr baseColWidth="10" defaultColWidth="11.453125" defaultRowHeight="14.5"/>
  <cols>
    <col min="1" max="1" width="11.453125" style="1"/>
    <col min="2" max="2" width="19" style="1" bestFit="1" customWidth="1"/>
    <col min="3" max="3" width="14.453125" style="1" bestFit="1" customWidth="1"/>
    <col min="4" max="4" width="9.7265625" style="1" bestFit="1" customWidth="1"/>
    <col min="5" max="5" width="12.453125" style="1" bestFit="1" customWidth="1"/>
    <col min="6" max="6" width="20" style="1" bestFit="1" customWidth="1"/>
    <col min="7" max="16384" width="11.453125" style="1"/>
  </cols>
  <sheetData>
    <row r="2" spans="2:10">
      <c r="B2" s="2" t="s">
        <v>0</v>
      </c>
    </row>
    <row r="3" spans="2:10">
      <c r="B3" s="1" t="str">
        <f>+Financiacion!C3</f>
        <v>Salón de onces</v>
      </c>
    </row>
    <row r="4" spans="2:10" ht="15" thickBot="1"/>
    <row r="5" spans="2:10" ht="20">
      <c r="B5" s="980" t="str">
        <f>B3</f>
        <v>Salón de onces</v>
      </c>
      <c r="C5" s="981"/>
      <c r="D5" s="981"/>
      <c r="E5" s="981"/>
      <c r="F5" s="982"/>
    </row>
    <row r="6" spans="2:10" ht="19" thickBot="1">
      <c r="B6" s="983" t="s">
        <v>254</v>
      </c>
      <c r="C6" s="984"/>
      <c r="D6" s="984"/>
      <c r="E6" s="984"/>
      <c r="F6" s="985"/>
    </row>
    <row r="7" spans="2:10" ht="15" thickBot="1"/>
    <row r="8" spans="2:10" ht="15" thickBot="1">
      <c r="B8" s="986" t="s">
        <v>255</v>
      </c>
      <c r="C8" s="987"/>
      <c r="D8" s="987"/>
      <c r="E8" s="987"/>
      <c r="F8" s="988"/>
    </row>
    <row r="9" spans="2:10" ht="15" thickBot="1">
      <c r="B9" s="28" t="s">
        <v>256</v>
      </c>
      <c r="C9" s="38" t="s">
        <v>50</v>
      </c>
      <c r="D9" s="38" t="s">
        <v>257</v>
      </c>
      <c r="E9" s="38" t="s">
        <v>58</v>
      </c>
      <c r="F9" s="39" t="s">
        <v>258</v>
      </c>
      <c r="J9" s="24"/>
    </row>
    <row r="10" spans="2:10">
      <c r="B10" s="34" t="str">
        <f>Financiacion!C8</f>
        <v>Crédito 2</v>
      </c>
      <c r="C10" s="128">
        <f>Financiacion!D8</f>
        <v>14351781.599999996</v>
      </c>
      <c r="D10" s="41">
        <f>Financiacion!F8</f>
        <v>0.14030000000000001</v>
      </c>
      <c r="E10" s="32">
        <f>C10/$C$11</f>
        <v>1</v>
      </c>
      <c r="F10" s="41">
        <f>D10*E10</f>
        <v>0.14030000000000001</v>
      </c>
    </row>
    <row r="11" spans="2:10" ht="18.5">
      <c r="C11" s="130">
        <f>SUM(C10:C10)</f>
        <v>14351781.599999996</v>
      </c>
      <c r="E11" s="131">
        <f>SUM(E10:E10)</f>
        <v>1</v>
      </c>
      <c r="F11" s="132">
        <f>SUM(F10:F10)</f>
        <v>0.14030000000000001</v>
      </c>
      <c r="G11" s="3" t="s">
        <v>259</v>
      </c>
    </row>
    <row r="12" spans="2:10" ht="15" thickBot="1"/>
    <row r="13" spans="2:10" ht="15" thickBot="1">
      <c r="B13" s="986" t="s">
        <v>260</v>
      </c>
      <c r="C13" s="987"/>
      <c r="D13" s="987"/>
      <c r="E13" s="987"/>
      <c r="F13" s="988"/>
    </row>
    <row r="14" spans="2:10" ht="15" thickBot="1">
      <c r="B14" s="28" t="s">
        <v>256</v>
      </c>
      <c r="C14" s="38" t="s">
        <v>50</v>
      </c>
      <c r="D14" s="38" t="s">
        <v>257</v>
      </c>
      <c r="E14" s="38" t="s">
        <v>58</v>
      </c>
      <c r="F14" s="39" t="s">
        <v>258</v>
      </c>
      <c r="J14" s="23"/>
    </row>
    <row r="15" spans="2:10">
      <c r="B15" s="34" t="str">
        <f>Financiacion!C7</f>
        <v>Crédito 1</v>
      </c>
      <c r="C15" s="128">
        <f>Financiacion!D7</f>
        <v>57407126.400000006</v>
      </c>
      <c r="D15" s="41">
        <f>Financiacion!F7</f>
        <v>0.20660000000000001</v>
      </c>
      <c r="E15" s="32">
        <f>C15/$C$15</f>
        <v>1</v>
      </c>
      <c r="F15" s="41">
        <f>D15*E15</f>
        <v>0.20660000000000001</v>
      </c>
    </row>
    <row r="16" spans="2:10" ht="18.5">
      <c r="C16" s="130">
        <f>SUM(C15:C15)</f>
        <v>57407126.400000006</v>
      </c>
      <c r="E16" s="131">
        <f>SUM(E15:E15)</f>
        <v>1</v>
      </c>
      <c r="F16" s="133">
        <f>SUM(F15:F15)</f>
        <v>0.20660000000000001</v>
      </c>
      <c r="G16" s="3" t="s">
        <v>261</v>
      </c>
    </row>
    <row r="17" spans="2:7" ht="15" thickBot="1"/>
    <row r="18" spans="2:7" ht="15" thickBot="1">
      <c r="B18" s="986" t="s">
        <v>434</v>
      </c>
      <c r="C18" s="987"/>
      <c r="D18" s="987"/>
      <c r="E18" s="987"/>
      <c r="F18" s="988"/>
    </row>
    <row r="19" spans="2:7" ht="15" thickBot="1">
      <c r="B19" s="28" t="s">
        <v>256</v>
      </c>
      <c r="C19" s="38" t="s">
        <v>50</v>
      </c>
      <c r="D19" s="38" t="s">
        <v>257</v>
      </c>
      <c r="E19" s="38" t="s">
        <v>58</v>
      </c>
      <c r="F19" s="39" t="s">
        <v>258</v>
      </c>
    </row>
    <row r="20" spans="2:7" ht="18.5">
      <c r="B20" s="34" t="s">
        <v>262</v>
      </c>
      <c r="C20" s="128">
        <f>C11</f>
        <v>14351781.599999996</v>
      </c>
      <c r="D20" s="132">
        <f>F11</f>
        <v>0.14030000000000001</v>
      </c>
      <c r="E20" s="32">
        <f>C20/$C$22</f>
        <v>0.19999999999999996</v>
      </c>
      <c r="F20" s="41">
        <f>D20*E20</f>
        <v>2.8059999999999995E-2</v>
      </c>
    </row>
    <row r="21" spans="2:7" ht="18.5">
      <c r="B21" s="5" t="s">
        <v>263</v>
      </c>
      <c r="C21" s="129">
        <f>C16</f>
        <v>57407126.400000006</v>
      </c>
      <c r="D21" s="133">
        <f>F16</f>
        <v>0.20660000000000001</v>
      </c>
      <c r="E21" s="32">
        <f>C21/$C$22</f>
        <v>0.8</v>
      </c>
      <c r="F21" s="36">
        <f>D21*E21</f>
        <v>0.16528000000000001</v>
      </c>
    </row>
    <row r="22" spans="2:7" ht="18.5">
      <c r="C22" s="130">
        <f>SUM(C20:C21)</f>
        <v>71758908</v>
      </c>
      <c r="E22" s="131">
        <f>SUM(E20:E21)</f>
        <v>1</v>
      </c>
      <c r="F22" s="134">
        <f>SUM(F20:F21)</f>
        <v>0.19334000000000001</v>
      </c>
      <c r="G22" s="3" t="s">
        <v>264</v>
      </c>
    </row>
  </sheetData>
  <mergeCells count="5">
    <mergeCell ref="B5:F5"/>
    <mergeCell ref="B6:F6"/>
    <mergeCell ref="B8:F8"/>
    <mergeCell ref="B13:F13"/>
    <mergeCell ref="B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F55A-7A51-4168-A052-3DFA21BBDE46}">
  <sheetPr codeName="Hoja1">
    <tabColor theme="9" tint="0.59999389629810485"/>
  </sheetPr>
  <dimension ref="A1:Q104"/>
  <sheetViews>
    <sheetView topLeftCell="A51" zoomScale="80" zoomScaleNormal="80" workbookViewId="0">
      <selection activeCell="C51" sqref="C51"/>
    </sheetView>
  </sheetViews>
  <sheetFormatPr baseColWidth="10" defaultColWidth="11.453125" defaultRowHeight="14.5"/>
  <cols>
    <col min="1" max="1" width="33.453125" style="154" customWidth="1"/>
    <col min="2" max="2" width="19.54296875" style="154" bestFit="1" customWidth="1"/>
    <col min="3" max="3" width="11.7265625" style="158" bestFit="1" customWidth="1"/>
    <col min="4" max="11" width="17.54296875" style="154" bestFit="1" customWidth="1"/>
    <col min="12" max="12" width="16.1796875" style="154" bestFit="1" customWidth="1"/>
    <col min="13" max="19" width="13" style="154" bestFit="1" customWidth="1"/>
    <col min="20" max="16384" width="11.453125" style="154"/>
  </cols>
  <sheetData>
    <row r="1" spans="1:10" ht="15" thickBot="1">
      <c r="A1" s="867" t="s">
        <v>436</v>
      </c>
      <c r="B1" s="868"/>
      <c r="C1" s="869"/>
    </row>
    <row r="2" spans="1:10" ht="15" thickBot="1">
      <c r="C2" s="155"/>
      <c r="D2" s="155"/>
      <c r="E2" s="155"/>
      <c r="F2" s="155"/>
      <c r="G2" s="155"/>
      <c r="H2" s="155"/>
      <c r="I2" s="155"/>
      <c r="J2" s="155"/>
    </row>
    <row r="3" spans="1:10" ht="15" thickBot="1">
      <c r="A3" s="160" t="s">
        <v>437</v>
      </c>
      <c r="B3" s="156"/>
      <c r="C3" s="157">
        <v>8000</v>
      </c>
      <c r="D3" s="158"/>
      <c r="E3" s="158"/>
      <c r="F3" s="158"/>
      <c r="G3" s="158"/>
      <c r="H3" s="158"/>
      <c r="I3" s="158"/>
      <c r="J3" s="158"/>
    </row>
    <row r="4" spans="1:10" ht="30" customHeight="1" thickBot="1">
      <c r="A4" s="870" t="s">
        <v>438</v>
      </c>
      <c r="B4" s="871"/>
      <c r="C4" s="872"/>
      <c r="D4" s="158"/>
      <c r="E4" s="159"/>
    </row>
    <row r="5" spans="1:10" ht="15" thickBot="1">
      <c r="D5" s="158"/>
      <c r="E5" s="159"/>
    </row>
    <row r="6" spans="1:10" ht="15" thickBot="1">
      <c r="A6" s="160" t="s">
        <v>439</v>
      </c>
      <c r="B6" s="161"/>
      <c r="C6" s="157">
        <v>15000</v>
      </c>
      <c r="D6" s="158"/>
      <c r="E6" s="158"/>
      <c r="F6" s="158"/>
      <c r="G6" s="158"/>
      <c r="H6" s="158"/>
      <c r="I6" s="158"/>
      <c r="J6" s="158"/>
    </row>
    <row r="7" spans="1:10">
      <c r="A7" s="162" t="s">
        <v>440</v>
      </c>
      <c r="C7" s="163"/>
      <c r="D7" s="158"/>
      <c r="E7" s="159"/>
    </row>
    <row r="8" spans="1:10">
      <c r="A8" s="164" t="s">
        <v>441</v>
      </c>
      <c r="B8" s="154" t="s">
        <v>442</v>
      </c>
      <c r="C8" s="163"/>
      <c r="D8" s="158"/>
      <c r="E8" s="159"/>
    </row>
    <row r="9" spans="1:10" ht="15" thickBot="1">
      <c r="A9" s="165" t="s">
        <v>443</v>
      </c>
      <c r="B9" s="166" t="s">
        <v>444</v>
      </c>
      <c r="C9" s="167"/>
      <c r="D9" s="158"/>
      <c r="E9" s="159"/>
    </row>
    <row r="10" spans="1:10" ht="15" thickBot="1">
      <c r="D10" s="158"/>
      <c r="E10" s="159"/>
    </row>
    <row r="11" spans="1:10" ht="15" thickBot="1">
      <c r="A11" s="160" t="s">
        <v>445</v>
      </c>
      <c r="B11" s="161"/>
      <c r="C11" s="157">
        <v>9000</v>
      </c>
      <c r="D11" s="158"/>
      <c r="E11" s="158"/>
      <c r="F11" s="158"/>
      <c r="G11" s="158"/>
      <c r="H11" s="158"/>
      <c r="I11" s="158"/>
      <c r="J11" s="158"/>
    </row>
    <row r="12" spans="1:10">
      <c r="A12" s="162" t="s">
        <v>446</v>
      </c>
      <c r="C12" s="163"/>
    </row>
    <row r="13" spans="1:10">
      <c r="A13" s="861"/>
      <c r="B13" s="862"/>
      <c r="C13" s="863"/>
    </row>
    <row r="14" spans="1:10" ht="26.25" customHeight="1" thickBot="1">
      <c r="A14" s="864"/>
      <c r="B14" s="865"/>
      <c r="C14" s="866"/>
    </row>
    <row r="15" spans="1:10" ht="15" thickBot="1"/>
    <row r="16" spans="1:10" ht="15" thickBot="1">
      <c r="A16" s="160" t="s">
        <v>742</v>
      </c>
      <c r="B16" s="161"/>
      <c r="C16" s="157">
        <v>5500</v>
      </c>
    </row>
    <row r="17" spans="1:17">
      <c r="A17" s="162" t="s">
        <v>446</v>
      </c>
      <c r="C17" s="163"/>
    </row>
    <row r="18" spans="1:17" ht="15" customHeight="1">
      <c r="A18" s="861"/>
      <c r="B18" s="862"/>
      <c r="C18" s="863"/>
    </row>
    <row r="19" spans="1:17" ht="15" thickBot="1">
      <c r="A19" s="864"/>
      <c r="B19" s="865"/>
      <c r="C19" s="866"/>
    </row>
    <row r="20" spans="1:17" ht="15" thickBot="1"/>
    <row r="21" spans="1:17" ht="15" thickBot="1">
      <c r="A21" s="160" t="s">
        <v>743</v>
      </c>
      <c r="B21" s="161"/>
      <c r="C21" s="157">
        <v>6500</v>
      </c>
    </row>
    <row r="22" spans="1:17">
      <c r="A22" s="162" t="s">
        <v>446</v>
      </c>
      <c r="C22" s="163"/>
    </row>
    <row r="23" spans="1:17">
      <c r="A23" s="861"/>
      <c r="B23" s="862"/>
      <c r="C23" s="863"/>
    </row>
    <row r="24" spans="1:17" ht="15" thickBot="1">
      <c r="A24" s="864"/>
      <c r="B24" s="865"/>
      <c r="C24" s="866"/>
    </row>
    <row r="25" spans="1:17" ht="15" thickBot="1"/>
    <row r="26" spans="1:17" ht="15" thickBot="1">
      <c r="A26" s="160" t="s">
        <v>744</v>
      </c>
      <c r="B26" s="161"/>
      <c r="C26" s="157">
        <v>8000</v>
      </c>
    </row>
    <row r="27" spans="1:17">
      <c r="A27" s="162" t="s">
        <v>446</v>
      </c>
      <c r="C27" s="163"/>
    </row>
    <row r="28" spans="1:17">
      <c r="A28" s="861" t="s">
        <v>447</v>
      </c>
      <c r="B28" s="862"/>
      <c r="C28" s="863"/>
    </row>
    <row r="29" spans="1:17" ht="15" thickBot="1">
      <c r="A29" s="864"/>
      <c r="B29" s="865"/>
      <c r="C29" s="866"/>
    </row>
    <row r="30" spans="1:17" ht="15" thickBot="1"/>
    <row r="31" spans="1:17" customFormat="1" ht="16" thickBot="1">
      <c r="A31" s="168" t="s">
        <v>448</v>
      </c>
      <c r="B31" s="169"/>
      <c r="C31" s="170">
        <v>8</v>
      </c>
      <c r="D31" s="171" t="s">
        <v>449</v>
      </c>
      <c r="E31" s="172"/>
      <c r="F31" s="172"/>
      <c r="G31" s="172"/>
      <c r="H31" s="173"/>
      <c r="I31" s="173"/>
      <c r="J31" s="173"/>
      <c r="K31" s="173"/>
      <c r="L31" s="173"/>
      <c r="M31" s="173"/>
      <c r="N31" s="173"/>
      <c r="O31" s="174"/>
      <c r="P31" s="174"/>
      <c r="Q31" s="174"/>
    </row>
    <row r="32" spans="1:17" ht="15" thickBot="1"/>
    <row r="33" spans="1:3" ht="15" thickBot="1">
      <c r="A33" s="160" t="s">
        <v>450</v>
      </c>
      <c r="B33" s="175"/>
    </row>
    <row r="35" spans="1:3">
      <c r="A35" s="176" t="s">
        <v>451</v>
      </c>
      <c r="B35" s="186">
        <v>2500000</v>
      </c>
      <c r="C35" s="178"/>
    </row>
    <row r="36" spans="1:3">
      <c r="A36" s="176" t="s">
        <v>452</v>
      </c>
      <c r="B36" s="186">
        <v>1200000</v>
      </c>
      <c r="C36" s="178"/>
    </row>
    <row r="37" spans="1:3">
      <c r="B37" s="264"/>
      <c r="C37" s="154"/>
    </row>
    <row r="38" spans="1:3">
      <c r="A38" s="176" t="s">
        <v>453</v>
      </c>
      <c r="B38" s="186">
        <f>+Inversion!F26+Inversion!F37+Inversion!F54</f>
        <v>55498180</v>
      </c>
      <c r="C38" s="154"/>
    </row>
    <row r="39" spans="1:3">
      <c r="A39" s="176" t="s">
        <v>326</v>
      </c>
      <c r="B39" s="186">
        <f>+Inversion!F46</f>
        <v>2360000</v>
      </c>
      <c r="C39" s="154"/>
    </row>
    <row r="40" spans="1:3">
      <c r="A40" s="176" t="s">
        <v>336</v>
      </c>
      <c r="B40" s="186">
        <f>+Inversion!F69</f>
        <v>60000000</v>
      </c>
      <c r="C40" s="154"/>
    </row>
    <row r="41" spans="1:3">
      <c r="A41" s="176" t="s">
        <v>454</v>
      </c>
      <c r="B41" s="186">
        <f>+Inversion!F64</f>
        <v>1740000</v>
      </c>
      <c r="C41" s="154"/>
    </row>
    <row r="42" spans="1:3">
      <c r="B42" s="158"/>
      <c r="C42" s="154"/>
    </row>
    <row r="43" spans="1:3">
      <c r="A43" s="154" t="s">
        <v>623</v>
      </c>
      <c r="B43" s="264">
        <v>30</v>
      </c>
      <c r="C43" s="154"/>
    </row>
    <row r="44" spans="1:3">
      <c r="B44" s="158"/>
      <c r="C44" s="154"/>
    </row>
    <row r="45" spans="1:3">
      <c r="A45" s="176" t="s">
        <v>612</v>
      </c>
      <c r="B45" s="179">
        <v>0.25</v>
      </c>
      <c r="C45" s="154" t="s">
        <v>615</v>
      </c>
    </row>
    <row r="46" spans="1:3">
      <c r="A46" s="176" t="s">
        <v>455</v>
      </c>
      <c r="B46" s="179">
        <v>1</v>
      </c>
      <c r="C46" s="154"/>
    </row>
    <row r="47" spans="1:3">
      <c r="A47" s="176" t="s">
        <v>456</v>
      </c>
      <c r="B47" s="179">
        <v>0</v>
      </c>
      <c r="C47" s="154"/>
    </row>
    <row r="48" spans="1:3">
      <c r="A48" s="176" t="s">
        <v>575</v>
      </c>
      <c r="B48" s="179">
        <v>0.85</v>
      </c>
      <c r="C48" s="154"/>
    </row>
    <row r="49" spans="1:10">
      <c r="A49" s="176" t="s">
        <v>576</v>
      </c>
      <c r="B49" s="179">
        <f>1-B48</f>
        <v>0.15000000000000002</v>
      </c>
      <c r="C49" s="154">
        <v>30</v>
      </c>
      <c r="D49" s="154" t="s">
        <v>457</v>
      </c>
    </row>
    <row r="50" spans="1:10" ht="15" thickBot="1">
      <c r="B50" s="158"/>
      <c r="C50" s="154"/>
    </row>
    <row r="51" spans="1:10" ht="15" thickBot="1">
      <c r="A51" s="180" t="s">
        <v>753</v>
      </c>
      <c r="B51" s="181">
        <v>2023</v>
      </c>
      <c r="C51" s="181">
        <v>2024</v>
      </c>
      <c r="D51" s="181">
        <f t="shared" ref="D51:I51" si="0">+C51+1</f>
        <v>2025</v>
      </c>
      <c r="E51" s="181">
        <f t="shared" si="0"/>
        <v>2026</v>
      </c>
      <c r="F51" s="182">
        <f t="shared" si="0"/>
        <v>2027</v>
      </c>
      <c r="G51" s="182">
        <f t="shared" si="0"/>
        <v>2028</v>
      </c>
      <c r="H51" s="182">
        <f t="shared" si="0"/>
        <v>2029</v>
      </c>
      <c r="I51" s="182">
        <f t="shared" si="0"/>
        <v>2030</v>
      </c>
    </row>
    <row r="52" spans="1:10">
      <c r="A52" s="183" t="s">
        <v>559</v>
      </c>
      <c r="B52" s="184">
        <v>0.03</v>
      </c>
      <c r="C52" s="184">
        <v>0.06</v>
      </c>
      <c r="D52" s="184">
        <v>0.09</v>
      </c>
      <c r="E52" s="184">
        <v>0.12</v>
      </c>
      <c r="F52" s="184">
        <v>0.06</v>
      </c>
      <c r="G52" s="184">
        <v>7.0000000000000007E-2</v>
      </c>
      <c r="H52" s="184">
        <v>0.08</v>
      </c>
      <c r="I52" s="184">
        <v>0.09</v>
      </c>
    </row>
    <row r="53" spans="1:10">
      <c r="A53" s="183" t="s">
        <v>563</v>
      </c>
      <c r="B53" s="184">
        <v>5.7000000000000002E-2</v>
      </c>
      <c r="C53" s="184">
        <v>0.125</v>
      </c>
      <c r="D53" s="184">
        <v>0.115</v>
      </c>
      <c r="E53" s="184">
        <v>8.5000000000000006E-2</v>
      </c>
      <c r="F53" s="184">
        <v>0.05</v>
      </c>
      <c r="G53" s="184">
        <v>4.4999999999999998E-2</v>
      </c>
      <c r="H53" s="184">
        <v>0.05</v>
      </c>
      <c r="I53" s="184">
        <v>7.0000000000000007E-2</v>
      </c>
    </row>
    <row r="54" spans="1:10">
      <c r="A54" s="248" t="s">
        <v>564</v>
      </c>
      <c r="B54" s="249">
        <f>+((1+B52)*(1+B53))-1</f>
        <v>8.8710000000000067E-2</v>
      </c>
      <c r="C54" s="249">
        <f t="shared" ref="C54:I54" si="1">+((1+C52)*(1+C53))-1</f>
        <v>0.19250000000000012</v>
      </c>
      <c r="D54" s="249">
        <f t="shared" si="1"/>
        <v>0.21535000000000015</v>
      </c>
      <c r="E54" s="249">
        <f t="shared" si="1"/>
        <v>0.21520000000000006</v>
      </c>
      <c r="F54" s="249">
        <f t="shared" si="1"/>
        <v>0.11300000000000021</v>
      </c>
      <c r="G54" s="249">
        <f t="shared" si="1"/>
        <v>0.11814999999999998</v>
      </c>
      <c r="H54" s="249">
        <f t="shared" si="1"/>
        <v>0.13400000000000012</v>
      </c>
      <c r="I54" s="249">
        <f t="shared" si="1"/>
        <v>0.16630000000000011</v>
      </c>
    </row>
    <row r="55" spans="1:10" ht="15.5">
      <c r="A55" s="185" t="s">
        <v>458</v>
      </c>
      <c r="B55" s="184">
        <v>0.16</v>
      </c>
      <c r="C55" s="184">
        <v>0.11</v>
      </c>
      <c r="D55" s="184">
        <v>0.1</v>
      </c>
      <c r="E55" s="184">
        <v>0.09</v>
      </c>
      <c r="F55" s="184">
        <v>0.1</v>
      </c>
      <c r="G55" s="184">
        <v>0.1</v>
      </c>
      <c r="H55" s="184">
        <v>0.1</v>
      </c>
      <c r="I55" s="184">
        <v>0.1</v>
      </c>
    </row>
    <row r="56" spans="1:10" ht="16" thickBot="1">
      <c r="A56" s="185"/>
      <c r="B56" s="184"/>
      <c r="C56" s="184"/>
      <c r="D56" s="184"/>
      <c r="E56" s="184"/>
      <c r="F56" s="184"/>
      <c r="G56" s="184"/>
      <c r="H56" s="184"/>
      <c r="I56" s="184"/>
    </row>
    <row r="57" spans="1:10" ht="15" thickBot="1">
      <c r="A57" s="180" t="s">
        <v>754</v>
      </c>
      <c r="B57" s="181">
        <v>2023</v>
      </c>
      <c r="C57" s="181">
        <v>2024</v>
      </c>
      <c r="D57" s="181">
        <f t="shared" ref="D57" si="2">+C57+1</f>
        <v>2025</v>
      </c>
      <c r="E57" s="181">
        <f t="shared" ref="E57" si="3">+D57+1</f>
        <v>2026</v>
      </c>
      <c r="F57" s="182">
        <f t="shared" ref="F57" si="4">+E57+1</f>
        <v>2027</v>
      </c>
      <c r="G57" s="182">
        <f t="shared" ref="G57" si="5">+F57+1</f>
        <v>2028</v>
      </c>
      <c r="H57" s="182">
        <f t="shared" ref="H57" si="6">+G57+1</f>
        <v>2029</v>
      </c>
      <c r="I57" s="182">
        <f t="shared" ref="I57" si="7">+H57+1</f>
        <v>2030</v>
      </c>
    </row>
    <row r="58" spans="1:10">
      <c r="A58" s="183" t="s">
        <v>559</v>
      </c>
      <c r="B58" s="184">
        <f>+B52-1%</f>
        <v>1.9999999999999997E-2</v>
      </c>
      <c r="C58" s="184">
        <f t="shared" ref="C58:I58" si="8">+C52-1%</f>
        <v>4.9999999999999996E-2</v>
      </c>
      <c r="D58" s="184">
        <f t="shared" si="8"/>
        <v>0.08</v>
      </c>
      <c r="E58" s="184">
        <f t="shared" si="8"/>
        <v>0.11</v>
      </c>
      <c r="F58" s="184">
        <f t="shared" si="8"/>
        <v>4.9999999999999996E-2</v>
      </c>
      <c r="G58" s="184">
        <f t="shared" si="8"/>
        <v>6.0000000000000005E-2</v>
      </c>
      <c r="H58" s="184">
        <f t="shared" si="8"/>
        <v>7.0000000000000007E-2</v>
      </c>
      <c r="I58" s="184">
        <f t="shared" si="8"/>
        <v>0.08</v>
      </c>
      <c r="J58" s="154" t="s">
        <v>712</v>
      </c>
    </row>
    <row r="59" spans="1:10">
      <c r="A59" s="183" t="s">
        <v>563</v>
      </c>
      <c r="B59" s="184">
        <f>+B53+1%</f>
        <v>6.7000000000000004E-2</v>
      </c>
      <c r="C59" s="184">
        <f t="shared" ref="C59:I59" si="9">+C53+1%</f>
        <v>0.13500000000000001</v>
      </c>
      <c r="D59" s="184">
        <f t="shared" si="9"/>
        <v>0.125</v>
      </c>
      <c r="E59" s="184">
        <f t="shared" si="9"/>
        <v>9.5000000000000001E-2</v>
      </c>
      <c r="F59" s="184">
        <f t="shared" si="9"/>
        <v>6.0000000000000005E-2</v>
      </c>
      <c r="G59" s="184">
        <f t="shared" si="9"/>
        <v>5.5E-2</v>
      </c>
      <c r="H59" s="184">
        <f t="shared" si="9"/>
        <v>6.0000000000000005E-2</v>
      </c>
      <c r="I59" s="184">
        <f t="shared" si="9"/>
        <v>0.08</v>
      </c>
    </row>
    <row r="60" spans="1:10">
      <c r="A60" s="248" t="s">
        <v>564</v>
      </c>
      <c r="B60" s="249">
        <f>+((1+B58)*(1+B59))-1</f>
        <v>8.8339999999999863E-2</v>
      </c>
      <c r="C60" s="249">
        <f t="shared" ref="C60:I60" si="10">+((1+C58)*(1+C59))-1</f>
        <v>0.19175000000000009</v>
      </c>
      <c r="D60" s="249">
        <f t="shared" si="10"/>
        <v>0.21500000000000008</v>
      </c>
      <c r="E60" s="249">
        <f t="shared" si="10"/>
        <v>0.21545000000000014</v>
      </c>
      <c r="F60" s="249">
        <f t="shared" si="10"/>
        <v>0.11300000000000021</v>
      </c>
      <c r="G60" s="249">
        <f t="shared" si="10"/>
        <v>0.11830000000000007</v>
      </c>
      <c r="H60" s="249">
        <f t="shared" si="10"/>
        <v>0.1342000000000001</v>
      </c>
      <c r="I60" s="249">
        <f t="shared" si="10"/>
        <v>0.1664000000000001</v>
      </c>
    </row>
    <row r="61" spans="1:10" ht="15.5">
      <c r="A61" s="185" t="s">
        <v>458</v>
      </c>
      <c r="B61" s="184">
        <f>+B55+1%</f>
        <v>0.17</v>
      </c>
      <c r="C61" s="184">
        <f t="shared" ref="C61:I61" si="11">+C55+1%</f>
        <v>0.12</v>
      </c>
      <c r="D61" s="184">
        <f t="shared" si="11"/>
        <v>0.11</v>
      </c>
      <c r="E61" s="184">
        <f t="shared" si="11"/>
        <v>9.9999999999999992E-2</v>
      </c>
      <c r="F61" s="184">
        <f t="shared" si="11"/>
        <v>0.11</v>
      </c>
      <c r="G61" s="184">
        <f t="shared" si="11"/>
        <v>0.11</v>
      </c>
      <c r="H61" s="184">
        <f t="shared" si="11"/>
        <v>0.11</v>
      </c>
      <c r="I61" s="184">
        <f t="shared" si="11"/>
        <v>0.11</v>
      </c>
    </row>
    <row r="62" spans="1:10" ht="16" thickBot="1">
      <c r="A62" s="696"/>
      <c r="B62" s="697"/>
      <c r="C62" s="697"/>
      <c r="D62" s="697"/>
      <c r="E62" s="697"/>
      <c r="F62" s="698"/>
      <c r="G62" s="698"/>
      <c r="H62" s="698"/>
      <c r="I62" s="698"/>
    </row>
    <row r="63" spans="1:10" ht="15" thickBot="1">
      <c r="A63" s="180" t="s">
        <v>755</v>
      </c>
      <c r="B63" s="181">
        <v>2023</v>
      </c>
      <c r="C63" s="181">
        <v>2024</v>
      </c>
      <c r="D63" s="181">
        <f t="shared" ref="D63" si="12">+C63+1</f>
        <v>2025</v>
      </c>
      <c r="E63" s="181">
        <f t="shared" ref="E63" si="13">+D63+1</f>
        <v>2026</v>
      </c>
      <c r="F63" s="182">
        <f t="shared" ref="F63" si="14">+E63+1</f>
        <v>2027</v>
      </c>
      <c r="G63" s="182">
        <f t="shared" ref="G63" si="15">+F63+1</f>
        <v>2028</v>
      </c>
      <c r="H63" s="182">
        <f t="shared" ref="H63" si="16">+G63+1</f>
        <v>2029</v>
      </c>
      <c r="I63" s="182">
        <f t="shared" ref="I63" si="17">+H63+1</f>
        <v>2030</v>
      </c>
    </row>
    <row r="64" spans="1:10">
      <c r="A64" s="183" t="s">
        <v>559</v>
      </c>
      <c r="B64" s="184">
        <f>+B52+1%</f>
        <v>0.04</v>
      </c>
      <c r="C64" s="184">
        <f t="shared" ref="C64:I64" si="18">+C52+1%</f>
        <v>6.9999999999999993E-2</v>
      </c>
      <c r="D64" s="184">
        <f t="shared" si="18"/>
        <v>9.9999999999999992E-2</v>
      </c>
      <c r="E64" s="184">
        <f t="shared" si="18"/>
        <v>0.13</v>
      </c>
      <c r="F64" s="184">
        <f t="shared" si="18"/>
        <v>6.9999999999999993E-2</v>
      </c>
      <c r="G64" s="184">
        <f t="shared" si="18"/>
        <v>0.08</v>
      </c>
      <c r="H64" s="184">
        <f t="shared" si="18"/>
        <v>0.09</v>
      </c>
      <c r="I64" s="184">
        <f t="shared" si="18"/>
        <v>9.9999999999999992E-2</v>
      </c>
    </row>
    <row r="65" spans="1:11">
      <c r="A65" s="183" t="s">
        <v>563</v>
      </c>
      <c r="B65" s="184">
        <f>+B53-1%</f>
        <v>4.7E-2</v>
      </c>
      <c r="C65" s="184">
        <f t="shared" ref="C65:I65" si="19">+C53-1%</f>
        <v>0.115</v>
      </c>
      <c r="D65" s="184">
        <f t="shared" si="19"/>
        <v>0.10500000000000001</v>
      </c>
      <c r="E65" s="184">
        <f t="shared" si="19"/>
        <v>7.5000000000000011E-2</v>
      </c>
      <c r="F65" s="184">
        <f t="shared" si="19"/>
        <v>0.04</v>
      </c>
      <c r="G65" s="184">
        <f t="shared" si="19"/>
        <v>3.4999999999999996E-2</v>
      </c>
      <c r="H65" s="184">
        <f t="shared" si="19"/>
        <v>0.04</v>
      </c>
      <c r="I65" s="184">
        <f t="shared" si="19"/>
        <v>6.0000000000000005E-2</v>
      </c>
    </row>
    <row r="66" spans="1:11">
      <c r="A66" s="248" t="s">
        <v>564</v>
      </c>
      <c r="B66" s="249">
        <f>+((1+B64)*(1+B65))-1</f>
        <v>8.888000000000007E-2</v>
      </c>
      <c r="C66" s="249">
        <f t="shared" ref="C66:I66" si="20">+((1+C64)*(1+C65))-1</f>
        <v>0.19305000000000017</v>
      </c>
      <c r="D66" s="249">
        <f t="shared" si="20"/>
        <v>0.21550000000000002</v>
      </c>
      <c r="E66" s="249">
        <f t="shared" si="20"/>
        <v>0.21474999999999977</v>
      </c>
      <c r="F66" s="249">
        <f t="shared" si="20"/>
        <v>0.11280000000000001</v>
      </c>
      <c r="G66" s="249">
        <f t="shared" si="20"/>
        <v>0.1177999999999999</v>
      </c>
      <c r="H66" s="249">
        <f t="shared" si="20"/>
        <v>0.13360000000000016</v>
      </c>
      <c r="I66" s="249">
        <f t="shared" si="20"/>
        <v>0.16600000000000015</v>
      </c>
    </row>
    <row r="67" spans="1:11" ht="15.5">
      <c r="A67" s="185" t="s">
        <v>458</v>
      </c>
      <c r="B67" s="184">
        <f>+B55-1%</f>
        <v>0.15</v>
      </c>
      <c r="C67" s="184">
        <f t="shared" ref="C67:I67" si="21">+C55-1%</f>
        <v>0.1</v>
      </c>
      <c r="D67" s="184">
        <f t="shared" si="21"/>
        <v>9.0000000000000011E-2</v>
      </c>
      <c r="E67" s="184">
        <f t="shared" si="21"/>
        <v>0.08</v>
      </c>
      <c r="F67" s="184">
        <f t="shared" si="21"/>
        <v>9.0000000000000011E-2</v>
      </c>
      <c r="G67" s="184">
        <f t="shared" si="21"/>
        <v>9.0000000000000011E-2</v>
      </c>
      <c r="H67" s="184">
        <f t="shared" si="21"/>
        <v>9.0000000000000011E-2</v>
      </c>
      <c r="I67" s="184">
        <f t="shared" si="21"/>
        <v>9.0000000000000011E-2</v>
      </c>
    </row>
    <row r="68" spans="1:11" ht="15.5">
      <c r="A68" s="185"/>
      <c r="B68" s="184"/>
      <c r="C68" s="184"/>
      <c r="D68" s="184"/>
      <c r="E68" s="184"/>
      <c r="F68" s="184"/>
      <c r="G68" s="184"/>
      <c r="H68" s="184"/>
      <c r="I68" s="184"/>
    </row>
    <row r="69" spans="1:11">
      <c r="A69" s="176" t="s">
        <v>561</v>
      </c>
      <c r="B69" s="187">
        <v>0.05</v>
      </c>
      <c r="C69" s="187">
        <v>0.06</v>
      </c>
      <c r="D69" s="187">
        <f t="shared" ref="D69:I69" si="22">+C69</f>
        <v>0.06</v>
      </c>
      <c r="E69" s="187">
        <f t="shared" si="22"/>
        <v>0.06</v>
      </c>
      <c r="F69" s="187">
        <f t="shared" si="22"/>
        <v>0.06</v>
      </c>
      <c r="G69" s="187">
        <f t="shared" si="22"/>
        <v>0.06</v>
      </c>
      <c r="H69" s="187">
        <f t="shared" si="22"/>
        <v>0.06</v>
      </c>
      <c r="I69" s="187">
        <f t="shared" si="22"/>
        <v>0.06</v>
      </c>
    </row>
    <row r="70" spans="1:11">
      <c r="A70" s="176" t="s">
        <v>560</v>
      </c>
      <c r="B70" s="250">
        <v>0.2</v>
      </c>
      <c r="C70" s="245"/>
      <c r="D70" s="245"/>
      <c r="E70" s="245"/>
      <c r="F70" s="245"/>
      <c r="G70" s="245"/>
      <c r="H70" s="251"/>
      <c r="I70" s="251"/>
    </row>
    <row r="71" spans="1:11">
      <c r="A71" s="176" t="s">
        <v>562</v>
      </c>
      <c r="B71" s="247">
        <v>0.35</v>
      </c>
      <c r="C71" s="245"/>
      <c r="D71" s="722"/>
      <c r="E71" s="722"/>
      <c r="F71" s="245"/>
      <c r="G71" s="245"/>
      <c r="H71" s="245"/>
      <c r="I71" s="245"/>
    </row>
    <row r="72" spans="1:11">
      <c r="B72" s="158"/>
      <c r="C72" s="154"/>
    </row>
    <row r="73" spans="1:11" s="151" customFormat="1">
      <c r="A73" s="188" t="s">
        <v>459</v>
      </c>
      <c r="B73" s="189" t="s">
        <v>460</v>
      </c>
      <c r="C73" s="189" t="s">
        <v>51</v>
      </c>
      <c r="D73" s="189" t="s">
        <v>52</v>
      </c>
      <c r="E73" s="189" t="s">
        <v>335</v>
      </c>
    </row>
    <row r="74" spans="1:11">
      <c r="A74" s="190" t="s">
        <v>49</v>
      </c>
      <c r="B74" s="191">
        <f>+Financiacion!D7</f>
        <v>57407126.400000006</v>
      </c>
      <c r="C74" s="208">
        <f>+Financiacion!E7</f>
        <v>60</v>
      </c>
      <c r="D74" s="192">
        <f>+Financiacion!F7</f>
        <v>0.20660000000000001</v>
      </c>
      <c r="E74" s="192">
        <f>+Financiacion!G7</f>
        <v>0.8</v>
      </c>
    </row>
    <row r="75" spans="1:11">
      <c r="A75" s="190" t="s">
        <v>53</v>
      </c>
      <c r="B75" s="191">
        <f>+Financiacion!D8</f>
        <v>14351781.599999996</v>
      </c>
      <c r="C75" s="208">
        <f>+Financiacion!E8</f>
        <v>24</v>
      </c>
      <c r="D75" s="192">
        <f>+Financiacion!F8</f>
        <v>0.14030000000000001</v>
      </c>
      <c r="E75" s="192">
        <f>+Financiacion!G8</f>
        <v>0.19999999999999996</v>
      </c>
    </row>
    <row r="76" spans="1:11">
      <c r="A76" s="190" t="s">
        <v>461</v>
      </c>
      <c r="B76" s="191">
        <f>+Inversion!F71-B74-B75</f>
        <v>47839272</v>
      </c>
      <c r="C76" s="208"/>
      <c r="D76" s="192">
        <v>0.2</v>
      </c>
      <c r="E76" s="192"/>
    </row>
    <row r="77" spans="1:11">
      <c r="A77" s="149"/>
      <c r="B77" s="723"/>
      <c r="C77" s="724"/>
      <c r="D77" s="725"/>
      <c r="E77" s="725"/>
    </row>
    <row r="78" spans="1:11">
      <c r="A78" s="618" t="str">
        <f>'EF Proyecto'!A1</f>
        <v>NORMAL</v>
      </c>
    </row>
    <row r="79" spans="1:11" s="151" customFormat="1">
      <c r="A79" s="197" t="s">
        <v>462</v>
      </c>
      <c r="B79" s="198"/>
      <c r="C79" s="199"/>
      <c r="D79" s="200"/>
      <c r="E79" s="201"/>
    </row>
    <row r="80" spans="1:11" s="151" customFormat="1">
      <c r="A80" s="204"/>
      <c r="B80" s="205"/>
      <c r="C80" s="206"/>
      <c r="D80" s="207" t="str">
        <f>$A$84&amp;"-"&amp;D$83</f>
        <v>Aux cocina-2023</v>
      </c>
      <c r="E80" s="207" t="str">
        <f t="shared" ref="E80:K80" si="23">$A$84&amp;"-"&amp;E$83</f>
        <v>Aux cocina-2024</v>
      </c>
      <c r="F80" s="207" t="str">
        <f t="shared" si="23"/>
        <v>Aux cocina-2025</v>
      </c>
      <c r="G80" s="207" t="str">
        <f t="shared" si="23"/>
        <v>Aux cocina-2026</v>
      </c>
      <c r="H80" s="207" t="str">
        <f t="shared" si="23"/>
        <v>Aux cocina-2027</v>
      </c>
      <c r="I80" s="207" t="str">
        <f t="shared" si="23"/>
        <v>Aux cocina-2028</v>
      </c>
      <c r="J80" s="207" t="str">
        <f t="shared" si="23"/>
        <v>Aux cocina-2029</v>
      </c>
      <c r="K80" s="207" t="str">
        <f t="shared" si="23"/>
        <v>Aux cocina-2030</v>
      </c>
    </row>
    <row r="81" spans="1:11" s="151" customFormat="1">
      <c r="A81" s="204"/>
      <c r="B81" s="205"/>
      <c r="C81" s="206"/>
      <c r="D81" s="207" t="str">
        <f>$A$85&amp;"-"&amp;D$83</f>
        <v>Administrador-2023</v>
      </c>
      <c r="E81" s="207" t="str">
        <f t="shared" ref="E81:K81" si="24">$A$85&amp;"-"&amp;E$83</f>
        <v>Administrador-2024</v>
      </c>
      <c r="F81" s="207" t="str">
        <f t="shared" si="24"/>
        <v>Administrador-2025</v>
      </c>
      <c r="G81" s="207" t="str">
        <f t="shared" si="24"/>
        <v>Administrador-2026</v>
      </c>
      <c r="H81" s="207" t="str">
        <f t="shared" si="24"/>
        <v>Administrador-2027</v>
      </c>
      <c r="I81" s="207" t="str">
        <f t="shared" si="24"/>
        <v>Administrador-2028</v>
      </c>
      <c r="J81" s="207" t="str">
        <f t="shared" si="24"/>
        <v>Administrador-2029</v>
      </c>
      <c r="K81" s="207" t="str">
        <f t="shared" si="24"/>
        <v>Administrador-2030</v>
      </c>
    </row>
    <row r="82" spans="1:11" s="151" customFormat="1">
      <c r="A82" s="204"/>
      <c r="B82" s="205"/>
      <c r="C82" s="206"/>
      <c r="D82" s="207" t="str">
        <f>$A$86&amp;"-"&amp;D$83</f>
        <v>Cajero-2023</v>
      </c>
      <c r="E82" s="207" t="str">
        <f t="shared" ref="E82:K82" si="25">$A$86&amp;"-"&amp;E$83</f>
        <v>Cajero-2024</v>
      </c>
      <c r="F82" s="207" t="str">
        <f t="shared" si="25"/>
        <v>Cajero-2025</v>
      </c>
      <c r="G82" s="207" t="str">
        <f t="shared" si="25"/>
        <v>Cajero-2026</v>
      </c>
      <c r="H82" s="207" t="str">
        <f t="shared" si="25"/>
        <v>Cajero-2027</v>
      </c>
      <c r="I82" s="207" t="str">
        <f t="shared" si="25"/>
        <v>Cajero-2028</v>
      </c>
      <c r="J82" s="207" t="str">
        <f t="shared" si="25"/>
        <v>Cajero-2029</v>
      </c>
      <c r="K82" s="207" t="str">
        <f t="shared" si="25"/>
        <v>Cajero-2030</v>
      </c>
    </row>
    <row r="83" spans="1:11" s="151" customFormat="1">
      <c r="A83" s="202" t="s">
        <v>339</v>
      </c>
      <c r="B83" s="203" t="s">
        <v>340</v>
      </c>
      <c r="C83" s="202" t="s">
        <v>463</v>
      </c>
      <c r="D83" s="196">
        <v>2023</v>
      </c>
      <c r="E83" s="196">
        <v>2024</v>
      </c>
      <c r="F83" s="196">
        <f t="shared" ref="F83:K83" si="26">+E83+1</f>
        <v>2025</v>
      </c>
      <c r="G83" s="196">
        <f t="shared" si="26"/>
        <v>2026</v>
      </c>
      <c r="H83" s="196">
        <f t="shared" si="26"/>
        <v>2027</v>
      </c>
      <c r="I83" s="196">
        <f t="shared" si="26"/>
        <v>2028</v>
      </c>
      <c r="J83" s="196">
        <f t="shared" si="26"/>
        <v>2029</v>
      </c>
      <c r="K83" s="196">
        <f t="shared" si="26"/>
        <v>2030</v>
      </c>
    </row>
    <row r="84" spans="1:11">
      <c r="A84" s="176" t="s">
        <v>368</v>
      </c>
      <c r="B84" s="177" t="s">
        <v>369</v>
      </c>
      <c r="C84" s="193">
        <v>1</v>
      </c>
      <c r="D84" s="194">
        <v>1160000</v>
      </c>
      <c r="E84" s="195">
        <f>IF($A$78="NORMAL",D84*(C55+1),IF($A$78="PESIMISTA",D84*(C61+1),IF($A$78="OPTIMISTA",D84*(C67+1))))</f>
        <v>1287600</v>
      </c>
      <c r="F84" s="195">
        <f t="shared" ref="F84:K84" si="27">IF($A$78="NORMAL",E84*(D55+1),IF($A$78="PESIMISTA",E84*(D61+1),IF($A$78="OPTIMISTA",E84*(D67+1))))</f>
        <v>1416360</v>
      </c>
      <c r="G84" s="195">
        <f t="shared" si="27"/>
        <v>1543832.4000000001</v>
      </c>
      <c r="H84" s="195">
        <f t="shared" si="27"/>
        <v>1698215.6400000004</v>
      </c>
      <c r="I84" s="195">
        <f t="shared" si="27"/>
        <v>1868037.2040000006</v>
      </c>
      <c r="J84" s="195">
        <f t="shared" si="27"/>
        <v>2054840.9244000008</v>
      </c>
      <c r="K84" s="195">
        <f t="shared" si="27"/>
        <v>2260325.0168400011</v>
      </c>
    </row>
    <row r="85" spans="1:11">
      <c r="A85" s="176" t="s">
        <v>370</v>
      </c>
      <c r="B85" s="177" t="s">
        <v>371</v>
      </c>
      <c r="C85" s="193">
        <v>1</v>
      </c>
      <c r="D85" s="194">
        <v>1600000</v>
      </c>
      <c r="E85" s="195">
        <f>IF($A$78="NORMAL",D85*(C55+1),IF($A$78="PESIMISTA",D85*(C61+1),IF($A$78="OPTIMISTA",D85*(C67+1))))</f>
        <v>1776000.0000000002</v>
      </c>
      <c r="F85" s="195">
        <f t="shared" ref="F85:K85" si="28">IF($A$78="NORMAL",E85*(D55+1),IF($A$78="PESIMISTA",E85*(D61+1),IF($A$78="OPTIMISTA",E85*(D67+1))))</f>
        <v>1953600.0000000005</v>
      </c>
      <c r="G85" s="195">
        <f t="shared" si="28"/>
        <v>2129424.0000000005</v>
      </c>
      <c r="H85" s="195">
        <f t="shared" si="28"/>
        <v>2342366.4000000008</v>
      </c>
      <c r="I85" s="195">
        <f t="shared" si="28"/>
        <v>2576603.040000001</v>
      </c>
      <c r="J85" s="195">
        <f t="shared" si="28"/>
        <v>2834263.3440000014</v>
      </c>
      <c r="K85" s="195">
        <f t="shared" si="28"/>
        <v>3117689.678400002</v>
      </c>
    </row>
    <row r="86" spans="1:11">
      <c r="A86" s="176" t="s">
        <v>372</v>
      </c>
      <c r="B86" s="177" t="s">
        <v>371</v>
      </c>
      <c r="C86" s="193">
        <v>1</v>
      </c>
      <c r="D86" s="194">
        <v>1160000</v>
      </c>
      <c r="E86" s="195">
        <f>IF($A$78="NORMAL",D86*(C55+1),IF($A$78="PESIMISTA",D86*(C61+1),IF($A$78="OPTIMISTA",D86*(C67+1))))</f>
        <v>1287600</v>
      </c>
      <c r="F86" s="195">
        <f t="shared" ref="F86:K86" si="29">IF($A$78="NORMAL",E86*(D55+1),IF($A$78="PESIMISTA",E86*(D61+1),IF($A$78="OPTIMISTA",E86*(D67+1))))</f>
        <v>1416360</v>
      </c>
      <c r="G86" s="195">
        <f t="shared" si="29"/>
        <v>1543832.4000000001</v>
      </c>
      <c r="H86" s="195">
        <f t="shared" si="29"/>
        <v>1698215.6400000004</v>
      </c>
      <c r="I86" s="195">
        <f t="shared" si="29"/>
        <v>1868037.2040000006</v>
      </c>
      <c r="J86" s="195">
        <f t="shared" si="29"/>
        <v>2054840.9244000008</v>
      </c>
      <c r="K86" s="195">
        <f t="shared" si="29"/>
        <v>2260325.0168400011</v>
      </c>
    </row>
    <row r="87" spans="1:11">
      <c r="B87" s="158"/>
      <c r="C87" s="154"/>
    </row>
    <row r="88" spans="1:11" s="151" customFormat="1">
      <c r="A88" s="197" t="s">
        <v>499</v>
      </c>
      <c r="B88" s="198"/>
      <c r="C88" s="199"/>
      <c r="D88" s="200"/>
      <c r="E88" s="201"/>
    </row>
    <row r="89" spans="1:11" s="151" customFormat="1">
      <c r="A89" s="204"/>
      <c r="B89" s="205"/>
      <c r="C89" s="206"/>
      <c r="D89" s="207" t="str">
        <f>$A$84&amp;"-"&amp;D$83</f>
        <v>Aux cocina-2023</v>
      </c>
      <c r="E89" s="207" t="str">
        <f t="shared" ref="E89:K89" si="30">$A$84&amp;"-"&amp;E$83</f>
        <v>Aux cocina-2024</v>
      </c>
      <c r="F89" s="207" t="str">
        <f t="shared" si="30"/>
        <v>Aux cocina-2025</v>
      </c>
      <c r="G89" s="207" t="str">
        <f t="shared" si="30"/>
        <v>Aux cocina-2026</v>
      </c>
      <c r="H89" s="207" t="str">
        <f t="shared" si="30"/>
        <v>Aux cocina-2027</v>
      </c>
      <c r="I89" s="207" t="str">
        <f t="shared" si="30"/>
        <v>Aux cocina-2028</v>
      </c>
      <c r="J89" s="207" t="str">
        <f t="shared" si="30"/>
        <v>Aux cocina-2029</v>
      </c>
      <c r="K89" s="207" t="str">
        <f t="shared" si="30"/>
        <v>Aux cocina-2030</v>
      </c>
    </row>
    <row r="90" spans="1:11" s="151" customFormat="1">
      <c r="A90" s="204"/>
      <c r="B90" s="205"/>
      <c r="C90" s="206"/>
      <c r="D90" s="207" t="str">
        <f>$A$85&amp;"-"&amp;D$83</f>
        <v>Administrador-2023</v>
      </c>
      <c r="E90" s="207" t="str">
        <f t="shared" ref="E90:K90" si="31">$A$85&amp;"-"&amp;E$83</f>
        <v>Administrador-2024</v>
      </c>
      <c r="F90" s="207" t="str">
        <f t="shared" si="31"/>
        <v>Administrador-2025</v>
      </c>
      <c r="G90" s="207" t="str">
        <f t="shared" si="31"/>
        <v>Administrador-2026</v>
      </c>
      <c r="H90" s="207" t="str">
        <f t="shared" si="31"/>
        <v>Administrador-2027</v>
      </c>
      <c r="I90" s="207" t="str">
        <f t="shared" si="31"/>
        <v>Administrador-2028</v>
      </c>
      <c r="J90" s="207" t="str">
        <f t="shared" si="31"/>
        <v>Administrador-2029</v>
      </c>
      <c r="K90" s="207" t="str">
        <f t="shared" si="31"/>
        <v>Administrador-2030</v>
      </c>
    </row>
    <row r="91" spans="1:11" s="151" customFormat="1">
      <c r="A91" s="204"/>
      <c r="B91" s="205"/>
      <c r="C91" s="206"/>
      <c r="D91" s="207" t="str">
        <f>$A$86&amp;"-"&amp;D$83</f>
        <v>Cajero-2023</v>
      </c>
      <c r="E91" s="207" t="str">
        <f t="shared" ref="E91:K91" si="32">$A$86&amp;"-"&amp;E$83</f>
        <v>Cajero-2024</v>
      </c>
      <c r="F91" s="207" t="str">
        <f t="shared" si="32"/>
        <v>Cajero-2025</v>
      </c>
      <c r="G91" s="207" t="str">
        <f t="shared" si="32"/>
        <v>Cajero-2026</v>
      </c>
      <c r="H91" s="207" t="str">
        <f t="shared" si="32"/>
        <v>Cajero-2027</v>
      </c>
      <c r="I91" s="207" t="str">
        <f t="shared" si="32"/>
        <v>Cajero-2028</v>
      </c>
      <c r="J91" s="207" t="str">
        <f t="shared" si="32"/>
        <v>Cajero-2029</v>
      </c>
      <c r="K91" s="207" t="str">
        <f t="shared" si="32"/>
        <v>Cajero-2030</v>
      </c>
    </row>
    <row r="92" spans="1:11" s="151" customFormat="1">
      <c r="A92" s="202" t="s">
        <v>339</v>
      </c>
      <c r="B92" s="203" t="s">
        <v>340</v>
      </c>
      <c r="C92" s="202" t="s">
        <v>463</v>
      </c>
      <c r="D92" s="196">
        <v>2023</v>
      </c>
      <c r="E92" s="196">
        <v>2024</v>
      </c>
      <c r="F92" s="196">
        <f t="shared" ref="F92:K92" si="33">+E92+1</f>
        <v>2025</v>
      </c>
      <c r="G92" s="196">
        <f t="shared" si="33"/>
        <v>2026</v>
      </c>
      <c r="H92" s="196">
        <f t="shared" si="33"/>
        <v>2027</v>
      </c>
      <c r="I92" s="196">
        <f t="shared" si="33"/>
        <v>2028</v>
      </c>
      <c r="J92" s="196">
        <f t="shared" si="33"/>
        <v>2029</v>
      </c>
      <c r="K92" s="196">
        <f t="shared" si="33"/>
        <v>2030</v>
      </c>
    </row>
    <row r="93" spans="1:11">
      <c r="A93" s="176" t="s">
        <v>368</v>
      </c>
      <c r="B93" s="177" t="s">
        <v>369</v>
      </c>
      <c r="C93" s="193">
        <v>1</v>
      </c>
      <c r="D93" s="194">
        <v>140606</v>
      </c>
      <c r="E93" s="195">
        <f>IF($A$78="NORMAL",D93*(C55+1),IF($A$78="PESIMISTA",D93*(C61+1),IF($A$78="OPTIMISTA",D93*(C67+1))))</f>
        <v>156072.66</v>
      </c>
      <c r="F93" s="195">
        <f t="shared" ref="F93:K93" si="34">IF($A$78="NORMAL",E93*(D55+1),IF($A$78="PESIMISTA",E93*(D61+1),IF($A$78="OPTIMISTA",E93*(D67+1))))</f>
        <v>171679.92600000001</v>
      </c>
      <c r="G93" s="195">
        <f t="shared" si="34"/>
        <v>187131.11934000003</v>
      </c>
      <c r="H93" s="195">
        <f t="shared" si="34"/>
        <v>205844.23127400005</v>
      </c>
      <c r="I93" s="195">
        <f t="shared" si="34"/>
        <v>226428.65440140007</v>
      </c>
      <c r="J93" s="195">
        <f t="shared" si="34"/>
        <v>249071.51984154008</v>
      </c>
      <c r="K93" s="195">
        <f t="shared" si="34"/>
        <v>273978.67182569409</v>
      </c>
    </row>
    <row r="94" spans="1:11">
      <c r="A94" s="176" t="s">
        <v>370</v>
      </c>
      <c r="B94" s="177" t="s">
        <v>371</v>
      </c>
      <c r="C94" s="193">
        <v>1</v>
      </c>
      <c r="D94" s="194">
        <v>140606</v>
      </c>
      <c r="E94" s="195">
        <f>IF($A$78="NORMAL",D94*(C55+1),IF($A$78="PESIMISTA",D94*(C61+1),IF($A$78="OPTIMISTA",D94*(C67+1))))</f>
        <v>156072.66</v>
      </c>
      <c r="F94" s="195">
        <f t="shared" ref="F94:K94" si="35">IF($A$78="NORMAL",E94*(D55+1),IF($A$78="PESIMISTA",E94*(D61+1),IF($A$78="OPTIMISTA",E94*(D67+1))))</f>
        <v>171679.92600000001</v>
      </c>
      <c r="G94" s="195">
        <f t="shared" si="35"/>
        <v>187131.11934000003</v>
      </c>
      <c r="H94" s="195">
        <f t="shared" si="35"/>
        <v>205844.23127400005</v>
      </c>
      <c r="I94" s="195">
        <f t="shared" si="35"/>
        <v>226428.65440140007</v>
      </c>
      <c r="J94" s="195">
        <f t="shared" si="35"/>
        <v>249071.51984154008</v>
      </c>
      <c r="K94" s="195">
        <f t="shared" si="35"/>
        <v>273978.67182569409</v>
      </c>
    </row>
    <row r="95" spans="1:11">
      <c r="A95" s="176" t="s">
        <v>372</v>
      </c>
      <c r="B95" s="177" t="s">
        <v>371</v>
      </c>
      <c r="C95" s="193">
        <v>1</v>
      </c>
      <c r="D95" s="194">
        <v>140606</v>
      </c>
      <c r="E95" s="195">
        <f>IF($A$78="NORMAL",D95*(C55+1),IF($A$78="PESIMISTA",D95*(C61+1),IF($A$78="OPTIMISTA",D95*(C67+1))))</f>
        <v>156072.66</v>
      </c>
      <c r="F95" s="195">
        <f t="shared" ref="F95:K95" si="36">IF($A$78="NORMAL",E95*(D55+1),IF($A$78="PESIMISTA",E95*(D61+1),IF($A$78="OPTIMISTA",E95*(D67+1))))</f>
        <v>171679.92600000001</v>
      </c>
      <c r="G95" s="195">
        <f t="shared" si="36"/>
        <v>187131.11934000003</v>
      </c>
      <c r="H95" s="195">
        <f t="shared" si="36"/>
        <v>205844.23127400005</v>
      </c>
      <c r="I95" s="195">
        <f t="shared" si="36"/>
        <v>226428.65440140007</v>
      </c>
      <c r="J95" s="195">
        <f t="shared" si="36"/>
        <v>249071.51984154008</v>
      </c>
      <c r="K95" s="195">
        <f t="shared" si="36"/>
        <v>273978.67182569409</v>
      </c>
    </row>
    <row r="97" spans="1:11" s="151" customFormat="1">
      <c r="A97" s="197" t="s">
        <v>424</v>
      </c>
      <c r="B97" s="198"/>
      <c r="C97" s="199"/>
      <c r="D97" s="200"/>
      <c r="E97" s="201"/>
    </row>
    <row r="98" spans="1:11" s="151" customFormat="1">
      <c r="A98" s="204"/>
      <c r="B98" s="205"/>
      <c r="C98" s="206"/>
      <c r="D98" s="207" t="str">
        <f>$A$84&amp;"-"&amp;D$83</f>
        <v>Aux cocina-2023</v>
      </c>
      <c r="E98" s="207" t="str">
        <f t="shared" ref="E98:K98" si="37">$A$84&amp;"-"&amp;E$83</f>
        <v>Aux cocina-2024</v>
      </c>
      <c r="F98" s="207" t="str">
        <f t="shared" si="37"/>
        <v>Aux cocina-2025</v>
      </c>
      <c r="G98" s="207" t="str">
        <f t="shared" si="37"/>
        <v>Aux cocina-2026</v>
      </c>
      <c r="H98" s="207" t="str">
        <f t="shared" si="37"/>
        <v>Aux cocina-2027</v>
      </c>
      <c r="I98" s="207" t="str">
        <f t="shared" si="37"/>
        <v>Aux cocina-2028</v>
      </c>
      <c r="J98" s="207" t="str">
        <f t="shared" si="37"/>
        <v>Aux cocina-2029</v>
      </c>
      <c r="K98" s="207" t="str">
        <f t="shared" si="37"/>
        <v>Aux cocina-2030</v>
      </c>
    </row>
    <row r="99" spans="1:11" s="151" customFormat="1">
      <c r="A99" s="204"/>
      <c r="B99" s="205"/>
      <c r="C99" s="206"/>
      <c r="D99" s="207" t="str">
        <f>$A$85&amp;"-"&amp;D$83</f>
        <v>Administrador-2023</v>
      </c>
      <c r="E99" s="207" t="str">
        <f t="shared" ref="E99:K99" si="38">$A$85&amp;"-"&amp;E$83</f>
        <v>Administrador-2024</v>
      </c>
      <c r="F99" s="207" t="str">
        <f t="shared" si="38"/>
        <v>Administrador-2025</v>
      </c>
      <c r="G99" s="207" t="str">
        <f t="shared" si="38"/>
        <v>Administrador-2026</v>
      </c>
      <c r="H99" s="207" t="str">
        <f t="shared" si="38"/>
        <v>Administrador-2027</v>
      </c>
      <c r="I99" s="207" t="str">
        <f t="shared" si="38"/>
        <v>Administrador-2028</v>
      </c>
      <c r="J99" s="207" t="str">
        <f t="shared" si="38"/>
        <v>Administrador-2029</v>
      </c>
      <c r="K99" s="207" t="str">
        <f t="shared" si="38"/>
        <v>Administrador-2030</v>
      </c>
    </row>
    <row r="100" spans="1:11" s="151" customFormat="1">
      <c r="A100" s="204"/>
      <c r="B100" s="205"/>
      <c r="C100" s="206"/>
      <c r="D100" s="207" t="str">
        <f>$A$86&amp;"-"&amp;D$83</f>
        <v>Cajero-2023</v>
      </c>
      <c r="E100" s="207" t="str">
        <f t="shared" ref="E100:K100" si="39">$A$86&amp;"-"&amp;E$83</f>
        <v>Cajero-2024</v>
      </c>
      <c r="F100" s="207" t="str">
        <f t="shared" si="39"/>
        <v>Cajero-2025</v>
      </c>
      <c r="G100" s="207" t="str">
        <f t="shared" si="39"/>
        <v>Cajero-2026</v>
      </c>
      <c r="H100" s="207" t="str">
        <f t="shared" si="39"/>
        <v>Cajero-2027</v>
      </c>
      <c r="I100" s="207" t="str">
        <f t="shared" si="39"/>
        <v>Cajero-2028</v>
      </c>
      <c r="J100" s="207" t="str">
        <f t="shared" si="39"/>
        <v>Cajero-2029</v>
      </c>
      <c r="K100" s="207" t="str">
        <f t="shared" si="39"/>
        <v>Cajero-2030</v>
      </c>
    </row>
    <row r="101" spans="1:11" s="151" customFormat="1">
      <c r="A101" s="202" t="s">
        <v>339</v>
      </c>
      <c r="B101" s="203" t="s">
        <v>340</v>
      </c>
      <c r="C101" s="202" t="s">
        <v>463</v>
      </c>
      <c r="D101" s="196">
        <v>2023</v>
      </c>
      <c r="E101" s="196">
        <v>2024</v>
      </c>
      <c r="F101" s="196">
        <f t="shared" ref="F101:K101" si="40">+E101+1</f>
        <v>2025</v>
      </c>
      <c r="G101" s="196">
        <f t="shared" si="40"/>
        <v>2026</v>
      </c>
      <c r="H101" s="196">
        <f t="shared" si="40"/>
        <v>2027</v>
      </c>
      <c r="I101" s="196">
        <f t="shared" si="40"/>
        <v>2028</v>
      </c>
      <c r="J101" s="196">
        <f t="shared" si="40"/>
        <v>2029</v>
      </c>
      <c r="K101" s="196">
        <f t="shared" si="40"/>
        <v>2030</v>
      </c>
    </row>
    <row r="102" spans="1:11">
      <c r="A102" s="176" t="s">
        <v>368</v>
      </c>
      <c r="B102" s="177" t="s">
        <v>369</v>
      </c>
      <c r="C102" s="193">
        <v>1</v>
      </c>
      <c r="D102" s="177">
        <v>120000</v>
      </c>
      <c r="E102" s="195">
        <f>IF($A$78="NORMAL",D102*(C55+1),IF($A$78="PESIMISTA",D102*(C61+1),IF($A$78="OPTIMISTA",D102*(C67+1))))</f>
        <v>133200</v>
      </c>
      <c r="F102" s="195">
        <f t="shared" ref="F102:K102" si="41">IF($A$78="NORMAL",E102*(D55+1),IF($A$78="PESIMISTA",E102*(D61+1),IF($A$78="OPTIMISTA",E102*(D67+1))))</f>
        <v>146520</v>
      </c>
      <c r="G102" s="195">
        <f t="shared" si="41"/>
        <v>159706.80000000002</v>
      </c>
      <c r="H102" s="195">
        <f t="shared" si="41"/>
        <v>175677.48000000004</v>
      </c>
      <c r="I102" s="195">
        <f t="shared" si="41"/>
        <v>193245.22800000006</v>
      </c>
      <c r="J102" s="195">
        <f t="shared" si="41"/>
        <v>212569.7508000001</v>
      </c>
      <c r="K102" s="195">
        <f t="shared" si="41"/>
        <v>233826.72588000013</v>
      </c>
    </row>
    <row r="103" spans="1:11">
      <c r="A103" s="176" t="s">
        <v>370</v>
      </c>
      <c r="B103" s="177" t="s">
        <v>371</v>
      </c>
      <c r="C103" s="193">
        <v>1</v>
      </c>
      <c r="D103" s="177">
        <v>50000</v>
      </c>
      <c r="E103" s="195">
        <f>IF($A$78="NORMAL",D103*(C55+1),IF($A$78="PESIMISTA",D103*(C61+1),IF($A$78="OPTIMISTA",D103*(C67+1))))</f>
        <v>55500.000000000007</v>
      </c>
      <c r="F103" s="195">
        <f t="shared" ref="F103:K103" si="42">IF($A$78="NORMAL",E103*(D55+1),IF($A$78="PESIMISTA",E103*(D61+1),IF($A$78="OPTIMISTA",E103*(D67+1))))</f>
        <v>61050.000000000015</v>
      </c>
      <c r="G103" s="195">
        <f t="shared" si="42"/>
        <v>66544.500000000015</v>
      </c>
      <c r="H103" s="195">
        <f t="shared" si="42"/>
        <v>73198.950000000026</v>
      </c>
      <c r="I103" s="195">
        <f t="shared" si="42"/>
        <v>80518.84500000003</v>
      </c>
      <c r="J103" s="195">
        <f t="shared" si="42"/>
        <v>88570.729500000045</v>
      </c>
      <c r="K103" s="195">
        <f t="shared" si="42"/>
        <v>97427.802450000061</v>
      </c>
    </row>
    <row r="104" spans="1:11">
      <c r="A104" s="176" t="s">
        <v>372</v>
      </c>
      <c r="B104" s="177" t="s">
        <v>371</v>
      </c>
      <c r="C104" s="193">
        <v>1</v>
      </c>
      <c r="D104" s="177">
        <v>150000</v>
      </c>
      <c r="E104" s="195">
        <f>IF($A$78="NORMAL",D104*(C55+1),IF($A$78="PESIMISTA",D104*(C61+1),IF($A$78="OPTIMISTA",D104*(C67+1))))</f>
        <v>166500.00000000003</v>
      </c>
      <c r="F104" s="195">
        <f t="shared" ref="F104:K104" si="43">IF($A$78="NORMAL",E104*(D55+1),IF($A$78="PESIMISTA",E104*(D61+1),IF($A$78="OPTIMISTA",E104*(D67+1))))</f>
        <v>183150.00000000006</v>
      </c>
      <c r="G104" s="195">
        <f t="shared" si="43"/>
        <v>199633.50000000009</v>
      </c>
      <c r="H104" s="195">
        <f t="shared" si="43"/>
        <v>219596.85000000012</v>
      </c>
      <c r="I104" s="195">
        <f t="shared" si="43"/>
        <v>241556.53500000015</v>
      </c>
      <c r="J104" s="195">
        <f t="shared" si="43"/>
        <v>265712.18850000016</v>
      </c>
      <c r="K104" s="195">
        <f t="shared" si="43"/>
        <v>292283.40735000023</v>
      </c>
    </row>
  </sheetData>
  <mergeCells count="6">
    <mergeCell ref="A28:C29"/>
    <mergeCell ref="A1:C1"/>
    <mergeCell ref="A4:C4"/>
    <mergeCell ref="A13:C14"/>
    <mergeCell ref="A18:C19"/>
    <mergeCell ref="A23:C2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395E9B-906B-4992-8D8B-631BB51C4CFB}">
          <x14:formula1>
            <xm:f>'Ventas-Mp Ins-Invent'!$B$1:$E$1</xm:f>
          </x14:formula1>
          <xm:sqref>A78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A784-AE8D-4CF5-9BAA-9E4AA0C479B6}">
  <dimension ref="A1:J8"/>
  <sheetViews>
    <sheetView workbookViewId="0">
      <selection activeCell="J20" sqref="J20"/>
    </sheetView>
  </sheetViews>
  <sheetFormatPr baseColWidth="10" defaultRowHeight="14.5"/>
  <cols>
    <col min="1" max="1" width="22.7265625" bestFit="1" customWidth="1"/>
    <col min="2" max="2" width="11.54296875" bestFit="1" customWidth="1"/>
    <col min="3" max="3" width="12.81640625" bestFit="1" customWidth="1"/>
    <col min="4" max="10" width="13.7265625" bestFit="1" customWidth="1"/>
  </cols>
  <sheetData>
    <row r="1" spans="1:10" s="154" customFormat="1">
      <c r="A1" s="255" t="s">
        <v>337</v>
      </c>
      <c r="B1" s="255">
        <v>2022</v>
      </c>
      <c r="C1" s="255">
        <f t="shared" ref="C1:J1" si="0">+B1+1</f>
        <v>2023</v>
      </c>
      <c r="D1" s="255">
        <f t="shared" si="0"/>
        <v>2024</v>
      </c>
      <c r="E1" s="255">
        <f t="shared" si="0"/>
        <v>2025</v>
      </c>
      <c r="F1" s="255">
        <f t="shared" si="0"/>
        <v>2026</v>
      </c>
      <c r="G1" s="255">
        <f t="shared" si="0"/>
        <v>2027</v>
      </c>
      <c r="H1" s="255">
        <f t="shared" si="0"/>
        <v>2028</v>
      </c>
      <c r="I1" s="255">
        <f t="shared" si="0"/>
        <v>2029</v>
      </c>
      <c r="J1" s="255">
        <f t="shared" si="0"/>
        <v>2030</v>
      </c>
    </row>
    <row r="2" spans="1:10" s="154" customFormat="1">
      <c r="A2" s="176" t="s">
        <v>544</v>
      </c>
      <c r="B2" s="193">
        <v>360</v>
      </c>
      <c r="C2" s="193">
        <v>360</v>
      </c>
      <c r="D2" s="193">
        <v>360</v>
      </c>
      <c r="E2" s="193">
        <v>360</v>
      </c>
      <c r="F2" s="193">
        <v>360</v>
      </c>
      <c r="G2" s="193">
        <v>360</v>
      </c>
      <c r="H2" s="193">
        <v>360</v>
      </c>
      <c r="I2" s="193">
        <v>360</v>
      </c>
      <c r="J2" s="193">
        <v>360</v>
      </c>
    </row>
    <row r="3" spans="1:10" s="154" customFormat="1">
      <c r="A3" s="176" t="s">
        <v>543</v>
      </c>
      <c r="B3" s="256">
        <f>(B2-Datos!$C$49)/B2</f>
        <v>0.91666666666666663</v>
      </c>
      <c r="C3" s="256">
        <f>(C2-Datos!$C$49)/C2</f>
        <v>0.91666666666666663</v>
      </c>
      <c r="D3" s="256">
        <f>(D2-Datos!$C$49)/D2</f>
        <v>0.91666666666666663</v>
      </c>
      <c r="E3" s="256">
        <f>(E2-Datos!$C$49)/E2</f>
        <v>0.91666666666666663</v>
      </c>
      <c r="F3" s="256">
        <f>(F2-Datos!$C$49)/F2</f>
        <v>0.91666666666666663</v>
      </c>
      <c r="G3" s="256">
        <f>(G2-Datos!$C$49)/G2</f>
        <v>0.91666666666666663</v>
      </c>
      <c r="H3" s="256">
        <f>(H2-Datos!$C$49)/H2</f>
        <v>0.91666666666666663</v>
      </c>
      <c r="I3" s="256">
        <f>(I2-Datos!$C$49)/I2</f>
        <v>0.91666666666666663</v>
      </c>
      <c r="J3" s="256">
        <f>(J2-Datos!$C$49)/J2</f>
        <v>0.91666666666666663</v>
      </c>
    </row>
    <row r="4" spans="1:10" s="154" customFormat="1">
      <c r="A4" s="176" t="s">
        <v>586</v>
      </c>
      <c r="B4" s="257">
        <f>+'EF Proyecto'!G39</f>
        <v>0</v>
      </c>
      <c r="C4" s="257">
        <f>+'EF Proyecto'!H39</f>
        <v>49818064.069084287</v>
      </c>
      <c r="D4" s="257">
        <f>+'EF Proyecto'!I39</f>
        <v>56879257.390906438</v>
      </c>
      <c r="E4" s="257">
        <f>+'EF Proyecto'!J39</f>
        <v>60007616.7227441</v>
      </c>
      <c r="F4" s="257">
        <f>+'EF Proyecto'!K39</f>
        <v>63308035.642495021</v>
      </c>
      <c r="G4" s="257">
        <f>+'EF Proyecto'!L39</f>
        <v>95455856.141753986</v>
      </c>
      <c r="H4" s="257">
        <f>+'EF Proyecto'!M39</f>
        <v>99560457.955849394</v>
      </c>
      <c r="I4" s="257">
        <f>+'EF Proyecto'!N39</f>
        <v>103443315.81612751</v>
      </c>
      <c r="J4" s="257">
        <f>+'EF Proyecto'!O39</f>
        <v>108098265.02785324</v>
      </c>
    </row>
    <row r="5" spans="1:10">
      <c r="A5" s="153" t="s">
        <v>583</v>
      </c>
      <c r="B5" s="153">
        <v>0</v>
      </c>
      <c r="C5" s="258">
        <f>+C4*Datos!$B$48</f>
        <v>42345354.458721645</v>
      </c>
      <c r="D5" s="258">
        <f>+D4*Datos!$B$48</f>
        <v>48347368.782270469</v>
      </c>
      <c r="E5" s="258">
        <f>+E4*Datos!$B$48</f>
        <v>51006474.214332484</v>
      </c>
      <c r="F5" s="258">
        <f>+F4*Datos!$B$48</f>
        <v>53811830.29612077</v>
      </c>
      <c r="G5" s="258">
        <f>+G4*Datos!$B$48</f>
        <v>81137477.720490888</v>
      </c>
      <c r="H5" s="258">
        <f>+H4*Datos!$B$48</f>
        <v>84626389.262471989</v>
      </c>
      <c r="I5" s="258">
        <f>+I4*Datos!$B$48</f>
        <v>87926818.443708375</v>
      </c>
      <c r="J5" s="258">
        <f>+J4*Datos!$B$48</f>
        <v>91883525.273675248</v>
      </c>
    </row>
    <row r="6" spans="1:10">
      <c r="A6" s="153" t="s">
        <v>584</v>
      </c>
      <c r="B6" s="153">
        <v>0</v>
      </c>
      <c r="C6" s="258">
        <f>+C4*Datos!$B$49</f>
        <v>7472709.6103626443</v>
      </c>
      <c r="D6" s="258">
        <f>+D4*Datos!$B$49</f>
        <v>8531888.6086359676</v>
      </c>
      <c r="E6" s="258">
        <f>+E4*Datos!$B$49</f>
        <v>9001142.5084116161</v>
      </c>
      <c r="F6" s="258">
        <f>+F4*Datos!$B$49</f>
        <v>9496205.3463742547</v>
      </c>
      <c r="G6" s="258">
        <f>+G4*Datos!$B$49</f>
        <v>14318378.421263101</v>
      </c>
      <c r="H6" s="258">
        <f>+H4*Datos!$B$49</f>
        <v>14934068.693377411</v>
      </c>
      <c r="I6" s="258">
        <f>+I4*Datos!$B$49</f>
        <v>15516497.372419128</v>
      </c>
      <c r="J6" s="258">
        <f>+J4*Datos!$B$49</f>
        <v>16214739.754177988</v>
      </c>
    </row>
    <row r="7" spans="1:10">
      <c r="A7" s="153" t="s">
        <v>587</v>
      </c>
      <c r="B7" s="153">
        <v>0</v>
      </c>
      <c r="C7" s="258">
        <f>+C6*C3</f>
        <v>6849983.8094990905</v>
      </c>
      <c r="D7" s="258">
        <f t="shared" ref="D7:J7" si="1">+D6*D3</f>
        <v>7820897.8912496362</v>
      </c>
      <c r="E7" s="258">
        <f t="shared" si="1"/>
        <v>8251047.2993773147</v>
      </c>
      <c r="F7" s="258">
        <f t="shared" si="1"/>
        <v>8704854.9008430671</v>
      </c>
      <c r="G7" s="258">
        <f t="shared" si="1"/>
        <v>13125180.219491174</v>
      </c>
      <c r="H7" s="258">
        <f t="shared" si="1"/>
        <v>13689562.968929293</v>
      </c>
      <c r="I7" s="258">
        <f t="shared" si="1"/>
        <v>14223455.924717534</v>
      </c>
      <c r="J7" s="258">
        <f t="shared" si="1"/>
        <v>14863511.441329822</v>
      </c>
    </row>
    <row r="8" spans="1:10">
      <c r="A8" s="153" t="s">
        <v>585</v>
      </c>
      <c r="B8" s="153">
        <v>0</v>
      </c>
      <c r="C8" s="258">
        <f>+C6-C7</f>
        <v>622725.80086355377</v>
      </c>
      <c r="D8" s="258">
        <f t="shared" ref="D8:J8" si="2">+D6-D7</f>
        <v>710990.71738633141</v>
      </c>
      <c r="E8" s="258">
        <f t="shared" si="2"/>
        <v>750095.20903430134</v>
      </c>
      <c r="F8" s="258">
        <f t="shared" si="2"/>
        <v>791350.44553118758</v>
      </c>
      <c r="G8" s="258">
        <f t="shared" si="2"/>
        <v>1193198.2017719261</v>
      </c>
      <c r="H8" s="258">
        <f t="shared" si="2"/>
        <v>1244505.7244481184</v>
      </c>
      <c r="I8" s="258">
        <f t="shared" si="2"/>
        <v>1293041.4477015939</v>
      </c>
      <c r="J8" s="258">
        <f t="shared" si="2"/>
        <v>1351228.3128481656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6034-E146-43D1-9A49-B301526F6055}">
  <dimension ref="A1:V35"/>
  <sheetViews>
    <sheetView showGridLines="0" zoomScale="80" zoomScaleNormal="80" workbookViewId="0">
      <selection activeCell="L22" sqref="L22"/>
    </sheetView>
  </sheetViews>
  <sheetFormatPr baseColWidth="10" defaultColWidth="11.453125" defaultRowHeight="15.5"/>
  <cols>
    <col min="1" max="1" width="11.54296875" style="281" bestFit="1" customWidth="1"/>
    <col min="2" max="2" width="18.7265625" style="281" customWidth="1"/>
    <col min="3" max="9" width="14.1796875" style="281" bestFit="1" customWidth="1"/>
    <col min="10" max="10" width="15.81640625" style="281" bestFit="1" customWidth="1"/>
    <col min="11" max="11" width="5.54296875" style="281" customWidth="1"/>
    <col min="12" max="12" width="54.26953125" style="281" customWidth="1"/>
    <col min="13" max="13" width="11" style="281" bestFit="1" customWidth="1"/>
    <col min="14" max="16384" width="11.453125" style="281"/>
  </cols>
  <sheetData>
    <row r="1" spans="1:22" ht="23.5">
      <c r="A1" s="302" t="s">
        <v>693</v>
      </c>
      <c r="C1" s="1"/>
    </row>
    <row r="3" spans="1:22" ht="20">
      <c r="A3" s="301" t="s">
        <v>692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</row>
    <row r="4" spans="1:22" ht="18.5">
      <c r="A4" s="994" t="s">
        <v>691</v>
      </c>
      <c r="B4" s="994"/>
      <c r="C4" s="72"/>
      <c r="D4" s="72"/>
      <c r="E4" s="72"/>
      <c r="F4" s="72"/>
      <c r="G4" s="72"/>
      <c r="H4" s="72"/>
      <c r="I4" s="72"/>
      <c r="J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1:22" ht="16" thickBot="1">
      <c r="A5" s="72"/>
      <c r="B5" s="72"/>
      <c r="C5" s="72"/>
      <c r="D5" s="72"/>
      <c r="E5" s="72"/>
      <c r="F5" s="72"/>
      <c r="G5" s="72"/>
      <c r="H5" s="72"/>
      <c r="I5" s="72"/>
      <c r="J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</row>
    <row r="6" spans="1:22" ht="19" thickBot="1">
      <c r="A6" s="995" t="s">
        <v>670</v>
      </c>
      <c r="B6" s="995"/>
      <c r="C6" s="299">
        <v>2023</v>
      </c>
      <c r="D6" s="299">
        <v>2024</v>
      </c>
      <c r="E6" s="299">
        <v>2025</v>
      </c>
      <c r="F6" s="299">
        <v>2026</v>
      </c>
      <c r="G6" s="299">
        <v>2027</v>
      </c>
      <c r="H6" s="299">
        <v>2028</v>
      </c>
      <c r="I6" s="299">
        <v>2029</v>
      </c>
      <c r="J6" s="299">
        <v>2030</v>
      </c>
      <c r="K6" s="303"/>
      <c r="L6" s="996" t="s">
        <v>690</v>
      </c>
      <c r="M6" s="997"/>
      <c r="N6" s="997"/>
      <c r="O6" s="997"/>
      <c r="P6" s="997"/>
      <c r="Q6" s="997"/>
      <c r="R6" s="997"/>
      <c r="S6" s="997"/>
      <c r="T6" s="997"/>
      <c r="U6" s="997"/>
      <c r="V6" s="998"/>
    </row>
    <row r="7" spans="1:22">
      <c r="A7" s="989" t="s">
        <v>689</v>
      </c>
      <c r="B7" s="989"/>
      <c r="C7" s="282">
        <f>'EF Proyecto'!H7</f>
        <v>53418063.269871898</v>
      </c>
      <c r="D7" s="282">
        <f>'EF Proyecto'!I7</f>
        <v>34776288.533580922</v>
      </c>
      <c r="E7" s="282">
        <f>'EF Proyecto'!J7</f>
        <v>32227200.892179139</v>
      </c>
      <c r="F7" s="282">
        <f>'EF Proyecto'!K7</f>
        <v>79445072.09736605</v>
      </c>
      <c r="G7" s="282">
        <f>'EF Proyecto'!L7</f>
        <v>25374405.843235295</v>
      </c>
      <c r="H7" s="282">
        <f>'EF Proyecto'!M7</f>
        <v>46029041.268663406</v>
      </c>
      <c r="I7" s="282">
        <f>'EF Proyecto'!N7</f>
        <v>58365774.73333773</v>
      </c>
      <c r="J7" s="282">
        <f>'EF Proyecto'!O7</f>
        <v>138608891.34947136</v>
      </c>
      <c r="K7" s="304"/>
      <c r="L7" s="999" t="s">
        <v>688</v>
      </c>
      <c r="M7" s="1000"/>
      <c r="N7" s="1001" t="s">
        <v>687</v>
      </c>
      <c r="O7" s="1001"/>
      <c r="P7" s="1001"/>
      <c r="Q7" s="1001"/>
      <c r="R7" s="1001"/>
      <c r="S7" s="1001"/>
      <c r="T7" s="1001"/>
      <c r="U7" s="1001"/>
      <c r="V7" s="1002"/>
    </row>
    <row r="8" spans="1:22">
      <c r="A8" s="989" t="s">
        <v>669</v>
      </c>
      <c r="B8" s="989"/>
      <c r="C8" s="282">
        <f>'EF Proyecto'!H13</f>
        <v>99828289.669871897</v>
      </c>
      <c r="D8" s="282">
        <f>'EF Proyecto'!I13</f>
        <v>76522968.845580921</v>
      </c>
      <c r="E8" s="282">
        <f>'EF Proyecto'!J13</f>
        <v>63159976.086679138</v>
      </c>
      <c r="F8" s="282">
        <f>'EF Proyecto'!K13</f>
        <v>106530616.91464585</v>
      </c>
      <c r="G8" s="282">
        <f>'EF Proyecto'!L13</f>
        <v>103025664.39213361</v>
      </c>
      <c r="H8" s="282">
        <f>'EF Proyecto'!M13</f>
        <v>105022590.67699137</v>
      </c>
      <c r="I8" s="282">
        <f>'EF Proyecto'!N13</f>
        <v>106352746.96903613</v>
      </c>
      <c r="J8" s="282">
        <f>'EF Proyecto'!O13</f>
        <v>167505839.8353366</v>
      </c>
      <c r="K8" s="304"/>
      <c r="L8" s="990" t="s">
        <v>686</v>
      </c>
      <c r="M8" s="991"/>
      <c r="N8" s="992" t="s">
        <v>685</v>
      </c>
      <c r="O8" s="992"/>
      <c r="P8" s="992"/>
      <c r="Q8" s="992"/>
      <c r="R8" s="992"/>
      <c r="S8" s="992"/>
      <c r="T8" s="992"/>
      <c r="U8" s="992"/>
      <c r="V8" s="993"/>
    </row>
    <row r="9" spans="1:22">
      <c r="A9" s="989" t="s">
        <v>668</v>
      </c>
      <c r="B9" s="989"/>
      <c r="C9" s="282">
        <f>'EF Proyecto'!H24</f>
        <v>58061193.758930773</v>
      </c>
      <c r="D9" s="282">
        <f>'EF Proyecto'!I24</f>
        <v>41314990.369308598</v>
      </c>
      <c r="E9" s="282">
        <f>'EF Proyecto'!J24</f>
        <v>30267628.809509706</v>
      </c>
      <c r="F9" s="282">
        <f>'EF Proyecto'!K24</f>
        <v>36779164.543531783</v>
      </c>
      <c r="G9" s="282">
        <f>'EF Proyecto'!L24</f>
        <v>70503682.627390996</v>
      </c>
      <c r="H9" s="282">
        <f>'EF Proyecto'!M24</f>
        <v>66773726.546999536</v>
      </c>
      <c r="I9" s="282">
        <f>'EF Proyecto'!N24</f>
        <v>59882293.718574367</v>
      </c>
      <c r="J9" s="282">
        <f>'EF Proyecto'!O24</f>
        <v>71949653.946767017</v>
      </c>
      <c r="K9" s="304"/>
      <c r="L9" s="990" t="s">
        <v>684</v>
      </c>
      <c r="M9" s="991"/>
      <c r="N9" s="992" t="s">
        <v>683</v>
      </c>
      <c r="O9" s="992"/>
      <c r="P9" s="992"/>
      <c r="Q9" s="992"/>
      <c r="R9" s="992"/>
      <c r="S9" s="992"/>
      <c r="T9" s="992"/>
      <c r="U9" s="992"/>
      <c r="V9" s="993"/>
    </row>
    <row r="10" spans="1:22">
      <c r="A10" s="989" t="s">
        <v>89</v>
      </c>
      <c r="B10" s="989"/>
      <c r="C10" s="282">
        <f>'EF Proyecto'!H30</f>
        <v>41767095.910941161</v>
      </c>
      <c r="D10" s="282">
        <f>'EF Proyecto'!I30</f>
        <v>35207978.476272292</v>
      </c>
      <c r="E10" s="282">
        <f>'EF Proyecto'!J30</f>
        <v>32892347.277169421</v>
      </c>
      <c r="F10" s="282">
        <f>'EF Proyecto'!K30</f>
        <v>69751452.371114105</v>
      </c>
      <c r="G10" s="282">
        <f>'EF Proyecto'!L30</f>
        <v>32521981.764742594</v>
      </c>
      <c r="H10" s="282">
        <f>'EF Proyecto'!M30</f>
        <v>38248864.129991859</v>
      </c>
      <c r="I10" s="282">
        <f>'EF Proyecto'!N30</f>
        <v>46470453.250461757</v>
      </c>
      <c r="J10" s="282">
        <f>'EF Proyecto'!O30</f>
        <v>95556185.888569474</v>
      </c>
      <c r="K10" s="304"/>
      <c r="L10" s="990" t="s">
        <v>682</v>
      </c>
      <c r="M10" s="991"/>
      <c r="N10" s="992" t="s">
        <v>681</v>
      </c>
      <c r="O10" s="992"/>
      <c r="P10" s="992"/>
      <c r="Q10" s="992"/>
      <c r="R10" s="992"/>
      <c r="S10" s="992"/>
      <c r="T10" s="992"/>
      <c r="U10" s="992"/>
      <c r="V10" s="993"/>
    </row>
    <row r="11" spans="1:22">
      <c r="A11" s="989" t="s">
        <v>667</v>
      </c>
      <c r="B11" s="989"/>
      <c r="C11" s="282">
        <f>'EF Proyecto'!H29</f>
        <v>0</v>
      </c>
      <c r="D11" s="282">
        <f>'EF Proyecto'!I29</f>
        <v>-6072176.0890588406</v>
      </c>
      <c r="E11" s="282">
        <f>'EF Proyecto'!J29</f>
        <v>-12631293.523727706</v>
      </c>
      <c r="F11" s="282">
        <f>'EF Proyecto'!K29</f>
        <v>-14946924.722830575</v>
      </c>
      <c r="G11" s="282">
        <f>'EF Proyecto'!L29</f>
        <v>21912180.371114109</v>
      </c>
      <c r="H11" s="282">
        <f>'EF Proyecto'!M29</f>
        <v>-15317290.235257406</v>
      </c>
      <c r="I11" s="282">
        <f>'EF Proyecto'!N29</f>
        <v>-9590407.8700081445</v>
      </c>
      <c r="J11" s="282">
        <f>'EF Proyecto'!O29</f>
        <v>-1368818.749538241</v>
      </c>
      <c r="K11" s="304"/>
      <c r="L11" s="990" t="s">
        <v>680</v>
      </c>
      <c r="M11" s="991"/>
      <c r="N11" s="992" t="s">
        <v>679</v>
      </c>
      <c r="O11" s="992"/>
      <c r="P11" s="992"/>
      <c r="Q11" s="992"/>
      <c r="R11" s="992"/>
      <c r="S11" s="992"/>
      <c r="T11" s="992"/>
      <c r="U11" s="992"/>
      <c r="V11" s="993"/>
    </row>
    <row r="12" spans="1:22">
      <c r="A12" s="989" t="s">
        <v>666</v>
      </c>
      <c r="B12" s="989"/>
      <c r="C12" s="282">
        <f>'EF Proyecto'!H64</f>
        <v>17256879.930915721</v>
      </c>
      <c r="D12" s="282">
        <f>'EF Proyecto'!I64</f>
        <v>15990662.949093536</v>
      </c>
      <c r="E12" s="282">
        <f>'EF Proyecto'!J64</f>
        <v>18408997.060105942</v>
      </c>
      <c r="F12" s="282">
        <f>'EF Proyecto'!K64</f>
        <v>77670712.371726751</v>
      </c>
      <c r="G12" s="282">
        <f>'EF Proyecto'!L64</f>
        <v>11456698.902052835</v>
      </c>
      <c r="H12" s="282">
        <f>'EF Proyecto'!M64</f>
        <v>43767455.252472579</v>
      </c>
      <c r="I12" s="282">
        <f>'EF Proyecto'!N64</f>
        <v>46870303.154693745</v>
      </c>
      <c r="J12" s="282">
        <f>'EF Proyecto'!O64</f>
        <v>108239832.83893958</v>
      </c>
      <c r="K12" s="304"/>
      <c r="L12" s="990" t="s">
        <v>678</v>
      </c>
      <c r="M12" s="991"/>
      <c r="N12" s="992" t="s">
        <v>677</v>
      </c>
      <c r="O12" s="992"/>
      <c r="P12" s="992"/>
      <c r="Q12" s="992"/>
      <c r="R12" s="992"/>
      <c r="S12" s="992"/>
      <c r="T12" s="992"/>
      <c r="U12" s="992"/>
      <c r="V12" s="993"/>
    </row>
    <row r="13" spans="1:22" ht="16" thickBot="1">
      <c r="A13" s="989" t="s">
        <v>634</v>
      </c>
      <c r="B13" s="989"/>
      <c r="C13" s="282">
        <f>'EF Proyecto'!H38</f>
        <v>277350000</v>
      </c>
      <c r="D13" s="282">
        <f>'EF Proyecto'!I38</f>
        <v>301953718.5</v>
      </c>
      <c r="E13" s="282">
        <f>'EF Proyecto'!J38</f>
        <v>360079809.31125003</v>
      </c>
      <c r="F13" s="282">
        <f>'EF Proyecto'!K38</f>
        <v>437622996.24642777</v>
      </c>
      <c r="G13" s="282">
        <f>'EF Proyecto'!L38</f>
        <v>744519251.05412257</v>
      </c>
      <c r="H13" s="282">
        <f>'EF Proyecto'!M38</f>
        <v>828649926.42323852</v>
      </c>
      <c r="I13" s="282">
        <f>'EF Proyecto'!N38</f>
        <v>926554915.23014414</v>
      </c>
      <c r="J13" s="282">
        <f>'EF Proyecto'!O38</f>
        <v>1050713273.8709836</v>
      </c>
      <c r="K13" s="304"/>
      <c r="L13" s="1007" t="s">
        <v>676</v>
      </c>
      <c r="M13" s="1008"/>
      <c r="N13" s="1003" t="s">
        <v>675</v>
      </c>
      <c r="O13" s="1003"/>
      <c r="P13" s="1003"/>
      <c r="Q13" s="1003"/>
      <c r="R13" s="1003"/>
      <c r="S13" s="1003"/>
      <c r="T13" s="1003"/>
      <c r="U13" s="1003"/>
      <c r="V13" s="1004"/>
    </row>
    <row r="14" spans="1:22">
      <c r="A14" s="298"/>
      <c r="B14" s="298"/>
      <c r="C14" s="298"/>
      <c r="D14" s="298"/>
      <c r="E14" s="298"/>
      <c r="F14" s="298"/>
      <c r="G14" s="298"/>
      <c r="H14" s="298"/>
      <c r="I14" s="298"/>
      <c r="J14" s="298"/>
      <c r="L14" s="297" t="s">
        <v>674</v>
      </c>
      <c r="M14" s="296" t="s">
        <v>665</v>
      </c>
      <c r="N14" s="295"/>
      <c r="O14" s="295"/>
      <c r="P14" s="295"/>
      <c r="Q14" s="72"/>
      <c r="R14" s="72"/>
      <c r="S14" s="72"/>
      <c r="T14" s="72"/>
      <c r="U14" s="72"/>
      <c r="V14" s="72"/>
    </row>
    <row r="15" spans="1:22">
      <c r="A15" s="1005" t="s">
        <v>664</v>
      </c>
      <c r="B15" s="1006"/>
      <c r="C15" s="294">
        <f t="shared" ref="C15:J15" si="0">$M$15*(C7/C8)</f>
        <v>0.64211934448469388</v>
      </c>
      <c r="D15" s="294">
        <f t="shared" si="0"/>
        <v>0.54534667002412085</v>
      </c>
      <c r="E15" s="294">
        <f t="shared" si="0"/>
        <v>0.61229663889583519</v>
      </c>
      <c r="F15" s="294">
        <f t="shared" si="0"/>
        <v>0.89489847405298095</v>
      </c>
      <c r="G15" s="294">
        <f t="shared" si="0"/>
        <v>0.29555050376561581</v>
      </c>
      <c r="H15" s="294">
        <f t="shared" si="0"/>
        <v>0.52593303180148154</v>
      </c>
      <c r="I15" s="294">
        <f t="shared" si="0"/>
        <v>0.65855308561420256</v>
      </c>
      <c r="J15" s="294">
        <f t="shared" si="0"/>
        <v>0.99298430301220431</v>
      </c>
      <c r="K15" s="305"/>
      <c r="L15" s="282" t="s">
        <v>663</v>
      </c>
      <c r="M15" s="293">
        <v>1.2</v>
      </c>
      <c r="N15" s="72"/>
      <c r="O15" s="72"/>
      <c r="P15" s="72"/>
      <c r="Q15" s="72"/>
      <c r="R15" s="72"/>
      <c r="S15" s="72"/>
      <c r="T15" s="72"/>
      <c r="U15" s="72"/>
      <c r="V15" s="72"/>
    </row>
    <row r="16" spans="1:22">
      <c r="A16" s="1005" t="s">
        <v>662</v>
      </c>
      <c r="B16" s="1006"/>
      <c r="C16" s="294">
        <f t="shared" ref="C16:J16" si="1">$M$16*(C11/C8)</f>
        <v>0</v>
      </c>
      <c r="D16" s="294">
        <f t="shared" si="1"/>
        <v>-0.11109143637431283</v>
      </c>
      <c r="E16" s="294">
        <f t="shared" si="1"/>
        <v>-0.27998444630425406</v>
      </c>
      <c r="F16" s="294">
        <f t="shared" si="1"/>
        <v>-0.19642892548654653</v>
      </c>
      <c r="G16" s="294">
        <f t="shared" si="1"/>
        <v>0.29776126852041013</v>
      </c>
      <c r="H16" s="294">
        <f t="shared" si="1"/>
        <v>-0.2041866058638222</v>
      </c>
      <c r="I16" s="294">
        <f t="shared" si="1"/>
        <v>-0.12624564386588394</v>
      </c>
      <c r="J16" s="294">
        <f t="shared" si="1"/>
        <v>-1.1440474261896569E-2</v>
      </c>
      <c r="K16" s="305"/>
      <c r="L16" s="282" t="s">
        <v>661</v>
      </c>
      <c r="M16" s="293">
        <v>1.4</v>
      </c>
      <c r="N16" s="72"/>
      <c r="O16" s="72"/>
      <c r="P16" s="72"/>
      <c r="Q16" s="72"/>
      <c r="R16" s="72"/>
      <c r="S16" s="72"/>
      <c r="T16" s="72"/>
      <c r="U16" s="72"/>
      <c r="V16" s="72"/>
    </row>
    <row r="17" spans="1:22">
      <c r="A17" s="1005" t="s">
        <v>660</v>
      </c>
      <c r="B17" s="1006"/>
      <c r="C17" s="294">
        <f t="shared" ref="C17:J17" si="2">$M$17*(C12/C8)</f>
        <v>0.57045657058080046</v>
      </c>
      <c r="D17" s="294">
        <f t="shared" si="2"/>
        <v>0.68958625793118322</v>
      </c>
      <c r="E17" s="294">
        <f t="shared" si="2"/>
        <v>0.96183839928910486</v>
      </c>
      <c r="F17" s="294">
        <f t="shared" si="2"/>
        <v>2.4060064444389813</v>
      </c>
      <c r="G17" s="294">
        <f t="shared" si="2"/>
        <v>0.3669678482525861</v>
      </c>
      <c r="H17" s="294">
        <f t="shared" si="2"/>
        <v>1.375252708985041</v>
      </c>
      <c r="I17" s="294">
        <f t="shared" si="2"/>
        <v>1.4543300931899863</v>
      </c>
      <c r="J17" s="294">
        <f t="shared" si="2"/>
        <v>2.1324119130391561</v>
      </c>
      <c r="K17" s="305"/>
      <c r="L17" s="282" t="s">
        <v>659</v>
      </c>
      <c r="M17" s="293">
        <v>3.3</v>
      </c>
      <c r="N17" s="72"/>
      <c r="O17" s="72"/>
      <c r="P17" s="72"/>
      <c r="Q17" s="72"/>
      <c r="R17" s="72"/>
      <c r="S17" s="72"/>
      <c r="T17" s="72"/>
      <c r="U17" s="72"/>
      <c r="V17" s="72"/>
    </row>
    <row r="18" spans="1:22">
      <c r="A18" s="1005" t="s">
        <v>658</v>
      </c>
      <c r="B18" s="1006"/>
      <c r="C18" s="294">
        <f t="shared" ref="C18:J18" si="3">$M$18*(C10/C9)</f>
        <v>0.43161802099031105</v>
      </c>
      <c r="D18" s="294">
        <f t="shared" si="3"/>
        <v>0.51131046859582985</v>
      </c>
      <c r="E18" s="294">
        <f t="shared" si="3"/>
        <v>0.65203020991525562</v>
      </c>
      <c r="F18" s="294">
        <f t="shared" si="3"/>
        <v>1.1378961959055325</v>
      </c>
      <c r="G18" s="294">
        <f t="shared" si="3"/>
        <v>0.27676836629899093</v>
      </c>
      <c r="H18" s="294">
        <f t="shared" si="3"/>
        <v>0.34368784946938591</v>
      </c>
      <c r="I18" s="294">
        <f t="shared" si="3"/>
        <v>0.46561796849856624</v>
      </c>
      <c r="J18" s="294">
        <f t="shared" si="3"/>
        <v>0.79685875314370314</v>
      </c>
      <c r="K18" s="305"/>
      <c r="L18" s="282" t="s">
        <v>657</v>
      </c>
      <c r="M18" s="293">
        <v>0.6</v>
      </c>
      <c r="N18" s="72"/>
      <c r="O18" s="72"/>
      <c r="P18" s="72"/>
      <c r="Q18" s="72"/>
      <c r="R18" s="72"/>
      <c r="S18" s="72"/>
      <c r="T18" s="72"/>
      <c r="U18" s="72"/>
      <c r="V18" s="72"/>
    </row>
    <row r="19" spans="1:22">
      <c r="A19" s="1005" t="s">
        <v>673</v>
      </c>
      <c r="B19" s="1006"/>
      <c r="C19" s="294">
        <f t="shared" ref="C19:J19" si="4">$M$19*(C13/C8)</f>
        <v>2.7782705775806158</v>
      </c>
      <c r="D19" s="294">
        <f t="shared" si="4"/>
        <v>3.9459226824997571</v>
      </c>
      <c r="E19" s="294">
        <f t="shared" si="4"/>
        <v>5.7010757701536443</v>
      </c>
      <c r="F19" s="294">
        <f t="shared" si="4"/>
        <v>4.1079551486786077</v>
      </c>
      <c r="G19" s="294">
        <f t="shared" si="4"/>
        <v>7.2265416141394896</v>
      </c>
      <c r="H19" s="294">
        <f t="shared" si="4"/>
        <v>7.8902064887338694</v>
      </c>
      <c r="I19" s="294">
        <f t="shared" si="4"/>
        <v>8.7120919923197118</v>
      </c>
      <c r="J19" s="294">
        <f t="shared" si="4"/>
        <v>6.2726963722809135</v>
      </c>
      <c r="K19" s="305"/>
      <c r="L19" s="282" t="s">
        <v>672</v>
      </c>
      <c r="M19" s="293">
        <v>1</v>
      </c>
      <c r="N19" s="72"/>
      <c r="O19" s="72"/>
      <c r="P19" s="72"/>
      <c r="Q19" s="72"/>
      <c r="R19" s="72"/>
      <c r="S19" s="72"/>
      <c r="T19" s="72"/>
      <c r="U19" s="72"/>
      <c r="V19" s="72"/>
    </row>
    <row r="20" spans="1:22">
      <c r="A20" s="72"/>
      <c r="B20" s="72"/>
      <c r="C20" s="72"/>
      <c r="D20" s="72"/>
      <c r="E20" s="72"/>
      <c r="F20" s="72"/>
      <c r="G20" s="72"/>
      <c r="H20" s="72"/>
      <c r="I20" s="72"/>
      <c r="J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  <row r="21" spans="1:22">
      <c r="A21" s="292"/>
      <c r="B21" s="72"/>
      <c r="C21" s="291">
        <f t="shared" ref="C21:J21" si="5">SUM(C15:C19)</f>
        <v>4.4224645136364211</v>
      </c>
      <c r="D21" s="291">
        <f t="shared" si="5"/>
        <v>5.5810746426765778</v>
      </c>
      <c r="E21" s="291">
        <f t="shared" si="5"/>
        <v>7.647256571949586</v>
      </c>
      <c r="F21" s="291">
        <f t="shared" si="5"/>
        <v>8.3503273375895546</v>
      </c>
      <c r="G21" s="291">
        <f t="shared" si="5"/>
        <v>8.4635896009770928</v>
      </c>
      <c r="H21" s="291">
        <f t="shared" si="5"/>
        <v>9.9308934731259555</v>
      </c>
      <c r="I21" s="291">
        <f t="shared" si="5"/>
        <v>11.164347495756584</v>
      </c>
      <c r="J21" s="291">
        <f t="shared" si="5"/>
        <v>10.18351086721408</v>
      </c>
      <c r="K21" s="306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</row>
    <row r="22" spans="1:22" ht="31">
      <c r="A22" s="72"/>
      <c r="B22" s="72"/>
      <c r="C22" s="808" t="str">
        <f t="shared" ref="C22:J22" si="6">LOOKUP(C21,$A$24:$A$26,$B$24:$B$26)</f>
        <v>Situación normal</v>
      </c>
      <c r="D22" s="808" t="str">
        <f t="shared" si="6"/>
        <v>Situación normal</v>
      </c>
      <c r="E22" s="808" t="str">
        <f t="shared" si="6"/>
        <v>Situación normal</v>
      </c>
      <c r="F22" s="808" t="str">
        <f t="shared" si="6"/>
        <v>Situación normal</v>
      </c>
      <c r="G22" s="808" t="str">
        <f t="shared" si="6"/>
        <v>Situación normal</v>
      </c>
      <c r="H22" s="808" t="str">
        <f t="shared" si="6"/>
        <v>Situación normal</v>
      </c>
      <c r="I22" s="808" t="str">
        <f t="shared" si="6"/>
        <v>Situación normal</v>
      </c>
      <c r="J22" s="808" t="str">
        <f t="shared" si="6"/>
        <v>Situación normal</v>
      </c>
      <c r="K22" s="307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</row>
    <row r="23" spans="1:22">
      <c r="A23" s="72"/>
      <c r="B23" s="72"/>
      <c r="C23" s="72"/>
      <c r="D23" s="72"/>
      <c r="E23" s="72"/>
      <c r="F23" s="72"/>
      <c r="G23" s="72"/>
      <c r="H23" s="72"/>
      <c r="I23" s="72"/>
      <c r="J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</row>
    <row r="24" spans="1:22">
      <c r="A24" s="290">
        <v>0</v>
      </c>
      <c r="B24" s="289" t="s">
        <v>656</v>
      </c>
      <c r="C24" s="72"/>
      <c r="D24" s="72"/>
      <c r="E24" s="72"/>
      <c r="F24" s="72"/>
      <c r="G24" s="72"/>
      <c r="H24" s="72"/>
      <c r="I24" s="72"/>
      <c r="J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</row>
    <row r="25" spans="1:22">
      <c r="A25" s="288">
        <v>1.81</v>
      </c>
      <c r="B25" s="287" t="s">
        <v>655</v>
      </c>
      <c r="C25" s="72"/>
      <c r="D25" s="72"/>
      <c r="E25" s="72"/>
      <c r="F25" s="72"/>
      <c r="G25" s="72"/>
      <c r="H25" s="72"/>
      <c r="I25" s="72"/>
      <c r="J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</row>
    <row r="26" spans="1:22">
      <c r="A26" s="286">
        <v>2.99</v>
      </c>
      <c r="B26" s="285" t="s">
        <v>654</v>
      </c>
      <c r="C26" s="72"/>
      <c r="D26" s="72"/>
      <c r="E26" s="72"/>
      <c r="F26" s="72"/>
      <c r="G26" s="72"/>
      <c r="H26" s="72"/>
      <c r="I26" s="72"/>
      <c r="J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</row>
    <row r="27" spans="1:22">
      <c r="A27" s="72"/>
      <c r="B27" s="72"/>
      <c r="C27" s="72"/>
      <c r="D27" s="72"/>
      <c r="E27" s="72"/>
      <c r="F27" s="72"/>
      <c r="G27" s="72"/>
      <c r="H27" s="72"/>
      <c r="I27" s="72"/>
      <c r="J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</row>
    <row r="28" spans="1:22">
      <c r="A28" s="72"/>
      <c r="B28" s="72"/>
      <c r="C28" s="72"/>
      <c r="D28" s="72"/>
      <c r="E28" s="72"/>
      <c r="F28" s="72"/>
      <c r="G28" s="72"/>
      <c r="H28" s="72"/>
      <c r="I28" s="72"/>
      <c r="J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</row>
    <row r="29" spans="1:22">
      <c r="A29" s="72"/>
      <c r="B29" s="72"/>
      <c r="C29" s="284">
        <f>A24</f>
        <v>0</v>
      </c>
      <c r="D29" s="284">
        <f t="shared" ref="D29:J31" si="7">C29</f>
        <v>0</v>
      </c>
      <c r="E29" s="284">
        <f t="shared" si="7"/>
        <v>0</v>
      </c>
      <c r="F29" s="284">
        <f t="shared" si="7"/>
        <v>0</v>
      </c>
      <c r="G29" s="284">
        <f t="shared" si="7"/>
        <v>0</v>
      </c>
      <c r="H29" s="284">
        <f t="shared" si="7"/>
        <v>0</v>
      </c>
      <c r="I29" s="284">
        <f t="shared" si="7"/>
        <v>0</v>
      </c>
      <c r="J29" s="284">
        <f t="shared" si="7"/>
        <v>0</v>
      </c>
      <c r="K29" s="308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2">
      <c r="A30" s="72"/>
      <c r="B30" s="72"/>
      <c r="C30" s="283">
        <f>A25</f>
        <v>1.81</v>
      </c>
      <c r="D30" s="283">
        <f t="shared" si="7"/>
        <v>1.81</v>
      </c>
      <c r="E30" s="283">
        <f t="shared" si="7"/>
        <v>1.81</v>
      </c>
      <c r="F30" s="283">
        <f t="shared" si="7"/>
        <v>1.81</v>
      </c>
      <c r="G30" s="283">
        <f t="shared" si="7"/>
        <v>1.81</v>
      </c>
      <c r="H30" s="283">
        <f t="shared" si="7"/>
        <v>1.81</v>
      </c>
      <c r="I30" s="283">
        <f t="shared" si="7"/>
        <v>1.81</v>
      </c>
      <c r="J30" s="283">
        <f t="shared" si="7"/>
        <v>1.81</v>
      </c>
      <c r="K30" s="309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</row>
    <row r="31" spans="1:22">
      <c r="A31" s="72"/>
      <c r="B31" s="72"/>
      <c r="C31" s="283">
        <f>A26</f>
        <v>2.99</v>
      </c>
      <c r="D31" s="283">
        <f t="shared" si="7"/>
        <v>2.99</v>
      </c>
      <c r="E31" s="283">
        <f t="shared" si="7"/>
        <v>2.99</v>
      </c>
      <c r="F31" s="283">
        <f t="shared" si="7"/>
        <v>2.99</v>
      </c>
      <c r="G31" s="283">
        <f t="shared" si="7"/>
        <v>2.99</v>
      </c>
      <c r="H31" s="283">
        <f t="shared" si="7"/>
        <v>2.99</v>
      </c>
      <c r="I31" s="283">
        <f t="shared" si="7"/>
        <v>2.99</v>
      </c>
      <c r="J31" s="283">
        <f t="shared" si="7"/>
        <v>2.99</v>
      </c>
      <c r="K31" s="309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</row>
    <row r="32" spans="1:22">
      <c r="A32" s="72"/>
      <c r="B32" s="72"/>
      <c r="C32" s="283">
        <f>C21</f>
        <v>4.4224645136364211</v>
      </c>
      <c r="D32" s="283">
        <f t="shared" ref="D32:J32" si="8">D21</f>
        <v>5.5810746426765778</v>
      </c>
      <c r="E32" s="283">
        <f t="shared" si="8"/>
        <v>7.647256571949586</v>
      </c>
      <c r="F32" s="283">
        <f t="shared" si="8"/>
        <v>8.3503273375895546</v>
      </c>
      <c r="G32" s="283">
        <f t="shared" si="8"/>
        <v>8.4635896009770928</v>
      </c>
      <c r="H32" s="283">
        <f t="shared" si="8"/>
        <v>9.9308934731259555</v>
      </c>
      <c r="I32" s="283">
        <f t="shared" si="8"/>
        <v>11.164347495756584</v>
      </c>
      <c r="J32" s="283">
        <f t="shared" si="8"/>
        <v>10.18351086721408</v>
      </c>
      <c r="K32" s="309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</row>
    <row r="33" spans="1:22">
      <c r="A33" s="72"/>
      <c r="B33" s="72"/>
      <c r="C33" s="72"/>
      <c r="D33" s="72"/>
      <c r="E33" s="72"/>
      <c r="F33" s="72"/>
      <c r="G33" s="72"/>
      <c r="H33" s="72"/>
      <c r="I33" s="72"/>
      <c r="J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</row>
    <row r="34" spans="1:22">
      <c r="A34" s="72"/>
      <c r="B34" s="72"/>
      <c r="C34" s="72"/>
      <c r="D34" s="72"/>
      <c r="E34" s="72"/>
      <c r="F34" s="72"/>
      <c r="G34" s="72"/>
      <c r="H34" s="72"/>
      <c r="I34" s="72"/>
      <c r="J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</row>
    <row r="35" spans="1:22">
      <c r="A35" s="72"/>
      <c r="B35" s="72"/>
      <c r="C35" s="72"/>
      <c r="D35" s="72"/>
      <c r="E35" s="72"/>
      <c r="F35" s="72"/>
      <c r="G35" s="72"/>
      <c r="H35" s="72"/>
      <c r="I35" s="72"/>
      <c r="J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</row>
  </sheetData>
  <mergeCells count="29">
    <mergeCell ref="A18:B18"/>
    <mergeCell ref="A19:B19"/>
    <mergeCell ref="L13:M13"/>
    <mergeCell ref="A16:B16"/>
    <mergeCell ref="A17:B17"/>
    <mergeCell ref="N13:V13"/>
    <mergeCell ref="A15:B15"/>
    <mergeCell ref="A13:B13"/>
    <mergeCell ref="L11:M11"/>
    <mergeCell ref="N11:V11"/>
    <mergeCell ref="A12:B12"/>
    <mergeCell ref="L12:M12"/>
    <mergeCell ref="N12:V12"/>
    <mergeCell ref="A11:B11"/>
    <mergeCell ref="L9:M9"/>
    <mergeCell ref="N9:V9"/>
    <mergeCell ref="A10:B10"/>
    <mergeCell ref="L10:M10"/>
    <mergeCell ref="N10:V10"/>
    <mergeCell ref="A9:B9"/>
    <mergeCell ref="A8:B8"/>
    <mergeCell ref="L8:M8"/>
    <mergeCell ref="N8:V8"/>
    <mergeCell ref="A4:B4"/>
    <mergeCell ref="A6:B6"/>
    <mergeCell ref="L6:V6"/>
    <mergeCell ref="A7:B7"/>
    <mergeCell ref="L7:M7"/>
    <mergeCell ref="N7:V7"/>
  </mergeCells>
  <conditionalFormatting sqref="C22">
    <cfRule type="cellIs" dxfId="5" priority="10" operator="equal">
      <formula>"Peligro de quiebra"</formula>
    </cfRule>
    <cfRule type="cellIs" dxfId="4" priority="11" operator="equal">
      <formula>"Zona Gris"</formula>
    </cfRule>
    <cfRule type="cellIs" dxfId="3" priority="12" operator="equal">
      <formula>"Situación Normal"</formula>
    </cfRule>
  </conditionalFormatting>
  <conditionalFormatting sqref="D22:K22">
    <cfRule type="cellIs" dxfId="2" priority="7" operator="equal">
      <formula>"Peligro de quiebra"</formula>
    </cfRule>
    <cfRule type="cellIs" dxfId="1" priority="8" operator="equal">
      <formula>"Zona Gris"</formula>
    </cfRule>
    <cfRule type="cellIs" dxfId="0" priority="9" operator="equal">
      <formula>"Situación Normal"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01EE-284C-4A0C-8212-922CBAF6D10F}">
  <sheetPr codeName="Hoja4"/>
  <dimension ref="B2:J71"/>
  <sheetViews>
    <sheetView topLeftCell="A33" zoomScale="85" zoomScaleNormal="85" workbookViewId="0">
      <selection activeCell="F33" sqref="F33"/>
    </sheetView>
  </sheetViews>
  <sheetFormatPr baseColWidth="10" defaultColWidth="11.54296875" defaultRowHeight="14.5"/>
  <cols>
    <col min="1" max="1" width="17.1796875" customWidth="1"/>
    <col min="2" max="2" width="29.453125" bestFit="1" customWidth="1"/>
    <col min="3" max="4" width="15.26953125" bestFit="1" customWidth="1"/>
    <col min="5" max="5" width="15.453125" bestFit="1" customWidth="1"/>
    <col min="6" max="8" width="15.26953125" bestFit="1" customWidth="1"/>
    <col min="9" max="10" width="12.453125" bestFit="1" customWidth="1"/>
  </cols>
  <sheetData>
    <row r="2" spans="2:10">
      <c r="B2" s="149" t="s">
        <v>0</v>
      </c>
    </row>
    <row r="3" spans="2:10">
      <c r="B3" t="str">
        <f>+'Inf Base'!B3</f>
        <v>Salón de onces</v>
      </c>
    </row>
    <row r="5" spans="2:10">
      <c r="B5" s="622" t="s">
        <v>25</v>
      </c>
    </row>
    <row r="6" spans="2:10">
      <c r="B6" s="190" t="s">
        <v>18</v>
      </c>
      <c r="C6" s="190" t="s">
        <v>4</v>
      </c>
      <c r="D6" s="190" t="s">
        <v>26</v>
      </c>
      <c r="E6" s="190" t="s">
        <v>27</v>
      </c>
      <c r="F6" s="190" t="s">
        <v>6</v>
      </c>
    </row>
    <row r="7" spans="2:10">
      <c r="B7" s="153" t="s">
        <v>315</v>
      </c>
      <c r="C7" s="153"/>
      <c r="D7" s="623">
        <v>1103700</v>
      </c>
      <c r="E7" s="153">
        <v>1</v>
      </c>
      <c r="F7" s="624">
        <f t="shared" ref="F7:F25" si="0">D7*E7</f>
        <v>1103700</v>
      </c>
    </row>
    <row r="8" spans="2:10">
      <c r="B8" s="153" t="s">
        <v>316</v>
      </c>
      <c r="C8" s="153"/>
      <c r="D8" s="623">
        <v>1470550</v>
      </c>
      <c r="E8" s="153">
        <v>2</v>
      </c>
      <c r="F8" s="624">
        <f t="shared" si="0"/>
        <v>2941100</v>
      </c>
    </row>
    <row r="9" spans="2:10">
      <c r="B9" s="153" t="s">
        <v>28</v>
      </c>
      <c r="C9" s="153"/>
      <c r="D9" s="623">
        <v>1500000</v>
      </c>
      <c r="E9" s="153">
        <v>1</v>
      </c>
      <c r="F9" s="624">
        <f t="shared" si="0"/>
        <v>1500000</v>
      </c>
    </row>
    <row r="10" spans="2:10">
      <c r="B10" s="153" t="s">
        <v>29</v>
      </c>
      <c r="C10" s="153"/>
      <c r="D10" s="623">
        <v>1200000</v>
      </c>
      <c r="E10" s="153">
        <v>2</v>
      </c>
      <c r="F10" s="624">
        <f t="shared" si="0"/>
        <v>2400000</v>
      </c>
    </row>
    <row r="11" spans="2:10">
      <c r="B11" s="153" t="s">
        <v>313</v>
      </c>
      <c r="C11" s="153"/>
      <c r="D11" s="623">
        <v>4200000</v>
      </c>
      <c r="E11" s="153">
        <v>1</v>
      </c>
      <c r="F11" s="624">
        <f t="shared" si="0"/>
        <v>4200000</v>
      </c>
    </row>
    <row r="12" spans="2:10">
      <c r="B12" s="153" t="s">
        <v>731</v>
      </c>
      <c r="C12" s="153"/>
      <c r="D12" s="623">
        <v>600000</v>
      </c>
      <c r="E12" s="153">
        <v>2</v>
      </c>
      <c r="F12" s="624">
        <f t="shared" si="0"/>
        <v>1200000</v>
      </c>
    </row>
    <row r="13" spans="2:10">
      <c r="B13" s="153" t="s">
        <v>30</v>
      </c>
      <c r="C13" s="153"/>
      <c r="D13" s="625">
        <v>450000</v>
      </c>
      <c r="E13" s="153">
        <v>1</v>
      </c>
      <c r="F13" s="624">
        <f t="shared" si="0"/>
        <v>450000</v>
      </c>
      <c r="I13" s="150"/>
      <c r="J13" s="150"/>
    </row>
    <row r="14" spans="2:10">
      <c r="B14" s="153" t="s">
        <v>31</v>
      </c>
      <c r="C14" s="153"/>
      <c r="D14" s="625">
        <v>556000</v>
      </c>
      <c r="E14" s="153">
        <v>1</v>
      </c>
      <c r="F14" s="624">
        <f t="shared" si="0"/>
        <v>556000</v>
      </c>
      <c r="I14" s="150"/>
      <c r="J14" s="150"/>
    </row>
    <row r="15" spans="2:10">
      <c r="B15" s="153" t="s">
        <v>32</v>
      </c>
      <c r="C15" s="153"/>
      <c r="D15" s="623">
        <v>60000</v>
      </c>
      <c r="E15" s="153">
        <v>12</v>
      </c>
      <c r="F15" s="624">
        <f t="shared" si="0"/>
        <v>720000</v>
      </c>
    </row>
    <row r="16" spans="2:10">
      <c r="B16" s="153" t="s">
        <v>314</v>
      </c>
      <c r="C16" s="153"/>
      <c r="D16" s="623">
        <v>80000</v>
      </c>
      <c r="E16" s="153">
        <v>10</v>
      </c>
      <c r="F16" s="624">
        <f t="shared" si="0"/>
        <v>800000</v>
      </c>
    </row>
    <row r="17" spans="2:6">
      <c r="B17" s="153" t="s">
        <v>33</v>
      </c>
      <c r="C17" s="153"/>
      <c r="D17" s="623">
        <v>20000</v>
      </c>
      <c r="E17" s="153">
        <v>25</v>
      </c>
      <c r="F17" s="624">
        <f t="shared" si="0"/>
        <v>500000</v>
      </c>
    </row>
    <row r="18" spans="2:6">
      <c r="B18" s="153" t="s">
        <v>500</v>
      </c>
      <c r="C18" s="153"/>
      <c r="D18" s="623">
        <v>25000</v>
      </c>
      <c r="E18" s="153">
        <v>25</v>
      </c>
      <c r="F18" s="624">
        <f>D18*E18</f>
        <v>625000</v>
      </c>
    </row>
    <row r="19" spans="2:6">
      <c r="B19" s="153" t="s">
        <v>34</v>
      </c>
      <c r="C19" s="153"/>
      <c r="D19" s="623">
        <v>13400</v>
      </c>
      <c r="E19" s="153">
        <v>48</v>
      </c>
      <c r="F19" s="624">
        <f t="shared" si="0"/>
        <v>643200</v>
      </c>
    </row>
    <row r="20" spans="2:6">
      <c r="B20" s="153" t="s">
        <v>35</v>
      </c>
      <c r="C20" s="153"/>
      <c r="D20" s="623">
        <v>25000</v>
      </c>
      <c r="E20" s="153">
        <v>10</v>
      </c>
      <c r="F20" s="624">
        <f t="shared" si="0"/>
        <v>250000</v>
      </c>
    </row>
    <row r="21" spans="2:6">
      <c r="B21" s="153" t="s">
        <v>36</v>
      </c>
      <c r="C21" s="153"/>
      <c r="D21" s="623">
        <v>8975000</v>
      </c>
      <c r="E21" s="153">
        <v>1</v>
      </c>
      <c r="F21" s="624">
        <f t="shared" si="0"/>
        <v>8975000</v>
      </c>
    </row>
    <row r="22" spans="2:6">
      <c r="B22" s="153" t="s">
        <v>37</v>
      </c>
      <c r="C22" s="153"/>
      <c r="D22" s="623">
        <v>2199900</v>
      </c>
      <c r="E22" s="153">
        <v>2</v>
      </c>
      <c r="F22" s="624">
        <f t="shared" si="0"/>
        <v>4399800</v>
      </c>
    </row>
    <row r="23" spans="2:6">
      <c r="B23" s="153" t="s">
        <v>430</v>
      </c>
      <c r="C23" s="153"/>
      <c r="D23" s="623">
        <v>189900</v>
      </c>
      <c r="E23" s="153">
        <v>6</v>
      </c>
      <c r="F23" s="624">
        <f t="shared" si="0"/>
        <v>1139400</v>
      </c>
    </row>
    <row r="24" spans="2:6">
      <c r="B24" s="153" t="s">
        <v>429</v>
      </c>
      <c r="C24" s="153"/>
      <c r="D24" s="623">
        <v>759000</v>
      </c>
      <c r="E24" s="153">
        <v>2</v>
      </c>
      <c r="F24" s="624">
        <f>D24*E24</f>
        <v>1518000</v>
      </c>
    </row>
    <row r="25" spans="2:6">
      <c r="B25" s="153" t="s">
        <v>428</v>
      </c>
      <c r="C25" s="153"/>
      <c r="D25" s="623">
        <v>599990</v>
      </c>
      <c r="E25" s="153">
        <v>2</v>
      </c>
      <c r="F25" s="624">
        <f t="shared" si="0"/>
        <v>1199980</v>
      </c>
    </row>
    <row r="26" spans="2:6">
      <c r="B26" s="190" t="s">
        <v>109</v>
      </c>
      <c r="D26" s="626">
        <f>SUM(D7:D25)</f>
        <v>24027440</v>
      </c>
      <c r="F26" s="626">
        <f>SUM(F7:F25)</f>
        <v>35121180</v>
      </c>
    </row>
    <row r="28" spans="2:6">
      <c r="B28" s="622" t="s">
        <v>38</v>
      </c>
    </row>
    <row r="29" spans="2:6">
      <c r="B29" s="190" t="s">
        <v>18</v>
      </c>
      <c r="C29" s="190" t="s">
        <v>4</v>
      </c>
      <c r="D29" s="190" t="s">
        <v>26</v>
      </c>
      <c r="E29" s="190" t="s">
        <v>27</v>
      </c>
      <c r="F29" s="190" t="s">
        <v>6</v>
      </c>
    </row>
    <row r="30" spans="2:6">
      <c r="B30" s="153" t="s">
        <v>431</v>
      </c>
      <c r="C30" s="153"/>
      <c r="D30" s="623">
        <v>315000</v>
      </c>
      <c r="E30" s="153">
        <v>7</v>
      </c>
      <c r="F30" s="624">
        <f t="shared" ref="F30:F35" si="1">D30*E30</f>
        <v>2205000</v>
      </c>
    </row>
    <row r="31" spans="2:6">
      <c r="B31" s="153" t="s">
        <v>39</v>
      </c>
      <c r="C31" s="153"/>
      <c r="D31" s="623">
        <v>36000</v>
      </c>
      <c r="E31" s="153">
        <v>7</v>
      </c>
      <c r="F31" s="624">
        <f t="shared" si="1"/>
        <v>252000</v>
      </c>
    </row>
    <row r="32" spans="2:6">
      <c r="B32" s="153" t="s">
        <v>317</v>
      </c>
      <c r="C32" s="153"/>
      <c r="D32" s="623">
        <v>120000</v>
      </c>
      <c r="E32" s="153">
        <v>1</v>
      </c>
      <c r="F32" s="624">
        <f t="shared" si="1"/>
        <v>120000</v>
      </c>
    </row>
    <row r="33" spans="2:7">
      <c r="B33" s="153" t="s">
        <v>40</v>
      </c>
      <c r="C33" s="153"/>
      <c r="D33" s="623">
        <v>135000</v>
      </c>
      <c r="E33" s="153">
        <v>4</v>
      </c>
      <c r="F33" s="624">
        <f t="shared" si="1"/>
        <v>540000</v>
      </c>
    </row>
    <row r="34" spans="2:7">
      <c r="B34" s="153" t="s">
        <v>41</v>
      </c>
      <c r="C34" s="153"/>
      <c r="D34" s="623">
        <v>850000</v>
      </c>
      <c r="E34" s="153">
        <v>1</v>
      </c>
      <c r="F34" s="624">
        <f t="shared" si="1"/>
        <v>850000</v>
      </c>
    </row>
    <row r="35" spans="2:7">
      <c r="B35" s="153" t="s">
        <v>318</v>
      </c>
      <c r="C35" s="153"/>
      <c r="D35" s="623">
        <v>120000</v>
      </c>
      <c r="E35" s="153">
        <v>2</v>
      </c>
      <c r="F35" s="624">
        <f t="shared" si="1"/>
        <v>240000</v>
      </c>
    </row>
    <row r="36" spans="2:7">
      <c r="B36" s="153" t="s">
        <v>42</v>
      </c>
      <c r="C36" s="153"/>
      <c r="D36" s="623">
        <v>60000</v>
      </c>
      <c r="E36" s="153">
        <v>3</v>
      </c>
      <c r="F36" s="624">
        <f>D36*E36</f>
        <v>180000</v>
      </c>
    </row>
    <row r="37" spans="2:7">
      <c r="B37" s="627" t="s">
        <v>110</v>
      </c>
      <c r="D37" s="626">
        <f>SUM(D30:D36)</f>
        <v>1636000</v>
      </c>
      <c r="F37" s="626">
        <f>SUM(F30:F36)</f>
        <v>4387000</v>
      </c>
    </row>
    <row r="39" spans="2:7">
      <c r="B39" s="622" t="s">
        <v>43</v>
      </c>
    </row>
    <row r="40" spans="2:7">
      <c r="B40" s="190" t="s">
        <v>18</v>
      </c>
      <c r="C40" s="190" t="s">
        <v>4</v>
      </c>
      <c r="D40" s="190" t="s">
        <v>26</v>
      </c>
      <c r="E40" s="190" t="s">
        <v>27</v>
      </c>
      <c r="F40" s="190" t="s">
        <v>6</v>
      </c>
    </row>
    <row r="41" spans="2:7">
      <c r="B41" s="153" t="s">
        <v>322</v>
      </c>
      <c r="C41" s="153"/>
      <c r="D41" s="623">
        <v>250000</v>
      </c>
      <c r="E41" s="153">
        <v>1</v>
      </c>
      <c r="F41" s="624">
        <f>D41*E41</f>
        <v>250000</v>
      </c>
    </row>
    <row r="42" spans="2:7">
      <c r="B42" s="153" t="s">
        <v>320</v>
      </c>
      <c r="C42" s="153"/>
      <c r="D42" s="623">
        <v>80000</v>
      </c>
      <c r="E42" s="153">
        <v>4</v>
      </c>
      <c r="F42" s="624">
        <f>D42*E42</f>
        <v>320000</v>
      </c>
      <c r="G42" t="s">
        <v>570</v>
      </c>
    </row>
    <row r="43" spans="2:7">
      <c r="B43" s="153" t="s">
        <v>319</v>
      </c>
      <c r="C43" s="153"/>
      <c r="D43" s="623">
        <v>1000000</v>
      </c>
      <c r="E43" s="153">
        <v>1</v>
      </c>
      <c r="F43" s="624">
        <f>D43*E43</f>
        <v>1000000</v>
      </c>
    </row>
    <row r="44" spans="2:7">
      <c r="B44" s="153" t="s">
        <v>328</v>
      </c>
      <c r="C44" s="153"/>
      <c r="D44" s="623">
        <v>47000</v>
      </c>
      <c r="E44" s="153">
        <v>10</v>
      </c>
      <c r="F44" s="624">
        <f>D44*E44</f>
        <v>470000</v>
      </c>
    </row>
    <row r="45" spans="2:7">
      <c r="B45" s="153" t="s">
        <v>321</v>
      </c>
      <c r="C45" s="153"/>
      <c r="D45" s="623">
        <v>320000</v>
      </c>
      <c r="E45" s="153">
        <v>1</v>
      </c>
      <c r="F45" s="624">
        <f>D45*E45</f>
        <v>320000</v>
      </c>
    </row>
    <row r="46" spans="2:7">
      <c r="B46" s="627" t="s">
        <v>326</v>
      </c>
      <c r="D46" s="626">
        <f>SUM(D41:D45)</f>
        <v>1697000</v>
      </c>
      <c r="F46" s="626">
        <f>SUM(F41:F45)</f>
        <v>2360000</v>
      </c>
    </row>
    <row r="48" spans="2:7">
      <c r="B48" s="622" t="s">
        <v>44</v>
      </c>
    </row>
    <row r="49" spans="2:7">
      <c r="B49" s="190" t="s">
        <v>18</v>
      </c>
      <c r="C49" s="190" t="s">
        <v>4</v>
      </c>
      <c r="D49" s="190" t="s">
        <v>26</v>
      </c>
      <c r="E49" s="190" t="s">
        <v>27</v>
      </c>
      <c r="F49" s="190" t="s">
        <v>6</v>
      </c>
    </row>
    <row r="50" spans="2:7">
      <c r="B50" s="153" t="s">
        <v>327</v>
      </c>
      <c r="C50" s="153" t="s">
        <v>502</v>
      </c>
      <c r="D50" s="623">
        <v>1060000</v>
      </c>
      <c r="E50" s="153">
        <v>1</v>
      </c>
      <c r="F50" s="624">
        <f>D50*E50</f>
        <v>1060000</v>
      </c>
      <c r="G50" t="s">
        <v>503</v>
      </c>
    </row>
    <row r="51" spans="2:7">
      <c r="B51" s="153" t="s">
        <v>565</v>
      </c>
      <c r="C51" s="153"/>
      <c r="D51" s="623">
        <v>12000000</v>
      </c>
      <c r="E51" s="153">
        <v>1</v>
      </c>
      <c r="F51" s="624">
        <f>D51*E51</f>
        <v>12000000</v>
      </c>
      <c r="G51" t="s">
        <v>569</v>
      </c>
    </row>
    <row r="52" spans="2:7">
      <c r="B52" s="153" t="s">
        <v>567</v>
      </c>
      <c r="C52" s="153" t="s">
        <v>568</v>
      </c>
      <c r="D52" s="623">
        <v>143000</v>
      </c>
      <c r="E52" s="153">
        <v>10</v>
      </c>
      <c r="F52" s="624">
        <f>D52*E52</f>
        <v>1430000</v>
      </c>
      <c r="G52" t="s">
        <v>566</v>
      </c>
    </row>
    <row r="53" spans="2:7">
      <c r="B53" s="153" t="s">
        <v>46</v>
      </c>
      <c r="C53" s="153" t="s">
        <v>502</v>
      </c>
      <c r="D53" s="623">
        <v>1500000</v>
      </c>
      <c r="E53" s="153">
        <v>1</v>
      </c>
      <c r="F53" s="624">
        <f>D53*E53</f>
        <v>1500000</v>
      </c>
      <c r="G53" t="s">
        <v>501</v>
      </c>
    </row>
    <row r="54" spans="2:7">
      <c r="B54" s="627" t="s">
        <v>111</v>
      </c>
      <c r="D54" s="626">
        <f>SUM(D50:D53)</f>
        <v>14703000</v>
      </c>
      <c r="F54" s="626">
        <f>SUM(F50:F53)</f>
        <v>15990000</v>
      </c>
    </row>
    <row r="56" spans="2:7">
      <c r="B56" s="622" t="s">
        <v>45</v>
      </c>
    </row>
    <row r="57" spans="2:7">
      <c r="B57" s="190" t="s">
        <v>18</v>
      </c>
      <c r="C57" s="190" t="s">
        <v>4</v>
      </c>
      <c r="D57" s="190" t="s">
        <v>26</v>
      </c>
      <c r="E57" s="190" t="s">
        <v>27</v>
      </c>
      <c r="F57" s="190" t="s">
        <v>6</v>
      </c>
    </row>
    <row r="58" spans="2:7">
      <c r="B58" s="153" t="s">
        <v>329</v>
      </c>
      <c r="C58" s="153"/>
      <c r="D58" s="623">
        <v>60000</v>
      </c>
      <c r="E58" s="153">
        <v>4</v>
      </c>
      <c r="F58" s="624">
        <f t="shared" ref="F58:F63" si="2">D58*E58</f>
        <v>240000</v>
      </c>
      <c r="G58" t="s">
        <v>422</v>
      </c>
    </row>
    <row r="59" spans="2:7">
      <c r="B59" s="153" t="s">
        <v>330</v>
      </c>
      <c r="C59" s="153"/>
      <c r="D59" s="623">
        <v>200000</v>
      </c>
      <c r="E59" s="153">
        <v>1</v>
      </c>
      <c r="F59" s="624">
        <f t="shared" si="2"/>
        <v>200000</v>
      </c>
      <c r="G59" t="s">
        <v>422</v>
      </c>
    </row>
    <row r="60" spans="2:7">
      <c r="B60" s="153" t="s">
        <v>331</v>
      </c>
      <c r="C60" s="153"/>
      <c r="D60" s="623">
        <v>85000</v>
      </c>
      <c r="E60" s="153">
        <v>2</v>
      </c>
      <c r="F60" s="624">
        <f t="shared" si="2"/>
        <v>170000</v>
      </c>
      <c r="G60" t="s">
        <v>423</v>
      </c>
    </row>
    <row r="61" spans="2:7">
      <c r="B61" s="153" t="s">
        <v>332</v>
      </c>
      <c r="C61" s="153"/>
      <c r="D61" s="623">
        <v>60000</v>
      </c>
      <c r="E61" s="153">
        <v>1</v>
      </c>
      <c r="F61" s="624">
        <f t="shared" si="2"/>
        <v>60000</v>
      </c>
      <c r="G61" t="s">
        <v>422</v>
      </c>
    </row>
    <row r="62" spans="2:7">
      <c r="B62" s="153" t="s">
        <v>333</v>
      </c>
      <c r="C62" s="153"/>
      <c r="D62" s="623">
        <v>120000</v>
      </c>
      <c r="E62" s="153">
        <v>1</v>
      </c>
      <c r="F62" s="624">
        <f t="shared" si="2"/>
        <v>120000</v>
      </c>
      <c r="G62" t="s">
        <v>422</v>
      </c>
    </row>
    <row r="63" spans="2:7">
      <c r="B63" s="153" t="s">
        <v>47</v>
      </c>
      <c r="C63" s="153"/>
      <c r="D63" s="623">
        <v>950000</v>
      </c>
      <c r="E63" s="153">
        <v>1</v>
      </c>
      <c r="F63" s="624">
        <f t="shared" si="2"/>
        <v>950000</v>
      </c>
      <c r="G63" t="s">
        <v>422</v>
      </c>
    </row>
    <row r="64" spans="2:7">
      <c r="B64" s="627" t="s">
        <v>112</v>
      </c>
      <c r="F64" s="626">
        <f>SUM(F56:F63)</f>
        <v>1740000</v>
      </c>
    </row>
    <row r="66" spans="2:6">
      <c r="B66" s="622" t="s">
        <v>323</v>
      </c>
    </row>
    <row r="67" spans="2:6">
      <c r="B67" s="190" t="s">
        <v>18</v>
      </c>
      <c r="C67" s="190" t="s">
        <v>4</v>
      </c>
      <c r="D67" s="190" t="s">
        <v>26</v>
      </c>
      <c r="E67" s="190" t="s">
        <v>27</v>
      </c>
      <c r="F67" s="190" t="s">
        <v>6</v>
      </c>
    </row>
    <row r="68" spans="2:6">
      <c r="B68" s="153" t="s">
        <v>324</v>
      </c>
      <c r="C68" s="153"/>
      <c r="D68" s="623"/>
      <c r="E68" s="153"/>
      <c r="F68" s="624">
        <v>60000000</v>
      </c>
    </row>
    <row r="69" spans="2:6">
      <c r="B69" s="627" t="s">
        <v>336</v>
      </c>
      <c r="F69" s="626">
        <f>+F68</f>
        <v>60000000</v>
      </c>
    </row>
    <row r="71" spans="2:6">
      <c r="B71" s="673" t="s">
        <v>325</v>
      </c>
      <c r="C71" s="212"/>
      <c r="D71" s="212"/>
      <c r="E71" s="212"/>
      <c r="F71" s="672">
        <f>+F69+F64+F54+F46+F37+F26</f>
        <v>119598180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A4BD-8F1A-41D2-8512-9E4EAB31A9E4}">
  <sheetPr codeName="Hoja2"/>
  <dimension ref="A2:L101"/>
  <sheetViews>
    <sheetView topLeftCell="A34" zoomScale="80" zoomScaleNormal="80" workbookViewId="0">
      <selection activeCell="B95" sqref="B95:J100"/>
    </sheetView>
  </sheetViews>
  <sheetFormatPr baseColWidth="10" defaultColWidth="11.54296875" defaultRowHeight="14.5"/>
  <cols>
    <col min="1" max="1" width="15" style="1" bestFit="1" customWidth="1"/>
    <col min="2" max="2" width="40.81640625" style="1" customWidth="1"/>
    <col min="3" max="3" width="20.1796875" style="1" bestFit="1" customWidth="1"/>
    <col min="4" max="4" width="16.81640625" style="1" bestFit="1" customWidth="1"/>
    <col min="5" max="5" width="19.81640625" style="1" bestFit="1" customWidth="1"/>
    <col min="6" max="10" width="16.81640625" style="1" bestFit="1" customWidth="1"/>
    <col min="11" max="16384" width="11.54296875" style="1"/>
  </cols>
  <sheetData>
    <row r="2" spans="1:6">
      <c r="B2" s="2" t="s">
        <v>0</v>
      </c>
    </row>
    <row r="3" spans="1:6">
      <c r="B3" s="1" t="s">
        <v>267</v>
      </c>
    </row>
    <row r="5" spans="1:6">
      <c r="B5" s="2" t="s">
        <v>14</v>
      </c>
    </row>
    <row r="6" spans="1:6">
      <c r="B6" s="3" t="s">
        <v>1</v>
      </c>
    </row>
    <row r="8" spans="1:6">
      <c r="B8" s="5" t="s">
        <v>3</v>
      </c>
      <c r="C8" s="5" t="s">
        <v>4</v>
      </c>
      <c r="D8" s="5" t="s">
        <v>5</v>
      </c>
      <c r="E8" s="5" t="s">
        <v>7</v>
      </c>
      <c r="F8" s="5" t="s">
        <v>8</v>
      </c>
    </row>
    <row r="9" spans="1:6">
      <c r="A9" s="1" t="s">
        <v>519</v>
      </c>
      <c r="B9" s="6" t="s">
        <v>12</v>
      </c>
      <c r="C9" s="6" t="s">
        <v>310</v>
      </c>
      <c r="D9" s="6" t="s">
        <v>13</v>
      </c>
      <c r="E9" s="7">
        <v>1000</v>
      </c>
      <c r="F9" s="275">
        <v>14000</v>
      </c>
    </row>
    <row r="10" spans="1:6">
      <c r="A10" s="1" t="s">
        <v>519</v>
      </c>
      <c r="B10" s="6" t="s">
        <v>11</v>
      </c>
      <c r="C10" s="6" t="s">
        <v>310</v>
      </c>
      <c r="D10" s="6" t="s">
        <v>13</v>
      </c>
      <c r="E10" s="7">
        <v>1000</v>
      </c>
      <c r="F10" s="275">
        <v>11000</v>
      </c>
    </row>
    <row r="11" spans="1:6">
      <c r="A11" s="1" t="s">
        <v>519</v>
      </c>
      <c r="B11" s="6" t="s">
        <v>305</v>
      </c>
      <c r="C11" s="6" t="s">
        <v>310</v>
      </c>
      <c r="D11" s="6" t="s">
        <v>13</v>
      </c>
      <c r="E11" s="7">
        <v>1000</v>
      </c>
      <c r="F11" s="275">
        <v>12000</v>
      </c>
    </row>
    <row r="12" spans="1:6">
      <c r="A12" s="1" t="str">
        <f>+B12</f>
        <v>Adobo</v>
      </c>
      <c r="B12" s="6" t="s">
        <v>286</v>
      </c>
      <c r="C12" s="6" t="s">
        <v>309</v>
      </c>
      <c r="D12" s="6" t="s">
        <v>10</v>
      </c>
      <c r="E12" s="7">
        <v>5000</v>
      </c>
      <c r="F12" s="275">
        <v>31000</v>
      </c>
    </row>
    <row r="13" spans="1:6">
      <c r="A13" s="1" t="str">
        <f>+B13</f>
        <v>Salsas de sal</v>
      </c>
      <c r="B13" s="6" t="s">
        <v>299</v>
      </c>
      <c r="C13" s="6" t="s">
        <v>308</v>
      </c>
      <c r="D13" s="6" t="s">
        <v>10</v>
      </c>
      <c r="E13" s="7">
        <v>4300</v>
      </c>
      <c r="F13" s="275">
        <v>39170</v>
      </c>
    </row>
    <row r="14" spans="1:6">
      <c r="A14" s="1" t="s">
        <v>2</v>
      </c>
      <c r="B14" s="6" t="s">
        <v>307</v>
      </c>
      <c r="C14" s="6"/>
      <c r="D14" s="6" t="s">
        <v>24</v>
      </c>
      <c r="E14" s="7"/>
      <c r="F14" s="275">
        <v>800</v>
      </c>
    </row>
    <row r="15" spans="1:6">
      <c r="A15" s="1" t="s">
        <v>2</v>
      </c>
      <c r="B15" s="6" t="s">
        <v>306</v>
      </c>
      <c r="C15" s="6"/>
      <c r="D15" s="6" t="s">
        <v>24</v>
      </c>
      <c r="E15" s="7"/>
      <c r="F15" s="275">
        <v>800</v>
      </c>
    </row>
    <row r="16" spans="1:6">
      <c r="A16" s="1" t="str">
        <f>+B16</f>
        <v>Yogurt Gourmet</v>
      </c>
      <c r="B16" s="6" t="s">
        <v>287</v>
      </c>
      <c r="C16" s="6"/>
      <c r="D16" s="6" t="s">
        <v>10</v>
      </c>
      <c r="E16" s="7">
        <v>5000</v>
      </c>
      <c r="F16" s="275">
        <v>74300</v>
      </c>
    </row>
    <row r="17" spans="1:8">
      <c r="A17" s="1" t="str">
        <f>+B17</f>
        <v>Servilletas</v>
      </c>
      <c r="B17" s="6" t="s">
        <v>301</v>
      </c>
      <c r="C17" s="6"/>
      <c r="D17" s="6" t="s">
        <v>13</v>
      </c>
      <c r="E17" s="7">
        <v>300</v>
      </c>
      <c r="F17" s="275">
        <v>4790</v>
      </c>
    </row>
    <row r="18" spans="1:8">
      <c r="A18" s="1" t="s">
        <v>521</v>
      </c>
      <c r="B18" s="6" t="s">
        <v>311</v>
      </c>
      <c r="C18" s="6"/>
      <c r="D18" s="6" t="s">
        <v>13</v>
      </c>
      <c r="E18" s="7">
        <v>1000</v>
      </c>
      <c r="F18" s="275">
        <v>35000</v>
      </c>
    </row>
    <row r="19" spans="1:8">
      <c r="A19" s="1" t="s">
        <v>521</v>
      </c>
      <c r="B19" s="6" t="s">
        <v>302</v>
      </c>
      <c r="C19" s="6"/>
      <c r="D19" s="6" t="s">
        <v>13</v>
      </c>
      <c r="E19" s="7">
        <v>1000</v>
      </c>
      <c r="F19" s="275">
        <v>30000</v>
      </c>
    </row>
    <row r="20" spans="1:8">
      <c r="A20" s="1" t="s">
        <v>521</v>
      </c>
      <c r="B20" s="6" t="s">
        <v>303</v>
      </c>
      <c r="C20" s="6"/>
      <c r="D20" s="6" t="s">
        <v>13</v>
      </c>
      <c r="E20" s="7">
        <v>1000</v>
      </c>
      <c r="F20" s="275">
        <v>7500</v>
      </c>
    </row>
    <row r="21" spans="1:8">
      <c r="A21" s="1" t="s">
        <v>521</v>
      </c>
      <c r="B21" s="6" t="s">
        <v>304</v>
      </c>
      <c r="C21" s="6"/>
      <c r="D21" s="6" t="s">
        <v>13</v>
      </c>
      <c r="E21" s="7">
        <v>1000</v>
      </c>
      <c r="F21" s="275">
        <v>7500</v>
      </c>
    </row>
    <row r="22" spans="1:8">
      <c r="A22" s="1" t="str">
        <f>+B22</f>
        <v>Base Yogurt</v>
      </c>
      <c r="B22" s="6" t="s">
        <v>288</v>
      </c>
      <c r="C22" s="6"/>
      <c r="D22" s="6" t="s">
        <v>10</v>
      </c>
      <c r="E22" s="7">
        <v>5000</v>
      </c>
      <c r="F22" s="275">
        <v>32700</v>
      </c>
    </row>
    <row r="23" spans="1:8">
      <c r="A23" s="1" t="s">
        <v>520</v>
      </c>
      <c r="B23" s="6" t="s">
        <v>283</v>
      </c>
      <c r="C23" s="6"/>
      <c r="D23" s="6" t="s">
        <v>13</v>
      </c>
      <c r="E23" s="7">
        <v>1500</v>
      </c>
      <c r="F23" s="275">
        <v>9200</v>
      </c>
    </row>
    <row r="24" spans="1:8">
      <c r="A24" s="1" t="s">
        <v>520</v>
      </c>
      <c r="B24" s="6" t="s">
        <v>284</v>
      </c>
      <c r="C24" s="6"/>
      <c r="D24" s="6" t="s">
        <v>13</v>
      </c>
      <c r="E24" s="7">
        <v>2000</v>
      </c>
      <c r="F24" s="275">
        <v>12000</v>
      </c>
    </row>
    <row r="25" spans="1:8">
      <c r="A25" s="1" t="s">
        <v>520</v>
      </c>
      <c r="B25" s="6" t="s">
        <v>285</v>
      </c>
      <c r="C25" s="6"/>
      <c r="D25" s="6" t="s">
        <v>13</v>
      </c>
      <c r="E25" s="7">
        <v>1500</v>
      </c>
      <c r="F25" s="275">
        <v>19245</v>
      </c>
    </row>
    <row r="26" spans="1:8">
      <c r="A26" s="1" t="str">
        <f>+B26</f>
        <v>Barquillo</v>
      </c>
      <c r="B26" s="6" t="s">
        <v>296</v>
      </c>
      <c r="C26" s="6"/>
      <c r="D26" s="6" t="s">
        <v>24</v>
      </c>
      <c r="E26" s="7"/>
      <c r="F26" s="275">
        <v>100</v>
      </c>
    </row>
    <row r="27" spans="1:8">
      <c r="A27" s="1" t="str">
        <f>+B27</f>
        <v>Galleta</v>
      </c>
      <c r="B27" s="6" t="s">
        <v>297</v>
      </c>
      <c r="C27" s="6"/>
      <c r="D27" s="6" t="s">
        <v>24</v>
      </c>
      <c r="E27" s="7"/>
      <c r="F27" s="275">
        <v>100</v>
      </c>
    </row>
    <row r="28" spans="1:8">
      <c r="A28" s="1" t="str">
        <f>+B28</f>
        <v xml:space="preserve">Chispitas </v>
      </c>
      <c r="B28" s="6" t="s">
        <v>298</v>
      </c>
      <c r="C28" s="6"/>
      <c r="D28" s="6" t="s">
        <v>13</v>
      </c>
      <c r="E28" s="7">
        <v>1000</v>
      </c>
      <c r="F28" s="275">
        <v>9000</v>
      </c>
    </row>
    <row r="29" spans="1:8">
      <c r="A29" s="1" t="str">
        <f>+B29</f>
        <v>Quipitos</v>
      </c>
      <c r="B29" s="6" t="s">
        <v>312</v>
      </c>
      <c r="C29" s="6"/>
      <c r="D29" s="6" t="s">
        <v>13</v>
      </c>
      <c r="E29" s="7">
        <v>1000</v>
      </c>
      <c r="F29" s="275">
        <v>15000</v>
      </c>
    </row>
    <row r="30" spans="1:8">
      <c r="A30" s="1" t="str">
        <f>+B30</f>
        <v>Salsas de dulce</v>
      </c>
      <c r="B30" s="6" t="s">
        <v>300</v>
      </c>
      <c r="C30" s="6"/>
      <c r="D30" s="6" t="s">
        <v>10</v>
      </c>
      <c r="E30" s="7">
        <v>5000</v>
      </c>
      <c r="F30" s="275">
        <v>60000</v>
      </c>
    </row>
    <row r="31" spans="1:8">
      <c r="A31" s="1" t="s">
        <v>522</v>
      </c>
      <c r="B31" s="6" t="s">
        <v>295</v>
      </c>
      <c r="C31" s="6"/>
      <c r="D31" s="6" t="s">
        <v>13</v>
      </c>
      <c r="E31" s="7">
        <v>2500</v>
      </c>
      <c r="F31" s="275">
        <v>55000</v>
      </c>
      <c r="H31" s="12"/>
    </row>
    <row r="32" spans="1:8">
      <c r="A32" s="1" t="s">
        <v>522</v>
      </c>
      <c r="B32" s="6" t="s">
        <v>280</v>
      </c>
      <c r="C32" s="6"/>
      <c r="D32" s="6" t="s">
        <v>13</v>
      </c>
      <c r="E32" s="7">
        <v>2500</v>
      </c>
      <c r="F32" s="275">
        <v>37500</v>
      </c>
      <c r="H32" s="12"/>
    </row>
    <row r="33" spans="1:8">
      <c r="A33" s="1" t="s">
        <v>522</v>
      </c>
      <c r="B33" s="6" t="s">
        <v>270</v>
      </c>
      <c r="C33" s="6"/>
      <c r="D33" s="6" t="s">
        <v>13</v>
      </c>
      <c r="E33" s="7">
        <v>2500</v>
      </c>
      <c r="F33" s="275">
        <v>160000</v>
      </c>
      <c r="H33" s="12"/>
    </row>
    <row r="34" spans="1:8">
      <c r="A34" s="1" t="s">
        <v>522</v>
      </c>
      <c r="B34" s="6" t="s">
        <v>271</v>
      </c>
      <c r="C34" s="6"/>
      <c r="D34" s="6" t="s">
        <v>13</v>
      </c>
      <c r="E34" s="7">
        <v>2500</v>
      </c>
      <c r="F34" s="275">
        <v>145000</v>
      </c>
      <c r="H34" s="12"/>
    </row>
    <row r="35" spans="1:8">
      <c r="A35" s="1" t="s">
        <v>522</v>
      </c>
      <c r="B35" s="6" t="s">
        <v>281</v>
      </c>
      <c r="C35" s="6"/>
      <c r="D35" s="6" t="s">
        <v>13</v>
      </c>
      <c r="E35" s="7">
        <v>2500</v>
      </c>
      <c r="F35" s="275">
        <v>127500</v>
      </c>
      <c r="H35" s="12"/>
    </row>
    <row r="36" spans="1:8">
      <c r="A36" s="1" t="s">
        <v>522</v>
      </c>
      <c r="B36" s="6" t="s">
        <v>273</v>
      </c>
      <c r="C36" s="6"/>
      <c r="D36" s="6" t="s">
        <v>13</v>
      </c>
      <c r="E36" s="7">
        <v>2500</v>
      </c>
      <c r="F36" s="275">
        <v>170000</v>
      </c>
      <c r="H36" s="12"/>
    </row>
    <row r="37" spans="1:8">
      <c r="A37" s="1" t="s">
        <v>522</v>
      </c>
      <c r="B37" s="6" t="s">
        <v>278</v>
      </c>
      <c r="C37" s="6"/>
      <c r="D37" s="6" t="s">
        <v>13</v>
      </c>
      <c r="E37" s="7">
        <v>2500</v>
      </c>
      <c r="F37" s="275">
        <v>132500</v>
      </c>
      <c r="H37" s="12"/>
    </row>
    <row r="38" spans="1:8">
      <c r="A38" s="1" t="s">
        <v>522</v>
      </c>
      <c r="B38" s="6" t="s">
        <v>272</v>
      </c>
      <c r="C38" s="6"/>
      <c r="D38" s="6" t="s">
        <v>13</v>
      </c>
      <c r="E38" s="7">
        <v>2500</v>
      </c>
      <c r="F38" s="275">
        <v>122500</v>
      </c>
      <c r="H38" s="12"/>
    </row>
    <row r="39" spans="1:8">
      <c r="A39" s="1" t="s">
        <v>522</v>
      </c>
      <c r="B39" s="6" t="s">
        <v>268</v>
      </c>
      <c r="C39" s="6"/>
      <c r="D39" s="6" t="s">
        <v>13</v>
      </c>
      <c r="E39" s="7">
        <v>2500</v>
      </c>
      <c r="F39" s="275">
        <v>77500</v>
      </c>
      <c r="H39" s="12"/>
    </row>
    <row r="40" spans="1:8">
      <c r="A40" s="1" t="s">
        <v>522</v>
      </c>
      <c r="B40" s="6" t="s">
        <v>277</v>
      </c>
      <c r="C40" s="6"/>
      <c r="D40" s="6" t="s">
        <v>13</v>
      </c>
      <c r="E40" s="7">
        <v>2500</v>
      </c>
      <c r="F40" s="275">
        <v>55000</v>
      </c>
      <c r="H40" s="12"/>
    </row>
    <row r="41" spans="1:8">
      <c r="A41" s="1" t="s">
        <v>522</v>
      </c>
      <c r="B41" s="6" t="s">
        <v>269</v>
      </c>
      <c r="C41" s="6"/>
      <c r="D41" s="6" t="s">
        <v>13</v>
      </c>
      <c r="E41" s="7">
        <v>2500</v>
      </c>
      <c r="F41" s="275">
        <v>75000</v>
      </c>
      <c r="H41" s="12"/>
    </row>
    <row r="42" spans="1:8">
      <c r="A42" s="1" t="s">
        <v>522</v>
      </c>
      <c r="B42" s="6" t="s">
        <v>289</v>
      </c>
      <c r="C42" s="6"/>
      <c r="D42" s="6" t="s">
        <v>13</v>
      </c>
      <c r="E42" s="7">
        <v>2500</v>
      </c>
      <c r="F42" s="275">
        <v>67500</v>
      </c>
      <c r="H42" s="12"/>
    </row>
    <row r="43" spans="1:8">
      <c r="A43" s="1" t="s">
        <v>522</v>
      </c>
      <c r="B43" s="6" t="s">
        <v>276</v>
      </c>
      <c r="C43" s="6"/>
      <c r="D43" s="6" t="s">
        <v>13</v>
      </c>
      <c r="E43" s="7">
        <v>2500</v>
      </c>
      <c r="F43" s="275">
        <v>42500</v>
      </c>
      <c r="H43" s="12"/>
    </row>
    <row r="44" spans="1:8">
      <c r="A44" s="1" t="s">
        <v>522</v>
      </c>
      <c r="B44" s="6" t="s">
        <v>282</v>
      </c>
      <c r="C44" s="6"/>
      <c r="D44" s="6" t="s">
        <v>13</v>
      </c>
      <c r="E44" s="7">
        <v>2500</v>
      </c>
      <c r="F44" s="275">
        <v>22500</v>
      </c>
      <c r="H44" s="12"/>
    </row>
    <row r="45" spans="1:8">
      <c r="A45" s="1" t="s">
        <v>522</v>
      </c>
      <c r="B45" s="6" t="s">
        <v>279</v>
      </c>
      <c r="C45" s="6"/>
      <c r="D45" s="6" t="s">
        <v>13</v>
      </c>
      <c r="E45" s="7">
        <v>2500</v>
      </c>
      <c r="F45" s="275">
        <v>152500</v>
      </c>
      <c r="H45" s="12"/>
    </row>
    <row r="46" spans="1:8">
      <c r="A46" s="1" t="s">
        <v>522</v>
      </c>
      <c r="B46" s="6" t="s">
        <v>290</v>
      </c>
      <c r="C46" s="6"/>
      <c r="D46" s="6" t="s">
        <v>13</v>
      </c>
      <c r="E46" s="7">
        <v>2500</v>
      </c>
      <c r="F46" s="275">
        <v>157500</v>
      </c>
      <c r="H46" s="12"/>
    </row>
    <row r="47" spans="1:8">
      <c r="A47" s="1" t="s">
        <v>522</v>
      </c>
      <c r="B47" s="6" t="s">
        <v>275</v>
      </c>
      <c r="C47" s="6"/>
      <c r="D47" s="6" t="s">
        <v>13</v>
      </c>
      <c r="E47" s="7">
        <v>2500</v>
      </c>
      <c r="F47" s="275">
        <v>65000</v>
      </c>
      <c r="H47" s="12"/>
    </row>
    <row r="48" spans="1:8">
      <c r="A48" s="1" t="s">
        <v>522</v>
      </c>
      <c r="B48" s="6" t="s">
        <v>274</v>
      </c>
      <c r="C48" s="6"/>
      <c r="D48" s="6" t="s">
        <v>13</v>
      </c>
      <c r="E48" s="7">
        <v>2500</v>
      </c>
      <c r="F48" s="275">
        <v>165000</v>
      </c>
      <c r="H48" s="12"/>
    </row>
    <row r="49" spans="1:8">
      <c r="A49" s="1" t="s">
        <v>522</v>
      </c>
      <c r="B49" s="6" t="s">
        <v>294</v>
      </c>
      <c r="C49" s="6"/>
      <c r="D49" s="6" t="s">
        <v>13</v>
      </c>
      <c r="E49" s="7">
        <v>2500</v>
      </c>
      <c r="F49" s="275">
        <v>25000</v>
      </c>
      <c r="H49" s="12"/>
    </row>
    <row r="50" spans="1:8">
      <c r="A50" s="1" t="s">
        <v>522</v>
      </c>
      <c r="B50" s="6" t="s">
        <v>293</v>
      </c>
      <c r="C50" s="6"/>
      <c r="D50" s="6" t="s">
        <v>13</v>
      </c>
      <c r="E50" s="7">
        <v>2500</v>
      </c>
      <c r="F50" s="275">
        <v>65000</v>
      </c>
      <c r="H50" s="12"/>
    </row>
    <row r="51" spans="1:8">
      <c r="A51" s="1" t="s">
        <v>522</v>
      </c>
      <c r="B51" s="6" t="s">
        <v>292</v>
      </c>
      <c r="C51" s="6"/>
      <c r="D51" s="6" t="s">
        <v>13</v>
      </c>
      <c r="E51" s="7">
        <v>2500</v>
      </c>
      <c r="F51" s="275">
        <v>100000</v>
      </c>
      <c r="H51" s="12"/>
    </row>
    <row r="52" spans="1:8">
      <c r="A52" s="1" t="s">
        <v>522</v>
      </c>
      <c r="B52" s="6" t="s">
        <v>291</v>
      </c>
      <c r="C52" s="6"/>
      <c r="D52" s="6" t="s">
        <v>13</v>
      </c>
      <c r="E52" s="7">
        <v>2500</v>
      </c>
      <c r="F52" s="275">
        <v>120000</v>
      </c>
      <c r="H52" s="12"/>
    </row>
    <row r="53" spans="1:8">
      <c r="A53" s="1" t="s">
        <v>9</v>
      </c>
      <c r="B53" s="6"/>
      <c r="C53" s="6"/>
      <c r="D53" s="6" t="s">
        <v>10</v>
      </c>
      <c r="E53" s="7">
        <v>20000</v>
      </c>
      <c r="F53" s="275">
        <v>14000</v>
      </c>
      <c r="H53" s="12"/>
    </row>
    <row r="54" spans="1:8">
      <c r="A54" s="1" t="s">
        <v>751</v>
      </c>
      <c r="B54" s="6"/>
      <c r="C54" s="6"/>
      <c r="D54" s="6" t="s">
        <v>10</v>
      </c>
      <c r="E54" s="7">
        <v>1100</v>
      </c>
      <c r="F54" s="275">
        <v>3400</v>
      </c>
      <c r="H54" s="12"/>
    </row>
    <row r="55" spans="1:8">
      <c r="A55" s="1" t="s">
        <v>284</v>
      </c>
      <c r="B55" s="6"/>
      <c r="C55" s="6"/>
      <c r="D55" s="6" t="s">
        <v>13</v>
      </c>
      <c r="E55" s="7">
        <v>2500</v>
      </c>
      <c r="F55" s="275">
        <v>4000</v>
      </c>
      <c r="H55" s="12"/>
    </row>
    <row r="56" spans="1:8">
      <c r="A56" s="1" t="s">
        <v>750</v>
      </c>
      <c r="B56" s="6"/>
      <c r="C56" s="6"/>
      <c r="D56" s="6" t="s">
        <v>13</v>
      </c>
      <c r="E56" s="7">
        <v>2500</v>
      </c>
      <c r="F56" s="275">
        <v>10000</v>
      </c>
      <c r="H56" s="12"/>
    </row>
    <row r="57" spans="1:8">
      <c r="A57" s="1" t="s">
        <v>752</v>
      </c>
      <c r="B57" s="6"/>
      <c r="C57" s="6"/>
      <c r="D57" s="6" t="s">
        <v>10</v>
      </c>
      <c r="E57" s="7">
        <v>5000</v>
      </c>
      <c r="F57" s="275">
        <v>34000</v>
      </c>
      <c r="H57" s="12"/>
    </row>
    <row r="58" spans="1:8">
      <c r="E58" s="4"/>
      <c r="F58" s="4"/>
    </row>
    <row r="59" spans="1:8">
      <c r="B59" s="3" t="s">
        <v>60</v>
      </c>
      <c r="E59" s="4"/>
      <c r="F59" s="4"/>
    </row>
    <row r="60" spans="1:8" hidden="1"/>
    <row r="61" spans="1:8">
      <c r="B61" s="5" t="s">
        <v>18</v>
      </c>
      <c r="C61" s="5" t="s">
        <v>420</v>
      </c>
    </row>
    <row r="62" spans="1:8">
      <c r="B62" s="6" t="s">
        <v>15</v>
      </c>
      <c r="C62" s="7">
        <f>+Datos!$B$36*D62</f>
        <v>132000</v>
      </c>
      <c r="D62" s="25">
        <v>0.11</v>
      </c>
    </row>
    <row r="63" spans="1:8">
      <c r="B63" s="6" t="s">
        <v>16</v>
      </c>
      <c r="C63" s="7">
        <f>+Datos!$B$36*D63</f>
        <v>420000</v>
      </c>
      <c r="D63" s="25">
        <v>0.35</v>
      </c>
    </row>
    <row r="64" spans="1:8">
      <c r="B64" s="6" t="s">
        <v>9</v>
      </c>
      <c r="C64" s="7">
        <f>+Datos!$B$36*D64</f>
        <v>648000</v>
      </c>
      <c r="D64" s="25">
        <v>0.54</v>
      </c>
    </row>
    <row r="65" spans="1:12">
      <c r="C65" s="12"/>
      <c r="D65" s="144"/>
    </row>
    <row r="66" spans="1:12">
      <c r="B66" s="3" t="s">
        <v>556</v>
      </c>
    </row>
    <row r="67" spans="1:12" s="246" customFormat="1">
      <c r="C67" s="246" t="str">
        <f>+$B$69&amp;"-"&amp;C68</f>
        <v>Aux cocina-2023</v>
      </c>
      <c r="D67" s="246" t="str">
        <f t="shared" ref="D67:J67" si="0">+$B$69&amp;"-"&amp;D68</f>
        <v>Aux cocina-2024</v>
      </c>
      <c r="E67" s="246" t="str">
        <f t="shared" si="0"/>
        <v>Aux cocina-2025</v>
      </c>
      <c r="F67" s="246" t="str">
        <f t="shared" si="0"/>
        <v>Aux cocina-2026</v>
      </c>
      <c r="G67" s="246" t="str">
        <f t="shared" si="0"/>
        <v>Aux cocina-2027</v>
      </c>
      <c r="H67" s="246" t="str">
        <f t="shared" si="0"/>
        <v>Aux cocina-2028</v>
      </c>
      <c r="I67" s="246" t="str">
        <f t="shared" si="0"/>
        <v>Aux cocina-2029</v>
      </c>
      <c r="J67" s="246" t="str">
        <f t="shared" si="0"/>
        <v>Aux cocina-2030</v>
      </c>
    </row>
    <row r="68" spans="1:12">
      <c r="B68" s="5" t="s">
        <v>19</v>
      </c>
      <c r="C68" s="142">
        <v>2023</v>
      </c>
      <c r="D68" s="142">
        <f>+C68+1</f>
        <v>2024</v>
      </c>
      <c r="E68" s="142">
        <f t="shared" ref="E68:J68" si="1">+D68+1</f>
        <v>2025</v>
      </c>
      <c r="F68" s="142">
        <f t="shared" si="1"/>
        <v>2026</v>
      </c>
      <c r="G68" s="142">
        <f t="shared" si="1"/>
        <v>2027</v>
      </c>
      <c r="H68" s="142">
        <f t="shared" si="1"/>
        <v>2028</v>
      </c>
      <c r="I68" s="142">
        <f t="shared" si="1"/>
        <v>2029</v>
      </c>
      <c r="J68" s="142">
        <f t="shared" si="1"/>
        <v>2030</v>
      </c>
    </row>
    <row r="69" spans="1:12">
      <c r="B69" s="6" t="s">
        <v>368</v>
      </c>
      <c r="C69" s="267">
        <f>VLOOKUP(C67,Nomina!$A:$V,22,0)</f>
        <v>7391978.1333333328</v>
      </c>
      <c r="D69" s="267">
        <f>VLOOKUP(D67,Nomina!$A:$V,22,0)</f>
        <v>8205095.7280000001</v>
      </c>
      <c r="E69" s="267">
        <f>VLOOKUP(E67,Nomina!$A:$V,22,0)</f>
        <v>11282006.625999998</v>
      </c>
      <c r="F69" s="267">
        <f>VLOOKUP(F67,Nomina!$A:$V,22,0)</f>
        <v>12297387.222340001</v>
      </c>
      <c r="G69" s="267">
        <f>VLOOKUP(G67,Nomina!$A:$V,22,0)</f>
        <v>27054251.889148008</v>
      </c>
      <c r="H69" s="267">
        <f>VLOOKUP(H67,Nomina!$A:$V,22,0)</f>
        <v>29759677.07806281</v>
      </c>
      <c r="I69" s="267">
        <f>VLOOKUP(I67,Nomina!$A:$V,22,0)</f>
        <v>36009209.264455996</v>
      </c>
      <c r="J69" s="267">
        <f>VLOOKUP(J67,Nomina!$A:$V,22,0)</f>
        <v>39610130.190901607</v>
      </c>
    </row>
    <row r="70" spans="1:12">
      <c r="A70" s="1" t="s">
        <v>369</v>
      </c>
      <c r="B70" s="6" t="s">
        <v>749</v>
      </c>
      <c r="C70" s="267">
        <f>+SUMIFS(Nomina!$X:$X,Nomina!$A:$A,C67)/12</f>
        <v>120000</v>
      </c>
      <c r="D70" s="267">
        <f>+SUMIFS(Nomina!$X:$X,Nomina!$A:$A,D67)/12</f>
        <v>133200</v>
      </c>
      <c r="E70" s="267">
        <f>+SUMIFS(Nomina!$X:$X,Nomina!$A:$A,E67)/12</f>
        <v>183150</v>
      </c>
      <c r="F70" s="267">
        <f>+SUMIFS(Nomina!$X:$X,Nomina!$A:$A,F67)/12</f>
        <v>199633.50000000003</v>
      </c>
      <c r="G70" s="267">
        <f>+SUMIFS(Nomina!$X:$X,Nomina!$A:$A,G67)/12</f>
        <v>439193.70000000013</v>
      </c>
      <c r="H70" s="267">
        <f>+SUMIFS(Nomina!$X:$X,Nomina!$A:$A,H67)/12</f>
        <v>483113.07000000024</v>
      </c>
      <c r="I70" s="267">
        <f>+SUMIFS(Nomina!$X:$X,Nomina!$A:$A,I67)/12</f>
        <v>584566.8147000001</v>
      </c>
      <c r="J70" s="267">
        <f>+SUMIFS(Nomina!$X:$X,Nomina!$A:$A,J67)/12</f>
        <v>643023.49617000029</v>
      </c>
      <c r="K70" s="144"/>
      <c r="L70" s="144"/>
    </row>
    <row r="72" spans="1:12">
      <c r="B72" s="3" t="s">
        <v>557</v>
      </c>
    </row>
    <row r="74" spans="1:12">
      <c r="C74" s="246" t="str">
        <f>+$B$77&amp;"-"&amp;C76</f>
        <v>Administrador-2023</v>
      </c>
      <c r="D74" s="246" t="str">
        <f t="shared" ref="D74:J74" si="2">+$B$77&amp;"-"&amp;D76</f>
        <v>Administrador-2024</v>
      </c>
      <c r="E74" s="246" t="str">
        <f t="shared" si="2"/>
        <v>Administrador-2025</v>
      </c>
      <c r="F74" s="246" t="str">
        <f t="shared" si="2"/>
        <v>Administrador-2026</v>
      </c>
      <c r="G74" s="246" t="str">
        <f t="shared" si="2"/>
        <v>Administrador-2027</v>
      </c>
      <c r="H74" s="246" t="str">
        <f t="shared" si="2"/>
        <v>Administrador-2028</v>
      </c>
      <c r="I74" s="246" t="str">
        <f t="shared" si="2"/>
        <v>Administrador-2029</v>
      </c>
      <c r="J74" s="246" t="str">
        <f t="shared" si="2"/>
        <v>Administrador-2030</v>
      </c>
    </row>
    <row r="75" spans="1:12" s="246" customFormat="1">
      <c r="C75" s="246" t="str">
        <f>+$B$78&amp;"-"&amp;C76</f>
        <v>Cajero-2023</v>
      </c>
      <c r="D75" s="246" t="str">
        <f t="shared" ref="D75:J75" si="3">+$B$78&amp;"-"&amp;D76</f>
        <v>Cajero-2024</v>
      </c>
      <c r="E75" s="246" t="str">
        <f t="shared" si="3"/>
        <v>Cajero-2025</v>
      </c>
      <c r="F75" s="246" t="str">
        <f t="shared" si="3"/>
        <v>Cajero-2026</v>
      </c>
      <c r="G75" s="246" t="str">
        <f t="shared" si="3"/>
        <v>Cajero-2027</v>
      </c>
      <c r="H75" s="246" t="str">
        <f t="shared" si="3"/>
        <v>Cajero-2028</v>
      </c>
      <c r="I75" s="246" t="str">
        <f t="shared" si="3"/>
        <v>Cajero-2029</v>
      </c>
      <c r="J75" s="246" t="str">
        <f t="shared" si="3"/>
        <v>Cajero-2030</v>
      </c>
    </row>
    <row r="76" spans="1:12">
      <c r="B76" s="5" t="s">
        <v>18</v>
      </c>
      <c r="C76" s="142">
        <f>+C68</f>
        <v>2023</v>
      </c>
      <c r="D76" s="142">
        <f t="shared" ref="D76:J76" si="4">+D68</f>
        <v>2024</v>
      </c>
      <c r="E76" s="142">
        <f t="shared" si="4"/>
        <v>2025</v>
      </c>
      <c r="F76" s="142">
        <f t="shared" si="4"/>
        <v>2026</v>
      </c>
      <c r="G76" s="142">
        <f t="shared" si="4"/>
        <v>2027</v>
      </c>
      <c r="H76" s="142">
        <f t="shared" si="4"/>
        <v>2028</v>
      </c>
      <c r="I76" s="142">
        <f t="shared" si="4"/>
        <v>2029</v>
      </c>
      <c r="J76" s="142">
        <f t="shared" si="4"/>
        <v>2030</v>
      </c>
    </row>
    <row r="77" spans="1:12">
      <c r="A77" s="1" t="s">
        <v>630</v>
      </c>
      <c r="B77" s="6" t="s">
        <v>370</v>
      </c>
      <c r="C77" s="621">
        <f>VLOOKUP(C74,Nomina!$A:$V,22,0)</f>
        <v>1318115.3333333333</v>
      </c>
      <c r="D77" s="621">
        <f>VLOOKUP(D74,Nomina!$A:$V,22,0)</f>
        <v>1463108.0200000003</v>
      </c>
      <c r="E77" s="621">
        <f>VLOOKUP(E74,Nomina!$A:$V,22,0)</f>
        <v>1609418.8220000002</v>
      </c>
      <c r="F77" s="621">
        <f>VLOOKUP(F74,Nomina!$A:$V,22,0)</f>
        <v>1754266.5159800004</v>
      </c>
      <c r="G77" s="621">
        <f>VLOOKUP(G74,Nomina!$A:$V,22,0)</f>
        <v>3859386.3351560025</v>
      </c>
      <c r="H77" s="621">
        <f>VLOOKUP(H74,Nomina!$A:$V,22,0)</f>
        <v>4245324.9686716013</v>
      </c>
      <c r="I77" s="621">
        <f>VLOOKUP(I74,Nomina!$A:$V,22,0)</f>
        <v>4669857.4655387616</v>
      </c>
      <c r="J77" s="621">
        <f>VLOOKUP(J74,Nomina!$A:$V,22,0)</f>
        <v>5136843.2120926399</v>
      </c>
    </row>
    <row r="78" spans="1:12">
      <c r="A78" s="1" t="s">
        <v>630</v>
      </c>
      <c r="B78" s="153" t="s">
        <v>372</v>
      </c>
      <c r="C78" s="621">
        <f>VLOOKUP(C75,Nomina!$A:$V,22,0)</f>
        <v>1847994.5333333332</v>
      </c>
      <c r="D78" s="621">
        <f>VLOOKUP(D75,Nomina!$A:$V,22,0)</f>
        <v>2051273.932</v>
      </c>
      <c r="E78" s="621">
        <f>VLOOKUP(E75,Nomina!$A:$V,22,0)</f>
        <v>2256401.3251999998</v>
      </c>
      <c r="F78" s="621">
        <f>VLOOKUP(F75,Nomina!$A:$V,22,0)</f>
        <v>2459477.4444680004</v>
      </c>
      <c r="G78" s="621">
        <f>VLOOKUP(G75,Nomina!$A:$V,22,0)</f>
        <v>5410850.3778296011</v>
      </c>
      <c r="H78" s="621">
        <f>VLOOKUP(H75,Nomina!$A:$V,22,0)</f>
        <v>5951935.4156125616</v>
      </c>
      <c r="I78" s="621">
        <f>VLOOKUP(I75,Nomina!$A:$V,22,0)</f>
        <v>6547128.9571738197</v>
      </c>
      <c r="J78" s="621">
        <f>VLOOKUP(J75,Nomina!$A:$V,22,0)</f>
        <v>7201841.8528912002</v>
      </c>
    </row>
    <row r="79" spans="1:12">
      <c r="A79" s="1" t="s">
        <v>371</v>
      </c>
      <c r="B79" s="6" t="s">
        <v>748</v>
      </c>
      <c r="C79" s="267">
        <f>+SUMIFS(Nomina!$X:$X,Nomina!$A:$A,C74)/12+SUMIFS(Nomina!$X:$X,Nomina!$A:$A,C75)/12</f>
        <v>50000</v>
      </c>
      <c r="D79" s="267">
        <f>+SUMIFS(Nomina!$X:$X,Nomina!$A:$A,D74)/12+SUMIFS(Nomina!$X:$X,Nomina!$A:$A,D75)/12</f>
        <v>55500.000000000007</v>
      </c>
      <c r="E79" s="267">
        <f>+SUMIFS(Nomina!$X:$X,Nomina!$A:$A,E74)/12+SUMIFS(Nomina!$X:$X,Nomina!$A:$A,E75)/12</f>
        <v>61050.000000000007</v>
      </c>
      <c r="F79" s="267">
        <f>+SUMIFS(Nomina!$X:$X,Nomina!$A:$A,F74)/12+SUMIFS(Nomina!$X:$X,Nomina!$A:$A,F75)/12</f>
        <v>66544.500000000015</v>
      </c>
      <c r="G79" s="267">
        <f>+SUMIFS(Nomina!$X:$X,Nomina!$A:$A,G74)/12+SUMIFS(Nomina!$X:$X,Nomina!$A:$A,G75)/12</f>
        <v>146397.90000000008</v>
      </c>
      <c r="H79" s="267">
        <f>+SUMIFS(Nomina!$X:$X,Nomina!$A:$A,H74)/12+SUMIFS(Nomina!$X:$X,Nomina!$A:$A,H75)/12</f>
        <v>161037.69000000009</v>
      </c>
      <c r="I79" s="267">
        <f>+SUMIFS(Nomina!$X:$X,Nomina!$A:$A,I74)/12+SUMIFS(Nomina!$X:$X,Nomina!$A:$A,I75)/12</f>
        <v>177141.45900000009</v>
      </c>
      <c r="J79" s="267">
        <f>+SUMIFS(Nomina!$X:$X,Nomina!$A:$A,J74)/12+SUMIFS(Nomina!$X:$X,Nomina!$A:$A,J75)/12</f>
        <v>194855.60490000012</v>
      </c>
      <c r="K79" s="144"/>
      <c r="L79" s="144"/>
    </row>
    <row r="80" spans="1:12">
      <c r="B80" s="241"/>
      <c r="C80" s="242"/>
      <c r="D80" s="238"/>
      <c r="E80" s="238"/>
      <c r="F80" s="238"/>
      <c r="G80" s="238"/>
      <c r="H80" s="238"/>
      <c r="I80" s="238"/>
      <c r="J80" s="238"/>
      <c r="K80" s="144"/>
      <c r="L80" s="144"/>
    </row>
    <row r="81" spans="1:10">
      <c r="B81" s="3" t="s">
        <v>555</v>
      </c>
    </row>
    <row r="82" spans="1:10">
      <c r="B82" s="5" t="s">
        <v>18</v>
      </c>
      <c r="C82" s="5">
        <f>+C68</f>
        <v>2023</v>
      </c>
      <c r="D82" s="5">
        <f t="shared" ref="D82:J82" si="5">+D68</f>
        <v>2024</v>
      </c>
      <c r="E82" s="5">
        <f t="shared" si="5"/>
        <v>2025</v>
      </c>
      <c r="F82" s="5">
        <f t="shared" si="5"/>
        <v>2026</v>
      </c>
      <c r="G82" s="5">
        <f t="shared" si="5"/>
        <v>2027</v>
      </c>
      <c r="H82" s="5">
        <f t="shared" si="5"/>
        <v>2028</v>
      </c>
      <c r="I82" s="5">
        <f t="shared" si="5"/>
        <v>2029</v>
      </c>
      <c r="J82" s="5">
        <f t="shared" si="5"/>
        <v>2030</v>
      </c>
    </row>
    <row r="83" spans="1:10">
      <c r="A83" s="1" t="s">
        <v>630</v>
      </c>
      <c r="B83" s="6" t="s">
        <v>45</v>
      </c>
      <c r="C83" s="621">
        <f>+SUM(Inversion!F58:F62)/12</f>
        <v>65833.333333333328</v>
      </c>
      <c r="D83" s="621">
        <f>IF($A$93="NORMAL",C83*(Datos!B53+1),IF($A$93="PESIMISTA",C83*(Datos!B59+1),IF($A$93="OPTIMISTA",C83*(Datos!B65+1))))</f>
        <v>69585.833333333328</v>
      </c>
      <c r="E83" s="621">
        <f>IF($A$93="NORMAL",D83*(Datos!C53+1),IF($A$93="PESIMISTA",D83*(Datos!C59+1),IF($A$93="OPTIMISTA",D83*(Datos!C65+1))))</f>
        <v>78284.0625</v>
      </c>
      <c r="F83" s="621">
        <f>IF($A$93="NORMAL",E83*(Datos!D53+1),IF($A$93="PESIMISTA",E83*(Datos!D59+1),IF($A$93="OPTIMISTA",E83*(Datos!D65+1))))</f>
        <v>87286.729687500003</v>
      </c>
      <c r="G83" s="621">
        <f>IF($A$93="NORMAL",F83*(Datos!E53+1),IF($A$93="PESIMISTA",F83*(Datos!E59+1),IF($A$93="OPTIMISTA",F83*(Datos!E65+1))))*2</f>
        <v>189412.20342187499</v>
      </c>
      <c r="H83" s="621">
        <f>IF($A$93="NORMAL",G83*(Datos!F53+1),IF($A$93="PESIMISTA",G83*(Datos!F59+1),IF($A$93="OPTIMISTA",G83*(Datos!F65+1))))</f>
        <v>198882.81359296874</v>
      </c>
      <c r="I83" s="621">
        <f>IF($A$93="NORMAL",H83*(Datos!G53+1),IF($A$93="PESIMISTA",H83*(Datos!G59+1),IF($A$93="OPTIMISTA",H83*(Datos!G65+1))))</f>
        <v>207832.54020465232</v>
      </c>
      <c r="J83" s="621">
        <f>IF($A$93="NORMAL",I83*(Datos!H53+1),IF($A$93="PESIMISTA",I83*(Datos!H59+1),IF($A$93="OPTIMISTA",I83*(Datos!H65+1))))</f>
        <v>218224.16721488495</v>
      </c>
    </row>
    <row r="84" spans="1:10">
      <c r="A84" s="1" t="s">
        <v>630</v>
      </c>
      <c r="B84" s="6" t="s">
        <v>21</v>
      </c>
      <c r="C84" s="621">
        <f>+Datos!B35</f>
        <v>2500000</v>
      </c>
      <c r="D84" s="621">
        <f>IF($A$93="NORMAL",C84*(Datos!B53+1),IF($A$93="PESIMISTA",C84*(Datos!B59+1),IF($A$93="OPTIMISTA",C84*(Datos!B65+1))))</f>
        <v>2642500</v>
      </c>
      <c r="E84" s="621">
        <f>IF($A$93="NORMAL",D84*(Datos!C53+1),IF($A$93="PESIMISTA",D84*(Datos!C59+1),IF($A$93="OPTIMISTA",D84*(Datos!C65+1))))</f>
        <v>2972812.5</v>
      </c>
      <c r="F84" s="621">
        <f>IF($A$93="NORMAL",E84*(Datos!D53+1),IF($A$93="PESIMISTA",E84*(Datos!D59+1),IF($A$93="OPTIMISTA",E84*(Datos!D65+1))))</f>
        <v>3314685.9375</v>
      </c>
      <c r="G84" s="621">
        <f>IF($A$93="NORMAL",F84*(Datos!E53+1),IF($A$93="PESIMISTA",F84*(Datos!E59+1),IF($A$93="OPTIMISTA",F84*(Datos!E65+1))))*2</f>
        <v>7192868.484375</v>
      </c>
      <c r="H84" s="621">
        <f>IF($A$93="NORMAL",G84*(Datos!F53+1),IF($A$93="PESIMISTA",G84*(Datos!F59+1),IF($A$93="OPTIMISTA",G84*(Datos!F65+1))))</f>
        <v>7552511.9085937506</v>
      </c>
      <c r="I84" s="621">
        <f>IF($A$93="NORMAL",H84*(Datos!G53+1),IF($A$93="PESIMISTA",H84*(Datos!G59+1),IF($A$93="OPTIMISTA",H84*(Datos!G65+1))))</f>
        <v>7892374.9444804685</v>
      </c>
      <c r="J84" s="621">
        <f>IF($A$93="NORMAL",I84*(Datos!H53+1),IF($A$93="PESIMISTA",I84*(Datos!H59+1),IF($A$93="OPTIMISTA",I84*(Datos!H65+1))))</f>
        <v>8286993.6917044921</v>
      </c>
    </row>
    <row r="85" spans="1:10">
      <c r="A85" s="1" t="s">
        <v>630</v>
      </c>
      <c r="B85" s="6" t="s">
        <v>425</v>
      </c>
      <c r="C85" s="621">
        <v>900000</v>
      </c>
      <c r="D85" s="621">
        <f>IF($A$93="NORMAL",C85*(Datos!B53+1),IF($A$93="PESIMISTA",C85*(Datos!B59+1),IF($A$93="OPTIMISTA",C85*(Datos!B65+1))))</f>
        <v>951300</v>
      </c>
      <c r="E85" s="621">
        <f>IF($A$93="NORMAL",D85*(Datos!C53+1),IF($A$93="PESIMISTA",D85*(Datos!C59+1),IF($A$93="OPTIMISTA",D85*(Datos!C65+1))))</f>
        <v>1070212.5</v>
      </c>
      <c r="F85" s="621">
        <f>IF($A$93="NORMAL",E85*(Datos!D53+1),IF($A$93="PESIMISTA",E85*(Datos!D59+1),IF($A$93="OPTIMISTA",E85*(Datos!D65+1))))</f>
        <v>1193286.9375</v>
      </c>
      <c r="G85" s="621">
        <f>IF($A$93="NORMAL",F85*(Datos!E53+1),IF($A$93="PESIMISTA",F85*(Datos!E59+1),IF($A$93="OPTIMISTA",F85*(Datos!E65+1))))*2</f>
        <v>2589432.6543749999</v>
      </c>
      <c r="H85" s="621">
        <f>IF($A$93="NORMAL",G85*(Datos!F53+1),IF($A$93="PESIMISTA",G85*(Datos!F59+1),IF($A$93="OPTIMISTA",G85*(Datos!F65+1))))</f>
        <v>2718904.2870937502</v>
      </c>
      <c r="I85" s="621">
        <f>IF($A$93="NORMAL",H85*(Datos!G53+1),IF($A$93="PESIMISTA",H85*(Datos!G59+1),IF($A$93="OPTIMISTA",H85*(Datos!G65+1))))</f>
        <v>2841254.9800129686</v>
      </c>
      <c r="J85" s="621">
        <f>IF($A$93="NORMAL",I85*(Datos!H53+1),IF($A$93="PESIMISTA",I85*(Datos!H59+1),IF($A$93="OPTIMISTA",I85*(Datos!H65+1))))</f>
        <v>2983317.7290136172</v>
      </c>
    </row>
    <row r="86" spans="1:10">
      <c r="A86" s="1" t="s">
        <v>630</v>
      </c>
      <c r="B86" s="6" t="s">
        <v>22</v>
      </c>
      <c r="C86" s="621">
        <v>109000</v>
      </c>
      <c r="D86" s="621">
        <f>IF($A$93="NORMAL",C86*(Datos!B53+1),IF($A$93="PESIMISTA",C86*(Datos!B59+1),IF($A$93="OPTIMISTA",C86*(Datos!B65+1))))</f>
        <v>115213</v>
      </c>
      <c r="E86" s="621">
        <f>IF($A$93="NORMAL",D86*(Datos!C53+1),IF($A$93="PESIMISTA",D86*(Datos!C59+1),IF($A$93="OPTIMISTA",D86*(Datos!C65+1))))</f>
        <v>129614.625</v>
      </c>
      <c r="F86" s="621">
        <f>IF($A$93="NORMAL",E86*(Datos!D53+1),IF($A$93="PESIMISTA",E86*(Datos!D59+1),IF($A$93="OPTIMISTA",E86*(Datos!D65+1))))</f>
        <v>144520.30687500001</v>
      </c>
      <c r="G86" s="621">
        <f>IF($A$93="NORMAL",F86*(Datos!E53+1),IF($A$93="PESIMISTA",F86*(Datos!E59+1),IF($A$93="OPTIMISTA",F86*(Datos!E65+1))))*2</f>
        <v>313609.06591875001</v>
      </c>
      <c r="H86" s="621">
        <f>IF($A$93="NORMAL",G86*(Datos!F53+1),IF($A$93="PESIMISTA",G86*(Datos!F59+1),IF($A$93="OPTIMISTA",G86*(Datos!F65+1))))</f>
        <v>329289.51921468752</v>
      </c>
      <c r="I86" s="621">
        <f>IF($A$93="NORMAL",H86*(Datos!G53+1),IF($A$93="PESIMISTA",H86*(Datos!G59+1),IF($A$93="OPTIMISTA",H86*(Datos!G65+1))))</f>
        <v>344107.54757934844</v>
      </c>
      <c r="J86" s="621">
        <f>IF($A$93="NORMAL",I86*(Datos!H53+1),IF($A$93="PESIMISTA",I86*(Datos!H59+1),IF($A$93="OPTIMISTA",I86*(Datos!H65+1))))</f>
        <v>361312.92495831585</v>
      </c>
    </row>
    <row r="87" spans="1:10">
      <c r="B87" s="6" t="s">
        <v>426</v>
      </c>
      <c r="C87" s="267">
        <f>240000/12</f>
        <v>20000</v>
      </c>
      <c r="D87" s="267">
        <f>IF($A$93="NORMAL",C87*(Datos!B53+1),IF($A$93="PESIMISTA",C87*(Datos!B59+1),IF($A$93="OPTIMISTA",C87*(Datos!B65+1))))</f>
        <v>21140</v>
      </c>
      <c r="E87" s="267">
        <f>IF($A$93="NORMAL",D87*(Datos!C53+1),IF($A$93="PESIMISTA",D87*(Datos!C59+1),IF($A$93="OPTIMISTA",D87*(Datos!C65+1))))</f>
        <v>23782.5</v>
      </c>
      <c r="F87" s="267">
        <f>IF($A$93="NORMAL",E87*(Datos!D53+1),IF($A$93="PESIMISTA",E87*(Datos!D59+1),IF($A$93="OPTIMISTA",E87*(Datos!D65+1))))</f>
        <v>26517.487499999999</v>
      </c>
      <c r="G87" s="267">
        <f>IF($A$93="NORMAL",F87*(Datos!E53+1),IF($A$93="PESIMISTA",F87*(Datos!E59+1),IF($A$93="OPTIMISTA",F87*(Datos!E65+1))))*2</f>
        <v>57542.947874999998</v>
      </c>
      <c r="H87" s="267">
        <f>IF($A$93="NORMAL",G87*(Datos!F53+1),IF($A$93="PESIMISTA",G87*(Datos!F59+1),IF($A$93="OPTIMISTA",G87*(Datos!F65+1))))</f>
        <v>60420.095268750003</v>
      </c>
      <c r="I87" s="267">
        <f>IF($A$93="NORMAL",H87*(Datos!G53+1),IF($A$93="PESIMISTA",H87*(Datos!G59+1),IF($A$93="OPTIMISTA",H87*(Datos!G65+1))))</f>
        <v>63138.999555843751</v>
      </c>
      <c r="J87" s="267">
        <f>IF($A$93="NORMAL",I87*(Datos!H53+1),IF($A$93="PESIMISTA",I87*(Datos!H59+1),IF($A$93="OPTIMISTA",I87*(Datos!H65+1))))</f>
        <v>66295.94953363594</v>
      </c>
    </row>
    <row r="88" spans="1:10" s="246" customFormat="1">
      <c r="B88" s="609" t="s">
        <v>421</v>
      </c>
      <c r="C88" s="610">
        <v>700000</v>
      </c>
      <c r="D88" s="610">
        <f>IF($A$93="NORMAL",C88*(Datos!B53+1),IF($A$93="PESIMISTA",C88*(Datos!B59+1),IF($A$93="OPTIMISTA",C88*(Datos!B65+1))))</f>
        <v>739900</v>
      </c>
      <c r="E88" s="610">
        <f>IF($A$93="NORMAL",D88*(Datos!C53+1),IF($A$93="PESIMISTA",D88*(Datos!C59+1),IF($A$93="OPTIMISTA",D88*(Datos!C65+1))))</f>
        <v>832387.5</v>
      </c>
      <c r="F88" s="610">
        <f>IF($A$93="NORMAL",E88*(Datos!D53+1),IF($A$93="PESIMISTA",E88*(Datos!D59+1),IF($A$93="OPTIMISTA",E88*(Datos!D65+1))))</f>
        <v>928112.0625</v>
      </c>
      <c r="G88" s="610">
        <f>IF($A$93="NORMAL",F88*(Datos!E53+1),IF($A$93="PESIMISTA",F88*(Datos!E59+1),IF($A$93="OPTIMISTA",F88*(Datos!E65+1))))</f>
        <v>1007001.5878125</v>
      </c>
      <c r="H88" s="610">
        <f>IF($A$93="NORMAL",G88*(Datos!F53+1),IF($A$93="PESIMISTA",G88*(Datos!F59+1),IF($A$93="OPTIMISTA",G88*(Datos!F65+1))))</f>
        <v>1057351.6672031251</v>
      </c>
      <c r="I88" s="610">
        <f>IF($A$93="NORMAL",H88*(Datos!G53+1),IF($A$93="PESIMISTA",H88*(Datos!G59+1),IF($A$93="OPTIMISTA",H88*(Datos!G65+1))))</f>
        <v>1104932.4922272656</v>
      </c>
      <c r="J88" s="610">
        <f>IF($A$93="NORMAL",I88*(Datos!H53+1),IF($A$93="PESIMISTA",I88*(Datos!H59+1),IF($A$93="OPTIMISTA",I88*(Datos!H65+1))))</f>
        <v>1160179.1168386289</v>
      </c>
    </row>
    <row r="89" spans="1:10" s="246" customFormat="1">
      <c r="B89" s="609" t="s">
        <v>729</v>
      </c>
      <c r="C89" s="610">
        <v>500000</v>
      </c>
      <c r="D89" s="610">
        <f>IF($A$93="NORMAL",C89*(Datos!B53+1),IF($A$93="PESIMISTA",C89*(Datos!B59+1),IF($A$93="OPTIMISTA",C89*(Datos!B65+1))))</f>
        <v>528500</v>
      </c>
      <c r="E89" s="610">
        <f>IF($A$93="NORMAL",D89*(Datos!C53+1),IF($A$93="PESIMISTA",D89*(Datos!C59+1),IF($A$93="OPTIMISTA",D89*(Datos!C65+1))))</f>
        <v>594562.5</v>
      </c>
      <c r="F89" s="610">
        <f>IF($A$93="NORMAL",E89*(Datos!D53+1),IF($A$93="PESIMISTA",E89*(Datos!D59+1),IF($A$93="OPTIMISTA",E89*(Datos!D65+1))))</f>
        <v>662937.1875</v>
      </c>
      <c r="G89" s="610">
        <f>IF($A$93="NORMAL",F89*(Datos!E53+1),IF($A$93="PESIMISTA",F89*(Datos!E59+1),IF($A$93="OPTIMISTA",F89*(Datos!E65+1))))*2</f>
        <v>1438573.6968749999</v>
      </c>
      <c r="H89" s="610">
        <f>IF($A$93="NORMAL",G89*(Datos!F53+1),IF($A$93="PESIMISTA",G89*(Datos!F59+1),IF($A$93="OPTIMISTA",G89*(Datos!F65+1))))</f>
        <v>1510502.3817187499</v>
      </c>
      <c r="I89" s="610">
        <f>IF($A$93="NORMAL",H89*(Datos!G53+1),IF($A$93="PESIMISTA",H89*(Datos!G59+1),IF($A$93="OPTIMISTA",H89*(Datos!G65+1))))</f>
        <v>1578474.9888960936</v>
      </c>
      <c r="J89" s="610">
        <f>IF($A$93="NORMAL",I89*(Datos!H53+1),IF($A$93="PESIMISTA",I89*(Datos!H59+1),IF($A$93="OPTIMISTA",I89*(Datos!H65+1))))</f>
        <v>1657398.7383408984</v>
      </c>
    </row>
    <row r="90" spans="1:10">
      <c r="B90" s="239" t="s">
        <v>553</v>
      </c>
      <c r="C90" s="273">
        <f>+SUM(C83:C89)*12</f>
        <v>57538000.000000007</v>
      </c>
      <c r="D90" s="273">
        <f t="shared" ref="D90:J90" si="6">+SUM(D83:D89)*12</f>
        <v>60817666.000000007</v>
      </c>
      <c r="E90" s="273">
        <f t="shared" si="6"/>
        <v>68419874.25</v>
      </c>
      <c r="F90" s="273">
        <f>+SUM(F83:F89)*12</f>
        <v>76288159.788749993</v>
      </c>
      <c r="G90" s="273">
        <f t="shared" si="6"/>
        <v>153461287.68783748</v>
      </c>
      <c r="H90" s="273">
        <f t="shared" si="6"/>
        <v>161134352.07222939</v>
      </c>
      <c r="I90" s="273">
        <f t="shared" si="6"/>
        <v>168385397.91547969</v>
      </c>
      <c r="J90" s="273">
        <f t="shared" si="6"/>
        <v>176804667.81125367</v>
      </c>
    </row>
    <row r="91" spans="1:10">
      <c r="B91" s="730"/>
      <c r="C91" s="656"/>
      <c r="D91" s="656"/>
      <c r="E91" s="656"/>
      <c r="F91" s="656"/>
      <c r="G91" s="656"/>
      <c r="H91" s="656"/>
      <c r="I91" s="656"/>
      <c r="J91" s="656"/>
    </row>
    <row r="92" spans="1:10">
      <c r="B92" s="730"/>
      <c r="C92" s="656"/>
      <c r="E92" s="26"/>
      <c r="F92" s="26">
        <f>F93/E94</f>
        <v>0.4</v>
      </c>
      <c r="G92" s="26">
        <f>G93/F94</f>
        <v>0.16666666666666666</v>
      </c>
      <c r="H92" s="26">
        <f>H93/G94</f>
        <v>0.15</v>
      </c>
      <c r="I92" s="26">
        <f>I93/H94</f>
        <v>0.17647058823529413</v>
      </c>
      <c r="J92" s="26">
        <f>J93/I94</f>
        <v>0.2857142857142857</v>
      </c>
    </row>
    <row r="93" spans="1:10">
      <c r="A93" s="618" t="str">
        <f>'EF Proyecto'!A1</f>
        <v>NORMAL</v>
      </c>
      <c r="F93" s="1">
        <f>E94-F94</f>
        <v>800</v>
      </c>
      <c r="G93" s="1">
        <f>F94-G94</f>
        <v>200</v>
      </c>
      <c r="H93" s="1">
        <f>G94-H94</f>
        <v>150</v>
      </c>
      <c r="I93" s="1">
        <f>H94-I94</f>
        <v>150</v>
      </c>
      <c r="J93" s="1">
        <f>I94-J94</f>
        <v>200</v>
      </c>
    </row>
    <row r="94" spans="1:10">
      <c r="B94" s="3" t="s">
        <v>23</v>
      </c>
      <c r="E94" s="1">
        <v>2000</v>
      </c>
      <c r="F94" s="1">
        <v>1200</v>
      </c>
      <c r="G94" s="1">
        <v>1000</v>
      </c>
      <c r="H94" s="1">
        <v>850</v>
      </c>
      <c r="I94" s="1">
        <v>700</v>
      </c>
      <c r="J94" s="1">
        <v>500</v>
      </c>
    </row>
    <row r="95" spans="1:10">
      <c r="B95" s="806" t="s">
        <v>18</v>
      </c>
      <c r="C95" s="806">
        <f t="shared" ref="C95:J95" si="7">+C76</f>
        <v>2023</v>
      </c>
      <c r="D95" s="806">
        <f t="shared" si="7"/>
        <v>2024</v>
      </c>
      <c r="E95" s="806">
        <f t="shared" si="7"/>
        <v>2025</v>
      </c>
      <c r="F95" s="806">
        <f t="shared" si="7"/>
        <v>2026</v>
      </c>
      <c r="G95" s="806">
        <f t="shared" si="7"/>
        <v>2027</v>
      </c>
      <c r="H95" s="806">
        <f t="shared" si="7"/>
        <v>2028</v>
      </c>
      <c r="I95" s="806">
        <f t="shared" si="7"/>
        <v>2029</v>
      </c>
      <c r="J95" s="806">
        <f t="shared" si="7"/>
        <v>2030</v>
      </c>
    </row>
    <row r="96" spans="1:10">
      <c r="B96" s="6" t="s">
        <v>728</v>
      </c>
      <c r="C96" s="267">
        <v>1500000</v>
      </c>
      <c r="D96" s="608">
        <f>IF($A$93="NORMAL",C96*(Datos!B53+1),IF($A$93="PESIMISTA",C96*(Datos!B59+1),IF($A$93="OPTIMISTA",C96*(Datos!B65+1))))</f>
        <v>1585500</v>
      </c>
      <c r="E96" s="608">
        <f>IF($A$93="NORMAL",D96*(Datos!C53+1),IF($A$93="PESIMISTA",D96*(Datos!C59+1),IF($A$93="OPTIMISTA",D96*(Datos!C65+1))))</f>
        <v>1783687.5</v>
      </c>
      <c r="F96" s="608">
        <f>IF($A$93="NORMAL",E96*(Datos!D53+1),IF($A$93="PESIMISTA",E96*(Datos!D59+1),IF($A$93="OPTIMISTA",E96*(Datos!D65+1))))*(1-F$92)</f>
        <v>1193286.9375</v>
      </c>
      <c r="G96" s="608">
        <f>IF($A$93="NORMAL",F96*(Datos!E53+1),IF($A$93="PESIMISTA",F96*(Datos!E59+1),IF($A$93="OPTIMISTA",F96*(Datos!E65+1))))*(1-G$92)</f>
        <v>1078930.27265625</v>
      </c>
      <c r="H96" s="608">
        <f>IF($A$93="NORMAL",G96*(Datos!F53+1),IF($A$93="PESIMISTA",G96*(Datos!F59+1),IF($A$93="OPTIMISTA",G96*(Datos!F65+1))))*(1-H$92)</f>
        <v>962945.26834570314</v>
      </c>
      <c r="I96" s="608">
        <f>IF($A$93="NORMAL",H96*(Datos!G53+1),IF($A$93="PESIMISTA",H96*(Datos!G59+1),IF($A$93="OPTIMISTA",H96*(Datos!G65+1))))*(1-I$92)</f>
        <v>828699.36917044909</v>
      </c>
      <c r="J96" s="608">
        <f>IF($A$93="NORMAL",I96*(Datos!H53+1),IF($A$93="PESIMISTA",I96*(Datos!H59+1),IF($A$93="OPTIMISTA",I96*(Datos!H65+1))))*(1-J$92)</f>
        <v>621524.52687783679</v>
      </c>
    </row>
    <row r="97" spans="2:10">
      <c r="B97" s="6" t="s">
        <v>761</v>
      </c>
      <c r="C97" s="267"/>
      <c r="D97" s="608"/>
      <c r="E97" s="608"/>
      <c r="F97" s="608"/>
      <c r="G97" s="608">
        <v>2000000</v>
      </c>
      <c r="H97" s="608">
        <f>IF($A$93="NORMAL",G97*(Datos!F53+1),IF($A$93="PESIMISTA",G97*(Datos!F59+1),IF($A$93="OPTIMISTA",G97*(Datos!F65+1))))*(1-H$92)</f>
        <v>1785000</v>
      </c>
      <c r="I97" s="608">
        <f>IF($A$93="NORMAL",H97*(Datos!G53+1),IF($A$93="PESIMISTA",H97*(Datos!G59+1),IF($A$93="OPTIMISTA",H97*(Datos!G65+1))))*(1-I$92)</f>
        <v>1536149.9999999998</v>
      </c>
      <c r="J97" s="608">
        <f>IF($A$93="NORMAL",I97*(Datos!H53+1),IF($A$93="PESIMISTA",I97*(Datos!H59+1),IF($A$93="OPTIMISTA",I97*(Datos!H65+1))))*(1-J$92)</f>
        <v>1152112.4999999998</v>
      </c>
    </row>
    <row r="98" spans="2:10">
      <c r="B98" s="6" t="s">
        <v>730</v>
      </c>
      <c r="C98" s="267">
        <v>500000</v>
      </c>
      <c r="D98" s="608">
        <f>IF($A$93="NORMAL",C98*(Datos!B53+1),IF($A$93="PESIMISTA",C98*(Datos!B59+1),IF($A$93="OPTIMISTA",C98*(Datos!B65+1))))</f>
        <v>528500</v>
      </c>
      <c r="E98" s="608">
        <f>IF($A$93="NORMAL",D98*(Datos!C53+1),IF($A$93="PESIMISTA",D98*(Datos!C59+1),IF($A$93="OPTIMISTA",D98*(Datos!C65+1))))</f>
        <v>594562.5</v>
      </c>
      <c r="F98" s="608">
        <f>IF($A$93="NORMAL",E98*(Datos!D55+1),IF($A$93="PESIMISTA",E98*(Datos!D61+1),IF($A$93="OPTIMISTA",E98*(Datos!D67+1))))*(1-F$92)</f>
        <v>392411.25</v>
      </c>
      <c r="G98" s="608">
        <f>IF($A$93="NORMAL",F98*(Datos!E55+1),IF($A$93="PESIMISTA",F98*(Datos!E61+1),IF($A$93="OPTIMISTA",F98*(Datos!E67+1))))*(1-G$92)</f>
        <v>356440.21875</v>
      </c>
      <c r="H98" s="608">
        <f>IF($A$93="NORMAL",G98*(Datos!F55+1),IF($A$93="PESIMISTA",G98*(Datos!F61+1),IF($A$93="OPTIMISTA",G98*(Datos!F67+1))))*(1-H$92)</f>
        <v>333271.60453125002</v>
      </c>
      <c r="I98" s="608">
        <f>IF($A$93="NORMAL",H98*(Datos!G55+1),IF($A$93="PESIMISTA",H98*(Datos!G61+1),IF($A$93="OPTIMISTA",H98*(Datos!G67+1))))*(1-I$92)</f>
        <v>301904.86528125004</v>
      </c>
      <c r="J98" s="608">
        <f>IF($A$93="NORMAL",I98*(Datos!H55+1),IF($A$93="PESIMISTA",I98*(Datos!H61+1),IF($A$93="OPTIMISTA",I98*(Datos!H67+1))))*(1-J$92)</f>
        <v>237210.96557812503</v>
      </c>
    </row>
    <row r="99" spans="2:10">
      <c r="B99" s="240" t="s">
        <v>554</v>
      </c>
      <c r="C99" s="274">
        <f>+SUM(C96:C98)</f>
        <v>2000000</v>
      </c>
      <c r="D99" s="274">
        <f t="shared" ref="D99:J99" si="8">+SUM(D96:D98)</f>
        <v>2114000</v>
      </c>
      <c r="E99" s="274">
        <f t="shared" si="8"/>
        <v>2378250</v>
      </c>
      <c r="F99" s="274">
        <f t="shared" si="8"/>
        <v>1585698.1875</v>
      </c>
      <c r="G99" s="274">
        <f t="shared" si="8"/>
        <v>3435370.4914062498</v>
      </c>
      <c r="H99" s="274">
        <f t="shared" si="8"/>
        <v>3081216.8728769533</v>
      </c>
      <c r="I99" s="274">
        <f t="shared" si="8"/>
        <v>2666754.2344516986</v>
      </c>
      <c r="J99" s="274">
        <f t="shared" si="8"/>
        <v>2010847.9924559616</v>
      </c>
    </row>
    <row r="100" spans="2:10">
      <c r="B100" s="745" t="s">
        <v>554</v>
      </c>
      <c r="C100" s="807">
        <f t="shared" ref="C100:J100" si="9">C99*12</f>
        <v>24000000</v>
      </c>
      <c r="D100" s="807">
        <f t="shared" si="9"/>
        <v>25368000</v>
      </c>
      <c r="E100" s="807">
        <f t="shared" si="9"/>
        <v>28539000</v>
      </c>
      <c r="F100" s="807">
        <f t="shared" si="9"/>
        <v>19028378.25</v>
      </c>
      <c r="G100" s="807">
        <f t="shared" si="9"/>
        <v>41224445.896874994</v>
      </c>
      <c r="H100" s="807">
        <f t="shared" si="9"/>
        <v>36974602.47452344</v>
      </c>
      <c r="I100" s="807">
        <f t="shared" si="9"/>
        <v>32001050.813420385</v>
      </c>
      <c r="J100" s="807">
        <f t="shared" si="9"/>
        <v>24130175.909471542</v>
      </c>
    </row>
    <row r="101" spans="2:10">
      <c r="C101" s="144"/>
    </row>
  </sheetData>
  <autoFilter ref="A8:L52" xr:uid="{1EBCA4BD-8F1A-41D2-8512-9E4EAB31A9E4}"/>
  <sortState xmlns:xlrd2="http://schemas.microsoft.com/office/spreadsheetml/2017/richdata2" ref="A31:K52">
    <sortCondition ref="F31:F52"/>
  </sortState>
  <phoneticPr fontId="5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7FB580-7778-4543-97DF-C65D93DA8A27}">
          <x14:formula1>
            <xm:f>'Ventas-Mp Ins-Invent'!$B$1:$E$1</xm:f>
          </x14:formula1>
          <xm:sqref>A93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5928-4DF0-4228-97EE-9B3006FBD980}">
  <sheetPr codeName="Hoja7"/>
  <dimension ref="B1:DQ55"/>
  <sheetViews>
    <sheetView zoomScale="85" zoomScaleNormal="85" workbookViewId="0">
      <pane ySplit="4" topLeftCell="A5" activePane="bottomLeft" state="frozen"/>
      <selection pane="bottomLeft" activeCell="B15" sqref="B15"/>
    </sheetView>
  </sheetViews>
  <sheetFormatPr baseColWidth="10" defaultColWidth="11.54296875" defaultRowHeight="14.5"/>
  <cols>
    <col min="1" max="1" width="11.54296875" style="1"/>
    <col min="2" max="2" width="35.81640625" style="1" bestFit="1" customWidth="1"/>
    <col min="3" max="3" width="10.54296875" style="1" bestFit="1" customWidth="1"/>
    <col min="4" max="19" width="7.7265625" style="1" customWidth="1"/>
    <col min="20" max="20" width="5.26953125" style="1" customWidth="1"/>
    <col min="21" max="21" width="5.54296875" style="1" customWidth="1"/>
    <col min="22" max="22" width="28.1796875" style="1" bestFit="1" customWidth="1"/>
    <col min="23" max="23" width="10.54296875" style="1" bestFit="1" customWidth="1"/>
    <col min="24" max="39" width="7.7265625" style="1" customWidth="1"/>
    <col min="40" max="41" width="5.26953125" style="1" customWidth="1"/>
    <col min="42" max="42" width="31.453125" style="1" bestFit="1" customWidth="1"/>
    <col min="43" max="43" width="10.54296875" style="1" bestFit="1" customWidth="1"/>
    <col min="44" max="59" width="7.7265625" style="1" customWidth="1"/>
    <col min="60" max="60" width="5.1796875" style="1" customWidth="1"/>
    <col min="61" max="61" width="5.26953125" style="1" customWidth="1"/>
    <col min="62" max="62" width="31.453125" style="1" bestFit="1" customWidth="1"/>
    <col min="63" max="63" width="10.54296875" style="1" bestFit="1" customWidth="1"/>
    <col min="64" max="79" width="7.7265625" style="10" customWidth="1"/>
    <col min="80" max="80" width="5.1796875" style="1" customWidth="1"/>
    <col min="81" max="81" width="5.26953125" style="1" customWidth="1"/>
    <col min="82" max="82" width="31.453125" style="1" bestFit="1" customWidth="1"/>
    <col min="83" max="83" width="10.54296875" style="1" bestFit="1" customWidth="1"/>
    <col min="84" max="99" width="7.7265625" style="1" customWidth="1"/>
    <col min="100" max="100" width="5.1796875" style="1" customWidth="1"/>
    <col min="101" max="101" width="5.26953125" style="1" customWidth="1"/>
    <col min="102" max="102" width="31.453125" style="1" bestFit="1" customWidth="1"/>
    <col min="103" max="103" width="10.54296875" style="1" bestFit="1" customWidth="1"/>
    <col min="104" max="119" width="7.7265625" style="1" customWidth="1"/>
    <col min="120" max="120" width="5.1796875" style="1" customWidth="1"/>
    <col min="121" max="16384" width="11.54296875" style="1"/>
  </cols>
  <sheetData>
    <row r="1" spans="2:120">
      <c r="B1" s="11" t="str">
        <f>+Datos!A3</f>
        <v>LÍNEA TRADICIONAL</v>
      </c>
      <c r="T1" s="20"/>
      <c r="V1" s="11" t="str">
        <f>+Datos!A6</f>
        <v>LÍNEA GOURMET</v>
      </c>
      <c r="AN1" s="20"/>
      <c r="AP1" s="11" t="str">
        <f>+Datos!A11</f>
        <v>LÍNEA ICE ROLL'S</v>
      </c>
      <c r="BH1" s="20"/>
      <c r="BJ1" s="11" t="str">
        <f>+Datos!A16</f>
        <v>BEBIDAS NATURALES EN AGUA</v>
      </c>
      <c r="CB1" s="20"/>
      <c r="CD1" s="11" t="str">
        <f>+Datos!A21</f>
        <v>BEBIDAS NATURALES EN LECHE</v>
      </c>
      <c r="CV1" s="20"/>
      <c r="CX1" s="11" t="str">
        <f>+Datos!A26</f>
        <v>MALTEADAS</v>
      </c>
      <c r="DP1" s="20"/>
    </row>
    <row r="2" spans="2:120">
      <c r="T2" s="20"/>
      <c r="AN2" s="20"/>
      <c r="BH2" s="20"/>
      <c r="CB2" s="20"/>
      <c r="CV2" s="20"/>
      <c r="DP2" s="20"/>
    </row>
    <row r="3" spans="2:120">
      <c r="B3" s="229" t="s">
        <v>64</v>
      </c>
      <c r="C3" s="230"/>
      <c r="D3" s="231"/>
      <c r="E3" s="231"/>
      <c r="F3" s="231"/>
      <c r="G3" s="231"/>
      <c r="H3" s="231"/>
      <c r="I3" s="231"/>
      <c r="J3" s="231"/>
      <c r="K3" s="231"/>
      <c r="L3" s="7">
        <f>ROUNDUP(AVERAGE('Ventas-Mp Ins-Invent'!B4:M4),0)</f>
        <v>415</v>
      </c>
      <c r="M3" s="681"/>
      <c r="N3" s="681"/>
      <c r="O3" s="681"/>
      <c r="P3" s="681"/>
      <c r="Q3" s="681"/>
      <c r="R3" s="681"/>
      <c r="S3" s="681"/>
      <c r="T3" s="21"/>
      <c r="V3" s="229" t="s">
        <v>64</v>
      </c>
      <c r="W3" s="230"/>
      <c r="X3" s="231"/>
      <c r="Y3" s="231"/>
      <c r="Z3" s="231"/>
      <c r="AA3" s="231"/>
      <c r="AB3" s="231"/>
      <c r="AC3" s="231"/>
      <c r="AD3" s="231"/>
      <c r="AE3" s="231"/>
      <c r="AF3" s="7">
        <f>ROUNDUP(AVERAGE('Ventas-Mp Ins-Invent'!B3:M3),0)</f>
        <v>485</v>
      </c>
      <c r="AG3" s="681"/>
      <c r="AH3" s="681"/>
      <c r="AI3" s="681"/>
      <c r="AJ3" s="681"/>
      <c r="AK3" s="681"/>
      <c r="AL3" s="681"/>
      <c r="AM3" s="681"/>
      <c r="AN3" s="20"/>
      <c r="AP3" s="229" t="s">
        <v>64</v>
      </c>
      <c r="AQ3" s="230"/>
      <c r="AR3" s="231"/>
      <c r="AS3" s="231"/>
      <c r="AT3" s="231"/>
      <c r="AU3" s="231"/>
      <c r="AV3" s="231"/>
      <c r="AW3" s="231"/>
      <c r="AX3" s="231"/>
      <c r="AY3" s="231"/>
      <c r="AZ3" s="7">
        <f>ROUNDUP(AVERAGE('Ventas-Mp Ins-Invent'!B5:M5),0)</f>
        <v>510</v>
      </c>
      <c r="BA3" s="681"/>
      <c r="BB3" s="681"/>
      <c r="BC3" s="681"/>
      <c r="BD3" s="681"/>
      <c r="BE3" s="681"/>
      <c r="BF3" s="681"/>
      <c r="BG3" s="681"/>
      <c r="BH3" s="20"/>
      <c r="BJ3" s="229" t="s">
        <v>64</v>
      </c>
      <c r="BK3" s="230"/>
      <c r="BL3" s="685"/>
      <c r="BM3" s="685"/>
      <c r="BN3" s="685"/>
      <c r="BO3" s="685"/>
      <c r="BP3" s="685"/>
      <c r="BQ3" s="685"/>
      <c r="BR3" s="685"/>
      <c r="BS3" s="685"/>
      <c r="BT3" s="686">
        <f>ROUNDUP(AVERAGE('Ventas-Mp Ins-Invent'!B6:M6),0)</f>
        <v>430</v>
      </c>
      <c r="BU3" s="687"/>
      <c r="BV3" s="687"/>
      <c r="BW3" s="687"/>
      <c r="BX3" s="687"/>
      <c r="BY3" s="687"/>
      <c r="BZ3" s="687"/>
      <c r="CA3" s="687"/>
      <c r="CB3" s="20"/>
      <c r="CD3" s="229" t="s">
        <v>64</v>
      </c>
      <c r="CE3" s="230"/>
      <c r="CF3" s="231"/>
      <c r="CG3" s="231"/>
      <c r="CH3" s="231"/>
      <c r="CI3" s="231"/>
      <c r="CJ3" s="231"/>
      <c r="CK3" s="231"/>
      <c r="CL3" s="231"/>
      <c r="CM3" s="231"/>
      <c r="CN3" s="7">
        <f>ROUNDUP(AVERAGE('Ventas-Mp Ins-Invent'!B7:M7),0)</f>
        <v>425</v>
      </c>
      <c r="CO3" s="681"/>
      <c r="CP3" s="681"/>
      <c r="CQ3" s="681"/>
      <c r="CR3" s="681"/>
      <c r="CS3" s="681"/>
      <c r="CT3" s="681"/>
      <c r="CU3" s="681"/>
      <c r="CV3" s="20"/>
      <c r="CX3" s="229" t="s">
        <v>64</v>
      </c>
      <c r="CY3" s="230"/>
      <c r="CZ3" s="231"/>
      <c r="DA3" s="231"/>
      <c r="DB3" s="231"/>
      <c r="DC3" s="231"/>
      <c r="DD3" s="231"/>
      <c r="DE3" s="231"/>
      <c r="DF3" s="231"/>
      <c r="DG3" s="231"/>
      <c r="DH3" s="7">
        <f>ROUNDUP(AVERAGE('Ventas-Mp Ins-Invent'!B8:M8),0)</f>
        <v>350</v>
      </c>
      <c r="DI3" s="681"/>
      <c r="DJ3" s="681"/>
      <c r="DK3" s="681"/>
      <c r="DL3" s="681"/>
      <c r="DM3" s="681"/>
      <c r="DN3" s="681"/>
      <c r="DO3" s="681"/>
      <c r="DP3" s="20"/>
    </row>
    <row r="4" spans="2:120">
      <c r="B4" s="229" t="s">
        <v>71</v>
      </c>
      <c r="C4" s="230"/>
      <c r="D4" s="231"/>
      <c r="E4" s="231"/>
      <c r="F4" s="231"/>
      <c r="G4" s="231"/>
      <c r="H4" s="231"/>
      <c r="I4" s="231"/>
      <c r="J4" s="231"/>
      <c r="K4" s="231"/>
      <c r="L4" s="19">
        <v>0.5</v>
      </c>
      <c r="M4" s="682"/>
      <c r="N4" s="682"/>
      <c r="O4" s="682"/>
      <c r="P4" s="682"/>
      <c r="Q4" s="682"/>
      <c r="R4" s="682"/>
      <c r="S4" s="682"/>
      <c r="T4" s="20"/>
      <c r="V4" s="229" t="s">
        <v>71</v>
      </c>
      <c r="W4" s="230"/>
      <c r="X4" s="231"/>
      <c r="Y4" s="231"/>
      <c r="Z4" s="231"/>
      <c r="AA4" s="231"/>
      <c r="AB4" s="231"/>
      <c r="AC4" s="231"/>
      <c r="AD4" s="231"/>
      <c r="AE4" s="231"/>
      <c r="AF4" s="19">
        <f>+L4</f>
        <v>0.5</v>
      </c>
      <c r="AG4" s="682"/>
      <c r="AH4" s="682"/>
      <c r="AI4" s="682"/>
      <c r="AJ4" s="682"/>
      <c r="AK4" s="682"/>
      <c r="AL4" s="682"/>
      <c r="AM4" s="682"/>
      <c r="AN4" s="20"/>
      <c r="AP4" s="229" t="s">
        <v>71</v>
      </c>
      <c r="AQ4" s="230"/>
      <c r="AR4" s="231"/>
      <c r="AS4" s="231"/>
      <c r="AT4" s="231"/>
      <c r="AU4" s="231"/>
      <c r="AV4" s="231"/>
      <c r="AW4" s="231"/>
      <c r="AX4" s="231"/>
      <c r="AY4" s="231"/>
      <c r="AZ4" s="19">
        <f>+AF4</f>
        <v>0.5</v>
      </c>
      <c r="BA4" s="682"/>
      <c r="BB4" s="682"/>
      <c r="BC4" s="682"/>
      <c r="BD4" s="682"/>
      <c r="BE4" s="682"/>
      <c r="BF4" s="682"/>
      <c r="BG4" s="682"/>
      <c r="BH4" s="20"/>
      <c r="BJ4" s="229" t="s">
        <v>71</v>
      </c>
      <c r="BK4" s="230"/>
      <c r="BL4" s="685"/>
      <c r="BM4" s="685"/>
      <c r="BN4" s="685"/>
      <c r="BO4" s="685"/>
      <c r="BP4" s="685"/>
      <c r="BQ4" s="685"/>
      <c r="BR4" s="685"/>
      <c r="BS4" s="685"/>
      <c r="BT4" s="19">
        <v>0.5</v>
      </c>
      <c r="BU4" s="688"/>
      <c r="BV4" s="688"/>
      <c r="BW4" s="688"/>
      <c r="BX4" s="688"/>
      <c r="BY4" s="688"/>
      <c r="BZ4" s="688"/>
      <c r="CA4" s="688"/>
      <c r="CB4" s="20"/>
      <c r="CD4" s="229" t="s">
        <v>71</v>
      </c>
      <c r="CE4" s="230"/>
      <c r="CF4" s="231"/>
      <c r="CG4" s="231"/>
      <c r="CH4" s="231"/>
      <c r="CI4" s="231"/>
      <c r="CJ4" s="231"/>
      <c r="CK4" s="231"/>
      <c r="CL4" s="231"/>
      <c r="CM4" s="231"/>
      <c r="CN4" s="19">
        <f>+BT4</f>
        <v>0.5</v>
      </c>
      <c r="CO4" s="682"/>
      <c r="CP4" s="682"/>
      <c r="CQ4" s="682"/>
      <c r="CR4" s="682"/>
      <c r="CS4" s="682"/>
      <c r="CT4" s="682"/>
      <c r="CU4" s="682"/>
      <c r="CV4" s="20"/>
      <c r="CX4" s="229" t="s">
        <v>71</v>
      </c>
      <c r="CY4" s="230"/>
      <c r="CZ4" s="231"/>
      <c r="DA4" s="231"/>
      <c r="DB4" s="231"/>
      <c r="DC4" s="231"/>
      <c r="DD4" s="231"/>
      <c r="DE4" s="231"/>
      <c r="DF4" s="231"/>
      <c r="DG4" s="231"/>
      <c r="DH4" s="19">
        <f>+CN4</f>
        <v>0.5</v>
      </c>
      <c r="DI4" s="682"/>
      <c r="DJ4" s="682"/>
      <c r="DK4" s="682"/>
      <c r="DL4" s="682"/>
      <c r="DM4" s="682"/>
      <c r="DN4" s="682"/>
      <c r="DO4" s="682"/>
      <c r="DP4" s="20"/>
    </row>
    <row r="5" spans="2:120">
      <c r="D5" s="1">
        <v>2023</v>
      </c>
      <c r="E5" s="1">
        <f>+D5+1</f>
        <v>2024</v>
      </c>
      <c r="F5" s="1">
        <f t="shared" ref="F5:K5" si="0">+E5+1</f>
        <v>2025</v>
      </c>
      <c r="G5" s="1">
        <f t="shared" si="0"/>
        <v>2026</v>
      </c>
      <c r="H5" s="1">
        <f t="shared" si="0"/>
        <v>2027</v>
      </c>
      <c r="I5" s="1">
        <f t="shared" si="0"/>
        <v>2028</v>
      </c>
      <c r="J5" s="1">
        <f t="shared" si="0"/>
        <v>2029</v>
      </c>
      <c r="K5" s="1">
        <f t="shared" si="0"/>
        <v>2030</v>
      </c>
      <c r="L5" s="1">
        <v>2023</v>
      </c>
      <c r="M5" s="1">
        <f>+L5+1</f>
        <v>2024</v>
      </c>
      <c r="N5" s="1">
        <f t="shared" ref="N5:S5" si="1">+M5+1</f>
        <v>2025</v>
      </c>
      <c r="O5" s="1">
        <f t="shared" si="1"/>
        <v>2026</v>
      </c>
      <c r="P5" s="1">
        <f t="shared" si="1"/>
        <v>2027</v>
      </c>
      <c r="Q5" s="1">
        <f t="shared" si="1"/>
        <v>2028</v>
      </c>
      <c r="R5" s="1">
        <f t="shared" si="1"/>
        <v>2029</v>
      </c>
      <c r="S5" s="1">
        <f t="shared" si="1"/>
        <v>2030</v>
      </c>
      <c r="T5" s="20"/>
      <c r="X5" s="1">
        <v>2023</v>
      </c>
      <c r="Y5" s="1">
        <f>+X5+1</f>
        <v>2024</v>
      </c>
      <c r="Z5" s="1">
        <f t="shared" ref="Z5:AE5" si="2">+Y5+1</f>
        <v>2025</v>
      </c>
      <c r="AA5" s="1">
        <f t="shared" si="2"/>
        <v>2026</v>
      </c>
      <c r="AB5" s="1">
        <f t="shared" si="2"/>
        <v>2027</v>
      </c>
      <c r="AC5" s="1">
        <f t="shared" si="2"/>
        <v>2028</v>
      </c>
      <c r="AD5" s="1">
        <f t="shared" si="2"/>
        <v>2029</v>
      </c>
      <c r="AE5" s="1">
        <f t="shared" si="2"/>
        <v>2030</v>
      </c>
      <c r="AF5" s="2">
        <v>2023</v>
      </c>
      <c r="AG5" s="2">
        <f>+AF5+1</f>
        <v>2024</v>
      </c>
      <c r="AH5" s="2">
        <f t="shared" ref="AH5:AM5" si="3">+AG5+1</f>
        <v>2025</v>
      </c>
      <c r="AI5" s="2">
        <f t="shared" si="3"/>
        <v>2026</v>
      </c>
      <c r="AJ5" s="2">
        <f t="shared" si="3"/>
        <v>2027</v>
      </c>
      <c r="AK5" s="2">
        <f t="shared" si="3"/>
        <v>2028</v>
      </c>
      <c r="AL5" s="2">
        <f t="shared" si="3"/>
        <v>2029</v>
      </c>
      <c r="AM5" s="2">
        <f t="shared" si="3"/>
        <v>2030</v>
      </c>
      <c r="AN5" s="20"/>
      <c r="AR5" s="1">
        <v>2023</v>
      </c>
      <c r="AS5" s="1">
        <f>+AR5+1</f>
        <v>2024</v>
      </c>
      <c r="AT5" s="1">
        <f t="shared" ref="AT5:AY5" si="4">+AS5+1</f>
        <v>2025</v>
      </c>
      <c r="AU5" s="1">
        <f t="shared" si="4"/>
        <v>2026</v>
      </c>
      <c r="AV5" s="1">
        <f t="shared" si="4"/>
        <v>2027</v>
      </c>
      <c r="AW5" s="1">
        <f t="shared" si="4"/>
        <v>2028</v>
      </c>
      <c r="AX5" s="1">
        <f t="shared" si="4"/>
        <v>2029</v>
      </c>
      <c r="AY5" s="1">
        <f t="shared" si="4"/>
        <v>2030</v>
      </c>
      <c r="AZ5" s="1">
        <v>2023</v>
      </c>
      <c r="BA5" s="1">
        <f>+AZ5+1</f>
        <v>2024</v>
      </c>
      <c r="BB5" s="1">
        <f t="shared" ref="BB5:BG5" si="5">+BA5+1</f>
        <v>2025</v>
      </c>
      <c r="BC5" s="1">
        <f t="shared" si="5"/>
        <v>2026</v>
      </c>
      <c r="BD5" s="1">
        <f t="shared" si="5"/>
        <v>2027</v>
      </c>
      <c r="BE5" s="1">
        <f t="shared" si="5"/>
        <v>2028</v>
      </c>
      <c r="BF5" s="1">
        <f t="shared" si="5"/>
        <v>2029</v>
      </c>
      <c r="BG5" s="1">
        <f t="shared" si="5"/>
        <v>2030</v>
      </c>
      <c r="BH5" s="20"/>
      <c r="BL5" s="1">
        <v>2023</v>
      </c>
      <c r="BM5" s="1">
        <f>+BL5+1</f>
        <v>2024</v>
      </c>
      <c r="BN5" s="1">
        <f t="shared" ref="BN5:BS5" si="6">+BM5+1</f>
        <v>2025</v>
      </c>
      <c r="BO5" s="1">
        <f t="shared" si="6"/>
        <v>2026</v>
      </c>
      <c r="BP5" s="1">
        <f t="shared" si="6"/>
        <v>2027</v>
      </c>
      <c r="BQ5" s="1">
        <f t="shared" si="6"/>
        <v>2028</v>
      </c>
      <c r="BR5" s="1">
        <f t="shared" si="6"/>
        <v>2029</v>
      </c>
      <c r="BS5" s="1">
        <f t="shared" si="6"/>
        <v>2030</v>
      </c>
      <c r="BT5" s="1">
        <v>2023</v>
      </c>
      <c r="BU5" s="1">
        <f>+BT5+1</f>
        <v>2024</v>
      </c>
      <c r="BV5" s="1">
        <f t="shared" ref="BV5:CA5" si="7">+BU5+1</f>
        <v>2025</v>
      </c>
      <c r="BW5" s="1">
        <f t="shared" si="7"/>
        <v>2026</v>
      </c>
      <c r="BX5" s="1">
        <f t="shared" si="7"/>
        <v>2027</v>
      </c>
      <c r="BY5" s="1">
        <f t="shared" si="7"/>
        <v>2028</v>
      </c>
      <c r="BZ5" s="1">
        <f t="shared" si="7"/>
        <v>2029</v>
      </c>
      <c r="CA5" s="1">
        <f t="shared" si="7"/>
        <v>2030</v>
      </c>
      <c r="CB5" s="20"/>
      <c r="CF5" s="1">
        <v>2023</v>
      </c>
      <c r="CG5" s="1">
        <f>+CF5+1</f>
        <v>2024</v>
      </c>
      <c r="CH5" s="1">
        <f t="shared" ref="CH5:CM5" si="8">+CG5+1</f>
        <v>2025</v>
      </c>
      <c r="CI5" s="1">
        <f t="shared" si="8"/>
        <v>2026</v>
      </c>
      <c r="CJ5" s="1">
        <f t="shared" si="8"/>
        <v>2027</v>
      </c>
      <c r="CK5" s="1">
        <f t="shared" si="8"/>
        <v>2028</v>
      </c>
      <c r="CL5" s="1">
        <f t="shared" si="8"/>
        <v>2029</v>
      </c>
      <c r="CM5" s="1">
        <f t="shared" si="8"/>
        <v>2030</v>
      </c>
      <c r="CN5" s="1">
        <v>2023</v>
      </c>
      <c r="CO5" s="1">
        <f>+CN5+1</f>
        <v>2024</v>
      </c>
      <c r="CP5" s="1">
        <f t="shared" ref="CP5:CU5" si="9">+CO5+1</f>
        <v>2025</v>
      </c>
      <c r="CQ5" s="1">
        <f t="shared" si="9"/>
        <v>2026</v>
      </c>
      <c r="CR5" s="1">
        <f t="shared" si="9"/>
        <v>2027</v>
      </c>
      <c r="CS5" s="1">
        <f t="shared" si="9"/>
        <v>2028</v>
      </c>
      <c r="CT5" s="1">
        <f t="shared" si="9"/>
        <v>2029</v>
      </c>
      <c r="CU5" s="1">
        <f t="shared" si="9"/>
        <v>2030</v>
      </c>
      <c r="CV5" s="20"/>
      <c r="CZ5" s="1">
        <v>2023</v>
      </c>
      <c r="DA5" s="1">
        <f>+CZ5+1</f>
        <v>2024</v>
      </c>
      <c r="DB5" s="1">
        <f t="shared" ref="DB5:DG5" si="10">+DA5+1</f>
        <v>2025</v>
      </c>
      <c r="DC5" s="1">
        <f t="shared" si="10"/>
        <v>2026</v>
      </c>
      <c r="DD5" s="1">
        <f t="shared" si="10"/>
        <v>2027</v>
      </c>
      <c r="DE5" s="1">
        <f t="shared" si="10"/>
        <v>2028</v>
      </c>
      <c r="DF5" s="1">
        <f t="shared" si="10"/>
        <v>2029</v>
      </c>
      <c r="DG5" s="1">
        <f t="shared" si="10"/>
        <v>2030</v>
      </c>
      <c r="DH5" s="1">
        <v>2023</v>
      </c>
      <c r="DI5" s="1">
        <f>+DH5+1</f>
        <v>2024</v>
      </c>
      <c r="DJ5" s="1">
        <f t="shared" ref="DJ5:DO5" si="11">+DI5+1</f>
        <v>2025</v>
      </c>
      <c r="DK5" s="1">
        <f t="shared" si="11"/>
        <v>2026</v>
      </c>
      <c r="DL5" s="1">
        <f t="shared" si="11"/>
        <v>2027</v>
      </c>
      <c r="DM5" s="1">
        <f t="shared" si="11"/>
        <v>2028</v>
      </c>
      <c r="DN5" s="1">
        <f t="shared" si="11"/>
        <v>2029</v>
      </c>
      <c r="DO5" s="1">
        <f t="shared" si="11"/>
        <v>2030</v>
      </c>
      <c r="DP5" s="20"/>
    </row>
    <row r="6" spans="2:120" s="680" customFormat="1">
      <c r="B6" s="678" t="s">
        <v>1</v>
      </c>
      <c r="C6" s="678" t="s">
        <v>61</v>
      </c>
      <c r="D6" s="683" t="s">
        <v>62</v>
      </c>
      <c r="E6" s="683"/>
      <c r="F6" s="683"/>
      <c r="G6" s="683"/>
      <c r="H6" s="683"/>
      <c r="I6" s="683"/>
      <c r="J6" s="683"/>
      <c r="K6" s="683"/>
      <c r="L6" s="683" t="s">
        <v>63</v>
      </c>
      <c r="M6" s="683"/>
      <c r="N6" s="683"/>
      <c r="O6" s="683"/>
      <c r="P6" s="683"/>
      <c r="Q6" s="683"/>
      <c r="R6" s="683"/>
      <c r="S6" s="683"/>
      <c r="T6" s="679"/>
      <c r="V6" s="678" t="s">
        <v>1</v>
      </c>
      <c r="W6" s="678" t="s">
        <v>61</v>
      </c>
      <c r="X6" s="683" t="s">
        <v>62</v>
      </c>
      <c r="Y6" s="683"/>
      <c r="Z6" s="683"/>
      <c r="AA6" s="683"/>
      <c r="AB6" s="683"/>
      <c r="AC6" s="683"/>
      <c r="AD6" s="683"/>
      <c r="AE6" s="683"/>
      <c r="AF6" s="683" t="s">
        <v>63</v>
      </c>
      <c r="AG6" s="683"/>
      <c r="AH6" s="683"/>
      <c r="AI6" s="683"/>
      <c r="AJ6" s="683"/>
      <c r="AK6" s="683"/>
      <c r="AL6" s="683"/>
      <c r="AM6" s="683"/>
      <c r="AN6" s="679"/>
      <c r="AP6" s="678" t="s">
        <v>1</v>
      </c>
      <c r="AQ6" s="678" t="s">
        <v>61</v>
      </c>
      <c r="AR6" s="683" t="s">
        <v>62</v>
      </c>
      <c r="AS6" s="683"/>
      <c r="AT6" s="683"/>
      <c r="AU6" s="683"/>
      <c r="AV6" s="683"/>
      <c r="AW6" s="683"/>
      <c r="AX6" s="683"/>
      <c r="AY6" s="683"/>
      <c r="AZ6" s="683" t="s">
        <v>63</v>
      </c>
      <c r="BA6" s="683"/>
      <c r="BB6" s="683"/>
      <c r="BC6" s="683"/>
      <c r="BD6" s="683"/>
      <c r="BE6" s="683"/>
      <c r="BF6" s="683"/>
      <c r="BG6" s="683"/>
      <c r="BH6" s="679"/>
      <c r="BJ6" s="678" t="s">
        <v>1</v>
      </c>
      <c r="BK6" s="678" t="s">
        <v>61</v>
      </c>
      <c r="BL6" s="683" t="s">
        <v>62</v>
      </c>
      <c r="BM6" s="683"/>
      <c r="BN6" s="683"/>
      <c r="BO6" s="683"/>
      <c r="BP6" s="683"/>
      <c r="BQ6" s="683"/>
      <c r="BR6" s="683"/>
      <c r="BS6" s="683"/>
      <c r="BT6" s="683" t="s">
        <v>63</v>
      </c>
      <c r="BU6" s="683"/>
      <c r="BV6" s="683"/>
      <c r="BW6" s="683"/>
      <c r="BX6" s="683"/>
      <c r="BY6" s="683"/>
      <c r="BZ6" s="683"/>
      <c r="CA6" s="683"/>
      <c r="CB6" s="679"/>
      <c r="CD6" s="678" t="s">
        <v>1</v>
      </c>
      <c r="CE6" s="678" t="s">
        <v>61</v>
      </c>
      <c r="CF6" s="683" t="s">
        <v>62</v>
      </c>
      <c r="CG6" s="683"/>
      <c r="CH6" s="683"/>
      <c r="CI6" s="683"/>
      <c r="CJ6" s="683"/>
      <c r="CK6" s="683"/>
      <c r="CL6" s="683"/>
      <c r="CM6" s="683"/>
      <c r="CN6" s="683" t="s">
        <v>63</v>
      </c>
      <c r="CO6" s="683"/>
      <c r="CP6" s="683"/>
      <c r="CQ6" s="683"/>
      <c r="CR6" s="683"/>
      <c r="CS6" s="683"/>
      <c r="CT6" s="683"/>
      <c r="CU6" s="683"/>
      <c r="CV6" s="679"/>
      <c r="CX6" s="678" t="s">
        <v>1</v>
      </c>
      <c r="CY6" s="678" t="s">
        <v>61</v>
      </c>
      <c r="CZ6" s="683" t="s">
        <v>62</v>
      </c>
      <c r="DA6" s="683"/>
      <c r="DB6" s="683"/>
      <c r="DC6" s="683"/>
      <c r="DD6" s="683"/>
      <c r="DE6" s="683"/>
      <c r="DF6" s="683"/>
      <c r="DG6" s="683"/>
      <c r="DH6" s="683" t="s">
        <v>63</v>
      </c>
      <c r="DI6" s="683"/>
      <c r="DJ6" s="683"/>
      <c r="DK6" s="683"/>
      <c r="DL6" s="683"/>
      <c r="DM6" s="683"/>
      <c r="DN6" s="683"/>
      <c r="DO6" s="683"/>
      <c r="DP6" s="679"/>
    </row>
    <row r="7" spans="2:120">
      <c r="B7" s="6" t="s">
        <v>288</v>
      </c>
      <c r="C7" s="6">
        <v>100</v>
      </c>
      <c r="D7" s="8">
        <f>IFERROR(AVERAGEIF(Mp!$A:$A,B7,Mp!O:O),0)</f>
        <v>6.54</v>
      </c>
      <c r="E7" s="8">
        <f>IFERROR(AVERAGEIF(Mp!$A:$A,$B7,Mp!P:P),0)</f>
        <v>6.3895799999999996</v>
      </c>
      <c r="F7" s="8">
        <f>IFERROR(AVERAGEIF(Mp!$A:$A,$B7,Mp!Q:Q),0)</f>
        <v>6.7410068999999986</v>
      </c>
      <c r="G7" s="8">
        <f>IFERROR(AVERAGEIF(Mp!$A:$A,$B7,Mp!R:R),0)</f>
        <v>7.1117622794999988</v>
      </c>
      <c r="H7" s="8">
        <f>IFERROR(AVERAGEIF(Mp!$A:$A,$B7,Mp!S:S),0)</f>
        <v>7.6593679750214987</v>
      </c>
      <c r="I7" s="8">
        <f>IFERROR(AVERAGEIF(Mp!$A:$A,$B7,Mp!T:T),0)</f>
        <v>7.9887207979474244</v>
      </c>
      <c r="J7" s="8">
        <f>IFERROR(AVERAGEIF(Mp!$A:$A,$B7,Mp!U:U),0)</f>
        <v>8.3002809090673733</v>
      </c>
      <c r="K7" s="8">
        <f>IFERROR(AVERAGEIF(Mp!$A:$A,$B7,Mp!V:V),0)</f>
        <v>8.6737935499754073</v>
      </c>
      <c r="L7" s="7">
        <f>$C7*D7</f>
        <v>654</v>
      </c>
      <c r="M7" s="7">
        <f t="shared" ref="M7:S16" si="12">$C7*E7</f>
        <v>638.95799999999997</v>
      </c>
      <c r="N7" s="7">
        <f t="shared" si="12"/>
        <v>674.10068999999987</v>
      </c>
      <c r="O7" s="7">
        <f t="shared" si="12"/>
        <v>711.17622794999988</v>
      </c>
      <c r="P7" s="7">
        <f t="shared" si="12"/>
        <v>765.93679750214983</v>
      </c>
      <c r="Q7" s="7">
        <f t="shared" si="12"/>
        <v>798.87207979474249</v>
      </c>
      <c r="R7" s="7">
        <f t="shared" si="12"/>
        <v>830.02809090673736</v>
      </c>
      <c r="S7" s="7">
        <f t="shared" si="12"/>
        <v>867.37935499754076</v>
      </c>
      <c r="T7" s="20"/>
      <c r="V7" s="6" t="s">
        <v>519</v>
      </c>
      <c r="W7" s="6">
        <v>200</v>
      </c>
      <c r="X7" s="8">
        <f>IFERROR(AVERAGEIF(Mp!$A:$A,$V7,Mp!O:O),0)</f>
        <v>12.333333333333334</v>
      </c>
      <c r="Y7" s="8">
        <f>IFERROR(AVERAGEIF(Mp!$A:$A,$V7,Mp!P:P),0)</f>
        <v>12.049666666666667</v>
      </c>
      <c r="Z7" s="8">
        <f>IFERROR(AVERAGEIF(Mp!$A:$A,$V7,Mp!Q:Q),0)</f>
        <v>12.712398333333333</v>
      </c>
      <c r="AA7" s="8">
        <f>IFERROR(AVERAGEIF(Mp!$A:$A,$V7,Mp!R:R),0)</f>
        <v>13.411580241666664</v>
      </c>
      <c r="AB7" s="8">
        <f>IFERROR(AVERAGEIF(Mp!$A:$A,$V7,Mp!S:S),0)</f>
        <v>14.444271920274998</v>
      </c>
      <c r="AC7" s="8">
        <f>IFERROR(AVERAGEIF(Mp!$A:$A,$V7,Mp!T:T),0)</f>
        <v>15.065375612846823</v>
      </c>
      <c r="AD7" s="8">
        <f>IFERROR(AVERAGEIF(Mp!$A:$A,$V7,Mp!U:U),0)</f>
        <v>15.652925261747848</v>
      </c>
      <c r="AE7" s="8">
        <f>IFERROR(AVERAGEIF(Mp!$A:$A,$V7,Mp!V:V),0)</f>
        <v>16.357306898526502</v>
      </c>
      <c r="AF7" s="7">
        <f>$W7*X7</f>
        <v>2466.666666666667</v>
      </c>
      <c r="AG7" s="7">
        <f t="shared" ref="AG7:AG16" si="13">$W7*Y7</f>
        <v>2409.9333333333334</v>
      </c>
      <c r="AH7" s="7">
        <f t="shared" ref="AH7:AH16" si="14">$W7*Z7</f>
        <v>2542.4796666666666</v>
      </c>
      <c r="AI7" s="7">
        <f t="shared" ref="AI7:AI16" si="15">$W7*AA7</f>
        <v>2682.3160483333327</v>
      </c>
      <c r="AJ7" s="7">
        <f t="shared" ref="AJ7:AJ16" si="16">$W7*AB7</f>
        <v>2888.8543840549996</v>
      </c>
      <c r="AK7" s="7">
        <f t="shared" ref="AK7:AK16" si="17">$W7*AC7</f>
        <v>3013.0751225693648</v>
      </c>
      <c r="AL7" s="7">
        <f t="shared" ref="AL7:AL16" si="18">$W7*AD7</f>
        <v>3130.5850523495697</v>
      </c>
      <c r="AM7" s="7">
        <f t="shared" ref="AM7:AM16" si="19">$W7*AE7</f>
        <v>3271.4613797053007</v>
      </c>
      <c r="AN7" s="20"/>
      <c r="AP7" s="6" t="s">
        <v>288</v>
      </c>
      <c r="AQ7" s="6">
        <v>60</v>
      </c>
      <c r="AR7" s="8">
        <f>IFERROR(AVERAGEIF(Mp!$A:$A,$AP7,Mp!O:O),0)</f>
        <v>6.54</v>
      </c>
      <c r="AS7" s="8">
        <f>IFERROR(AVERAGEIF(Mp!$A:$A,$AP7,Mp!P:P),0)</f>
        <v>6.3895799999999996</v>
      </c>
      <c r="AT7" s="8">
        <f>IFERROR(AVERAGEIF(Mp!$A:$A,$AP7,Mp!Q:Q),0)</f>
        <v>6.7410068999999986</v>
      </c>
      <c r="AU7" s="8">
        <f>IFERROR(AVERAGEIF(Mp!$A:$A,$AP7,Mp!R:R),0)</f>
        <v>7.1117622794999988</v>
      </c>
      <c r="AV7" s="8">
        <f>IFERROR(AVERAGEIF(Mp!$A:$A,$AP7,Mp!S:S),0)</f>
        <v>7.6593679750214987</v>
      </c>
      <c r="AW7" s="8">
        <f>IFERROR(AVERAGEIF(Mp!$A:$A,$AP7,Mp!T:T),0)</f>
        <v>7.9887207979474244</v>
      </c>
      <c r="AX7" s="8">
        <f>IFERROR(AVERAGEIF(Mp!$A:$A,$AP7,Mp!U:U),0)</f>
        <v>8.3002809090673733</v>
      </c>
      <c r="AY7" s="8">
        <f>IFERROR(AVERAGEIF(Mp!$A:$A,$AP7,Mp!V:V),0)</f>
        <v>8.6737935499754073</v>
      </c>
      <c r="AZ7" s="7">
        <f>$AQ7*AR7</f>
        <v>392.4</v>
      </c>
      <c r="BA7" s="7">
        <f t="shared" ref="BA7:BA16" si="20">$AQ7*AS7</f>
        <v>383.37479999999999</v>
      </c>
      <c r="BB7" s="7">
        <f t="shared" ref="BB7:BB16" si="21">$AQ7*AT7</f>
        <v>404.4604139999999</v>
      </c>
      <c r="BC7" s="7">
        <f t="shared" ref="BC7:BC16" si="22">$AQ7*AU7</f>
        <v>426.70573676999993</v>
      </c>
      <c r="BD7" s="7">
        <f t="shared" ref="BD7:BD16" si="23">$AQ7*AV7</f>
        <v>459.56207850128993</v>
      </c>
      <c r="BE7" s="7">
        <f t="shared" ref="BE7:BE16" si="24">$AQ7*AW7</f>
        <v>479.32324787684547</v>
      </c>
      <c r="BF7" s="7">
        <f t="shared" ref="BF7:BF16" si="25">$AQ7*AX7</f>
        <v>498.01685454404242</v>
      </c>
      <c r="BG7" s="7">
        <f t="shared" ref="BG7:BG16" si="26">$AQ7*AY7</f>
        <v>520.42761299852441</v>
      </c>
      <c r="BH7" s="20"/>
      <c r="BJ7" s="6" t="s">
        <v>9</v>
      </c>
      <c r="BK7" s="6">
        <v>150</v>
      </c>
      <c r="BL7" s="8">
        <f>IFERROR(AVERAGEIF(Mp!$A:$A,$BJ7,Mp!$O:$O),0)</f>
        <v>0.7</v>
      </c>
      <c r="BM7" s="8">
        <f>IFERROR(AVERAGEIF(Mp!$A:$A,$BJ7,Mp!P:P),0)</f>
        <v>0.68389999999999995</v>
      </c>
      <c r="BN7" s="8">
        <f>IFERROR(AVERAGEIF(Mp!$A:$A,$BJ7,Mp!Q:Q),0)</f>
        <v>0.72151449999999995</v>
      </c>
      <c r="BO7" s="8">
        <f>IFERROR(AVERAGEIF(Mp!$A:$A,$BJ7,Mp!R:R),0)</f>
        <v>0.76119779749999994</v>
      </c>
      <c r="BP7" s="8">
        <f>IFERROR(AVERAGEIF(Mp!$A:$A,$BJ7,Mp!S:S),0)</f>
        <v>0.81981002790749991</v>
      </c>
      <c r="BQ7" s="8">
        <f>IFERROR(AVERAGEIF(Mp!$A:$A,$BJ7,Mp!T:T),0)</f>
        <v>0.85506185910752242</v>
      </c>
      <c r="BR7" s="8">
        <f>IFERROR(AVERAGEIF(Mp!$A:$A,$BJ7,Mp!U:U),0)</f>
        <v>0.88840927161271577</v>
      </c>
      <c r="BS7" s="8">
        <f>IFERROR(AVERAGEIF(Mp!$A:$A,$BJ7,Mp!V:V),0)</f>
        <v>0.92838768883528811</v>
      </c>
      <c r="BT7" s="686">
        <f>$BK7*BL7</f>
        <v>105</v>
      </c>
      <c r="BU7" s="686">
        <f t="shared" ref="BU7:BU16" si="27">$BK7*BM7</f>
        <v>102.58499999999999</v>
      </c>
      <c r="BV7" s="686">
        <f t="shared" ref="BV7:BV16" si="28">$BK7*BN7</f>
        <v>108.22717499999999</v>
      </c>
      <c r="BW7" s="686">
        <f t="shared" ref="BW7:BW16" si="29">$BK7*BO7</f>
        <v>114.17966962499999</v>
      </c>
      <c r="BX7" s="686">
        <f t="shared" ref="BX7:BX16" si="30">$BK7*BP7</f>
        <v>122.97150418612499</v>
      </c>
      <c r="BY7" s="686">
        <f t="shared" ref="BY7:BY16" si="31">$BK7*BQ7</f>
        <v>128.25927886612837</v>
      </c>
      <c r="BZ7" s="686">
        <f t="shared" ref="BZ7:BZ16" si="32">$BK7*BR7</f>
        <v>133.26139074190738</v>
      </c>
      <c r="CA7" s="686">
        <f t="shared" ref="CA7:CA16" si="33">$BK7*BS7</f>
        <v>139.25815332529322</v>
      </c>
      <c r="CB7" s="20"/>
      <c r="CD7" s="6" t="s">
        <v>751</v>
      </c>
      <c r="CE7" s="6">
        <v>150</v>
      </c>
      <c r="CF7" s="8">
        <f>IFERROR(AVERAGEIF(Mp!$A:$A,$CD7,Mp!O:O),0)</f>
        <v>3.0909090909090908</v>
      </c>
      <c r="CG7" s="8">
        <f>IFERROR(AVERAGEIF(Mp!$A:$A,$CD7,Mp!P:P),0)</f>
        <v>3.0198181818181817</v>
      </c>
      <c r="CH7" s="8">
        <f>IFERROR(AVERAGEIF(Mp!$A:$A,$CD7,Mp!Q:Q),0)</f>
        <v>3.1859081818181814</v>
      </c>
      <c r="CI7" s="8">
        <f>IFERROR(AVERAGEIF(Mp!$A:$A,$CD7,Mp!R:R),0)</f>
        <v>3.3611331318181814</v>
      </c>
      <c r="CJ7" s="8">
        <f>IFERROR(AVERAGEIF(Mp!$A:$A,$CD7,Mp!S:S),0)</f>
        <v>3.6199403829681809</v>
      </c>
      <c r="CK7" s="8">
        <f>IFERROR(AVERAGEIF(Mp!$A:$A,$CD7,Mp!T:T),0)</f>
        <v>3.7755978194358133</v>
      </c>
      <c r="CL7" s="8">
        <f>IFERROR(AVERAGEIF(Mp!$A:$A,$CD7,Mp!U:U),0)</f>
        <v>3.9228461343938101</v>
      </c>
      <c r="CM7" s="8">
        <f>IFERROR(AVERAGEIF(Mp!$A:$A,$CD7,Mp!V:V),0)</f>
        <v>4.0993742104415318</v>
      </c>
      <c r="CN7" s="7">
        <f>$CE7*CF7</f>
        <v>463.63636363636363</v>
      </c>
      <c r="CO7" s="7">
        <f t="shared" ref="CO7:CU16" si="34">$CE7*CG7</f>
        <v>452.97272727272724</v>
      </c>
      <c r="CP7" s="7">
        <f t="shared" si="34"/>
        <v>477.88622727272718</v>
      </c>
      <c r="CQ7" s="7">
        <f t="shared" si="34"/>
        <v>504.1699697727272</v>
      </c>
      <c r="CR7" s="7">
        <f t="shared" si="34"/>
        <v>542.99105744522717</v>
      </c>
      <c r="CS7" s="7">
        <f t="shared" si="34"/>
        <v>566.33967291537203</v>
      </c>
      <c r="CT7" s="7">
        <f t="shared" si="34"/>
        <v>588.42692015907153</v>
      </c>
      <c r="CU7" s="7">
        <f t="shared" si="34"/>
        <v>614.90613156622976</v>
      </c>
      <c r="CV7" s="20"/>
      <c r="CX7" s="6" t="s">
        <v>288</v>
      </c>
      <c r="CY7" s="6">
        <v>60</v>
      </c>
      <c r="CZ7" s="8">
        <f>IFERROR(AVERAGEIF(Mp!$A:$A,$CX7,Mp!O:AO),0)</f>
        <v>6.54</v>
      </c>
      <c r="DA7" s="8">
        <f>IFERROR(AVERAGEIF(Mp!$A:$A,$CX7,Mp!P:AP),0)</f>
        <v>6.3895799999999996</v>
      </c>
      <c r="DB7" s="8">
        <f>IFERROR(AVERAGEIF(Mp!$A:$A,$CX7,Mp!Q:AQ),0)</f>
        <v>6.7410068999999986</v>
      </c>
      <c r="DC7" s="8">
        <f>IFERROR(AVERAGEIF(Mp!$A:$A,$CX7,Mp!R:AR),0)</f>
        <v>7.1117622794999988</v>
      </c>
      <c r="DD7" s="8">
        <f>IFERROR(AVERAGEIF(Mp!$A:$A,$CX7,Mp!S:AS),0)</f>
        <v>7.6593679750214987</v>
      </c>
      <c r="DE7" s="8">
        <f>IFERROR(AVERAGEIF(Mp!$A:$A,$CX7,Mp!T:AT),0)</f>
        <v>7.9887207979474244</v>
      </c>
      <c r="DF7" s="8">
        <f>IFERROR(AVERAGEIF(Mp!$A:$A,$CX7,Mp!U:AU),0)</f>
        <v>8.3002809090673733</v>
      </c>
      <c r="DG7" s="8">
        <f>IFERROR(AVERAGEIF(Mp!$A:$A,$CX7,Mp!V:AV),0)</f>
        <v>8.6737935499754073</v>
      </c>
      <c r="DH7" s="7">
        <f>$CY7*CZ7</f>
        <v>392.4</v>
      </c>
      <c r="DI7" s="7">
        <f t="shared" ref="DI7:DO16" si="35">$CY7*DA7</f>
        <v>383.37479999999999</v>
      </c>
      <c r="DJ7" s="7">
        <f t="shared" si="35"/>
        <v>404.4604139999999</v>
      </c>
      <c r="DK7" s="7">
        <f t="shared" si="35"/>
        <v>426.70573676999993</v>
      </c>
      <c r="DL7" s="7">
        <f t="shared" si="35"/>
        <v>459.56207850128993</v>
      </c>
      <c r="DM7" s="7">
        <f t="shared" si="35"/>
        <v>479.32324787684547</v>
      </c>
      <c r="DN7" s="7">
        <f t="shared" si="35"/>
        <v>498.01685454404242</v>
      </c>
      <c r="DO7" s="7">
        <f t="shared" si="35"/>
        <v>520.42761299852441</v>
      </c>
      <c r="DP7" s="20"/>
    </row>
    <row r="8" spans="2:120">
      <c r="B8" s="6" t="s">
        <v>520</v>
      </c>
      <c r="C8" s="6">
        <v>30</v>
      </c>
      <c r="D8" s="8">
        <f>IFERROR(AVERAGEIF(Mp!$A:$A,B8,Mp!O:O),0)</f>
        <v>8.3211111111111098</v>
      </c>
      <c r="E8" s="8">
        <f>IFERROR(AVERAGEIF(Mp!$A:$A,$B8,Mp!P:P),0)</f>
        <v>8.1297255555555541</v>
      </c>
      <c r="F8" s="8">
        <f>IFERROR(AVERAGEIF(Mp!$A:$A,$B8,Mp!Q:Q),0)</f>
        <v>8.5768604611111101</v>
      </c>
      <c r="G8" s="8">
        <f>IFERROR(AVERAGEIF(Mp!$A:$A,$B8,Mp!R:R),0)</f>
        <v>9.0485877864722202</v>
      </c>
      <c r="H8" s="8">
        <f>IFERROR(AVERAGEIF(Mp!$A:$A,$B8,Mp!S:S),0)</f>
        <v>9.7453290460305819</v>
      </c>
      <c r="I8" s="8">
        <f>IFERROR(AVERAGEIF(Mp!$A:$A,$B8,Mp!T:T),0)</f>
        <v>10.164378195009897</v>
      </c>
      <c r="J8" s="8">
        <f>IFERROR(AVERAGEIF(Mp!$A:$A,$B8,Mp!U:U),0)</f>
        <v>10.560788944615283</v>
      </c>
      <c r="K8" s="8">
        <f>IFERROR(AVERAGEIF(Mp!$A:$A,$B8,Mp!V:V),0)</f>
        <v>11.036024447122971</v>
      </c>
      <c r="L8" s="7">
        <f t="shared" ref="L8:L16" si="36">$C8*D8</f>
        <v>249.6333333333333</v>
      </c>
      <c r="M8" s="7">
        <f t="shared" si="12"/>
        <v>243.89176666666663</v>
      </c>
      <c r="N8" s="7">
        <f t="shared" si="12"/>
        <v>257.30581383333333</v>
      </c>
      <c r="O8" s="7">
        <f t="shared" si="12"/>
        <v>271.45763359416662</v>
      </c>
      <c r="P8" s="7">
        <f t="shared" si="12"/>
        <v>292.35987138091747</v>
      </c>
      <c r="Q8" s="7">
        <f t="shared" si="12"/>
        <v>304.93134585029691</v>
      </c>
      <c r="R8" s="7">
        <f t="shared" si="12"/>
        <v>316.82366833845845</v>
      </c>
      <c r="S8" s="7">
        <f t="shared" si="12"/>
        <v>331.08073341368913</v>
      </c>
      <c r="T8" s="20"/>
      <c r="V8" s="6" t="s">
        <v>286</v>
      </c>
      <c r="W8" s="6">
        <v>10</v>
      </c>
      <c r="X8" s="8">
        <f>IFERROR(AVERAGEIF(Mp!$A:$A,$V8,Mp!O:O),0)</f>
        <v>6.2</v>
      </c>
      <c r="Y8" s="8">
        <f>IFERROR(AVERAGEIF(Mp!$A:$A,$V8,Mp!P:P),0)</f>
        <v>6.0574000000000003</v>
      </c>
      <c r="Z8" s="8">
        <f>IFERROR(AVERAGEIF(Mp!$A:$A,$V8,Mp!Q:Q),0)</f>
        <v>6.3905570000000003</v>
      </c>
      <c r="AA8" s="8">
        <f>IFERROR(AVERAGEIF(Mp!$A:$A,$V8,Mp!R:R),0)</f>
        <v>6.7420376349999991</v>
      </c>
      <c r="AB8" s="8">
        <f>IFERROR(AVERAGEIF(Mp!$A:$A,$V8,Mp!S:S),0)</f>
        <v>7.2611745328949979</v>
      </c>
      <c r="AC8" s="8">
        <f>IFERROR(AVERAGEIF(Mp!$A:$A,$V8,Mp!T:T),0)</f>
        <v>7.5734050378094846</v>
      </c>
      <c r="AD8" s="8">
        <f>IFERROR(AVERAGEIF(Mp!$A:$A,$V8,Mp!U:U),0)</f>
        <v>7.8687678342840544</v>
      </c>
      <c r="AE8" s="8">
        <f>IFERROR(AVERAGEIF(Mp!$A:$A,$V8,Mp!V:V),0)</f>
        <v>8.2228623868268382</v>
      </c>
      <c r="AF8" s="7">
        <f t="shared" ref="AF8:AF16" si="37">$W8*X8</f>
        <v>62</v>
      </c>
      <c r="AG8" s="7">
        <f t="shared" si="13"/>
        <v>60.574000000000005</v>
      </c>
      <c r="AH8" s="7">
        <f t="shared" si="14"/>
        <v>63.905570000000004</v>
      </c>
      <c r="AI8" s="7">
        <f t="shared" si="15"/>
        <v>67.420376349999998</v>
      </c>
      <c r="AJ8" s="7">
        <f t="shared" si="16"/>
        <v>72.611745328949979</v>
      </c>
      <c r="AK8" s="7">
        <f t="shared" si="17"/>
        <v>75.73405037809485</v>
      </c>
      <c r="AL8" s="7">
        <f t="shared" si="18"/>
        <v>78.687678342840542</v>
      </c>
      <c r="AM8" s="7">
        <f t="shared" si="19"/>
        <v>82.228623868268386</v>
      </c>
      <c r="AN8" s="20"/>
      <c r="AP8" s="6" t="s">
        <v>522</v>
      </c>
      <c r="AQ8" s="6">
        <v>20</v>
      </c>
      <c r="AR8" s="8">
        <f>IFERROR(AVERAGEIF(Mp!$A:$A,$AP8,Mp!O:O),0)</f>
        <v>38.909090909090907</v>
      </c>
      <c r="AS8" s="8">
        <f>IFERROR(AVERAGEIF(Mp!$A:$A,$AP8,Mp!P:P),0)</f>
        <v>38.014181818181818</v>
      </c>
      <c r="AT8" s="8">
        <f>IFERROR(AVERAGEIF(Mp!$A:$A,$AP8,Mp!Q:Q),0)</f>
        <v>40.104961818181813</v>
      </c>
      <c r="AU8" s="8">
        <f>IFERROR(AVERAGEIF(Mp!$A:$A,$AP8,Mp!R:R),0)</f>
        <v>42.310734718181813</v>
      </c>
      <c r="AV8" s="8">
        <f>IFERROR(AVERAGEIF(Mp!$A:$A,$AP8,Mp!S:S),0)</f>
        <v>45.56866129148181</v>
      </c>
      <c r="AW8" s="8">
        <f>IFERROR(AVERAGEIF(Mp!$A:$A,$AP8,Mp!T:T),0)</f>
        <v>47.528113727015516</v>
      </c>
      <c r="AX8" s="8">
        <f>IFERROR(AVERAGEIF(Mp!$A:$A,$AP8,Mp!U:U),0)</f>
        <v>49.381710162369153</v>
      </c>
      <c r="AY8" s="8">
        <f>IFERROR(AVERAGEIF(Mp!$A:$A,$AP8,Mp!V:V),0)</f>
        <v>51.60388711967574</v>
      </c>
      <c r="AZ8" s="7">
        <f t="shared" ref="AZ8:AZ16" si="38">$AQ8*AR8</f>
        <v>778.18181818181813</v>
      </c>
      <c r="BA8" s="7">
        <f t="shared" si="20"/>
        <v>760.28363636363633</v>
      </c>
      <c r="BB8" s="7">
        <f t="shared" si="21"/>
        <v>802.09923636363624</v>
      </c>
      <c r="BC8" s="7">
        <f t="shared" si="22"/>
        <v>846.21469436363623</v>
      </c>
      <c r="BD8" s="7">
        <f t="shared" si="23"/>
        <v>911.37322582963623</v>
      </c>
      <c r="BE8" s="7">
        <f t="shared" si="24"/>
        <v>950.56227454031034</v>
      </c>
      <c r="BF8" s="7">
        <f t="shared" si="25"/>
        <v>987.63420324738308</v>
      </c>
      <c r="BG8" s="7">
        <f t="shared" si="26"/>
        <v>1032.0777423935149</v>
      </c>
      <c r="BH8" s="20"/>
      <c r="BJ8" s="6" t="s">
        <v>284</v>
      </c>
      <c r="BK8" s="6">
        <v>40</v>
      </c>
      <c r="BL8" s="8">
        <f>IFERROR(AVERAGEIF(Mp!$A:$A,$BJ8,Mp!$O:$O),0)</f>
        <v>1.6</v>
      </c>
      <c r="BM8" s="8">
        <f>IFERROR(AVERAGEIF(Mp!$A:$A,$BJ8,Mp!P:P),0)</f>
        <v>1.5631999999999999</v>
      </c>
      <c r="BN8" s="8">
        <f>IFERROR(AVERAGEIF(Mp!$A:$A,$BJ8,Mp!Q:Q),0)</f>
        <v>1.6491759999999998</v>
      </c>
      <c r="BO8" s="8">
        <f>IFERROR(AVERAGEIF(Mp!$A:$A,$BJ8,Mp!R:R),0)</f>
        <v>1.73988068</v>
      </c>
      <c r="BP8" s="8">
        <f>IFERROR(AVERAGEIF(Mp!$A:$A,$BJ8,Mp!S:S),0)</f>
        <v>1.8738514923599996</v>
      </c>
      <c r="BQ8" s="8">
        <f>IFERROR(AVERAGEIF(Mp!$A:$A,$BJ8,Mp!T:T),0)</f>
        <v>1.9544271065314798</v>
      </c>
      <c r="BR8" s="8">
        <f>IFERROR(AVERAGEIF(Mp!$A:$A,$BJ8,Mp!U:U),0)</f>
        <v>2.0306497636862075</v>
      </c>
      <c r="BS8" s="8">
        <f>IFERROR(AVERAGEIF(Mp!$A:$A,$BJ8,Mp!V:V),0)</f>
        <v>2.122029003052087</v>
      </c>
      <c r="BT8" s="686">
        <f t="shared" ref="BT8:BT16" si="39">$BK8*BL8</f>
        <v>64</v>
      </c>
      <c r="BU8" s="686">
        <f t="shared" si="27"/>
        <v>62.527999999999999</v>
      </c>
      <c r="BV8" s="686">
        <f t="shared" si="28"/>
        <v>65.967039999999997</v>
      </c>
      <c r="BW8" s="686">
        <f t="shared" si="29"/>
        <v>69.595227199999997</v>
      </c>
      <c r="BX8" s="686">
        <f t="shared" si="30"/>
        <v>74.954059694399987</v>
      </c>
      <c r="BY8" s="686">
        <f t="shared" si="31"/>
        <v>78.177084261259196</v>
      </c>
      <c r="BZ8" s="686">
        <f t="shared" si="32"/>
        <v>81.225990547448305</v>
      </c>
      <c r="CA8" s="686">
        <f t="shared" si="33"/>
        <v>84.881160122083486</v>
      </c>
      <c r="CB8" s="20"/>
      <c r="CD8" s="6" t="s">
        <v>284</v>
      </c>
      <c r="CE8" s="6">
        <v>40</v>
      </c>
      <c r="CF8" s="8">
        <f>IFERROR(AVERAGEIF(Mp!$A:$A,$CD8,Mp!O:O),0)</f>
        <v>1.6</v>
      </c>
      <c r="CG8" s="8">
        <f>IFERROR(AVERAGEIF(Mp!$A:$A,$CD8,Mp!P:P),0)</f>
        <v>1.5631999999999999</v>
      </c>
      <c r="CH8" s="8">
        <f>IFERROR(AVERAGEIF(Mp!$A:$A,$CD8,Mp!Q:Q),0)</f>
        <v>1.6491759999999998</v>
      </c>
      <c r="CI8" s="8">
        <f>IFERROR(AVERAGEIF(Mp!$A:$A,$CD8,Mp!R:R),0)</f>
        <v>1.73988068</v>
      </c>
      <c r="CJ8" s="8">
        <f>IFERROR(AVERAGEIF(Mp!$A:$A,$CD8,Mp!S:S),0)</f>
        <v>1.8738514923599996</v>
      </c>
      <c r="CK8" s="8">
        <f>IFERROR(AVERAGEIF(Mp!$A:$A,$CD8,Mp!T:T),0)</f>
        <v>1.9544271065314798</v>
      </c>
      <c r="CL8" s="8">
        <f>IFERROR(AVERAGEIF(Mp!$A:$A,$CD8,Mp!U:U),0)</f>
        <v>2.0306497636862075</v>
      </c>
      <c r="CM8" s="8">
        <f>IFERROR(AVERAGEIF(Mp!$A:$A,$CD8,Mp!V:V),0)</f>
        <v>2.122029003052087</v>
      </c>
      <c r="CN8" s="7">
        <f t="shared" ref="CN8:CN16" si="40">$CE8*CF8</f>
        <v>64</v>
      </c>
      <c r="CO8" s="7">
        <f t="shared" si="34"/>
        <v>62.527999999999999</v>
      </c>
      <c r="CP8" s="7">
        <f t="shared" si="34"/>
        <v>65.967039999999997</v>
      </c>
      <c r="CQ8" s="7">
        <f t="shared" si="34"/>
        <v>69.595227199999997</v>
      </c>
      <c r="CR8" s="7">
        <f t="shared" si="34"/>
        <v>74.954059694399987</v>
      </c>
      <c r="CS8" s="7">
        <f t="shared" si="34"/>
        <v>78.177084261259196</v>
      </c>
      <c r="CT8" s="7">
        <f t="shared" si="34"/>
        <v>81.225990547448305</v>
      </c>
      <c r="CU8" s="7">
        <f t="shared" si="34"/>
        <v>84.881160122083486</v>
      </c>
      <c r="CV8" s="20"/>
      <c r="CX8" s="6" t="s">
        <v>284</v>
      </c>
      <c r="CY8" s="6">
        <v>40</v>
      </c>
      <c r="CZ8" s="8">
        <f>IFERROR(AVERAGEIF(Mp!$A:$A,$CX8,Mp!O:AO),0)</f>
        <v>1.6</v>
      </c>
      <c r="DA8" s="8">
        <f>IFERROR(AVERAGEIF(Mp!$A:$A,$CX8,Mp!P:AP),0)</f>
        <v>1.5631999999999999</v>
      </c>
      <c r="DB8" s="8">
        <f>IFERROR(AVERAGEIF(Mp!$A:$A,$CX8,Mp!Q:AQ),0)</f>
        <v>1.6491759999999998</v>
      </c>
      <c r="DC8" s="8">
        <f>IFERROR(AVERAGEIF(Mp!$A:$A,$CX8,Mp!R:AR),0)</f>
        <v>1.73988068</v>
      </c>
      <c r="DD8" s="8">
        <f>IFERROR(AVERAGEIF(Mp!$A:$A,$CX8,Mp!S:AS),0)</f>
        <v>1.8738514923599996</v>
      </c>
      <c r="DE8" s="8">
        <f>IFERROR(AVERAGEIF(Mp!$A:$A,$CX8,Mp!T:AT),0)</f>
        <v>1.9544271065314798</v>
      </c>
      <c r="DF8" s="8">
        <f>IFERROR(AVERAGEIF(Mp!$A:$A,$CX8,Mp!U:AU),0)</f>
        <v>2.0306497636862075</v>
      </c>
      <c r="DG8" s="8">
        <f>IFERROR(AVERAGEIF(Mp!$A:$A,$CX8,Mp!V:AV),0)</f>
        <v>2.122029003052087</v>
      </c>
      <c r="DH8" s="7">
        <f t="shared" ref="DH8:DH16" si="41">$CY8*CZ8</f>
        <v>64</v>
      </c>
      <c r="DI8" s="7">
        <f t="shared" si="35"/>
        <v>62.527999999999999</v>
      </c>
      <c r="DJ8" s="7">
        <f t="shared" si="35"/>
        <v>65.967039999999997</v>
      </c>
      <c r="DK8" s="7">
        <f t="shared" si="35"/>
        <v>69.595227199999997</v>
      </c>
      <c r="DL8" s="7">
        <f t="shared" si="35"/>
        <v>74.954059694399987</v>
      </c>
      <c r="DM8" s="7">
        <f t="shared" si="35"/>
        <v>78.177084261259196</v>
      </c>
      <c r="DN8" s="7">
        <f t="shared" si="35"/>
        <v>81.225990547448305</v>
      </c>
      <c r="DO8" s="7">
        <f t="shared" si="35"/>
        <v>84.881160122083486</v>
      </c>
      <c r="DP8" s="20"/>
    </row>
    <row r="9" spans="2:120">
      <c r="B9" s="6" t="s">
        <v>301</v>
      </c>
      <c r="C9" s="6">
        <v>3</v>
      </c>
      <c r="D9" s="8">
        <f>IFERROR(AVERAGEIF(Mp!$A:$A,B9,Mp!O:O),0)</f>
        <v>15.966666666666667</v>
      </c>
      <c r="E9" s="8">
        <f>IFERROR(AVERAGEIF(Mp!$A:$A,$B9,Mp!P:P),0)</f>
        <v>15.599433333333334</v>
      </c>
      <c r="F9" s="8">
        <f>IFERROR(AVERAGEIF(Mp!$A:$A,$B9,Mp!Q:Q),0)</f>
        <v>16.457402166666665</v>
      </c>
      <c r="G9" s="8">
        <f>IFERROR(AVERAGEIF(Mp!$A:$A,$B9,Mp!R:R),0)</f>
        <v>17.362559285833331</v>
      </c>
      <c r="H9" s="8">
        <f>IFERROR(AVERAGEIF(Mp!$A:$A,$B9,Mp!S:S),0)</f>
        <v>18.699476350842495</v>
      </c>
      <c r="I9" s="8">
        <f>IFERROR(AVERAGEIF(Mp!$A:$A,$B9,Mp!T:T),0)</f>
        <v>19.503553833928727</v>
      </c>
      <c r="J9" s="8">
        <f>IFERROR(AVERAGEIF(Mp!$A:$A,$B9,Mp!U:U),0)</f>
        <v>20.264192433451946</v>
      </c>
      <c r="K9" s="8">
        <f>IFERROR(AVERAGEIF(Mp!$A:$A,$B9,Mp!V:V),0)</f>
        <v>21.176081092957283</v>
      </c>
      <c r="L9" s="7">
        <f t="shared" si="36"/>
        <v>47.9</v>
      </c>
      <c r="M9" s="7">
        <f t="shared" si="12"/>
        <v>46.798299999999998</v>
      </c>
      <c r="N9" s="7">
        <f t="shared" si="12"/>
        <v>49.37220649999999</v>
      </c>
      <c r="O9" s="7">
        <f t="shared" si="12"/>
        <v>52.087677857499997</v>
      </c>
      <c r="P9" s="7">
        <f t="shared" si="12"/>
        <v>56.098429052527486</v>
      </c>
      <c r="Q9" s="7">
        <f t="shared" si="12"/>
        <v>58.510661501786181</v>
      </c>
      <c r="R9" s="7">
        <f t="shared" si="12"/>
        <v>60.792577300355838</v>
      </c>
      <c r="S9" s="7">
        <f t="shared" si="12"/>
        <v>63.528243278871848</v>
      </c>
      <c r="T9" s="20"/>
      <c r="V9" s="6" t="s">
        <v>299</v>
      </c>
      <c r="W9" s="6">
        <v>10</v>
      </c>
      <c r="X9" s="8">
        <f>IFERROR(AVERAGEIF(Mp!$A:$A,$V9,Mp!O:O),0)</f>
        <v>9.1093023255813961</v>
      </c>
      <c r="Y9" s="8">
        <f>IFERROR(AVERAGEIF(Mp!$A:$A,$V9,Mp!P:P),0)</f>
        <v>8.8997883720930222</v>
      </c>
      <c r="Z9" s="8">
        <f>IFERROR(AVERAGEIF(Mp!$A:$A,$V9,Mp!Q:Q),0)</f>
        <v>9.3892767325581392</v>
      </c>
      <c r="AA9" s="8">
        <f>IFERROR(AVERAGEIF(Mp!$A:$A,$V9,Mp!R:R),0)</f>
        <v>9.9056869528488356</v>
      </c>
      <c r="AB9" s="8">
        <f>IFERROR(AVERAGEIF(Mp!$A:$A,$V9,Mp!S:S),0)</f>
        <v>10.668424848218196</v>
      </c>
      <c r="AC9" s="8">
        <f>IFERROR(AVERAGEIF(Mp!$A:$A,$V9,Mp!T:T),0)</f>
        <v>11.127167116691581</v>
      </c>
      <c r="AD9" s="8">
        <f>IFERROR(AVERAGEIF(Mp!$A:$A,$V9,Mp!U:U),0)</f>
        <v>11.561126634242552</v>
      </c>
      <c r="AE9" s="8">
        <f>IFERROR(AVERAGEIF(Mp!$A:$A,$V9,Mp!V:V),0)</f>
        <v>12.081377332783468</v>
      </c>
      <c r="AF9" s="7">
        <f t="shared" si="37"/>
        <v>91.093023255813961</v>
      </c>
      <c r="AG9" s="7">
        <f t="shared" si="13"/>
        <v>88.997883720930218</v>
      </c>
      <c r="AH9" s="7">
        <f t="shared" si="14"/>
        <v>93.892767325581389</v>
      </c>
      <c r="AI9" s="7">
        <f t="shared" si="15"/>
        <v>99.056869528488363</v>
      </c>
      <c r="AJ9" s="7">
        <f t="shared" si="16"/>
        <v>106.68424848218196</v>
      </c>
      <c r="AK9" s="7">
        <f t="shared" si="17"/>
        <v>111.27167116691581</v>
      </c>
      <c r="AL9" s="7">
        <f t="shared" si="18"/>
        <v>115.61126634242552</v>
      </c>
      <c r="AM9" s="7">
        <f t="shared" si="19"/>
        <v>120.81377332783468</v>
      </c>
      <c r="AN9" s="20"/>
      <c r="AP9" s="6" t="s">
        <v>300</v>
      </c>
      <c r="AQ9" s="6">
        <v>10</v>
      </c>
      <c r="AR9" s="8">
        <f>IFERROR(AVERAGEIF(Mp!$A:$A,$AP9,Mp!O:O),0)</f>
        <v>12</v>
      </c>
      <c r="AS9" s="8">
        <f>IFERROR(AVERAGEIF(Mp!$A:$A,$AP9,Mp!P:P),0)</f>
        <v>11.724</v>
      </c>
      <c r="AT9" s="8">
        <f>IFERROR(AVERAGEIF(Mp!$A:$A,$AP9,Mp!Q:Q),0)</f>
        <v>12.368819999999999</v>
      </c>
      <c r="AU9" s="8">
        <f>IFERROR(AVERAGEIF(Mp!$A:$A,$AP9,Mp!R:R),0)</f>
        <v>13.049105099999998</v>
      </c>
      <c r="AV9" s="8">
        <f>IFERROR(AVERAGEIF(Mp!$A:$A,$AP9,Mp!S:S),0)</f>
        <v>14.053886192699999</v>
      </c>
      <c r="AW9" s="8">
        <f>IFERROR(AVERAGEIF(Mp!$A:$A,$AP9,Mp!T:T),0)</f>
        <v>14.6582032989861</v>
      </c>
      <c r="AX9" s="8">
        <f>IFERROR(AVERAGEIF(Mp!$A:$A,$AP9,Mp!U:U),0)</f>
        <v>15.229873227646557</v>
      </c>
      <c r="AY9" s="8">
        <f>IFERROR(AVERAGEIF(Mp!$A:$A,$AP9,Mp!V:V),0)</f>
        <v>15.915217522890654</v>
      </c>
      <c r="AZ9" s="7">
        <f t="shared" si="38"/>
        <v>120</v>
      </c>
      <c r="BA9" s="7">
        <f t="shared" si="20"/>
        <v>117.24000000000001</v>
      </c>
      <c r="BB9" s="7">
        <f t="shared" si="21"/>
        <v>123.68819999999999</v>
      </c>
      <c r="BC9" s="7">
        <f t="shared" si="22"/>
        <v>130.49105099999997</v>
      </c>
      <c r="BD9" s="7">
        <f t="shared" si="23"/>
        <v>140.53886192699997</v>
      </c>
      <c r="BE9" s="7">
        <f t="shared" si="24"/>
        <v>146.58203298986101</v>
      </c>
      <c r="BF9" s="7">
        <f t="shared" si="25"/>
        <v>152.29873227646556</v>
      </c>
      <c r="BG9" s="7">
        <f t="shared" si="26"/>
        <v>159.15217522890654</v>
      </c>
      <c r="BH9" s="20"/>
      <c r="BJ9" s="6" t="s">
        <v>750</v>
      </c>
      <c r="BK9" s="6">
        <v>10</v>
      </c>
      <c r="BL9" s="8">
        <f>IFERROR(AVERAGEIF(Mp!$A:$A,$BJ9,Mp!$O:$O),0)</f>
        <v>4</v>
      </c>
      <c r="BM9" s="8">
        <f>IFERROR(AVERAGEIF(Mp!$A:$A,$BJ9,Mp!P:P),0)</f>
        <v>3.9079999999999999</v>
      </c>
      <c r="BN9" s="8">
        <f>IFERROR(AVERAGEIF(Mp!$A:$A,$BJ9,Mp!Q:Q),0)</f>
        <v>4.1229399999999998</v>
      </c>
      <c r="BO9" s="8">
        <f>IFERROR(AVERAGEIF(Mp!$A:$A,$BJ9,Mp!R:R),0)</f>
        <v>4.3497016999999989</v>
      </c>
      <c r="BP9" s="8">
        <f>IFERROR(AVERAGEIF(Mp!$A:$A,$BJ9,Mp!S:S),0)</f>
        <v>4.6846287308999992</v>
      </c>
      <c r="BQ9" s="8">
        <f>IFERROR(AVERAGEIF(Mp!$A:$A,$BJ9,Mp!T:T),0)</f>
        <v>4.8860677663287007</v>
      </c>
      <c r="BR9" s="8">
        <f>IFERROR(AVERAGEIF(Mp!$A:$A,$BJ9,Mp!U:U),0)</f>
        <v>5.0766244092155191</v>
      </c>
      <c r="BS9" s="8">
        <f>IFERROR(AVERAGEIF(Mp!$A:$A,$BJ9,Mp!V:V),0)</f>
        <v>5.3050725076302179</v>
      </c>
      <c r="BT9" s="686">
        <f t="shared" si="39"/>
        <v>40</v>
      </c>
      <c r="BU9" s="686">
        <f t="shared" si="27"/>
        <v>39.08</v>
      </c>
      <c r="BV9" s="686">
        <f t="shared" si="28"/>
        <v>41.229399999999998</v>
      </c>
      <c r="BW9" s="686">
        <f t="shared" si="29"/>
        <v>43.497016999999985</v>
      </c>
      <c r="BX9" s="686">
        <f t="shared" si="30"/>
        <v>46.84628730899999</v>
      </c>
      <c r="BY9" s="686">
        <f t="shared" si="31"/>
        <v>48.860677663287007</v>
      </c>
      <c r="BZ9" s="686">
        <f t="shared" si="32"/>
        <v>50.766244092155191</v>
      </c>
      <c r="CA9" s="686">
        <f t="shared" si="33"/>
        <v>53.050725076302179</v>
      </c>
      <c r="CB9" s="20"/>
      <c r="CD9" s="6" t="s">
        <v>750</v>
      </c>
      <c r="CE9" s="6">
        <v>10</v>
      </c>
      <c r="CF9" s="8">
        <f>IFERROR(AVERAGEIF(Mp!$A:$A,$CD9,Mp!O:O),0)</f>
        <v>4</v>
      </c>
      <c r="CG9" s="8">
        <f>IFERROR(AVERAGEIF(Mp!$A:$A,$CD9,Mp!P:P),0)</f>
        <v>3.9079999999999999</v>
      </c>
      <c r="CH9" s="8">
        <f>IFERROR(AVERAGEIF(Mp!$A:$A,$CD9,Mp!Q:Q),0)</f>
        <v>4.1229399999999998</v>
      </c>
      <c r="CI9" s="8">
        <f>IFERROR(AVERAGEIF(Mp!$A:$A,$CD9,Mp!R:R),0)</f>
        <v>4.3497016999999989</v>
      </c>
      <c r="CJ9" s="8">
        <f>IFERROR(AVERAGEIF(Mp!$A:$A,$CD9,Mp!S:S),0)</f>
        <v>4.6846287308999992</v>
      </c>
      <c r="CK9" s="8">
        <f>IFERROR(AVERAGEIF(Mp!$A:$A,$CD9,Mp!T:T),0)</f>
        <v>4.8860677663287007</v>
      </c>
      <c r="CL9" s="8">
        <f>IFERROR(AVERAGEIF(Mp!$A:$A,$CD9,Mp!U:U),0)</f>
        <v>5.0766244092155191</v>
      </c>
      <c r="CM9" s="8">
        <f>IFERROR(AVERAGEIF(Mp!$A:$A,$CD9,Mp!V:V),0)</f>
        <v>5.3050725076302179</v>
      </c>
      <c r="CN9" s="7">
        <f t="shared" si="40"/>
        <v>40</v>
      </c>
      <c r="CO9" s="7">
        <f t="shared" si="34"/>
        <v>39.08</v>
      </c>
      <c r="CP9" s="7">
        <f t="shared" si="34"/>
        <v>41.229399999999998</v>
      </c>
      <c r="CQ9" s="7">
        <f t="shared" si="34"/>
        <v>43.497016999999985</v>
      </c>
      <c r="CR9" s="7">
        <f t="shared" si="34"/>
        <v>46.84628730899999</v>
      </c>
      <c r="CS9" s="7">
        <f t="shared" si="34"/>
        <v>48.860677663287007</v>
      </c>
      <c r="CT9" s="7">
        <f t="shared" si="34"/>
        <v>50.766244092155191</v>
      </c>
      <c r="CU9" s="7">
        <f t="shared" si="34"/>
        <v>53.050725076302179</v>
      </c>
      <c r="CV9" s="20"/>
      <c r="CX9" s="6" t="s">
        <v>750</v>
      </c>
      <c r="CY9" s="6">
        <v>10</v>
      </c>
      <c r="CZ9" s="8">
        <f>IFERROR(AVERAGEIF(Mp!$A:$A,$CX9,Mp!O:AO),0)</f>
        <v>4</v>
      </c>
      <c r="DA9" s="8">
        <f>IFERROR(AVERAGEIF(Mp!$A:$A,$CX9,Mp!P:AP),0)</f>
        <v>3.9079999999999999</v>
      </c>
      <c r="DB9" s="8">
        <f>IFERROR(AVERAGEIF(Mp!$A:$A,$CX9,Mp!Q:AQ),0)</f>
        <v>4.1229399999999998</v>
      </c>
      <c r="DC9" s="8">
        <f>IFERROR(AVERAGEIF(Mp!$A:$A,$CX9,Mp!R:AR),0)</f>
        <v>4.3497016999999989</v>
      </c>
      <c r="DD9" s="8">
        <f>IFERROR(AVERAGEIF(Mp!$A:$A,$CX9,Mp!S:AS),0)</f>
        <v>4.6846287308999992</v>
      </c>
      <c r="DE9" s="8">
        <f>IFERROR(AVERAGEIF(Mp!$A:$A,$CX9,Mp!T:AT),0)</f>
        <v>4.8860677663287007</v>
      </c>
      <c r="DF9" s="8">
        <f>IFERROR(AVERAGEIF(Mp!$A:$A,$CX9,Mp!U:AU),0)</f>
        <v>5.0766244092155191</v>
      </c>
      <c r="DG9" s="8">
        <f>IFERROR(AVERAGEIF(Mp!$A:$A,$CX9,Mp!V:AV),0)</f>
        <v>5.3050725076302179</v>
      </c>
      <c r="DH9" s="7">
        <f t="shared" si="41"/>
        <v>40</v>
      </c>
      <c r="DI9" s="7">
        <f t="shared" si="35"/>
        <v>39.08</v>
      </c>
      <c r="DJ9" s="7">
        <f t="shared" si="35"/>
        <v>41.229399999999998</v>
      </c>
      <c r="DK9" s="7">
        <f t="shared" si="35"/>
        <v>43.497016999999985</v>
      </c>
      <c r="DL9" s="7">
        <f t="shared" si="35"/>
        <v>46.84628730899999</v>
      </c>
      <c r="DM9" s="7">
        <f t="shared" si="35"/>
        <v>48.860677663287007</v>
      </c>
      <c r="DN9" s="7">
        <f t="shared" si="35"/>
        <v>50.766244092155191</v>
      </c>
      <c r="DO9" s="7">
        <f t="shared" si="35"/>
        <v>53.050725076302179</v>
      </c>
      <c r="DP9" s="20"/>
    </row>
    <row r="10" spans="2:120">
      <c r="B10" s="6" t="s">
        <v>300</v>
      </c>
      <c r="C10" s="6">
        <v>10</v>
      </c>
      <c r="D10" s="8">
        <f>IFERROR(AVERAGEIF(Mp!$A:$A,B10,Mp!O:O),0)</f>
        <v>12</v>
      </c>
      <c r="E10" s="8">
        <f>IFERROR(AVERAGEIF(Mp!$A:$A,$B10,Mp!P:P),0)</f>
        <v>11.724</v>
      </c>
      <c r="F10" s="8">
        <f>IFERROR(AVERAGEIF(Mp!$A:$A,$B10,Mp!Q:Q),0)</f>
        <v>12.368819999999999</v>
      </c>
      <c r="G10" s="8">
        <f>IFERROR(AVERAGEIF(Mp!$A:$A,$B10,Mp!R:R),0)</f>
        <v>13.049105099999998</v>
      </c>
      <c r="H10" s="8">
        <f>IFERROR(AVERAGEIF(Mp!$A:$A,$B10,Mp!S:S),0)</f>
        <v>14.053886192699999</v>
      </c>
      <c r="I10" s="8">
        <f>IFERROR(AVERAGEIF(Mp!$A:$A,$B10,Mp!T:T),0)</f>
        <v>14.6582032989861</v>
      </c>
      <c r="J10" s="8">
        <f>IFERROR(AVERAGEIF(Mp!$A:$A,$B10,Mp!U:U),0)</f>
        <v>15.229873227646557</v>
      </c>
      <c r="K10" s="8">
        <f>IFERROR(AVERAGEIF(Mp!$A:$A,$B10,Mp!V:V),0)</f>
        <v>15.915217522890654</v>
      </c>
      <c r="L10" s="7">
        <f t="shared" si="36"/>
        <v>120</v>
      </c>
      <c r="M10" s="7">
        <f t="shared" si="12"/>
        <v>117.24000000000001</v>
      </c>
      <c r="N10" s="7">
        <f t="shared" si="12"/>
        <v>123.68819999999999</v>
      </c>
      <c r="O10" s="7">
        <f t="shared" si="12"/>
        <v>130.49105099999997</v>
      </c>
      <c r="P10" s="7">
        <f t="shared" si="12"/>
        <v>140.53886192699997</v>
      </c>
      <c r="Q10" s="7">
        <f t="shared" si="12"/>
        <v>146.58203298986101</v>
      </c>
      <c r="R10" s="7">
        <f t="shared" si="12"/>
        <v>152.29873227646556</v>
      </c>
      <c r="S10" s="7">
        <f t="shared" si="12"/>
        <v>159.15217522890654</v>
      </c>
      <c r="T10" s="20"/>
      <c r="V10" s="6" t="s">
        <v>2</v>
      </c>
      <c r="W10" s="6">
        <v>1</v>
      </c>
      <c r="X10" s="8">
        <f>IFERROR(AVERAGEIF(Mp!$A:$A,$V10,Mp!O:O),0)</f>
        <v>800</v>
      </c>
      <c r="Y10" s="8">
        <f>IFERROR(AVERAGEIF(Mp!$A:$A,$V10,Mp!P:P),0)</f>
        <v>781.6</v>
      </c>
      <c r="Z10" s="8">
        <f>IFERROR(AVERAGEIF(Mp!$A:$A,$V10,Mp!Q:Q),0)</f>
        <v>824.58799999999997</v>
      </c>
      <c r="AA10" s="8">
        <f>IFERROR(AVERAGEIF(Mp!$A:$A,$V10,Mp!R:R),0)</f>
        <v>869.94033999999988</v>
      </c>
      <c r="AB10" s="8">
        <f>IFERROR(AVERAGEIF(Mp!$A:$A,$V10,Mp!S:S),0)</f>
        <v>936.92574617999981</v>
      </c>
      <c r="AC10" s="8">
        <f>IFERROR(AVERAGEIF(Mp!$A:$A,$V10,Mp!T:T),0)</f>
        <v>977.21355326573996</v>
      </c>
      <c r="AD10" s="8">
        <f>IFERROR(AVERAGEIF(Mp!$A:$A,$V10,Mp!U:U),0)</f>
        <v>1015.3248818431038</v>
      </c>
      <c r="AE10" s="8">
        <f>IFERROR(AVERAGEIF(Mp!$A:$A,$V10,Mp!V:V),0)</f>
        <v>1061.0145015260437</v>
      </c>
      <c r="AF10" s="7">
        <f t="shared" si="37"/>
        <v>800</v>
      </c>
      <c r="AG10" s="7">
        <f t="shared" si="13"/>
        <v>781.6</v>
      </c>
      <c r="AH10" s="7">
        <f t="shared" si="14"/>
        <v>824.58799999999997</v>
      </c>
      <c r="AI10" s="7">
        <f t="shared" si="15"/>
        <v>869.94033999999988</v>
      </c>
      <c r="AJ10" s="7">
        <f t="shared" si="16"/>
        <v>936.92574617999981</v>
      </c>
      <c r="AK10" s="7">
        <f t="shared" si="17"/>
        <v>977.21355326573996</v>
      </c>
      <c r="AL10" s="7">
        <f t="shared" si="18"/>
        <v>1015.3248818431038</v>
      </c>
      <c r="AM10" s="7">
        <f t="shared" si="19"/>
        <v>1061.0145015260437</v>
      </c>
      <c r="AN10" s="20"/>
      <c r="AP10" s="6" t="s">
        <v>296</v>
      </c>
      <c r="AQ10" s="6">
        <v>1</v>
      </c>
      <c r="AR10" s="8">
        <f>IFERROR(AVERAGEIF(Mp!$A:$A,$AP10,Mp!O:O),0)</f>
        <v>100</v>
      </c>
      <c r="AS10" s="8">
        <f>IFERROR(AVERAGEIF(Mp!$A:$A,$AP10,Mp!P:P),0)</f>
        <v>97.7</v>
      </c>
      <c r="AT10" s="8">
        <f>IFERROR(AVERAGEIF(Mp!$A:$A,$AP10,Mp!Q:Q),0)</f>
        <v>103.0735</v>
      </c>
      <c r="AU10" s="8">
        <f>IFERROR(AVERAGEIF(Mp!$A:$A,$AP10,Mp!R:R),0)</f>
        <v>108.74254249999998</v>
      </c>
      <c r="AV10" s="8">
        <f>IFERROR(AVERAGEIF(Mp!$A:$A,$AP10,Mp!S:S),0)</f>
        <v>117.11571827249998</v>
      </c>
      <c r="AW10" s="8">
        <f>IFERROR(AVERAGEIF(Mp!$A:$A,$AP10,Mp!T:T),0)</f>
        <v>122.1516941582175</v>
      </c>
      <c r="AX10" s="8">
        <f>IFERROR(AVERAGEIF(Mp!$A:$A,$AP10,Mp!U:U),0)</f>
        <v>126.91561023038797</v>
      </c>
      <c r="AY10" s="8">
        <f>IFERROR(AVERAGEIF(Mp!$A:$A,$AP10,Mp!V:V),0)</f>
        <v>132.62681269075546</v>
      </c>
      <c r="AZ10" s="7">
        <f t="shared" si="38"/>
        <v>100</v>
      </c>
      <c r="BA10" s="7">
        <f t="shared" si="20"/>
        <v>97.7</v>
      </c>
      <c r="BB10" s="7">
        <f t="shared" si="21"/>
        <v>103.0735</v>
      </c>
      <c r="BC10" s="7">
        <f t="shared" si="22"/>
        <v>108.74254249999998</v>
      </c>
      <c r="BD10" s="7">
        <f t="shared" si="23"/>
        <v>117.11571827249998</v>
      </c>
      <c r="BE10" s="7">
        <f t="shared" si="24"/>
        <v>122.1516941582175</v>
      </c>
      <c r="BF10" s="7">
        <f t="shared" si="25"/>
        <v>126.91561023038797</v>
      </c>
      <c r="BG10" s="7">
        <f t="shared" si="26"/>
        <v>132.62681269075546</v>
      </c>
      <c r="BH10" s="20"/>
      <c r="BJ10" s="6" t="s">
        <v>301</v>
      </c>
      <c r="BK10" s="6">
        <v>3</v>
      </c>
      <c r="BL10" s="8">
        <f>IFERROR(AVERAGEIF(Mp!$A:$A,$BJ10,Mp!$O:$O),0)</f>
        <v>15.966666666666667</v>
      </c>
      <c r="BM10" s="8">
        <f>IFERROR(AVERAGEIF(Mp!$A:$A,$BJ10,Mp!P:P),0)</f>
        <v>15.599433333333334</v>
      </c>
      <c r="BN10" s="8">
        <f>IFERROR(AVERAGEIF(Mp!$A:$A,$BJ10,Mp!Q:Q),0)</f>
        <v>16.457402166666665</v>
      </c>
      <c r="BO10" s="8">
        <f>IFERROR(AVERAGEIF(Mp!$A:$A,$BJ10,Mp!R:R),0)</f>
        <v>17.362559285833331</v>
      </c>
      <c r="BP10" s="8">
        <f>IFERROR(AVERAGEIF(Mp!$A:$A,$BJ10,Mp!S:S),0)</f>
        <v>18.699476350842495</v>
      </c>
      <c r="BQ10" s="8">
        <f>IFERROR(AVERAGEIF(Mp!$A:$A,$BJ10,Mp!T:T),0)</f>
        <v>19.503553833928727</v>
      </c>
      <c r="BR10" s="8">
        <f>IFERROR(AVERAGEIF(Mp!$A:$A,$BJ10,Mp!U:U),0)</f>
        <v>20.264192433451946</v>
      </c>
      <c r="BS10" s="8">
        <f>IFERROR(AVERAGEIF(Mp!$A:$A,$BJ10,Mp!V:V),0)</f>
        <v>21.176081092957283</v>
      </c>
      <c r="BT10" s="686">
        <f t="shared" si="39"/>
        <v>47.9</v>
      </c>
      <c r="BU10" s="686">
        <f t="shared" si="27"/>
        <v>46.798299999999998</v>
      </c>
      <c r="BV10" s="686">
        <f t="shared" si="28"/>
        <v>49.37220649999999</v>
      </c>
      <c r="BW10" s="686">
        <f t="shared" si="29"/>
        <v>52.087677857499997</v>
      </c>
      <c r="BX10" s="686">
        <f t="shared" si="30"/>
        <v>56.098429052527486</v>
      </c>
      <c r="BY10" s="686">
        <f t="shared" si="31"/>
        <v>58.510661501786181</v>
      </c>
      <c r="BZ10" s="686">
        <f t="shared" si="32"/>
        <v>60.792577300355838</v>
      </c>
      <c r="CA10" s="686">
        <f t="shared" si="33"/>
        <v>63.528243278871848</v>
      </c>
      <c r="CB10" s="20"/>
      <c r="CD10" s="6" t="s">
        <v>301</v>
      </c>
      <c r="CE10" s="6">
        <v>3</v>
      </c>
      <c r="CF10" s="8">
        <f>IFERROR(AVERAGEIF(Mp!$A:$A,$CD10,Mp!O:O),0)</f>
        <v>15.966666666666667</v>
      </c>
      <c r="CG10" s="8">
        <f>IFERROR(AVERAGEIF(Mp!$A:$A,$CD10,Mp!P:P),0)</f>
        <v>15.599433333333334</v>
      </c>
      <c r="CH10" s="8">
        <f>IFERROR(AVERAGEIF(Mp!$A:$A,$CD10,Mp!Q:Q),0)</f>
        <v>16.457402166666665</v>
      </c>
      <c r="CI10" s="8">
        <f>IFERROR(AVERAGEIF(Mp!$A:$A,$CD10,Mp!R:R),0)</f>
        <v>17.362559285833331</v>
      </c>
      <c r="CJ10" s="8">
        <f>IFERROR(AVERAGEIF(Mp!$A:$A,$CD10,Mp!S:S),0)</f>
        <v>18.699476350842495</v>
      </c>
      <c r="CK10" s="8">
        <f>IFERROR(AVERAGEIF(Mp!$A:$A,$CD10,Mp!T:T),0)</f>
        <v>19.503553833928727</v>
      </c>
      <c r="CL10" s="8">
        <f>IFERROR(AVERAGEIF(Mp!$A:$A,$CD10,Mp!U:U),0)</f>
        <v>20.264192433451946</v>
      </c>
      <c r="CM10" s="8">
        <f>IFERROR(AVERAGEIF(Mp!$A:$A,$CD10,Mp!V:V),0)</f>
        <v>21.176081092957283</v>
      </c>
      <c r="CN10" s="7">
        <f t="shared" si="40"/>
        <v>47.9</v>
      </c>
      <c r="CO10" s="7">
        <f t="shared" si="34"/>
        <v>46.798299999999998</v>
      </c>
      <c r="CP10" s="7">
        <f t="shared" si="34"/>
        <v>49.37220649999999</v>
      </c>
      <c r="CQ10" s="7">
        <f t="shared" si="34"/>
        <v>52.087677857499997</v>
      </c>
      <c r="CR10" s="7">
        <f t="shared" si="34"/>
        <v>56.098429052527486</v>
      </c>
      <c r="CS10" s="7">
        <f t="shared" si="34"/>
        <v>58.510661501786181</v>
      </c>
      <c r="CT10" s="7">
        <f t="shared" si="34"/>
        <v>60.792577300355838</v>
      </c>
      <c r="CU10" s="7">
        <f t="shared" si="34"/>
        <v>63.528243278871848</v>
      </c>
      <c r="CV10" s="20"/>
      <c r="CX10" s="6" t="s">
        <v>301</v>
      </c>
      <c r="CY10" s="6">
        <v>1</v>
      </c>
      <c r="CZ10" s="8">
        <f>IFERROR(AVERAGEIF(Mp!$A:$A,$CX10,Mp!O:AO),0)</f>
        <v>15.966666666666667</v>
      </c>
      <c r="DA10" s="8">
        <f>IFERROR(AVERAGEIF(Mp!$A:$A,$CX10,Mp!P:AP),0)</f>
        <v>15.599433333333334</v>
      </c>
      <c r="DB10" s="8">
        <f>IFERROR(AVERAGEIF(Mp!$A:$A,$CX10,Mp!Q:AQ),0)</f>
        <v>16.457402166666665</v>
      </c>
      <c r="DC10" s="8">
        <f>IFERROR(AVERAGEIF(Mp!$A:$A,$CX10,Mp!R:AR),0)</f>
        <v>17.362559285833331</v>
      </c>
      <c r="DD10" s="8">
        <f>IFERROR(AVERAGEIF(Mp!$A:$A,$CX10,Mp!S:AS),0)</f>
        <v>18.699476350842495</v>
      </c>
      <c r="DE10" s="8">
        <f>IFERROR(AVERAGEIF(Mp!$A:$A,$CX10,Mp!T:AT),0)</f>
        <v>19.503553833928727</v>
      </c>
      <c r="DF10" s="8">
        <f>IFERROR(AVERAGEIF(Mp!$A:$A,$CX10,Mp!U:AU),0)</f>
        <v>20.264192433451946</v>
      </c>
      <c r="DG10" s="8">
        <f>IFERROR(AVERAGEIF(Mp!$A:$A,$CX10,Mp!V:AV),0)</f>
        <v>21.176081092957283</v>
      </c>
      <c r="DH10" s="7">
        <f t="shared" si="41"/>
        <v>15.966666666666667</v>
      </c>
      <c r="DI10" s="7">
        <f t="shared" si="35"/>
        <v>15.599433333333334</v>
      </c>
      <c r="DJ10" s="7">
        <f t="shared" si="35"/>
        <v>16.457402166666665</v>
      </c>
      <c r="DK10" s="7">
        <f t="shared" si="35"/>
        <v>17.362559285833331</v>
      </c>
      <c r="DL10" s="7">
        <f t="shared" si="35"/>
        <v>18.699476350842495</v>
      </c>
      <c r="DM10" s="7">
        <f t="shared" si="35"/>
        <v>19.503553833928727</v>
      </c>
      <c r="DN10" s="7">
        <f t="shared" si="35"/>
        <v>20.264192433451946</v>
      </c>
      <c r="DO10" s="7">
        <f t="shared" si="35"/>
        <v>21.176081092957283</v>
      </c>
      <c r="DP10" s="20"/>
    </row>
    <row r="11" spans="2:120">
      <c r="B11" s="6"/>
      <c r="C11" s="6"/>
      <c r="D11" s="8">
        <f>IFERROR(AVERAGEIF(Mp!$A:$A,B11,Mp!O:O),0)</f>
        <v>0</v>
      </c>
      <c r="E11" s="8">
        <f>IFERROR(AVERAGEIF(Mp!$A:$A,$B11,Mp!P:P),0)</f>
        <v>0</v>
      </c>
      <c r="F11" s="8">
        <f>IFERROR(AVERAGEIF(Mp!$A:$A,$B11,Mp!Q:Q),0)</f>
        <v>0</v>
      </c>
      <c r="G11" s="8">
        <f>IFERROR(AVERAGEIF(Mp!$A:$A,$B11,Mp!R:R),0)</f>
        <v>0</v>
      </c>
      <c r="H11" s="8">
        <f>IFERROR(AVERAGEIF(Mp!$A:$A,$B11,Mp!S:S),0)</f>
        <v>0</v>
      </c>
      <c r="I11" s="8">
        <f>IFERROR(AVERAGEIF(Mp!$A:$A,$B11,Mp!T:T),0)</f>
        <v>0</v>
      </c>
      <c r="J11" s="8">
        <f>IFERROR(AVERAGEIF(Mp!$A:$A,$B11,Mp!U:U),0)</f>
        <v>0</v>
      </c>
      <c r="K11" s="8">
        <f>IFERROR(AVERAGEIF(Mp!$A:$A,$B11,Mp!V:V),0)</f>
        <v>0</v>
      </c>
      <c r="L11" s="7">
        <f t="shared" si="36"/>
        <v>0</v>
      </c>
      <c r="M11" s="7">
        <f t="shared" si="12"/>
        <v>0</v>
      </c>
      <c r="N11" s="7">
        <f t="shared" si="12"/>
        <v>0</v>
      </c>
      <c r="O11" s="7">
        <f t="shared" si="12"/>
        <v>0</v>
      </c>
      <c r="P11" s="7">
        <f t="shared" si="12"/>
        <v>0</v>
      </c>
      <c r="Q11" s="7">
        <f t="shared" si="12"/>
        <v>0</v>
      </c>
      <c r="R11" s="7">
        <f t="shared" si="12"/>
        <v>0</v>
      </c>
      <c r="S11" s="7">
        <f t="shared" si="12"/>
        <v>0</v>
      </c>
      <c r="T11" s="20"/>
      <c r="V11" s="6" t="s">
        <v>287</v>
      </c>
      <c r="W11" s="6">
        <v>20</v>
      </c>
      <c r="X11" s="8">
        <f>IFERROR(AVERAGEIF(Mp!$A:$A,$V11,Mp!O:O),0)</f>
        <v>14.86</v>
      </c>
      <c r="Y11" s="8">
        <f>IFERROR(AVERAGEIF(Mp!$A:$A,$V11,Mp!P:P),0)</f>
        <v>14.518219999999998</v>
      </c>
      <c r="Z11" s="8">
        <f>IFERROR(AVERAGEIF(Mp!$A:$A,$V11,Mp!Q:Q),0)</f>
        <v>15.316722099999996</v>
      </c>
      <c r="AA11" s="8">
        <f>IFERROR(AVERAGEIF(Mp!$A:$A,$V11,Mp!R:R),0)</f>
        <v>16.159141815499996</v>
      </c>
      <c r="AB11" s="8">
        <f>IFERROR(AVERAGEIF(Mp!$A:$A,$V11,Mp!S:S),0)</f>
        <v>17.403395735293497</v>
      </c>
      <c r="AC11" s="8">
        <f>IFERROR(AVERAGEIF(Mp!$A:$A,$V11,Mp!T:T),0)</f>
        <v>18.151741751911118</v>
      </c>
      <c r="AD11" s="8">
        <f>IFERROR(AVERAGEIF(Mp!$A:$A,$V11,Mp!U:U),0)</f>
        <v>18.859659680235652</v>
      </c>
      <c r="AE11" s="8">
        <f>IFERROR(AVERAGEIF(Mp!$A:$A,$V11,Mp!V:V),0)</f>
        <v>19.708344365846258</v>
      </c>
      <c r="AF11" s="7">
        <f t="shared" si="37"/>
        <v>297.2</v>
      </c>
      <c r="AG11" s="7">
        <f t="shared" si="13"/>
        <v>290.36439999999993</v>
      </c>
      <c r="AH11" s="7">
        <f t="shared" si="14"/>
        <v>306.33444199999991</v>
      </c>
      <c r="AI11" s="7">
        <f t="shared" si="15"/>
        <v>323.18283630999991</v>
      </c>
      <c r="AJ11" s="7">
        <f t="shared" si="16"/>
        <v>348.06791470586995</v>
      </c>
      <c r="AK11" s="7">
        <f t="shared" si="17"/>
        <v>363.03483503822235</v>
      </c>
      <c r="AL11" s="7">
        <f t="shared" si="18"/>
        <v>377.19319360471303</v>
      </c>
      <c r="AM11" s="7">
        <f t="shared" si="19"/>
        <v>394.16688731692517</v>
      </c>
      <c r="AN11" s="20"/>
      <c r="AP11" s="6" t="s">
        <v>297</v>
      </c>
      <c r="AQ11" s="6">
        <v>1</v>
      </c>
      <c r="AR11" s="8">
        <f>IFERROR(AVERAGEIF(Mp!$A:$A,$AP11,Mp!O:O),0)</f>
        <v>100</v>
      </c>
      <c r="AS11" s="8">
        <f>IFERROR(AVERAGEIF(Mp!$A:$A,$AP11,Mp!P:P),0)</f>
        <v>97.7</v>
      </c>
      <c r="AT11" s="8">
        <f>IFERROR(AVERAGEIF(Mp!$A:$A,$AP11,Mp!Q:Q),0)</f>
        <v>103.0735</v>
      </c>
      <c r="AU11" s="8">
        <f>IFERROR(AVERAGEIF(Mp!$A:$A,$AP11,Mp!R:R),0)</f>
        <v>108.74254249999998</v>
      </c>
      <c r="AV11" s="8">
        <f>IFERROR(AVERAGEIF(Mp!$A:$A,$AP11,Mp!S:S),0)</f>
        <v>117.11571827249998</v>
      </c>
      <c r="AW11" s="8">
        <f>IFERROR(AVERAGEIF(Mp!$A:$A,$AP11,Mp!T:T),0)</f>
        <v>122.1516941582175</v>
      </c>
      <c r="AX11" s="8">
        <f>IFERROR(AVERAGEIF(Mp!$A:$A,$AP11,Mp!U:U),0)</f>
        <v>126.91561023038797</v>
      </c>
      <c r="AY11" s="8">
        <f>IFERROR(AVERAGEIF(Mp!$A:$A,$AP11,Mp!V:V),0)</f>
        <v>132.62681269075546</v>
      </c>
      <c r="AZ11" s="7">
        <f t="shared" si="38"/>
        <v>100</v>
      </c>
      <c r="BA11" s="7">
        <f t="shared" si="20"/>
        <v>97.7</v>
      </c>
      <c r="BB11" s="7">
        <f t="shared" si="21"/>
        <v>103.0735</v>
      </c>
      <c r="BC11" s="7">
        <f t="shared" si="22"/>
        <v>108.74254249999998</v>
      </c>
      <c r="BD11" s="7">
        <f t="shared" si="23"/>
        <v>117.11571827249998</v>
      </c>
      <c r="BE11" s="7">
        <f t="shared" si="24"/>
        <v>122.1516941582175</v>
      </c>
      <c r="BF11" s="7">
        <f t="shared" si="25"/>
        <v>126.91561023038797</v>
      </c>
      <c r="BG11" s="7">
        <f t="shared" si="26"/>
        <v>132.62681269075546</v>
      </c>
      <c r="BH11" s="20"/>
      <c r="BJ11" s="6"/>
      <c r="BK11" s="6"/>
      <c r="BL11" s="8">
        <f>IFERROR(AVERAGEIF(Mp!$A:$A,$BJ11,Mp!$O:$O),0)</f>
        <v>0</v>
      </c>
      <c r="BM11" s="8">
        <f>IFERROR(AVERAGEIF(Mp!$A:$A,$BJ11,Mp!P:P),0)</f>
        <v>0</v>
      </c>
      <c r="BN11" s="8">
        <f>IFERROR(AVERAGEIF(Mp!$A:$A,$BJ11,Mp!Q:Q),0)</f>
        <v>0</v>
      </c>
      <c r="BO11" s="8">
        <f>IFERROR(AVERAGEIF(Mp!$A:$A,$BJ11,Mp!R:R),0)</f>
        <v>0</v>
      </c>
      <c r="BP11" s="8">
        <f>IFERROR(AVERAGEIF(Mp!$A:$A,$BJ11,Mp!S:S),0)</f>
        <v>0</v>
      </c>
      <c r="BQ11" s="8">
        <f>IFERROR(AVERAGEIF(Mp!$A:$A,$BJ11,Mp!T:T),0)</f>
        <v>0</v>
      </c>
      <c r="BR11" s="8">
        <f>IFERROR(AVERAGEIF(Mp!$A:$A,$BJ11,Mp!U:U),0)</f>
        <v>0</v>
      </c>
      <c r="BS11" s="8">
        <f>IFERROR(AVERAGEIF(Mp!$A:$A,$BJ11,Mp!V:V),0)</f>
        <v>0</v>
      </c>
      <c r="BT11" s="686">
        <f t="shared" si="39"/>
        <v>0</v>
      </c>
      <c r="BU11" s="686">
        <f t="shared" si="27"/>
        <v>0</v>
      </c>
      <c r="BV11" s="686">
        <f t="shared" si="28"/>
        <v>0</v>
      </c>
      <c r="BW11" s="686">
        <f t="shared" si="29"/>
        <v>0</v>
      </c>
      <c r="BX11" s="686">
        <f t="shared" si="30"/>
        <v>0</v>
      </c>
      <c r="BY11" s="686">
        <f t="shared" si="31"/>
        <v>0</v>
      </c>
      <c r="BZ11" s="686">
        <f t="shared" si="32"/>
        <v>0</v>
      </c>
      <c r="CA11" s="686">
        <f t="shared" si="33"/>
        <v>0</v>
      </c>
      <c r="CB11" s="20"/>
      <c r="CD11" s="6"/>
      <c r="CE11" s="6"/>
      <c r="CF11" s="8">
        <f>IFERROR(AVERAGEIF(Mp!$A:$A,$CD11,Mp!O:O),0)</f>
        <v>0</v>
      </c>
      <c r="CG11" s="8">
        <f>IFERROR(AVERAGEIF(Mp!$A:$A,$CD11,Mp!P:P),0)</f>
        <v>0</v>
      </c>
      <c r="CH11" s="8">
        <f>IFERROR(AVERAGEIF(Mp!$A:$A,$CD11,Mp!Q:Q),0)</f>
        <v>0</v>
      </c>
      <c r="CI11" s="8">
        <f>IFERROR(AVERAGEIF(Mp!$A:$A,$CD11,Mp!R:R),0)</f>
        <v>0</v>
      </c>
      <c r="CJ11" s="8">
        <f>IFERROR(AVERAGEIF(Mp!$A:$A,$CD11,Mp!S:S),0)</f>
        <v>0</v>
      </c>
      <c r="CK11" s="8">
        <f>IFERROR(AVERAGEIF(Mp!$A:$A,$CD11,Mp!T:T),0)</f>
        <v>0</v>
      </c>
      <c r="CL11" s="8">
        <f>IFERROR(AVERAGEIF(Mp!$A:$A,$CD11,Mp!U:U),0)</f>
        <v>0</v>
      </c>
      <c r="CM11" s="8">
        <f>IFERROR(AVERAGEIF(Mp!$A:$A,$CD11,Mp!V:V),0)</f>
        <v>0</v>
      </c>
      <c r="CN11" s="7">
        <f t="shared" si="40"/>
        <v>0</v>
      </c>
      <c r="CO11" s="7">
        <f t="shared" si="34"/>
        <v>0</v>
      </c>
      <c r="CP11" s="7">
        <f t="shared" si="34"/>
        <v>0</v>
      </c>
      <c r="CQ11" s="7">
        <f t="shared" si="34"/>
        <v>0</v>
      </c>
      <c r="CR11" s="7">
        <f t="shared" si="34"/>
        <v>0</v>
      </c>
      <c r="CS11" s="7">
        <f t="shared" si="34"/>
        <v>0</v>
      </c>
      <c r="CT11" s="7">
        <f t="shared" si="34"/>
        <v>0</v>
      </c>
      <c r="CU11" s="7">
        <f t="shared" si="34"/>
        <v>0</v>
      </c>
      <c r="CV11" s="20"/>
      <c r="CX11" s="6" t="s">
        <v>752</v>
      </c>
      <c r="CY11" s="6">
        <v>40</v>
      </c>
      <c r="CZ11" s="8">
        <f>IFERROR(AVERAGEIF(Mp!$A:$A,$CX11,Mp!O:AO),0)</f>
        <v>6.8</v>
      </c>
      <c r="DA11" s="8">
        <f>IFERROR(AVERAGEIF(Mp!$A:$A,$CX11,Mp!P:AP),0)</f>
        <v>6.6436000000000002</v>
      </c>
      <c r="DB11" s="8">
        <f>IFERROR(AVERAGEIF(Mp!$A:$A,$CX11,Mp!Q:AQ),0)</f>
        <v>7.0089979999999992</v>
      </c>
      <c r="DC11" s="8">
        <f>IFERROR(AVERAGEIF(Mp!$A:$A,$CX11,Mp!R:AR),0)</f>
        <v>7.3944928899999987</v>
      </c>
      <c r="DD11" s="8">
        <f>IFERROR(AVERAGEIF(Mp!$A:$A,$CX11,Mp!S:AS),0)</f>
        <v>7.9638688425299975</v>
      </c>
      <c r="DE11" s="8">
        <f>IFERROR(AVERAGEIF(Mp!$A:$A,$CX11,Mp!T:AT),0)</f>
        <v>8.306315202758789</v>
      </c>
      <c r="DF11" s="8">
        <f>IFERROR(AVERAGEIF(Mp!$A:$A,$CX11,Mp!U:AU),0)</f>
        <v>8.6302614956663799</v>
      </c>
      <c r="DG11" s="8">
        <f>IFERROR(AVERAGEIF(Mp!$A:$A,$CX11,Mp!V:AV),0)</f>
        <v>9.018623262971369</v>
      </c>
      <c r="DH11" s="7">
        <f t="shared" si="41"/>
        <v>272</v>
      </c>
      <c r="DI11" s="7">
        <f t="shared" si="35"/>
        <v>265.74400000000003</v>
      </c>
      <c r="DJ11" s="7">
        <f t="shared" si="35"/>
        <v>280.35991999999999</v>
      </c>
      <c r="DK11" s="7">
        <f t="shared" si="35"/>
        <v>295.77971559999992</v>
      </c>
      <c r="DL11" s="7">
        <f t="shared" si="35"/>
        <v>318.5547537011999</v>
      </c>
      <c r="DM11" s="7">
        <f t="shared" si="35"/>
        <v>332.25260811035156</v>
      </c>
      <c r="DN11" s="7">
        <f t="shared" si="35"/>
        <v>345.21045982665521</v>
      </c>
      <c r="DO11" s="7">
        <f t="shared" si="35"/>
        <v>360.74493051885474</v>
      </c>
      <c r="DP11" s="20"/>
    </row>
    <row r="12" spans="2:120">
      <c r="B12" s="6"/>
      <c r="C12" s="6"/>
      <c r="D12" s="8">
        <f>IFERROR(AVERAGEIF(Mp!$A:$A,B12,Mp!O:O),0)</f>
        <v>0</v>
      </c>
      <c r="E12" s="8">
        <f>IFERROR(AVERAGEIF(Mp!$A:$A,$B12,Mp!P:P),0)</f>
        <v>0</v>
      </c>
      <c r="F12" s="8">
        <f>IFERROR(AVERAGEIF(Mp!$A:$A,$B12,Mp!Q:Q),0)</f>
        <v>0</v>
      </c>
      <c r="G12" s="8">
        <f>IFERROR(AVERAGEIF(Mp!$A:$A,$B12,Mp!R:R),0)</f>
        <v>0</v>
      </c>
      <c r="H12" s="8">
        <f>IFERROR(AVERAGEIF(Mp!$A:$A,$B12,Mp!S:S),0)</f>
        <v>0</v>
      </c>
      <c r="I12" s="8">
        <f>IFERROR(AVERAGEIF(Mp!$A:$A,$B12,Mp!T:T),0)</f>
        <v>0</v>
      </c>
      <c r="J12" s="8">
        <f>IFERROR(AVERAGEIF(Mp!$A:$A,$B12,Mp!U:U),0)</f>
        <v>0</v>
      </c>
      <c r="K12" s="8">
        <f>IFERROR(AVERAGEIF(Mp!$A:$A,$B12,Mp!V:V),0)</f>
        <v>0</v>
      </c>
      <c r="L12" s="7">
        <f t="shared" si="36"/>
        <v>0</v>
      </c>
      <c r="M12" s="7">
        <f t="shared" si="12"/>
        <v>0</v>
      </c>
      <c r="N12" s="7">
        <f t="shared" si="12"/>
        <v>0</v>
      </c>
      <c r="O12" s="7">
        <f t="shared" si="12"/>
        <v>0</v>
      </c>
      <c r="P12" s="7">
        <f t="shared" si="12"/>
        <v>0</v>
      </c>
      <c r="Q12" s="7">
        <f t="shared" si="12"/>
        <v>0</v>
      </c>
      <c r="R12" s="7">
        <f t="shared" si="12"/>
        <v>0</v>
      </c>
      <c r="S12" s="7">
        <f t="shared" si="12"/>
        <v>0</v>
      </c>
      <c r="T12" s="20"/>
      <c r="V12" s="6" t="s">
        <v>301</v>
      </c>
      <c r="W12" s="6">
        <v>3</v>
      </c>
      <c r="X12" s="8">
        <f>IFERROR(AVERAGEIF(Mp!$A:$A,$V12,Mp!O:O),0)</f>
        <v>15.966666666666667</v>
      </c>
      <c r="Y12" s="8">
        <f>IFERROR(AVERAGEIF(Mp!$A:$A,$V12,Mp!P:P),0)</f>
        <v>15.599433333333334</v>
      </c>
      <c r="Z12" s="8">
        <f>IFERROR(AVERAGEIF(Mp!$A:$A,$V12,Mp!Q:Q),0)</f>
        <v>16.457402166666665</v>
      </c>
      <c r="AA12" s="8">
        <f>IFERROR(AVERAGEIF(Mp!$A:$A,$V12,Mp!R:R),0)</f>
        <v>17.362559285833331</v>
      </c>
      <c r="AB12" s="8">
        <f>IFERROR(AVERAGEIF(Mp!$A:$A,$V12,Mp!S:S),0)</f>
        <v>18.699476350842495</v>
      </c>
      <c r="AC12" s="8">
        <f>IFERROR(AVERAGEIF(Mp!$A:$A,$V12,Mp!T:T),0)</f>
        <v>19.503553833928727</v>
      </c>
      <c r="AD12" s="8">
        <f>IFERROR(AVERAGEIF(Mp!$A:$A,$V12,Mp!U:U),0)</f>
        <v>20.264192433451946</v>
      </c>
      <c r="AE12" s="8">
        <f>IFERROR(AVERAGEIF(Mp!$A:$A,$V12,Mp!V:V),0)</f>
        <v>21.176081092957283</v>
      </c>
      <c r="AF12" s="7">
        <f t="shared" si="37"/>
        <v>47.9</v>
      </c>
      <c r="AG12" s="7">
        <f t="shared" si="13"/>
        <v>46.798299999999998</v>
      </c>
      <c r="AH12" s="7">
        <f t="shared" si="14"/>
        <v>49.37220649999999</v>
      </c>
      <c r="AI12" s="7">
        <f t="shared" si="15"/>
        <v>52.087677857499997</v>
      </c>
      <c r="AJ12" s="7">
        <f t="shared" si="16"/>
        <v>56.098429052527486</v>
      </c>
      <c r="AK12" s="7">
        <f t="shared" si="17"/>
        <v>58.510661501786181</v>
      </c>
      <c r="AL12" s="7">
        <f t="shared" si="18"/>
        <v>60.792577300355838</v>
      </c>
      <c r="AM12" s="7">
        <f t="shared" si="19"/>
        <v>63.528243278871848</v>
      </c>
      <c r="AN12" s="20"/>
      <c r="AP12" s="6" t="s">
        <v>298</v>
      </c>
      <c r="AQ12" s="6">
        <v>5</v>
      </c>
      <c r="AR12" s="8">
        <f>IFERROR(AVERAGEIF(Mp!$A:$A,$AP12,Mp!O:O),0)</f>
        <v>9</v>
      </c>
      <c r="AS12" s="8">
        <f>IFERROR(AVERAGEIF(Mp!$A:$A,$AP12,Mp!P:P),0)</f>
        <v>8.7929999999999993</v>
      </c>
      <c r="AT12" s="8">
        <f>IFERROR(AVERAGEIF(Mp!$A:$A,$AP12,Mp!Q:Q),0)</f>
        <v>9.2766149999999996</v>
      </c>
      <c r="AU12" s="8">
        <f>IFERROR(AVERAGEIF(Mp!$A:$A,$AP12,Mp!R:R),0)</f>
        <v>9.7868288249999988</v>
      </c>
      <c r="AV12" s="8">
        <f>IFERROR(AVERAGEIF(Mp!$A:$A,$AP12,Mp!S:S),0)</f>
        <v>10.540414644524999</v>
      </c>
      <c r="AW12" s="8">
        <f>IFERROR(AVERAGEIF(Mp!$A:$A,$AP12,Mp!T:T),0)</f>
        <v>10.993652474239576</v>
      </c>
      <c r="AX12" s="8">
        <f>IFERROR(AVERAGEIF(Mp!$A:$A,$AP12,Mp!U:U),0)</f>
        <v>11.422404920734918</v>
      </c>
      <c r="AY12" s="8">
        <f>IFERROR(AVERAGEIF(Mp!$A:$A,$AP12,Mp!V:V),0)</f>
        <v>11.936413142167991</v>
      </c>
      <c r="AZ12" s="7">
        <f t="shared" si="38"/>
        <v>45</v>
      </c>
      <c r="BA12" s="7">
        <f t="shared" si="20"/>
        <v>43.964999999999996</v>
      </c>
      <c r="BB12" s="7">
        <f t="shared" si="21"/>
        <v>46.383074999999998</v>
      </c>
      <c r="BC12" s="7">
        <f t="shared" si="22"/>
        <v>48.934144124999996</v>
      </c>
      <c r="BD12" s="7">
        <f t="shared" si="23"/>
        <v>52.702073222624996</v>
      </c>
      <c r="BE12" s="7">
        <f t="shared" si="24"/>
        <v>54.968262371197881</v>
      </c>
      <c r="BF12" s="7">
        <f t="shared" si="25"/>
        <v>57.112024603674591</v>
      </c>
      <c r="BG12" s="7">
        <f t="shared" si="26"/>
        <v>59.682065710839957</v>
      </c>
      <c r="BH12" s="20"/>
      <c r="BJ12" s="6"/>
      <c r="BK12" s="6"/>
      <c r="BL12" s="8">
        <f>IFERROR(AVERAGEIF(Mp!$A:$A,$BJ12,Mp!$O:$O),0)</f>
        <v>0</v>
      </c>
      <c r="BM12" s="8">
        <f>IFERROR(AVERAGEIF(Mp!$A:$A,$BJ12,Mp!P:P),0)</f>
        <v>0</v>
      </c>
      <c r="BN12" s="8">
        <f>IFERROR(AVERAGEIF(Mp!$A:$A,$BJ12,Mp!Q:Q),0)</f>
        <v>0</v>
      </c>
      <c r="BO12" s="8">
        <f>IFERROR(AVERAGEIF(Mp!$A:$A,$BJ12,Mp!R:R),0)</f>
        <v>0</v>
      </c>
      <c r="BP12" s="8">
        <f>IFERROR(AVERAGEIF(Mp!$A:$A,$BJ12,Mp!S:S),0)</f>
        <v>0</v>
      </c>
      <c r="BQ12" s="8">
        <f>IFERROR(AVERAGEIF(Mp!$A:$A,$BJ12,Mp!T:T),0)</f>
        <v>0</v>
      </c>
      <c r="BR12" s="8">
        <f>IFERROR(AVERAGEIF(Mp!$A:$A,$BJ12,Mp!U:U),0)</f>
        <v>0</v>
      </c>
      <c r="BS12" s="8">
        <f>IFERROR(AVERAGEIF(Mp!$A:$A,$BJ12,Mp!V:V),0)</f>
        <v>0</v>
      </c>
      <c r="BT12" s="686">
        <f t="shared" si="39"/>
        <v>0</v>
      </c>
      <c r="BU12" s="686">
        <f t="shared" si="27"/>
        <v>0</v>
      </c>
      <c r="BV12" s="686">
        <f t="shared" si="28"/>
        <v>0</v>
      </c>
      <c r="BW12" s="686">
        <f t="shared" si="29"/>
        <v>0</v>
      </c>
      <c r="BX12" s="686">
        <f t="shared" si="30"/>
        <v>0</v>
      </c>
      <c r="BY12" s="686">
        <f t="shared" si="31"/>
        <v>0</v>
      </c>
      <c r="BZ12" s="686">
        <f t="shared" si="32"/>
        <v>0</v>
      </c>
      <c r="CA12" s="686">
        <f t="shared" si="33"/>
        <v>0</v>
      </c>
      <c r="CB12" s="20"/>
      <c r="CD12" s="6"/>
      <c r="CE12" s="6"/>
      <c r="CF12" s="8">
        <f>IFERROR(AVERAGEIF(Mp!$A:$A,$CD12,Mp!O:O),0)</f>
        <v>0</v>
      </c>
      <c r="CG12" s="8">
        <f>IFERROR(AVERAGEIF(Mp!$A:$A,$CD12,Mp!P:P),0)</f>
        <v>0</v>
      </c>
      <c r="CH12" s="8">
        <f>IFERROR(AVERAGEIF(Mp!$A:$A,$CD12,Mp!Q:Q),0)</f>
        <v>0</v>
      </c>
      <c r="CI12" s="8">
        <f>IFERROR(AVERAGEIF(Mp!$A:$A,$CD12,Mp!R:R),0)</f>
        <v>0</v>
      </c>
      <c r="CJ12" s="8">
        <f>IFERROR(AVERAGEIF(Mp!$A:$A,$CD12,Mp!S:S),0)</f>
        <v>0</v>
      </c>
      <c r="CK12" s="8">
        <f>IFERROR(AVERAGEIF(Mp!$A:$A,$CD12,Mp!T:T),0)</f>
        <v>0</v>
      </c>
      <c r="CL12" s="8">
        <f>IFERROR(AVERAGEIF(Mp!$A:$A,$CD12,Mp!U:U),0)</f>
        <v>0</v>
      </c>
      <c r="CM12" s="8">
        <f>IFERROR(AVERAGEIF(Mp!$A:$A,$CD12,Mp!V:V),0)</f>
        <v>0</v>
      </c>
      <c r="CN12" s="7">
        <f t="shared" si="40"/>
        <v>0</v>
      </c>
      <c r="CO12" s="7">
        <f t="shared" si="34"/>
        <v>0</v>
      </c>
      <c r="CP12" s="7">
        <f t="shared" si="34"/>
        <v>0</v>
      </c>
      <c r="CQ12" s="7">
        <f t="shared" si="34"/>
        <v>0</v>
      </c>
      <c r="CR12" s="7">
        <f t="shared" si="34"/>
        <v>0</v>
      </c>
      <c r="CS12" s="7">
        <f t="shared" si="34"/>
        <v>0</v>
      </c>
      <c r="CT12" s="7">
        <f t="shared" si="34"/>
        <v>0</v>
      </c>
      <c r="CU12" s="7">
        <f t="shared" si="34"/>
        <v>0</v>
      </c>
      <c r="CV12" s="20"/>
      <c r="CX12" s="6" t="s">
        <v>751</v>
      </c>
      <c r="CY12" s="6">
        <v>90</v>
      </c>
      <c r="CZ12" s="8">
        <f>IFERROR(AVERAGEIF(Mp!$A:$A,$CX12,Mp!O:AO),0)</f>
        <v>3.0909090909090908</v>
      </c>
      <c r="DA12" s="8">
        <f>IFERROR(AVERAGEIF(Mp!$A:$A,$CX12,Mp!P:AP),0)</f>
        <v>3.0198181818181817</v>
      </c>
      <c r="DB12" s="8">
        <f>IFERROR(AVERAGEIF(Mp!$A:$A,$CX12,Mp!Q:AQ),0)</f>
        <v>3.1859081818181814</v>
      </c>
      <c r="DC12" s="8">
        <f>IFERROR(AVERAGEIF(Mp!$A:$A,$CX12,Mp!R:AR),0)</f>
        <v>3.3611331318181814</v>
      </c>
      <c r="DD12" s="8">
        <f>IFERROR(AVERAGEIF(Mp!$A:$A,$CX12,Mp!S:AS),0)</f>
        <v>3.6199403829681809</v>
      </c>
      <c r="DE12" s="8">
        <f>IFERROR(AVERAGEIF(Mp!$A:$A,$CX12,Mp!T:AT),0)</f>
        <v>3.7755978194358133</v>
      </c>
      <c r="DF12" s="8">
        <f>IFERROR(AVERAGEIF(Mp!$A:$A,$CX12,Mp!U:AU),0)</f>
        <v>3.9228461343938101</v>
      </c>
      <c r="DG12" s="8">
        <f>IFERROR(AVERAGEIF(Mp!$A:$A,$CX12,Mp!V:AV),0)</f>
        <v>4.0993742104415318</v>
      </c>
      <c r="DH12" s="7">
        <f t="shared" si="41"/>
        <v>278.18181818181819</v>
      </c>
      <c r="DI12" s="7">
        <f>$CY12*DA12</f>
        <v>271.78363636363633</v>
      </c>
      <c r="DJ12" s="7">
        <f t="shared" si="35"/>
        <v>286.73173636363634</v>
      </c>
      <c r="DK12" s="7">
        <f t="shared" si="35"/>
        <v>302.50198186363633</v>
      </c>
      <c r="DL12" s="7">
        <f t="shared" si="35"/>
        <v>325.79463446713629</v>
      </c>
      <c r="DM12" s="7">
        <f t="shared" si="35"/>
        <v>339.80380374922322</v>
      </c>
      <c r="DN12" s="7">
        <f t="shared" si="35"/>
        <v>353.05615209544294</v>
      </c>
      <c r="DO12" s="7">
        <f t="shared" si="35"/>
        <v>368.94367893973788</v>
      </c>
      <c r="DP12" s="20"/>
    </row>
    <row r="13" spans="2:120">
      <c r="B13" s="6"/>
      <c r="C13" s="6"/>
      <c r="D13" s="8">
        <f>IFERROR(AVERAGEIF(Mp!$A:$A,B13,Mp!O:O),0)</f>
        <v>0</v>
      </c>
      <c r="E13" s="8">
        <f>IFERROR(AVERAGEIF(Mp!$A:$A,$B13,Mp!P:P),0)</f>
        <v>0</v>
      </c>
      <c r="F13" s="8">
        <f>IFERROR(AVERAGEIF(Mp!$A:$A,$B13,Mp!Q:Q),0)</f>
        <v>0</v>
      </c>
      <c r="G13" s="8">
        <f>IFERROR(AVERAGEIF(Mp!$A:$A,$B13,Mp!R:R),0)</f>
        <v>0</v>
      </c>
      <c r="H13" s="8">
        <f>IFERROR(AVERAGEIF(Mp!$A:$A,$B13,Mp!S:S),0)</f>
        <v>0</v>
      </c>
      <c r="I13" s="8">
        <f>IFERROR(AVERAGEIF(Mp!$A:$A,$B13,Mp!T:T),0)</f>
        <v>0</v>
      </c>
      <c r="J13" s="8">
        <f>IFERROR(AVERAGEIF(Mp!$A:$A,$B13,Mp!U:U),0)</f>
        <v>0</v>
      </c>
      <c r="K13" s="8">
        <f>IFERROR(AVERAGEIF(Mp!$A:$A,$B13,Mp!V:V),0)</f>
        <v>0</v>
      </c>
      <c r="L13" s="7">
        <f t="shared" si="36"/>
        <v>0</v>
      </c>
      <c r="M13" s="7">
        <f t="shared" si="12"/>
        <v>0</v>
      </c>
      <c r="N13" s="7">
        <f t="shared" si="12"/>
        <v>0</v>
      </c>
      <c r="O13" s="7">
        <f t="shared" si="12"/>
        <v>0</v>
      </c>
      <c r="P13" s="7">
        <f t="shared" si="12"/>
        <v>0</v>
      </c>
      <c r="Q13" s="7">
        <f t="shared" si="12"/>
        <v>0</v>
      </c>
      <c r="R13" s="7">
        <f t="shared" si="12"/>
        <v>0</v>
      </c>
      <c r="S13" s="7">
        <f t="shared" si="12"/>
        <v>0</v>
      </c>
      <c r="T13" s="20"/>
      <c r="V13" s="6" t="s">
        <v>521</v>
      </c>
      <c r="W13" s="6">
        <v>40</v>
      </c>
      <c r="X13" s="8">
        <f>IFERROR(AVERAGEIF(Mp!$A:$A,$V13,Mp!O:O),0)</f>
        <v>20</v>
      </c>
      <c r="Y13" s="8">
        <f>IFERROR(AVERAGEIF(Mp!$A:$A,$V13,Mp!P:P),0)</f>
        <v>19.54</v>
      </c>
      <c r="Z13" s="8">
        <f>IFERROR(AVERAGEIF(Mp!$A:$A,$V13,Mp!Q:Q),0)</f>
        <v>20.614699999999999</v>
      </c>
      <c r="AA13" s="8">
        <f>IFERROR(AVERAGEIF(Mp!$A:$A,$V13,Mp!R:R),0)</f>
        <v>21.7485085</v>
      </c>
      <c r="AB13" s="8">
        <f>IFERROR(AVERAGEIF(Mp!$A:$A,$V13,Mp!S:S),0)</f>
        <v>23.423143654499995</v>
      </c>
      <c r="AC13" s="8">
        <f>IFERROR(AVERAGEIF(Mp!$A:$A,$V13,Mp!T:T),0)</f>
        <v>24.430338831643503</v>
      </c>
      <c r="AD13" s="8">
        <f>IFERROR(AVERAGEIF(Mp!$A:$A,$V13,Mp!U:U),0)</f>
        <v>25.383122046077595</v>
      </c>
      <c r="AE13" s="8">
        <f>IFERROR(AVERAGEIF(Mp!$A:$A,$V13,Mp!V:V),0)</f>
        <v>26.525362538151093</v>
      </c>
      <c r="AF13" s="7">
        <f t="shared" si="37"/>
        <v>800</v>
      </c>
      <c r="AG13" s="7">
        <f t="shared" si="13"/>
        <v>781.59999999999991</v>
      </c>
      <c r="AH13" s="7">
        <f t="shared" si="14"/>
        <v>824.58799999999997</v>
      </c>
      <c r="AI13" s="7">
        <f t="shared" si="15"/>
        <v>869.94033999999999</v>
      </c>
      <c r="AJ13" s="7">
        <f t="shared" si="16"/>
        <v>936.92574617999981</v>
      </c>
      <c r="AK13" s="7">
        <f t="shared" si="17"/>
        <v>977.21355326574007</v>
      </c>
      <c r="AL13" s="7">
        <f t="shared" si="18"/>
        <v>1015.3248818431039</v>
      </c>
      <c r="AM13" s="7">
        <f t="shared" si="19"/>
        <v>1061.0145015260437</v>
      </c>
      <c r="AN13" s="20"/>
      <c r="AP13" s="6" t="s">
        <v>312</v>
      </c>
      <c r="AQ13" s="6">
        <v>5</v>
      </c>
      <c r="AR13" s="8">
        <f>IFERROR(AVERAGEIF(Mp!$A:$A,$AP13,Mp!O:O),0)</f>
        <v>15</v>
      </c>
      <c r="AS13" s="8">
        <f>IFERROR(AVERAGEIF(Mp!$A:$A,$AP13,Mp!P:P),0)</f>
        <v>14.654999999999999</v>
      </c>
      <c r="AT13" s="8">
        <f>IFERROR(AVERAGEIF(Mp!$A:$A,$AP13,Mp!Q:Q),0)</f>
        <v>15.461024999999999</v>
      </c>
      <c r="AU13" s="8">
        <f>IFERROR(AVERAGEIF(Mp!$A:$A,$AP13,Mp!R:R),0)</f>
        <v>16.311381375</v>
      </c>
      <c r="AV13" s="8">
        <f>IFERROR(AVERAGEIF(Mp!$A:$A,$AP13,Mp!S:S),0)</f>
        <v>17.567357740875</v>
      </c>
      <c r="AW13" s="8">
        <f>IFERROR(AVERAGEIF(Mp!$A:$A,$AP13,Mp!T:T),0)</f>
        <v>18.322754123732626</v>
      </c>
      <c r="AX13" s="8">
        <f>IFERROR(AVERAGEIF(Mp!$A:$A,$AP13,Mp!U:U),0)</f>
        <v>19.037341534558195</v>
      </c>
      <c r="AY13" s="8">
        <f>IFERROR(AVERAGEIF(Mp!$A:$A,$AP13,Mp!V:V),0)</f>
        <v>19.894021903613318</v>
      </c>
      <c r="AZ13" s="7">
        <f t="shared" si="38"/>
        <v>75</v>
      </c>
      <c r="BA13" s="7">
        <f t="shared" si="20"/>
        <v>73.274999999999991</v>
      </c>
      <c r="BB13" s="7">
        <f t="shared" si="21"/>
        <v>77.305125000000004</v>
      </c>
      <c r="BC13" s="7">
        <f t="shared" si="22"/>
        <v>81.556906874999996</v>
      </c>
      <c r="BD13" s="7">
        <f t="shared" si="23"/>
        <v>87.836788704374996</v>
      </c>
      <c r="BE13" s="7">
        <f t="shared" si="24"/>
        <v>91.613770618663125</v>
      </c>
      <c r="BF13" s="7">
        <f t="shared" si="25"/>
        <v>95.186707672790973</v>
      </c>
      <c r="BG13" s="7">
        <f t="shared" si="26"/>
        <v>99.470109518066593</v>
      </c>
      <c r="BH13" s="20"/>
      <c r="BJ13" s="6"/>
      <c r="BK13" s="6"/>
      <c r="BL13" s="8">
        <f>IFERROR(AVERAGEIF(Mp!$A:$A,$BJ13,Mp!$O:$O),0)</f>
        <v>0</v>
      </c>
      <c r="BM13" s="8">
        <f>IFERROR(AVERAGEIF(Mp!$A:$A,$BJ13,Mp!P:P),0)</f>
        <v>0</v>
      </c>
      <c r="BN13" s="8">
        <f>IFERROR(AVERAGEIF(Mp!$A:$A,$BJ13,Mp!Q:Q),0)</f>
        <v>0</v>
      </c>
      <c r="BO13" s="8">
        <f>IFERROR(AVERAGEIF(Mp!$A:$A,$BJ13,Mp!R:R),0)</f>
        <v>0</v>
      </c>
      <c r="BP13" s="8">
        <f>IFERROR(AVERAGEIF(Mp!$A:$A,$BJ13,Mp!S:S),0)</f>
        <v>0</v>
      </c>
      <c r="BQ13" s="8">
        <f>IFERROR(AVERAGEIF(Mp!$A:$A,$BJ13,Mp!T:T),0)</f>
        <v>0</v>
      </c>
      <c r="BR13" s="8">
        <f>IFERROR(AVERAGEIF(Mp!$A:$A,$BJ13,Mp!U:U),0)</f>
        <v>0</v>
      </c>
      <c r="BS13" s="8">
        <f>IFERROR(AVERAGEIF(Mp!$A:$A,$BJ13,Mp!V:V),0)</f>
        <v>0</v>
      </c>
      <c r="BT13" s="686">
        <f t="shared" si="39"/>
        <v>0</v>
      </c>
      <c r="BU13" s="686">
        <f t="shared" si="27"/>
        <v>0</v>
      </c>
      <c r="BV13" s="686">
        <f t="shared" si="28"/>
        <v>0</v>
      </c>
      <c r="BW13" s="686">
        <f t="shared" si="29"/>
        <v>0</v>
      </c>
      <c r="BX13" s="686">
        <f t="shared" si="30"/>
        <v>0</v>
      </c>
      <c r="BY13" s="686">
        <f t="shared" si="31"/>
        <v>0</v>
      </c>
      <c r="BZ13" s="686">
        <f t="shared" si="32"/>
        <v>0</v>
      </c>
      <c r="CA13" s="686">
        <f t="shared" si="33"/>
        <v>0</v>
      </c>
      <c r="CB13" s="20"/>
      <c r="CD13" s="6"/>
      <c r="CE13" s="6"/>
      <c r="CF13" s="8">
        <f>IFERROR(AVERAGEIF(Mp!$A:$A,$CD13,Mp!O:O),0)</f>
        <v>0</v>
      </c>
      <c r="CG13" s="8">
        <f>IFERROR(AVERAGEIF(Mp!$A:$A,$CD13,Mp!P:P),0)</f>
        <v>0</v>
      </c>
      <c r="CH13" s="8">
        <f>IFERROR(AVERAGEIF(Mp!$A:$A,$CD13,Mp!Q:Q),0)</f>
        <v>0</v>
      </c>
      <c r="CI13" s="8">
        <f>IFERROR(AVERAGEIF(Mp!$A:$A,$CD13,Mp!R:R),0)</f>
        <v>0</v>
      </c>
      <c r="CJ13" s="8">
        <f>IFERROR(AVERAGEIF(Mp!$A:$A,$CD13,Mp!S:S),0)</f>
        <v>0</v>
      </c>
      <c r="CK13" s="8">
        <f>IFERROR(AVERAGEIF(Mp!$A:$A,$CD13,Mp!T:T),0)</f>
        <v>0</v>
      </c>
      <c r="CL13" s="8">
        <f>IFERROR(AVERAGEIF(Mp!$A:$A,$CD13,Mp!U:U),0)</f>
        <v>0</v>
      </c>
      <c r="CM13" s="8">
        <f>IFERROR(AVERAGEIF(Mp!$A:$A,$CD13,Mp!V:V),0)</f>
        <v>0</v>
      </c>
      <c r="CN13" s="7">
        <f t="shared" si="40"/>
        <v>0</v>
      </c>
      <c r="CO13" s="7">
        <f t="shared" si="34"/>
        <v>0</v>
      </c>
      <c r="CP13" s="7">
        <f t="shared" si="34"/>
        <v>0</v>
      </c>
      <c r="CQ13" s="7">
        <f t="shared" si="34"/>
        <v>0</v>
      </c>
      <c r="CR13" s="7">
        <f t="shared" si="34"/>
        <v>0</v>
      </c>
      <c r="CS13" s="7">
        <f t="shared" si="34"/>
        <v>0</v>
      </c>
      <c r="CT13" s="7">
        <f t="shared" si="34"/>
        <v>0</v>
      </c>
      <c r="CU13" s="7">
        <f t="shared" si="34"/>
        <v>0</v>
      </c>
      <c r="CV13" s="20"/>
      <c r="CX13" s="6"/>
      <c r="CY13" s="6"/>
      <c r="CZ13" s="8">
        <f>IFERROR(AVERAGEIF(Mp!$A:$A,$CX13,Mp!O:AO),0)</f>
        <v>0</v>
      </c>
      <c r="DA13" s="8">
        <f>IFERROR(AVERAGEIF(Mp!$A:$A,$CX13,Mp!P:AP),0)</f>
        <v>0</v>
      </c>
      <c r="DB13" s="8">
        <f>IFERROR(AVERAGEIF(Mp!$A:$A,$CX13,Mp!Q:AQ),0)</f>
        <v>0</v>
      </c>
      <c r="DC13" s="8">
        <f>IFERROR(AVERAGEIF(Mp!$A:$A,$CX13,Mp!R:AR),0)</f>
        <v>0</v>
      </c>
      <c r="DD13" s="8">
        <f>IFERROR(AVERAGEIF(Mp!$A:$A,$CX13,Mp!S:AS),0)</f>
        <v>0</v>
      </c>
      <c r="DE13" s="8">
        <f>IFERROR(AVERAGEIF(Mp!$A:$A,$CX13,Mp!T:AT),0)</f>
        <v>0</v>
      </c>
      <c r="DF13" s="8">
        <f>IFERROR(AVERAGEIF(Mp!$A:$A,$CX13,Mp!U:AU),0)</f>
        <v>0</v>
      </c>
      <c r="DG13" s="8">
        <f>IFERROR(AVERAGEIF(Mp!$A:$A,$CX13,Mp!V:AV),0)</f>
        <v>0</v>
      </c>
      <c r="DH13" s="7">
        <f t="shared" si="41"/>
        <v>0</v>
      </c>
      <c r="DI13" s="7">
        <f t="shared" si="35"/>
        <v>0</v>
      </c>
      <c r="DJ13" s="7">
        <f t="shared" si="35"/>
        <v>0</v>
      </c>
      <c r="DK13" s="7">
        <f t="shared" si="35"/>
        <v>0</v>
      </c>
      <c r="DL13" s="7">
        <f t="shared" si="35"/>
        <v>0</v>
      </c>
      <c r="DM13" s="7">
        <f t="shared" si="35"/>
        <v>0</v>
      </c>
      <c r="DN13" s="7">
        <f t="shared" si="35"/>
        <v>0</v>
      </c>
      <c r="DO13" s="7">
        <f t="shared" si="35"/>
        <v>0</v>
      </c>
      <c r="DP13" s="20"/>
    </row>
    <row r="14" spans="2:120">
      <c r="B14" s="6"/>
      <c r="C14" s="6"/>
      <c r="D14" s="8">
        <f>IFERROR(AVERAGEIF(Mp!$A:$A,B14,Mp!O:O),0)</f>
        <v>0</v>
      </c>
      <c r="E14" s="8">
        <f>IFERROR(AVERAGEIF(Mp!$A:$A,$B14,Mp!P:P),0)</f>
        <v>0</v>
      </c>
      <c r="F14" s="8">
        <f>IFERROR(AVERAGEIF(Mp!$A:$A,$B14,Mp!Q:Q),0)</f>
        <v>0</v>
      </c>
      <c r="G14" s="8">
        <f>IFERROR(AVERAGEIF(Mp!$A:$A,$B14,Mp!R:R),0)</f>
        <v>0</v>
      </c>
      <c r="H14" s="8">
        <f>IFERROR(AVERAGEIF(Mp!$A:$A,$B14,Mp!S:S),0)</f>
        <v>0</v>
      </c>
      <c r="I14" s="8">
        <f>IFERROR(AVERAGEIF(Mp!$A:$A,$B14,Mp!T:T),0)</f>
        <v>0</v>
      </c>
      <c r="J14" s="8">
        <f>IFERROR(AVERAGEIF(Mp!$A:$A,$B14,Mp!U:U),0)</f>
        <v>0</v>
      </c>
      <c r="K14" s="8">
        <f>IFERROR(AVERAGEIF(Mp!$A:$A,$B14,Mp!V:V),0)</f>
        <v>0</v>
      </c>
      <c r="L14" s="7">
        <f t="shared" si="36"/>
        <v>0</v>
      </c>
      <c r="M14" s="7">
        <f t="shared" si="12"/>
        <v>0</v>
      </c>
      <c r="N14" s="7">
        <f t="shared" si="12"/>
        <v>0</v>
      </c>
      <c r="O14" s="7">
        <f t="shared" si="12"/>
        <v>0</v>
      </c>
      <c r="P14" s="7">
        <f t="shared" si="12"/>
        <v>0</v>
      </c>
      <c r="Q14" s="7">
        <f t="shared" si="12"/>
        <v>0</v>
      </c>
      <c r="R14" s="7">
        <f t="shared" si="12"/>
        <v>0</v>
      </c>
      <c r="S14" s="7">
        <f t="shared" si="12"/>
        <v>0</v>
      </c>
      <c r="T14" s="20"/>
      <c r="V14" s="6"/>
      <c r="W14" s="6"/>
      <c r="X14" s="8">
        <f>IFERROR(AVERAGEIF(Mp!$A:$A,$V14,Mp!O:O),0)</f>
        <v>0</v>
      </c>
      <c r="Y14" s="8">
        <f>IFERROR(AVERAGEIF(Mp!$A:$A,$V14,Mp!P:P),0)</f>
        <v>0</v>
      </c>
      <c r="Z14" s="8">
        <f>IFERROR(AVERAGEIF(Mp!$A:$A,$V14,Mp!Q:Q),0)</f>
        <v>0</v>
      </c>
      <c r="AA14" s="8">
        <f>IFERROR(AVERAGEIF(Mp!$A:$A,$V14,Mp!R:R),0)</f>
        <v>0</v>
      </c>
      <c r="AB14" s="8">
        <f>IFERROR(AVERAGEIF(Mp!$A:$A,$V14,Mp!S:S),0)</f>
        <v>0</v>
      </c>
      <c r="AC14" s="8">
        <f>IFERROR(AVERAGEIF(Mp!$A:$A,$V14,Mp!T:T),0)</f>
        <v>0</v>
      </c>
      <c r="AD14" s="8">
        <f>IFERROR(AVERAGEIF(Mp!$A:$A,$V14,Mp!U:U),0)</f>
        <v>0</v>
      </c>
      <c r="AE14" s="8">
        <f>IFERROR(AVERAGEIF(Mp!$A:$A,$V14,Mp!V:V),0)</f>
        <v>0</v>
      </c>
      <c r="AF14" s="7">
        <f t="shared" si="37"/>
        <v>0</v>
      </c>
      <c r="AG14" s="7">
        <f t="shared" si="13"/>
        <v>0</v>
      </c>
      <c r="AH14" s="7">
        <f t="shared" si="14"/>
        <v>0</v>
      </c>
      <c r="AI14" s="7">
        <f t="shared" si="15"/>
        <v>0</v>
      </c>
      <c r="AJ14" s="7">
        <f t="shared" si="16"/>
        <v>0</v>
      </c>
      <c r="AK14" s="7">
        <f t="shared" si="17"/>
        <v>0</v>
      </c>
      <c r="AL14" s="7">
        <f t="shared" si="18"/>
        <v>0</v>
      </c>
      <c r="AM14" s="7">
        <f t="shared" si="19"/>
        <v>0</v>
      </c>
      <c r="AN14" s="20"/>
      <c r="AP14" s="6" t="s">
        <v>301</v>
      </c>
      <c r="AQ14" s="6">
        <v>3</v>
      </c>
      <c r="AR14" s="8">
        <f>IFERROR(AVERAGEIF(Mp!$A:$A,$AP14,Mp!O:O),0)</f>
        <v>15.966666666666667</v>
      </c>
      <c r="AS14" s="8">
        <f>IFERROR(AVERAGEIF(Mp!$A:$A,$AP14,Mp!P:P),0)</f>
        <v>15.599433333333334</v>
      </c>
      <c r="AT14" s="8">
        <f>IFERROR(AVERAGEIF(Mp!$A:$A,$AP14,Mp!Q:Q),0)</f>
        <v>16.457402166666665</v>
      </c>
      <c r="AU14" s="8">
        <f>IFERROR(AVERAGEIF(Mp!$A:$A,$AP14,Mp!R:R),0)</f>
        <v>17.362559285833331</v>
      </c>
      <c r="AV14" s="8">
        <f>IFERROR(AVERAGEIF(Mp!$A:$A,$AP14,Mp!S:S),0)</f>
        <v>18.699476350842495</v>
      </c>
      <c r="AW14" s="8">
        <f>IFERROR(AVERAGEIF(Mp!$A:$A,$AP14,Mp!T:T),0)</f>
        <v>19.503553833928727</v>
      </c>
      <c r="AX14" s="8">
        <f>IFERROR(AVERAGEIF(Mp!$A:$A,$AP14,Mp!U:U),0)</f>
        <v>20.264192433451946</v>
      </c>
      <c r="AY14" s="8">
        <f>IFERROR(AVERAGEIF(Mp!$A:$A,$AP14,Mp!V:V),0)</f>
        <v>21.176081092957283</v>
      </c>
      <c r="AZ14" s="7">
        <f t="shared" si="38"/>
        <v>47.9</v>
      </c>
      <c r="BA14" s="7">
        <f t="shared" si="20"/>
        <v>46.798299999999998</v>
      </c>
      <c r="BB14" s="7">
        <f t="shared" si="21"/>
        <v>49.37220649999999</v>
      </c>
      <c r="BC14" s="7">
        <f t="shared" si="22"/>
        <v>52.087677857499997</v>
      </c>
      <c r="BD14" s="7">
        <f t="shared" si="23"/>
        <v>56.098429052527486</v>
      </c>
      <c r="BE14" s="7">
        <f t="shared" si="24"/>
        <v>58.510661501786181</v>
      </c>
      <c r="BF14" s="7">
        <f t="shared" si="25"/>
        <v>60.792577300355838</v>
      </c>
      <c r="BG14" s="7">
        <f t="shared" si="26"/>
        <v>63.528243278871848</v>
      </c>
      <c r="BH14" s="20"/>
      <c r="BJ14" s="6"/>
      <c r="BK14" s="6"/>
      <c r="BL14" s="8">
        <f>IFERROR(AVERAGEIF(Mp!$A:$A,$BJ14,Mp!$O:$O),0)</f>
        <v>0</v>
      </c>
      <c r="BM14" s="8">
        <f>IFERROR(AVERAGEIF(Mp!$A:$A,$BJ14,Mp!P:P),0)</f>
        <v>0</v>
      </c>
      <c r="BN14" s="8">
        <f>IFERROR(AVERAGEIF(Mp!$A:$A,$BJ14,Mp!Q:Q),0)</f>
        <v>0</v>
      </c>
      <c r="BO14" s="8">
        <f>IFERROR(AVERAGEIF(Mp!$A:$A,$BJ14,Mp!R:R),0)</f>
        <v>0</v>
      </c>
      <c r="BP14" s="8">
        <f>IFERROR(AVERAGEIF(Mp!$A:$A,$BJ14,Mp!S:S),0)</f>
        <v>0</v>
      </c>
      <c r="BQ14" s="8">
        <f>IFERROR(AVERAGEIF(Mp!$A:$A,$BJ14,Mp!T:T),0)</f>
        <v>0</v>
      </c>
      <c r="BR14" s="8">
        <f>IFERROR(AVERAGEIF(Mp!$A:$A,$BJ14,Mp!U:U),0)</f>
        <v>0</v>
      </c>
      <c r="BS14" s="8">
        <f>IFERROR(AVERAGEIF(Mp!$A:$A,$BJ14,Mp!V:V),0)</f>
        <v>0</v>
      </c>
      <c r="BT14" s="686">
        <f t="shared" si="39"/>
        <v>0</v>
      </c>
      <c r="BU14" s="686">
        <f t="shared" si="27"/>
        <v>0</v>
      </c>
      <c r="BV14" s="686">
        <f t="shared" si="28"/>
        <v>0</v>
      </c>
      <c r="BW14" s="686">
        <f t="shared" si="29"/>
        <v>0</v>
      </c>
      <c r="BX14" s="686">
        <f t="shared" si="30"/>
        <v>0</v>
      </c>
      <c r="BY14" s="686">
        <f t="shared" si="31"/>
        <v>0</v>
      </c>
      <c r="BZ14" s="686">
        <f t="shared" si="32"/>
        <v>0</v>
      </c>
      <c r="CA14" s="686">
        <f t="shared" si="33"/>
        <v>0</v>
      </c>
      <c r="CB14" s="20"/>
      <c r="CD14" s="6"/>
      <c r="CE14" s="6"/>
      <c r="CF14" s="8">
        <f>IFERROR(AVERAGEIF(Mp!$A:$A,$CD14,Mp!O:O),0)</f>
        <v>0</v>
      </c>
      <c r="CG14" s="8">
        <f>IFERROR(AVERAGEIF(Mp!$A:$A,$CD14,Mp!P:P),0)</f>
        <v>0</v>
      </c>
      <c r="CH14" s="8">
        <f>IFERROR(AVERAGEIF(Mp!$A:$A,$CD14,Mp!Q:Q),0)</f>
        <v>0</v>
      </c>
      <c r="CI14" s="8">
        <f>IFERROR(AVERAGEIF(Mp!$A:$A,$CD14,Mp!R:R),0)</f>
        <v>0</v>
      </c>
      <c r="CJ14" s="8">
        <f>IFERROR(AVERAGEIF(Mp!$A:$A,$CD14,Mp!S:S),0)</f>
        <v>0</v>
      </c>
      <c r="CK14" s="8">
        <f>IFERROR(AVERAGEIF(Mp!$A:$A,$CD14,Mp!T:T),0)</f>
        <v>0</v>
      </c>
      <c r="CL14" s="8">
        <f>IFERROR(AVERAGEIF(Mp!$A:$A,$CD14,Mp!U:U),0)</f>
        <v>0</v>
      </c>
      <c r="CM14" s="8">
        <f>IFERROR(AVERAGEIF(Mp!$A:$A,$CD14,Mp!V:V),0)</f>
        <v>0</v>
      </c>
      <c r="CN14" s="7">
        <f t="shared" si="40"/>
        <v>0</v>
      </c>
      <c r="CO14" s="7">
        <f t="shared" si="34"/>
        <v>0</v>
      </c>
      <c r="CP14" s="7">
        <f t="shared" si="34"/>
        <v>0</v>
      </c>
      <c r="CQ14" s="7">
        <f t="shared" si="34"/>
        <v>0</v>
      </c>
      <c r="CR14" s="7">
        <f t="shared" si="34"/>
        <v>0</v>
      </c>
      <c r="CS14" s="7">
        <f t="shared" si="34"/>
        <v>0</v>
      </c>
      <c r="CT14" s="7">
        <f t="shared" si="34"/>
        <v>0</v>
      </c>
      <c r="CU14" s="7">
        <f t="shared" si="34"/>
        <v>0</v>
      </c>
      <c r="CV14" s="20"/>
      <c r="CX14" s="6"/>
      <c r="CY14" s="6"/>
      <c r="CZ14" s="8">
        <f>IFERROR(AVERAGEIF(Mp!$A:$A,$CX14,Mp!O:AO),0)</f>
        <v>0</v>
      </c>
      <c r="DA14" s="8">
        <f>IFERROR(AVERAGEIF(Mp!$A:$A,$CX14,Mp!P:AP),0)</f>
        <v>0</v>
      </c>
      <c r="DB14" s="8">
        <f>IFERROR(AVERAGEIF(Mp!$A:$A,$CX14,Mp!Q:AQ),0)</f>
        <v>0</v>
      </c>
      <c r="DC14" s="8">
        <f>IFERROR(AVERAGEIF(Mp!$A:$A,$CX14,Mp!R:AR),0)</f>
        <v>0</v>
      </c>
      <c r="DD14" s="8">
        <f>IFERROR(AVERAGEIF(Mp!$A:$A,$CX14,Mp!S:AS),0)</f>
        <v>0</v>
      </c>
      <c r="DE14" s="8">
        <f>IFERROR(AVERAGEIF(Mp!$A:$A,$CX14,Mp!T:AT),0)</f>
        <v>0</v>
      </c>
      <c r="DF14" s="8">
        <f>IFERROR(AVERAGEIF(Mp!$A:$A,$CX14,Mp!U:AU),0)</f>
        <v>0</v>
      </c>
      <c r="DG14" s="8">
        <f>IFERROR(AVERAGEIF(Mp!$A:$A,$CX14,Mp!V:AV),0)</f>
        <v>0</v>
      </c>
      <c r="DH14" s="7">
        <f t="shared" si="41"/>
        <v>0</v>
      </c>
      <c r="DI14" s="7">
        <f t="shared" si="35"/>
        <v>0</v>
      </c>
      <c r="DJ14" s="7">
        <f t="shared" si="35"/>
        <v>0</v>
      </c>
      <c r="DK14" s="7">
        <f t="shared" si="35"/>
        <v>0</v>
      </c>
      <c r="DL14" s="7">
        <f t="shared" si="35"/>
        <v>0</v>
      </c>
      <c r="DM14" s="7">
        <f t="shared" si="35"/>
        <v>0</v>
      </c>
      <c r="DN14" s="7">
        <f t="shared" si="35"/>
        <v>0</v>
      </c>
      <c r="DO14" s="7">
        <f t="shared" si="35"/>
        <v>0</v>
      </c>
      <c r="DP14" s="20"/>
    </row>
    <row r="15" spans="2:120">
      <c r="B15" s="6"/>
      <c r="C15" s="6"/>
      <c r="D15" s="8">
        <f>IFERROR(AVERAGEIF(Mp!$A:$A,B15,Mp!O:O),0)</f>
        <v>0</v>
      </c>
      <c r="E15" s="8">
        <f>IFERROR(AVERAGEIF(Mp!$A:$A,$B15,Mp!P:P),0)</f>
        <v>0</v>
      </c>
      <c r="F15" s="8">
        <f>IFERROR(AVERAGEIF(Mp!$A:$A,$B15,Mp!Q:Q),0)</f>
        <v>0</v>
      </c>
      <c r="G15" s="8">
        <f>IFERROR(AVERAGEIF(Mp!$A:$A,$B15,Mp!R:R),0)</f>
        <v>0</v>
      </c>
      <c r="H15" s="8">
        <f>IFERROR(AVERAGEIF(Mp!$A:$A,$B15,Mp!S:S),0)</f>
        <v>0</v>
      </c>
      <c r="I15" s="8">
        <f>IFERROR(AVERAGEIF(Mp!$A:$A,$B15,Mp!T:T),0)</f>
        <v>0</v>
      </c>
      <c r="J15" s="8">
        <f>IFERROR(AVERAGEIF(Mp!$A:$A,$B15,Mp!U:U),0)</f>
        <v>0</v>
      </c>
      <c r="K15" s="8">
        <f>IFERROR(AVERAGEIF(Mp!$A:$A,$B15,Mp!V:V),0)</f>
        <v>0</v>
      </c>
      <c r="L15" s="7">
        <f t="shared" si="36"/>
        <v>0</v>
      </c>
      <c r="M15" s="7">
        <f t="shared" si="12"/>
        <v>0</v>
      </c>
      <c r="N15" s="7">
        <f t="shared" si="12"/>
        <v>0</v>
      </c>
      <c r="O15" s="7">
        <f t="shared" si="12"/>
        <v>0</v>
      </c>
      <c r="P15" s="7">
        <f t="shared" si="12"/>
        <v>0</v>
      </c>
      <c r="Q15" s="7">
        <f t="shared" si="12"/>
        <v>0</v>
      </c>
      <c r="R15" s="7">
        <f t="shared" si="12"/>
        <v>0</v>
      </c>
      <c r="S15" s="7">
        <f t="shared" si="12"/>
        <v>0</v>
      </c>
      <c r="T15" s="20"/>
      <c r="V15" s="6"/>
      <c r="W15" s="6"/>
      <c r="X15" s="8">
        <f>IFERROR(AVERAGEIF(Mp!$A:$A,$V15,Mp!O:O),0)</f>
        <v>0</v>
      </c>
      <c r="Y15" s="8">
        <f>IFERROR(AVERAGEIF(Mp!$A:$A,$V15,Mp!P:P),0)</f>
        <v>0</v>
      </c>
      <c r="Z15" s="8">
        <f>IFERROR(AVERAGEIF(Mp!$A:$A,$V15,Mp!Q:Q),0)</f>
        <v>0</v>
      </c>
      <c r="AA15" s="8">
        <f>IFERROR(AVERAGEIF(Mp!$A:$A,$V15,Mp!R:R),0)</f>
        <v>0</v>
      </c>
      <c r="AB15" s="8">
        <f>IFERROR(AVERAGEIF(Mp!$A:$A,$V15,Mp!S:S),0)</f>
        <v>0</v>
      </c>
      <c r="AC15" s="8">
        <f>IFERROR(AVERAGEIF(Mp!$A:$A,$V15,Mp!T:T),0)</f>
        <v>0</v>
      </c>
      <c r="AD15" s="8">
        <f>IFERROR(AVERAGEIF(Mp!$A:$A,$V15,Mp!U:U),0)</f>
        <v>0</v>
      </c>
      <c r="AE15" s="8">
        <f>IFERROR(AVERAGEIF(Mp!$A:$A,$V15,Mp!V:V),0)</f>
        <v>0</v>
      </c>
      <c r="AF15" s="7">
        <f t="shared" si="37"/>
        <v>0</v>
      </c>
      <c r="AG15" s="7">
        <f t="shared" si="13"/>
        <v>0</v>
      </c>
      <c r="AH15" s="7">
        <f t="shared" si="14"/>
        <v>0</v>
      </c>
      <c r="AI15" s="7">
        <f t="shared" si="15"/>
        <v>0</v>
      </c>
      <c r="AJ15" s="7">
        <f t="shared" si="16"/>
        <v>0</v>
      </c>
      <c r="AK15" s="7">
        <f t="shared" si="17"/>
        <v>0</v>
      </c>
      <c r="AL15" s="7">
        <f t="shared" si="18"/>
        <v>0</v>
      </c>
      <c r="AM15" s="7">
        <f t="shared" si="19"/>
        <v>0</v>
      </c>
      <c r="AN15" s="20"/>
      <c r="AP15" s="6"/>
      <c r="AQ15" s="6"/>
      <c r="AR15" s="8">
        <f>IFERROR(AVERAGEIF(Mp!$A:$A,$AP15,Mp!O:O),0)</f>
        <v>0</v>
      </c>
      <c r="AS15" s="8">
        <f>IFERROR(AVERAGEIF(Mp!$A:$A,$AP15,Mp!P:P),0)</f>
        <v>0</v>
      </c>
      <c r="AT15" s="8">
        <f>IFERROR(AVERAGEIF(Mp!$A:$A,$AP15,Mp!Q:Q),0)</f>
        <v>0</v>
      </c>
      <c r="AU15" s="8">
        <f>IFERROR(AVERAGEIF(Mp!$A:$A,$AP15,Mp!R:R),0)</f>
        <v>0</v>
      </c>
      <c r="AV15" s="8">
        <f>IFERROR(AVERAGEIF(Mp!$A:$A,$AP15,Mp!S:S),0)</f>
        <v>0</v>
      </c>
      <c r="AW15" s="8">
        <f>IFERROR(AVERAGEIF(Mp!$A:$A,$AP15,Mp!T:T),0)</f>
        <v>0</v>
      </c>
      <c r="AX15" s="8">
        <f>IFERROR(AVERAGEIF(Mp!$A:$A,$AP15,Mp!U:U),0)</f>
        <v>0</v>
      </c>
      <c r="AY15" s="8">
        <f>IFERROR(AVERAGEIF(Mp!$A:$A,$AP15,Mp!V:V),0)</f>
        <v>0</v>
      </c>
      <c r="AZ15" s="7">
        <f t="shared" si="38"/>
        <v>0</v>
      </c>
      <c r="BA15" s="7">
        <f t="shared" si="20"/>
        <v>0</v>
      </c>
      <c r="BB15" s="7">
        <f t="shared" si="21"/>
        <v>0</v>
      </c>
      <c r="BC15" s="7">
        <f t="shared" si="22"/>
        <v>0</v>
      </c>
      <c r="BD15" s="7">
        <f t="shared" si="23"/>
        <v>0</v>
      </c>
      <c r="BE15" s="7">
        <f t="shared" si="24"/>
        <v>0</v>
      </c>
      <c r="BF15" s="7">
        <f t="shared" si="25"/>
        <v>0</v>
      </c>
      <c r="BG15" s="7">
        <f t="shared" si="26"/>
        <v>0</v>
      </c>
      <c r="BH15" s="20"/>
      <c r="BJ15" s="6"/>
      <c r="BK15" s="6"/>
      <c r="BL15" s="8">
        <f>IFERROR(AVERAGEIF(Mp!$A:$A,$BJ15,Mp!$O:$O),0)</f>
        <v>0</v>
      </c>
      <c r="BM15" s="8">
        <f>IFERROR(AVERAGEIF(Mp!$A:$A,$BJ15,Mp!P:P),0)</f>
        <v>0</v>
      </c>
      <c r="BN15" s="8">
        <f>IFERROR(AVERAGEIF(Mp!$A:$A,$BJ15,Mp!Q:Q),0)</f>
        <v>0</v>
      </c>
      <c r="BO15" s="8">
        <f>IFERROR(AVERAGEIF(Mp!$A:$A,$BJ15,Mp!R:R),0)</f>
        <v>0</v>
      </c>
      <c r="BP15" s="8">
        <f>IFERROR(AVERAGEIF(Mp!$A:$A,$BJ15,Mp!S:S),0)</f>
        <v>0</v>
      </c>
      <c r="BQ15" s="8">
        <f>IFERROR(AVERAGEIF(Mp!$A:$A,$BJ15,Mp!T:T),0)</f>
        <v>0</v>
      </c>
      <c r="BR15" s="8">
        <f>IFERROR(AVERAGEIF(Mp!$A:$A,$BJ15,Mp!U:U),0)</f>
        <v>0</v>
      </c>
      <c r="BS15" s="8">
        <f>IFERROR(AVERAGEIF(Mp!$A:$A,$BJ15,Mp!V:V),0)</f>
        <v>0</v>
      </c>
      <c r="BT15" s="686">
        <f t="shared" si="39"/>
        <v>0</v>
      </c>
      <c r="BU15" s="686">
        <f t="shared" si="27"/>
        <v>0</v>
      </c>
      <c r="BV15" s="686">
        <f t="shared" si="28"/>
        <v>0</v>
      </c>
      <c r="BW15" s="686">
        <f t="shared" si="29"/>
        <v>0</v>
      </c>
      <c r="BX15" s="686">
        <f t="shared" si="30"/>
        <v>0</v>
      </c>
      <c r="BY15" s="686">
        <f t="shared" si="31"/>
        <v>0</v>
      </c>
      <c r="BZ15" s="686">
        <f t="shared" si="32"/>
        <v>0</v>
      </c>
      <c r="CA15" s="686">
        <f t="shared" si="33"/>
        <v>0</v>
      </c>
      <c r="CB15" s="20"/>
      <c r="CD15" s="6"/>
      <c r="CE15" s="6"/>
      <c r="CF15" s="8">
        <f>IFERROR(AVERAGEIF(Mp!$A:$A,$CD15,Mp!O:O),0)</f>
        <v>0</v>
      </c>
      <c r="CG15" s="8">
        <f>IFERROR(AVERAGEIF(Mp!$A:$A,$CD15,Mp!P:P),0)</f>
        <v>0</v>
      </c>
      <c r="CH15" s="8">
        <f>IFERROR(AVERAGEIF(Mp!$A:$A,$CD15,Mp!Q:Q),0)</f>
        <v>0</v>
      </c>
      <c r="CI15" s="8">
        <f>IFERROR(AVERAGEIF(Mp!$A:$A,$CD15,Mp!R:R),0)</f>
        <v>0</v>
      </c>
      <c r="CJ15" s="8">
        <f>IFERROR(AVERAGEIF(Mp!$A:$A,$CD15,Mp!S:S),0)</f>
        <v>0</v>
      </c>
      <c r="CK15" s="8">
        <f>IFERROR(AVERAGEIF(Mp!$A:$A,$CD15,Mp!T:T),0)</f>
        <v>0</v>
      </c>
      <c r="CL15" s="8">
        <f>IFERROR(AVERAGEIF(Mp!$A:$A,$CD15,Mp!U:U),0)</f>
        <v>0</v>
      </c>
      <c r="CM15" s="8">
        <f>IFERROR(AVERAGEIF(Mp!$A:$A,$CD15,Mp!V:V),0)</f>
        <v>0</v>
      </c>
      <c r="CN15" s="7">
        <f t="shared" si="40"/>
        <v>0</v>
      </c>
      <c r="CO15" s="7">
        <f t="shared" si="34"/>
        <v>0</v>
      </c>
      <c r="CP15" s="7">
        <f t="shared" si="34"/>
        <v>0</v>
      </c>
      <c r="CQ15" s="7">
        <f t="shared" si="34"/>
        <v>0</v>
      </c>
      <c r="CR15" s="7">
        <f t="shared" si="34"/>
        <v>0</v>
      </c>
      <c r="CS15" s="7">
        <f t="shared" si="34"/>
        <v>0</v>
      </c>
      <c r="CT15" s="7">
        <f t="shared" si="34"/>
        <v>0</v>
      </c>
      <c r="CU15" s="7">
        <f t="shared" si="34"/>
        <v>0</v>
      </c>
      <c r="CV15" s="20"/>
      <c r="CX15" s="6"/>
      <c r="CY15" s="6"/>
      <c r="CZ15" s="8">
        <f>IFERROR(AVERAGEIF(Mp!$A:$A,$CX15,Mp!O:AO),0)</f>
        <v>0</v>
      </c>
      <c r="DA15" s="8">
        <f>IFERROR(AVERAGEIF(Mp!$A:$A,$CX15,Mp!P:AP),0)</f>
        <v>0</v>
      </c>
      <c r="DB15" s="8">
        <f>IFERROR(AVERAGEIF(Mp!$A:$A,$CX15,Mp!Q:AQ),0)</f>
        <v>0</v>
      </c>
      <c r="DC15" s="8">
        <f>IFERROR(AVERAGEIF(Mp!$A:$A,$CX15,Mp!R:AR),0)</f>
        <v>0</v>
      </c>
      <c r="DD15" s="8">
        <f>IFERROR(AVERAGEIF(Mp!$A:$A,$CX15,Mp!S:AS),0)</f>
        <v>0</v>
      </c>
      <c r="DE15" s="8">
        <f>IFERROR(AVERAGEIF(Mp!$A:$A,$CX15,Mp!T:AT),0)</f>
        <v>0</v>
      </c>
      <c r="DF15" s="8">
        <f>IFERROR(AVERAGEIF(Mp!$A:$A,$CX15,Mp!U:AU),0)</f>
        <v>0</v>
      </c>
      <c r="DG15" s="8">
        <f>IFERROR(AVERAGEIF(Mp!$A:$A,$CX15,Mp!V:AV),0)</f>
        <v>0</v>
      </c>
      <c r="DH15" s="7">
        <f t="shared" si="41"/>
        <v>0</v>
      </c>
      <c r="DI15" s="7">
        <f t="shared" si="35"/>
        <v>0</v>
      </c>
      <c r="DJ15" s="7">
        <f t="shared" si="35"/>
        <v>0</v>
      </c>
      <c r="DK15" s="7">
        <f t="shared" si="35"/>
        <v>0</v>
      </c>
      <c r="DL15" s="7">
        <f t="shared" si="35"/>
        <v>0</v>
      </c>
      <c r="DM15" s="7">
        <f t="shared" si="35"/>
        <v>0</v>
      </c>
      <c r="DN15" s="7">
        <f t="shared" si="35"/>
        <v>0</v>
      </c>
      <c r="DO15" s="7">
        <f t="shared" si="35"/>
        <v>0</v>
      </c>
      <c r="DP15" s="20"/>
    </row>
    <row r="16" spans="2:120">
      <c r="B16" s="6"/>
      <c r="C16" s="6"/>
      <c r="D16" s="8">
        <f>IFERROR(AVERAGEIF(Mp!$A:$A,B16,Mp!O:O),0)</f>
        <v>0</v>
      </c>
      <c r="E16" s="8">
        <f>IFERROR(AVERAGEIF(Mp!$A:$A,$B16,Mp!P:P),0)</f>
        <v>0</v>
      </c>
      <c r="F16" s="8">
        <f>IFERROR(AVERAGEIF(Mp!$A:$A,$B16,Mp!Q:Q),0)</f>
        <v>0</v>
      </c>
      <c r="G16" s="8">
        <f>IFERROR(AVERAGEIF(Mp!$A:$A,$B16,Mp!R:R),0)</f>
        <v>0</v>
      </c>
      <c r="H16" s="8">
        <f>IFERROR(AVERAGEIF(Mp!$A:$A,$B16,Mp!S:S),0)</f>
        <v>0</v>
      </c>
      <c r="I16" s="8">
        <f>IFERROR(AVERAGEIF(Mp!$A:$A,$B16,Mp!T:T),0)</f>
        <v>0</v>
      </c>
      <c r="J16" s="8">
        <f>IFERROR(AVERAGEIF(Mp!$A:$A,$B16,Mp!U:U),0)</f>
        <v>0</v>
      </c>
      <c r="K16" s="8">
        <f>IFERROR(AVERAGEIF(Mp!$A:$A,$B16,Mp!V:V),0)</f>
        <v>0</v>
      </c>
      <c r="L16" s="7">
        <f t="shared" si="36"/>
        <v>0</v>
      </c>
      <c r="M16" s="7">
        <f t="shared" si="12"/>
        <v>0</v>
      </c>
      <c r="N16" s="7">
        <f t="shared" si="12"/>
        <v>0</v>
      </c>
      <c r="O16" s="7">
        <f t="shared" si="12"/>
        <v>0</v>
      </c>
      <c r="P16" s="7">
        <f t="shared" si="12"/>
        <v>0</v>
      </c>
      <c r="Q16" s="7">
        <f t="shared" si="12"/>
        <v>0</v>
      </c>
      <c r="R16" s="7">
        <f t="shared" si="12"/>
        <v>0</v>
      </c>
      <c r="S16" s="7">
        <f t="shared" si="12"/>
        <v>0</v>
      </c>
      <c r="T16" s="20"/>
      <c r="V16" s="6"/>
      <c r="W16" s="6"/>
      <c r="X16" s="8">
        <f>IFERROR(AVERAGEIF(Mp!$A:$A,$V16,Mp!O:O),0)</f>
        <v>0</v>
      </c>
      <c r="Y16" s="8">
        <f>IFERROR(AVERAGEIF(Mp!$A:$A,$V16,Mp!P:P),0)</f>
        <v>0</v>
      </c>
      <c r="Z16" s="8">
        <f>IFERROR(AVERAGEIF(Mp!$A:$A,$V16,Mp!Q:Q),0)</f>
        <v>0</v>
      </c>
      <c r="AA16" s="8">
        <f>IFERROR(AVERAGEIF(Mp!$A:$A,$V16,Mp!R:R),0)</f>
        <v>0</v>
      </c>
      <c r="AB16" s="8">
        <f>IFERROR(AVERAGEIF(Mp!$A:$A,$V16,Mp!S:S),0)</f>
        <v>0</v>
      </c>
      <c r="AC16" s="8">
        <f>IFERROR(AVERAGEIF(Mp!$A:$A,$V16,Mp!T:T),0)</f>
        <v>0</v>
      </c>
      <c r="AD16" s="8">
        <f>IFERROR(AVERAGEIF(Mp!$A:$A,$V16,Mp!U:U),0)</f>
        <v>0</v>
      </c>
      <c r="AE16" s="8">
        <f>IFERROR(AVERAGEIF(Mp!$A:$A,$V16,Mp!V:V),0)</f>
        <v>0</v>
      </c>
      <c r="AF16" s="7">
        <f t="shared" si="37"/>
        <v>0</v>
      </c>
      <c r="AG16" s="7">
        <f t="shared" si="13"/>
        <v>0</v>
      </c>
      <c r="AH16" s="7">
        <f t="shared" si="14"/>
        <v>0</v>
      </c>
      <c r="AI16" s="7">
        <f t="shared" si="15"/>
        <v>0</v>
      </c>
      <c r="AJ16" s="7">
        <f t="shared" si="16"/>
        <v>0</v>
      </c>
      <c r="AK16" s="7">
        <f t="shared" si="17"/>
        <v>0</v>
      </c>
      <c r="AL16" s="7">
        <f t="shared" si="18"/>
        <v>0</v>
      </c>
      <c r="AM16" s="7">
        <f t="shared" si="19"/>
        <v>0</v>
      </c>
      <c r="AN16" s="20"/>
      <c r="AP16" s="6"/>
      <c r="AQ16" s="6"/>
      <c r="AR16" s="8">
        <f>IFERROR(AVERAGEIF(Mp!$A:$A,$AP16,Mp!O:O),0)</f>
        <v>0</v>
      </c>
      <c r="AS16" s="8">
        <f>IFERROR(AVERAGEIF(Mp!$A:$A,$AP16,Mp!P:P),0)</f>
        <v>0</v>
      </c>
      <c r="AT16" s="8">
        <f>IFERROR(AVERAGEIF(Mp!$A:$A,$AP16,Mp!Q:Q),0)</f>
        <v>0</v>
      </c>
      <c r="AU16" s="8">
        <f>IFERROR(AVERAGEIF(Mp!$A:$A,$AP16,Mp!R:R),0)</f>
        <v>0</v>
      </c>
      <c r="AV16" s="8">
        <f>IFERROR(AVERAGEIF(Mp!$A:$A,$AP16,Mp!S:S),0)</f>
        <v>0</v>
      </c>
      <c r="AW16" s="8">
        <f>IFERROR(AVERAGEIF(Mp!$A:$A,$AP16,Mp!T:T),0)</f>
        <v>0</v>
      </c>
      <c r="AX16" s="8">
        <f>IFERROR(AVERAGEIF(Mp!$A:$A,$AP16,Mp!U:U),0)</f>
        <v>0</v>
      </c>
      <c r="AY16" s="8">
        <f>IFERROR(AVERAGEIF(Mp!$A:$A,$AP16,Mp!V:V),0)</f>
        <v>0</v>
      </c>
      <c r="AZ16" s="7">
        <f t="shared" si="38"/>
        <v>0</v>
      </c>
      <c r="BA16" s="7">
        <f t="shared" si="20"/>
        <v>0</v>
      </c>
      <c r="BB16" s="7">
        <f t="shared" si="21"/>
        <v>0</v>
      </c>
      <c r="BC16" s="7">
        <f t="shared" si="22"/>
        <v>0</v>
      </c>
      <c r="BD16" s="7">
        <f t="shared" si="23"/>
        <v>0</v>
      </c>
      <c r="BE16" s="7">
        <f t="shared" si="24"/>
        <v>0</v>
      </c>
      <c r="BF16" s="7">
        <f t="shared" si="25"/>
        <v>0</v>
      </c>
      <c r="BG16" s="7">
        <f t="shared" si="26"/>
        <v>0</v>
      </c>
      <c r="BH16" s="20"/>
      <c r="BJ16" s="6"/>
      <c r="BK16" s="6"/>
      <c r="BL16" s="8">
        <f>IFERROR(AVERAGEIF(Mp!$A:$A,$BJ16,Mp!$O:$O),0)</f>
        <v>0</v>
      </c>
      <c r="BM16" s="8">
        <f>IFERROR(AVERAGEIF(Mp!$A:$A,$BJ16,Mp!P:P),0)</f>
        <v>0</v>
      </c>
      <c r="BN16" s="8">
        <f>IFERROR(AVERAGEIF(Mp!$A:$A,$BJ16,Mp!Q:Q),0)</f>
        <v>0</v>
      </c>
      <c r="BO16" s="8">
        <f>IFERROR(AVERAGEIF(Mp!$A:$A,$BJ16,Mp!R:R),0)</f>
        <v>0</v>
      </c>
      <c r="BP16" s="8">
        <f>IFERROR(AVERAGEIF(Mp!$A:$A,$BJ16,Mp!S:S),0)</f>
        <v>0</v>
      </c>
      <c r="BQ16" s="8">
        <f>IFERROR(AVERAGEIF(Mp!$A:$A,$BJ16,Mp!T:T),0)</f>
        <v>0</v>
      </c>
      <c r="BR16" s="8">
        <f>IFERROR(AVERAGEIF(Mp!$A:$A,$BJ16,Mp!U:U),0)</f>
        <v>0</v>
      </c>
      <c r="BS16" s="8">
        <f>IFERROR(AVERAGEIF(Mp!$A:$A,$BJ16,Mp!V:V),0)</f>
        <v>0</v>
      </c>
      <c r="BT16" s="686">
        <f t="shared" si="39"/>
        <v>0</v>
      </c>
      <c r="BU16" s="686">
        <f t="shared" si="27"/>
        <v>0</v>
      </c>
      <c r="BV16" s="686">
        <f t="shared" si="28"/>
        <v>0</v>
      </c>
      <c r="BW16" s="686">
        <f t="shared" si="29"/>
        <v>0</v>
      </c>
      <c r="BX16" s="686">
        <f t="shared" si="30"/>
        <v>0</v>
      </c>
      <c r="BY16" s="686">
        <f t="shared" si="31"/>
        <v>0</v>
      </c>
      <c r="BZ16" s="686">
        <f t="shared" si="32"/>
        <v>0</v>
      </c>
      <c r="CA16" s="686">
        <f t="shared" si="33"/>
        <v>0</v>
      </c>
      <c r="CB16" s="20"/>
      <c r="CD16" s="6"/>
      <c r="CE16" s="6"/>
      <c r="CF16" s="8">
        <f>IFERROR(AVERAGEIF(Mp!$A:$A,$CD16,Mp!O:O),0)</f>
        <v>0</v>
      </c>
      <c r="CG16" s="8">
        <f>IFERROR(AVERAGEIF(Mp!$A:$A,$CD16,Mp!P:P),0)</f>
        <v>0</v>
      </c>
      <c r="CH16" s="8">
        <f>IFERROR(AVERAGEIF(Mp!$A:$A,$CD16,Mp!Q:Q),0)</f>
        <v>0</v>
      </c>
      <c r="CI16" s="8">
        <f>IFERROR(AVERAGEIF(Mp!$A:$A,$CD16,Mp!R:R),0)</f>
        <v>0</v>
      </c>
      <c r="CJ16" s="8">
        <f>IFERROR(AVERAGEIF(Mp!$A:$A,$CD16,Mp!S:S),0)</f>
        <v>0</v>
      </c>
      <c r="CK16" s="8">
        <f>IFERROR(AVERAGEIF(Mp!$A:$A,$CD16,Mp!T:T),0)</f>
        <v>0</v>
      </c>
      <c r="CL16" s="8">
        <f>IFERROR(AVERAGEIF(Mp!$A:$A,$CD16,Mp!U:U),0)</f>
        <v>0</v>
      </c>
      <c r="CM16" s="8">
        <f>IFERROR(AVERAGEIF(Mp!$A:$A,$CD16,Mp!V:V),0)</f>
        <v>0</v>
      </c>
      <c r="CN16" s="7">
        <f t="shared" si="40"/>
        <v>0</v>
      </c>
      <c r="CO16" s="7">
        <f t="shared" si="34"/>
        <v>0</v>
      </c>
      <c r="CP16" s="7">
        <f t="shared" si="34"/>
        <v>0</v>
      </c>
      <c r="CQ16" s="7">
        <f t="shared" si="34"/>
        <v>0</v>
      </c>
      <c r="CR16" s="7">
        <f t="shared" si="34"/>
        <v>0</v>
      </c>
      <c r="CS16" s="7">
        <f t="shared" si="34"/>
        <v>0</v>
      </c>
      <c r="CT16" s="7">
        <f t="shared" si="34"/>
        <v>0</v>
      </c>
      <c r="CU16" s="7">
        <f t="shared" si="34"/>
        <v>0</v>
      </c>
      <c r="CV16" s="20"/>
      <c r="CX16" s="6"/>
      <c r="CY16" s="6"/>
      <c r="CZ16" s="8">
        <f>IFERROR(AVERAGEIF(Mp!$A:$A,$CX16,Mp!O:AO),0)</f>
        <v>0</v>
      </c>
      <c r="DA16" s="8">
        <f>IFERROR(AVERAGEIF(Mp!$A:$A,$CX16,Mp!P:AP),0)</f>
        <v>0</v>
      </c>
      <c r="DB16" s="8">
        <f>IFERROR(AVERAGEIF(Mp!$A:$A,$CX16,Mp!Q:AQ),0)</f>
        <v>0</v>
      </c>
      <c r="DC16" s="8">
        <f>IFERROR(AVERAGEIF(Mp!$A:$A,$CX16,Mp!R:AR),0)</f>
        <v>0</v>
      </c>
      <c r="DD16" s="8">
        <f>IFERROR(AVERAGEIF(Mp!$A:$A,$CX16,Mp!S:AS),0)</f>
        <v>0</v>
      </c>
      <c r="DE16" s="8">
        <f>IFERROR(AVERAGEIF(Mp!$A:$A,$CX16,Mp!T:AT),0)</f>
        <v>0</v>
      </c>
      <c r="DF16" s="8">
        <f>IFERROR(AVERAGEIF(Mp!$A:$A,$CX16,Mp!U:AU),0)</f>
        <v>0</v>
      </c>
      <c r="DG16" s="8">
        <f>IFERROR(AVERAGEIF(Mp!$A:$A,$CX16,Mp!V:AV),0)</f>
        <v>0</v>
      </c>
      <c r="DH16" s="7">
        <f t="shared" si="41"/>
        <v>0</v>
      </c>
      <c r="DI16" s="7">
        <f t="shared" si="35"/>
        <v>0</v>
      </c>
      <c r="DJ16" s="7">
        <f t="shared" si="35"/>
        <v>0</v>
      </c>
      <c r="DK16" s="7">
        <f t="shared" si="35"/>
        <v>0</v>
      </c>
      <c r="DL16" s="7">
        <f t="shared" si="35"/>
        <v>0</v>
      </c>
      <c r="DM16" s="7">
        <f t="shared" si="35"/>
        <v>0</v>
      </c>
      <c r="DN16" s="7">
        <f t="shared" si="35"/>
        <v>0</v>
      </c>
      <c r="DO16" s="7">
        <f t="shared" si="35"/>
        <v>0</v>
      </c>
      <c r="DP16" s="20"/>
    </row>
    <row r="17" spans="2:121">
      <c r="B17" s="5" t="s">
        <v>6</v>
      </c>
      <c r="L17" s="17">
        <f>SUM(L7:L16)</f>
        <v>1071.5333333333333</v>
      </c>
      <c r="M17" s="17">
        <f t="shared" ref="M17:S17" si="42">SUM(M7:M16)</f>
        <v>1046.8880666666666</v>
      </c>
      <c r="N17" s="17">
        <f t="shared" si="42"/>
        <v>1104.4669103333331</v>
      </c>
      <c r="O17" s="17">
        <f t="shared" si="42"/>
        <v>1165.2125904016664</v>
      </c>
      <c r="P17" s="17">
        <f t="shared" si="42"/>
        <v>1254.9339598625947</v>
      </c>
      <c r="Q17" s="17">
        <f t="shared" si="42"/>
        <v>1308.8961201366867</v>
      </c>
      <c r="R17" s="17">
        <f t="shared" si="42"/>
        <v>1359.9430688220173</v>
      </c>
      <c r="S17" s="17">
        <f t="shared" si="42"/>
        <v>1421.1405069190082</v>
      </c>
      <c r="T17" s="20"/>
      <c r="V17" s="5" t="s">
        <v>6</v>
      </c>
      <c r="AF17" s="17">
        <f>SUM(AF7:AF16)</f>
        <v>4564.8596899224813</v>
      </c>
      <c r="AG17" s="17">
        <f t="shared" ref="AG17" si="43">SUM(AG7:AG16)</f>
        <v>4459.8679170542637</v>
      </c>
      <c r="AH17" s="17">
        <f t="shared" ref="AH17" si="44">SUM(AH7:AH16)</f>
        <v>4705.1606524922481</v>
      </c>
      <c r="AI17" s="17">
        <f t="shared" ref="AI17" si="45">SUM(AI7:AI16)</f>
        <v>4963.9444883793203</v>
      </c>
      <c r="AJ17" s="17">
        <f t="shared" ref="AJ17" si="46">SUM(AJ7:AJ16)</f>
        <v>5346.1682139845288</v>
      </c>
      <c r="AK17" s="17">
        <f t="shared" ref="AK17" si="47">SUM(AK7:AK16)</f>
        <v>5576.0534471858646</v>
      </c>
      <c r="AL17" s="17">
        <f t="shared" ref="AL17" si="48">SUM(AL7:AL16)</f>
        <v>5793.5195316261124</v>
      </c>
      <c r="AM17" s="17">
        <f t="shared" ref="AM17" si="49">SUM(AM7:AM16)</f>
        <v>6054.2279105492889</v>
      </c>
      <c r="AN17" s="20"/>
      <c r="AP17" s="5" t="s">
        <v>6</v>
      </c>
      <c r="AZ17" s="17">
        <f>SUM(AZ7:AZ16)</f>
        <v>1658.4818181818182</v>
      </c>
      <c r="BA17" s="17">
        <f t="shared" ref="BA17" si="50">SUM(BA7:BA16)</f>
        <v>1620.3367363636364</v>
      </c>
      <c r="BB17" s="17">
        <f t="shared" ref="BB17" si="51">SUM(BB7:BB16)</f>
        <v>1709.4552568636361</v>
      </c>
      <c r="BC17" s="17">
        <f t="shared" ref="BC17" si="52">SUM(BC7:BC16)</f>
        <v>1803.4752959911361</v>
      </c>
      <c r="BD17" s="17">
        <f t="shared" ref="BD17" si="53">SUM(BD7:BD16)</f>
        <v>1942.3428937824535</v>
      </c>
      <c r="BE17" s="17">
        <f t="shared" ref="BE17" si="54">SUM(BE7:BE16)</f>
        <v>2025.8636382150989</v>
      </c>
      <c r="BF17" s="17">
        <f t="shared" ref="BF17" si="55">SUM(BF7:BF16)</f>
        <v>2104.8723201054886</v>
      </c>
      <c r="BG17" s="17">
        <f t="shared" ref="BG17" si="56">SUM(BG7:BG16)</f>
        <v>2199.5915745102352</v>
      </c>
      <c r="BH17" s="20"/>
      <c r="BJ17" s="5" t="s">
        <v>6</v>
      </c>
      <c r="BT17" s="689">
        <f>SUM(BT7:BT16)</f>
        <v>256.89999999999998</v>
      </c>
      <c r="BU17" s="689">
        <f t="shared" ref="BU17:CA17" si="57">SUM(BU7:BU16)</f>
        <v>250.99129999999997</v>
      </c>
      <c r="BV17" s="689">
        <f t="shared" si="57"/>
        <v>264.79582149999999</v>
      </c>
      <c r="BW17" s="689">
        <f t="shared" si="57"/>
        <v>279.35959168249997</v>
      </c>
      <c r="BX17" s="689">
        <f t="shared" si="57"/>
        <v>300.87028024205244</v>
      </c>
      <c r="BY17" s="689">
        <f t="shared" si="57"/>
        <v>313.8077022924607</v>
      </c>
      <c r="BZ17" s="689">
        <f t="shared" si="57"/>
        <v>326.0462026818667</v>
      </c>
      <c r="CA17" s="689">
        <f t="shared" si="57"/>
        <v>340.71828180255073</v>
      </c>
      <c r="CB17" s="20"/>
      <c r="CD17" s="5" t="s">
        <v>6</v>
      </c>
      <c r="CN17" s="17">
        <f>SUM(CN7:CN16)</f>
        <v>615.5363636363636</v>
      </c>
      <c r="CO17" s="17">
        <f t="shared" ref="CO17:CU17" si="58">SUM(CO7:CO16)</f>
        <v>601.37902727272728</v>
      </c>
      <c r="CP17" s="17">
        <f t="shared" si="58"/>
        <v>634.45487377272707</v>
      </c>
      <c r="CQ17" s="17">
        <f t="shared" si="58"/>
        <v>669.34989183022719</v>
      </c>
      <c r="CR17" s="17">
        <f t="shared" si="58"/>
        <v>720.88983350115473</v>
      </c>
      <c r="CS17" s="17">
        <f t="shared" si="58"/>
        <v>751.88809634170445</v>
      </c>
      <c r="CT17" s="17">
        <f t="shared" si="58"/>
        <v>781.21173209903077</v>
      </c>
      <c r="CU17" s="17">
        <f t="shared" si="58"/>
        <v>816.36626004348727</v>
      </c>
      <c r="CV17" s="20"/>
      <c r="CX17" s="5" t="s">
        <v>6</v>
      </c>
      <c r="DH17" s="17">
        <f>SUM(DH7:DH16)</f>
        <v>1062.5484848484848</v>
      </c>
      <c r="DI17" s="17">
        <f t="shared" ref="DI17" si="59">SUM(DI7:DI16)</f>
        <v>1038.1098696969698</v>
      </c>
      <c r="DJ17" s="17">
        <f t="shared" ref="DJ17" si="60">SUM(DJ7:DJ16)</f>
        <v>1095.2059125303028</v>
      </c>
      <c r="DK17" s="17">
        <f t="shared" ref="DK17" si="61">SUM(DK7:DK16)</f>
        <v>1155.4422377194694</v>
      </c>
      <c r="DL17" s="17">
        <f t="shared" ref="DL17" si="62">SUM(DL7:DL16)</f>
        <v>1244.4112900238686</v>
      </c>
      <c r="DM17" s="17">
        <f t="shared" ref="DM17" si="63">SUM(DM7:DM16)</f>
        <v>1297.9209754948952</v>
      </c>
      <c r="DN17" s="17">
        <f t="shared" ref="DN17" si="64">SUM(DN7:DN16)</f>
        <v>1348.5398935391959</v>
      </c>
      <c r="DO17" s="17">
        <f t="shared" ref="DO17" si="65">SUM(DO7:DO16)</f>
        <v>1409.2241887484597</v>
      </c>
      <c r="DP17" s="20"/>
    </row>
    <row r="18" spans="2:121">
      <c r="T18" s="20"/>
      <c r="AN18" s="20"/>
      <c r="BH18" s="20"/>
      <c r="CB18" s="20"/>
      <c r="CV18" s="20"/>
      <c r="DP18" s="20"/>
    </row>
    <row r="19" spans="2:121">
      <c r="B19" s="3" t="s">
        <v>60</v>
      </c>
      <c r="T19" s="20"/>
      <c r="V19" s="3" t="s">
        <v>60</v>
      </c>
      <c r="AN19" s="20"/>
      <c r="AP19" s="3" t="s">
        <v>60</v>
      </c>
      <c r="BH19" s="20"/>
      <c r="BJ19" s="3" t="s">
        <v>60</v>
      </c>
      <c r="CB19" s="20"/>
      <c r="CD19" s="3" t="s">
        <v>60</v>
      </c>
      <c r="CV19" s="20"/>
      <c r="CX19" s="3" t="s">
        <v>60</v>
      </c>
      <c r="DP19" s="20"/>
    </row>
    <row r="20" spans="2:121">
      <c r="B20" s="15" t="s">
        <v>15</v>
      </c>
      <c r="C20" s="7">
        <f>VLOOKUP(B20,'Inf Base'!$B$59:$C$90,2,0)/($L$3+$AF$3+$AZ$3+$BT$3+$CN$3+$DH$3)*$L$3</f>
        <v>20948.374760994262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20"/>
      <c r="V20" s="15" t="s">
        <v>15</v>
      </c>
      <c r="W20" s="7">
        <f>VLOOKUP(V20,'Inf Base'!$B$59:$C$90,2,0)/($L$3+$AF$3+$AZ$3+$BT$3+$CN$3+$DH$3)*$AF$3</f>
        <v>24481.835564053537</v>
      </c>
      <c r="AF20" s="12"/>
      <c r="AG20" s="12"/>
      <c r="AH20" s="12"/>
      <c r="AI20" s="12"/>
      <c r="AJ20" s="12"/>
      <c r="AK20" s="12"/>
      <c r="AL20" s="12"/>
      <c r="AM20" s="12"/>
      <c r="AN20" s="20"/>
      <c r="AP20" s="15" t="s">
        <v>15</v>
      </c>
      <c r="AQ20" s="7">
        <f>VLOOKUP(AP20,'Inf Base'!$B$59:$C$90,2,0)/($L$3+$AF$3+$AZ$3+$BT$3+$CN$3+$DH$3)*$AZ$3</f>
        <v>25743.785850860419</v>
      </c>
      <c r="AZ20" s="12"/>
      <c r="BA20" s="12"/>
      <c r="BB20" s="12"/>
      <c r="BC20" s="12"/>
      <c r="BD20" s="12"/>
      <c r="BE20" s="12"/>
      <c r="BF20" s="12"/>
      <c r="BG20" s="12"/>
      <c r="BH20" s="20"/>
      <c r="BJ20" s="15" t="s">
        <v>15</v>
      </c>
      <c r="BK20" s="7">
        <f>VLOOKUP(BJ20,'Inf Base'!$B$59:$C$90,2,0)/($L$3+$AF$3+$AZ$3+$BT$3+$CN$3+$DH$3)*$BT$3</f>
        <v>21705.544933078392</v>
      </c>
      <c r="CB20" s="20"/>
      <c r="CD20" s="15" t="s">
        <v>15</v>
      </c>
      <c r="CE20" s="7">
        <f>VLOOKUP(CD20,'Inf Base'!$B$59:$C$90,2,0)/($L$3+$AF$3+$AZ$3+$BT$3+$CN$3+$DH$3)*$CN$3</f>
        <v>21453.154875717017</v>
      </c>
      <c r="CN20" s="12"/>
      <c r="CO20" s="12"/>
      <c r="CP20" s="12"/>
      <c r="CQ20" s="12"/>
      <c r="CR20" s="12"/>
      <c r="CS20" s="12"/>
      <c r="CT20" s="12"/>
      <c r="CU20" s="12"/>
      <c r="CV20" s="20"/>
      <c r="CX20" s="15" t="s">
        <v>15</v>
      </c>
      <c r="CY20" s="7">
        <f>VLOOKUP(CX20,'Inf Base'!$B$59:$C$90,2,0)/($L$3+$AF$3+$AZ$3+$BT$3+$CN$3+$DH$3)*$DH$3</f>
        <v>17667.304015296366</v>
      </c>
      <c r="DH20" s="12"/>
      <c r="DI20" s="12"/>
      <c r="DJ20" s="12"/>
      <c r="DK20" s="12"/>
      <c r="DL20" s="12"/>
      <c r="DM20" s="12"/>
      <c r="DN20" s="12"/>
      <c r="DO20" s="12"/>
      <c r="DP20" s="20"/>
    </row>
    <row r="21" spans="2:121">
      <c r="B21" s="15" t="s">
        <v>16</v>
      </c>
      <c r="C21" s="7">
        <f>VLOOKUP(B21,'Inf Base'!$B$59:$C$90,2,0)/($L$3+$AF$3+$AZ$3+$BT$3+$CN$3+$DH$3)*$L$3</f>
        <v>66653.919694072654</v>
      </c>
      <c r="D21" s="12"/>
      <c r="E21" s="12"/>
      <c r="F21" s="12"/>
      <c r="G21" s="12"/>
      <c r="H21" s="12"/>
      <c r="I21" s="12"/>
      <c r="J21" s="12"/>
      <c r="K21" s="12"/>
      <c r="T21" s="20"/>
      <c r="V21" s="15" t="s">
        <v>16</v>
      </c>
      <c r="W21" s="7">
        <f>VLOOKUP(V21,'Inf Base'!$B$59:$C$90,2,0)/($L$3+$AF$3+$AZ$3+$BT$3+$CN$3+$DH$3)*$AF$3</f>
        <v>77896.749521988531</v>
      </c>
      <c r="AN21" s="20"/>
      <c r="AP21" s="15" t="s">
        <v>16</v>
      </c>
      <c r="AQ21" s="7">
        <f>VLOOKUP(AP21,'Inf Base'!$B$59:$C$90,2,0)/($L$3+$AF$3+$AZ$3+$BT$3+$CN$3+$DH$3)*$AZ$3</f>
        <v>81912.04588910134</v>
      </c>
      <c r="BH21" s="20"/>
      <c r="BJ21" s="15" t="s">
        <v>16</v>
      </c>
      <c r="BK21" s="7">
        <f>VLOOKUP(BJ21,'Inf Base'!$B$59:$C$90,2,0)/($L$3+$AF$3+$AZ$3+$BT$3+$CN$3+$DH$3)*$BT$3</f>
        <v>69063.097514340348</v>
      </c>
      <c r="CB21" s="20"/>
      <c r="CD21" s="15" t="s">
        <v>16</v>
      </c>
      <c r="CE21" s="7">
        <f>VLOOKUP(CD21,'Inf Base'!$B$59:$C$90,2,0)/($L$3+$AF$3+$AZ$3+$BT$3+$CN$3+$DH$3)*$CN$3</f>
        <v>68260.038240917784</v>
      </c>
      <c r="CV21" s="20"/>
      <c r="CX21" s="15" t="s">
        <v>16</v>
      </c>
      <c r="CY21" s="7">
        <f>VLOOKUP(CX21,'Inf Base'!$B$59:$C$90,2,0)/($L$3+$AF$3+$AZ$3+$BT$3+$CN$3+$DH$3)*$DH$3</f>
        <v>56214.149139579349</v>
      </c>
      <c r="DP21" s="20"/>
    </row>
    <row r="22" spans="2:121">
      <c r="B22" s="15" t="s">
        <v>9</v>
      </c>
      <c r="C22" s="7">
        <f>VLOOKUP(B22,'Inf Base'!$B$59:$C$90,2,0)/($L$3+$AF$3+$AZ$3+$BT$3+$CN$3+$DH$3)*$L$3</f>
        <v>102837.47609942638</v>
      </c>
      <c r="D22" s="12"/>
      <c r="E22" s="12"/>
      <c r="F22" s="12"/>
      <c r="G22" s="12"/>
      <c r="H22" s="12"/>
      <c r="I22" s="12"/>
      <c r="J22" s="12"/>
      <c r="K22" s="12"/>
      <c r="T22" s="20"/>
      <c r="V22" s="15" t="s">
        <v>9</v>
      </c>
      <c r="W22" s="7">
        <f>VLOOKUP(V22,'Inf Base'!$B$59:$C$90,2,0)/($L$3+$AF$3+$AZ$3+$BT$3+$CN$3+$DH$3)*$AF$3</f>
        <v>120183.55640535372</v>
      </c>
      <c r="AN22" s="20"/>
      <c r="AP22" s="15" t="s">
        <v>9</v>
      </c>
      <c r="AQ22" s="7">
        <f>VLOOKUP(AP22,'Inf Base'!$B$59:$C$90,2,0)/($L$3+$AF$3+$AZ$3+$BT$3+$CN$3+$DH$3)*$AZ$3</f>
        <v>126378.58508604206</v>
      </c>
      <c r="BH22" s="20"/>
      <c r="BJ22" s="15" t="s">
        <v>9</v>
      </c>
      <c r="BK22" s="7">
        <f>VLOOKUP(BJ22,'Inf Base'!$B$59:$C$90,2,0)/($L$3+$AF$3+$AZ$3+$BT$3+$CN$3+$DH$3)*$BT$3</f>
        <v>106554.49330783938</v>
      </c>
      <c r="CB22" s="20"/>
      <c r="CD22" s="15" t="s">
        <v>9</v>
      </c>
      <c r="CE22" s="7">
        <f>VLOOKUP(CD22,'Inf Base'!$B$59:$C$90,2,0)/($L$3+$AF$3+$AZ$3+$BT$3+$CN$3+$DH$3)*$CN$3</f>
        <v>105315.48757170171</v>
      </c>
      <c r="CV22" s="20"/>
      <c r="CX22" s="15" t="s">
        <v>9</v>
      </c>
      <c r="CY22" s="7">
        <f>VLOOKUP(CX22,'Inf Base'!$B$59:$C$90,2,0)/($L$3+$AF$3+$AZ$3+$BT$3+$CN$3+$DH$3)*$DH$3</f>
        <v>86730.4015296367</v>
      </c>
      <c r="DP22" s="20"/>
    </row>
    <row r="23" spans="2:121">
      <c r="B23" s="5" t="s">
        <v>6</v>
      </c>
      <c r="C23" s="17">
        <f>SUM(C20:C22)</f>
        <v>190439.7705544933</v>
      </c>
      <c r="T23" s="20"/>
      <c r="V23" s="5" t="s">
        <v>6</v>
      </c>
      <c r="W23" s="17">
        <f>SUM(W20:W22)</f>
        <v>222562.14149139577</v>
      </c>
      <c r="AN23" s="20"/>
      <c r="AP23" s="5" t="s">
        <v>6</v>
      </c>
      <c r="AQ23" s="17">
        <f>SUM(AQ20:AQ22)</f>
        <v>234034.41682600381</v>
      </c>
      <c r="BH23" s="20"/>
      <c r="BJ23" s="5" t="s">
        <v>6</v>
      </c>
      <c r="BK23" s="17">
        <f>SUM(BK20:BK22)</f>
        <v>197323.13575525812</v>
      </c>
      <c r="CB23" s="20"/>
      <c r="CD23" s="5" t="s">
        <v>6</v>
      </c>
      <c r="CE23" s="17">
        <f>SUM(CE20:CE22)</f>
        <v>195028.68068833649</v>
      </c>
      <c r="CV23" s="20"/>
      <c r="CX23" s="5" t="s">
        <v>6</v>
      </c>
      <c r="CY23" s="17">
        <f>SUM(CY20:CY22)</f>
        <v>160611.85468451242</v>
      </c>
      <c r="DP23" s="20"/>
      <c r="DQ23" s="12"/>
    </row>
    <row r="24" spans="2:121">
      <c r="B24" s="5" t="s">
        <v>523</v>
      </c>
      <c r="C24" s="17">
        <f>+C23/L3</f>
        <v>458.89101338432118</v>
      </c>
      <c r="T24" s="20"/>
      <c r="V24" s="5" t="s">
        <v>523</v>
      </c>
      <c r="W24" s="17">
        <f>+W23/AF3</f>
        <v>458.89101338432118</v>
      </c>
      <c r="AN24" s="20"/>
      <c r="AP24" s="5" t="s">
        <v>523</v>
      </c>
      <c r="AQ24" s="17">
        <f>+AQ23/AZ3</f>
        <v>458.89101338432118</v>
      </c>
      <c r="BH24" s="20"/>
      <c r="BJ24" s="5" t="s">
        <v>523</v>
      </c>
      <c r="BK24" s="17">
        <f>+BK23/BT3</f>
        <v>458.89101338432118</v>
      </c>
      <c r="CB24" s="20"/>
      <c r="CD24" s="5" t="s">
        <v>523</v>
      </c>
      <c r="CE24" s="17">
        <f>+CE23/CN3</f>
        <v>458.89101338432118</v>
      </c>
      <c r="CV24" s="20"/>
      <c r="CX24" s="5" t="s">
        <v>523</v>
      </c>
      <c r="CY24" s="17">
        <f>+CY23/DH3</f>
        <v>458.89101338432118</v>
      </c>
      <c r="DP24" s="20"/>
    </row>
    <row r="25" spans="2:121">
      <c r="C25" s="9"/>
      <c r="T25" s="20"/>
      <c r="W25" s="9"/>
      <c r="AN25" s="20"/>
      <c r="AQ25" s="9"/>
      <c r="BH25" s="20"/>
      <c r="BK25" s="9"/>
      <c r="CB25" s="20"/>
      <c r="CE25" s="9"/>
      <c r="CV25" s="20"/>
      <c r="CY25" s="9"/>
      <c r="DP25" s="20"/>
    </row>
    <row r="26" spans="2:121">
      <c r="B26" s="3" t="s">
        <v>17</v>
      </c>
      <c r="C26" s="9"/>
      <c r="T26" s="20"/>
      <c r="V26" s="3" t="s">
        <v>17</v>
      </c>
      <c r="W26" s="9"/>
      <c r="AN26" s="20"/>
      <c r="AP26" s="3" t="s">
        <v>17</v>
      </c>
      <c r="AQ26" s="9"/>
      <c r="BH26" s="20"/>
      <c r="BJ26" s="3" t="s">
        <v>17</v>
      </c>
      <c r="BK26" s="9"/>
      <c r="CB26" s="20"/>
      <c r="CD26" s="3" t="s">
        <v>17</v>
      </c>
      <c r="CE26" s="9"/>
      <c r="CV26" s="20"/>
      <c r="CX26" s="3" t="s">
        <v>17</v>
      </c>
      <c r="CY26" s="9"/>
      <c r="DP26" s="20"/>
    </row>
    <row r="27" spans="2:121">
      <c r="B27" s="176" t="s">
        <v>368</v>
      </c>
      <c r="C27" s="7">
        <f>VLOOKUP(B27,'Inf Base'!$B$59:$C$90,2,0)/($L$3+$AF$3+$AZ$3+$BT$3+$CN$3+$DH$3)*$L$3</f>
        <v>1173105.5163798598</v>
      </c>
      <c r="T27" s="20"/>
      <c r="V27" s="176" t="s">
        <v>368</v>
      </c>
      <c r="W27" s="7">
        <f>VLOOKUP(V27,'Inf Base'!$B$59:$C$90,2,0)/($L$3+$AF$3+$AZ$3+$BT$3+$CN$3+$DH$3)*$AF$3</f>
        <v>1370978.7360101976</v>
      </c>
      <c r="AN27" s="20"/>
      <c r="AP27" s="176" t="s">
        <v>368</v>
      </c>
      <c r="AQ27" s="7">
        <f>VLOOKUP(AP27,'Inf Base'!$B$59:$C$90,2,0)/($L$3+$AF$3+$AZ$3+$BT$3+$CN$3+$DH$3)*$AZ$3</f>
        <v>1441647.7430210325</v>
      </c>
      <c r="BH27" s="20"/>
      <c r="BJ27" s="176" t="s">
        <v>368</v>
      </c>
      <c r="BK27" s="7">
        <f>VLOOKUP(BJ27,'Inf Base'!$B$59:$C$90,2,0)/($L$3+$AF$3+$AZ$3+$BT$3+$CN$3+$DH$3)*$BT$3</f>
        <v>1215506.9205863606</v>
      </c>
      <c r="CB27" s="20"/>
      <c r="CD27" s="176" t="s">
        <v>368</v>
      </c>
      <c r="CE27" s="7">
        <f>VLOOKUP(CD27,'Inf Base'!$B$59:$C$90,2,0)/($L$3+$AF$3+$AZ$3+$BT$3+$CN$3+$DH$3)*$CN$3</f>
        <v>1201373.1191841937</v>
      </c>
      <c r="CV27" s="20"/>
      <c r="CX27" s="176" t="s">
        <v>368</v>
      </c>
      <c r="CY27" s="7">
        <f>VLOOKUP(CX27,'Inf Base'!$B$59:$C$90,2,0)/($L$3+$AF$3+$AZ$3+$BT$3+$CN$3+$DH$3)*$DH$3</f>
        <v>989366.09815168893</v>
      </c>
      <c r="DP27" s="20"/>
    </row>
    <row r="28" spans="2:121">
      <c r="B28" s="6" t="s">
        <v>749</v>
      </c>
      <c r="C28" s="7">
        <f>VLOOKUP(B28,'Inf Base'!$B$59:$C$90,2,0)/($L$3+$AF$3+$AZ$3+$BT$3+$CN$3+$DH$3)*$L$3</f>
        <v>19043.97705544933</v>
      </c>
      <c r="T28" s="20"/>
      <c r="V28" s="6" t="str">
        <f>+B28</f>
        <v>Dotación y uniformes OP</v>
      </c>
      <c r="W28" s="7">
        <f>VLOOKUP(V28,'Inf Base'!$B$59:$C$90,2,0)/($L$3+$AF$3+$AZ$3+$BT$3+$CN$3+$DH$3)*$AF$3</f>
        <v>22256.214149139578</v>
      </c>
      <c r="AN28" s="20"/>
      <c r="AP28" s="6" t="str">
        <f>+V28</f>
        <v>Dotación y uniformes OP</v>
      </c>
      <c r="AQ28" s="7">
        <f>VLOOKUP(AP28,'Inf Base'!$B$59:$C$90,2,0)/($L$3+$AF$3+$AZ$3+$BT$3+$CN$3+$DH$3)*$AZ$3</f>
        <v>23403.44168260038</v>
      </c>
      <c r="BH28" s="20"/>
      <c r="BJ28" s="6" t="str">
        <f>+AP28</f>
        <v>Dotación y uniformes OP</v>
      </c>
      <c r="BK28" s="7">
        <f>VLOOKUP(BJ28,'Inf Base'!$B$59:$C$90,2,0)/($L$3+$AF$3+$AZ$3+$BT$3+$CN$3+$DH$3)*$BT$3</f>
        <v>19732.313575525812</v>
      </c>
      <c r="CB28" s="20"/>
      <c r="CD28" s="6" t="str">
        <f>+BJ28</f>
        <v>Dotación y uniformes OP</v>
      </c>
      <c r="CE28" s="7">
        <f>VLOOKUP(CD28,'Inf Base'!$B$59:$C$90,2,0)/($L$3+$AF$3+$AZ$3+$BT$3+$CN$3+$DH$3)*$CN$3</f>
        <v>19502.86806883365</v>
      </c>
      <c r="CV28" s="20"/>
      <c r="CX28" s="6" t="str">
        <f>+CD28</f>
        <v>Dotación y uniformes OP</v>
      </c>
      <c r="CY28" s="7">
        <f>VLOOKUP(CX28,'Inf Base'!$B$59:$C$90,2,0)/($L$3+$AF$3+$AZ$3+$BT$3+$CN$3+$DH$3)*$DH$3</f>
        <v>16061.185468451242</v>
      </c>
      <c r="DP28" s="20"/>
    </row>
    <row r="29" spans="2:121">
      <c r="B29" s="5" t="s">
        <v>6</v>
      </c>
      <c r="C29" s="17">
        <f>SUM(C27:C28)</f>
        <v>1192149.493435309</v>
      </c>
      <c r="T29" s="20"/>
      <c r="V29" s="5" t="s">
        <v>6</v>
      </c>
      <c r="W29" s="17">
        <f>SUM(W27:W28)</f>
        <v>1393234.9501593371</v>
      </c>
      <c r="AN29" s="20"/>
      <c r="AP29" s="5" t="s">
        <v>6</v>
      </c>
      <c r="AQ29" s="17">
        <f>SUM(AQ27:AQ28)</f>
        <v>1465051.184703633</v>
      </c>
      <c r="BH29" s="20"/>
      <c r="BJ29" s="5" t="s">
        <v>6</v>
      </c>
      <c r="BK29" s="17">
        <f>SUM(BK27:BK28)</f>
        <v>1235239.2341618864</v>
      </c>
      <c r="CB29" s="20"/>
      <c r="CD29" s="5" t="s">
        <v>6</v>
      </c>
      <c r="CE29" s="17">
        <f>SUM(CE27:CE28)</f>
        <v>1220875.9872530273</v>
      </c>
      <c r="CV29" s="20"/>
      <c r="CX29" s="5" t="s">
        <v>6</v>
      </c>
      <c r="CY29" s="17">
        <f>SUM(CY27:CY28)</f>
        <v>1005427.2836201402</v>
      </c>
      <c r="DP29" s="20"/>
      <c r="DQ29" s="12"/>
    </row>
    <row r="30" spans="2:121">
      <c r="B30" s="5" t="s">
        <v>523</v>
      </c>
      <c r="C30" s="17">
        <f>+C29/L3</f>
        <v>2872.6493817718292</v>
      </c>
      <c r="T30" s="20"/>
      <c r="V30" s="5" t="s">
        <v>523</v>
      </c>
      <c r="W30" s="17">
        <f>+W29/AF3</f>
        <v>2872.6493817718292</v>
      </c>
      <c r="AN30" s="20"/>
      <c r="AP30" s="5" t="s">
        <v>523</v>
      </c>
      <c r="AQ30" s="17">
        <f>+AQ29/AZ3</f>
        <v>2872.6493817718292</v>
      </c>
      <c r="BH30" s="20"/>
      <c r="BJ30" s="5" t="s">
        <v>523</v>
      </c>
      <c r="BK30" s="17">
        <f>+BK29/BT3</f>
        <v>2872.6493817718288</v>
      </c>
      <c r="CB30" s="20"/>
      <c r="CD30" s="5" t="s">
        <v>523</v>
      </c>
      <c r="CE30" s="17">
        <f>+CE29/CN3</f>
        <v>2872.6493817718288</v>
      </c>
      <c r="CV30" s="20"/>
      <c r="CX30" s="5" t="s">
        <v>523</v>
      </c>
      <c r="CY30" s="17">
        <f>+CY29/DH3</f>
        <v>2872.6493817718292</v>
      </c>
      <c r="DP30" s="20"/>
    </row>
    <row r="31" spans="2:121">
      <c r="T31" s="20"/>
      <c r="AN31" s="20"/>
      <c r="BH31" s="20"/>
      <c r="CB31" s="20"/>
      <c r="CV31" s="20"/>
      <c r="DP31" s="20"/>
    </row>
    <row r="32" spans="2:121">
      <c r="B32" s="3" t="s">
        <v>20</v>
      </c>
      <c r="T32" s="20"/>
      <c r="V32" s="3" t="s">
        <v>20</v>
      </c>
      <c r="AN32" s="20"/>
      <c r="AP32" s="3" t="s">
        <v>20</v>
      </c>
      <c r="BH32" s="20"/>
      <c r="BJ32" s="3" t="s">
        <v>20</v>
      </c>
      <c r="CB32" s="20"/>
      <c r="CD32" s="3" t="s">
        <v>20</v>
      </c>
      <c r="CV32" s="20"/>
      <c r="CX32" s="3" t="s">
        <v>20</v>
      </c>
      <c r="DP32" s="20"/>
    </row>
    <row r="33" spans="2:121">
      <c r="B33" s="6" t="s">
        <v>370</v>
      </c>
      <c r="C33" s="7">
        <f>VLOOKUP(B33,'Inf Base'!$B$59:$C$90,2,0)/($L$3+$AF$3+$AZ$3+$BT$3+$CN$3+$DH$3)*$L$3</f>
        <v>209184.65137029954</v>
      </c>
      <c r="D33" s="26"/>
      <c r="E33" s="26"/>
      <c r="F33" s="26"/>
      <c r="G33" s="26"/>
      <c r="H33" s="26"/>
      <c r="I33" s="26"/>
      <c r="J33" s="26"/>
      <c r="K33" s="26"/>
      <c r="T33" s="20"/>
      <c r="V33" s="6" t="s">
        <v>370</v>
      </c>
      <c r="W33" s="7">
        <f>VLOOKUP(V33,'Inf Base'!$B$59:$C$90,2,0)/($L$3+$AF$3+$AZ$3+$BT$3+$CN$3+$DH$3)*$AF$3</f>
        <v>244468.80943275971</v>
      </c>
      <c r="AN33" s="20"/>
      <c r="AP33" s="6" t="s">
        <v>370</v>
      </c>
      <c r="AQ33" s="7">
        <f>VLOOKUP(AP33,'Inf Base'!$B$59:$C$90,2,0)/($L$3+$AF$3+$AZ$3+$BT$3+$CN$3+$DH$3)*$AZ$3</f>
        <v>257070.29445506691</v>
      </c>
      <c r="BH33" s="20"/>
      <c r="BJ33" s="6" t="s">
        <v>370</v>
      </c>
      <c r="BK33" s="7">
        <f>VLOOKUP(BJ33,'Inf Base'!$B$59:$C$90,2,0)/($L$3+$AF$3+$AZ$3+$BT$3+$CN$3+$DH$3)*$BT$3</f>
        <v>216745.54238368387</v>
      </c>
      <c r="CB33" s="20"/>
      <c r="CD33" s="6" t="s">
        <v>370</v>
      </c>
      <c r="CE33" s="7">
        <f>VLOOKUP(CD33,'Inf Base'!$B$59:$C$90,2,0)/($L$3+$AF$3+$AZ$3+$BT$3+$CN$3+$DH$3)*$CN$3</f>
        <v>214225.24537922244</v>
      </c>
      <c r="CV33" s="20"/>
      <c r="CX33" s="6" t="s">
        <v>370</v>
      </c>
      <c r="CY33" s="7">
        <f>VLOOKUP(CX33,'Inf Base'!$B$59:$C$90,2,0)/($L$3+$AF$3+$AZ$3+$BT$3+$CN$3+$DH$3)*$DH$3</f>
        <v>176420.79031230081</v>
      </c>
      <c r="DP33" s="20"/>
    </row>
    <row r="34" spans="2:121">
      <c r="B34" s="6" t="s">
        <v>748</v>
      </c>
      <c r="C34" s="7">
        <f>VLOOKUP(B34,'Inf Base'!$B$59:$C$90,2,0)/($L$3+$AF$3+$AZ$3+$BT$3+$CN$3+$DH$3)*$L$3</f>
        <v>7934.990439770555</v>
      </c>
      <c r="D34" s="26"/>
      <c r="E34" s="26"/>
      <c r="F34" s="26"/>
      <c r="G34" s="26"/>
      <c r="H34" s="26"/>
      <c r="I34" s="26"/>
      <c r="J34" s="26"/>
      <c r="K34" s="26"/>
      <c r="T34" s="20"/>
      <c r="V34" s="6" t="str">
        <f>+B34</f>
        <v>Dotación y uniformes AD</v>
      </c>
      <c r="W34" s="7">
        <f>VLOOKUP(V34,'Inf Base'!$B$59:$C$90,2,0)/($L$3+$AF$3+$AZ$3+$BT$3+$CN$3+$DH$3)*$AF$3</f>
        <v>9273.4225621414917</v>
      </c>
      <c r="AN34" s="20"/>
      <c r="AP34" s="6" t="str">
        <f>+V34</f>
        <v>Dotación y uniformes AD</v>
      </c>
      <c r="AQ34" s="7">
        <f>VLOOKUP(AP34,'Inf Base'!$B$59:$C$90,2,0)/($L$3+$AF$3+$AZ$3+$BT$3+$CN$3+$DH$3)*$AZ$3</f>
        <v>9751.4340344168268</v>
      </c>
      <c r="BH34" s="20"/>
      <c r="BJ34" s="6" t="str">
        <f>+AP34</f>
        <v>Dotación y uniformes AD</v>
      </c>
      <c r="BK34" s="7">
        <f>VLOOKUP(BJ34,'Inf Base'!$B$59:$C$90,2,0)/($L$3+$AF$3+$AZ$3+$BT$3+$CN$3+$DH$3)*$BT$3</f>
        <v>8221.7973231357555</v>
      </c>
      <c r="CB34" s="20"/>
      <c r="CD34" s="6" t="str">
        <f>+BJ34</f>
        <v>Dotación y uniformes AD</v>
      </c>
      <c r="CE34" s="7">
        <f>VLOOKUP(CD34,'Inf Base'!$B$59:$C$90,2,0)/($L$3+$AF$3+$AZ$3+$BT$3+$CN$3+$DH$3)*$CN$3</f>
        <v>8126.1950286806887</v>
      </c>
      <c r="CV34" s="20"/>
      <c r="CX34" s="6" t="str">
        <f>+CD34</f>
        <v>Dotación y uniformes AD</v>
      </c>
      <c r="CY34" s="7">
        <f>VLOOKUP(CX34,'Inf Base'!$B$59:$C$90,2,0)/($L$3+$AF$3+$AZ$3+$BT$3+$CN$3+$DH$3)*$DH$3</f>
        <v>6692.1606118546852</v>
      </c>
      <c r="DP34" s="20"/>
    </row>
    <row r="35" spans="2:121">
      <c r="B35" s="6" t="s">
        <v>372</v>
      </c>
      <c r="C35" s="7">
        <f>VLOOKUP(B35,'Inf Base'!$B$59:$C$90,2,0)/($L$3+$AF$3+$AZ$3+$BT$3+$CN$3+$DH$3)*$L$3</f>
        <v>293276.37909496494</v>
      </c>
      <c r="D35" s="26"/>
      <c r="E35" s="26"/>
      <c r="F35" s="26"/>
      <c r="G35" s="26"/>
      <c r="H35" s="26"/>
      <c r="I35" s="26"/>
      <c r="J35" s="26"/>
      <c r="K35" s="26"/>
      <c r="T35" s="20"/>
      <c r="V35" s="6" t="s">
        <v>372</v>
      </c>
      <c r="W35" s="7">
        <f>VLOOKUP(V35,'Inf Base'!$B$59:$C$90,2,0)/($L$3+$AF$3+$AZ$3+$BT$3+$CN$3+$DH$3)*$AF$3</f>
        <v>342744.68400254939</v>
      </c>
      <c r="AN35" s="20"/>
      <c r="AP35" s="6" t="s">
        <v>372</v>
      </c>
      <c r="AQ35" s="7">
        <f>VLOOKUP(AP35,'Inf Base'!$B$59:$C$90,2,0)/($L$3+$AF$3+$AZ$3+$BT$3+$CN$3+$DH$3)*$AZ$3</f>
        <v>360411.93575525814</v>
      </c>
      <c r="BH35" s="20"/>
      <c r="BJ35" s="6" t="s">
        <v>372</v>
      </c>
      <c r="BK35" s="7">
        <f>VLOOKUP(BJ35,'Inf Base'!$B$59:$C$90,2,0)/($L$3+$AF$3+$AZ$3+$BT$3+$CN$3+$DH$3)*$BT$3</f>
        <v>303876.73014659015</v>
      </c>
      <c r="CB35" s="20"/>
      <c r="CD35" s="6" t="s">
        <v>372</v>
      </c>
      <c r="CE35" s="7">
        <f>VLOOKUP(CD35,'Inf Base'!$B$59:$C$90,2,0)/($L$3+$AF$3+$AZ$3+$BT$3+$CN$3+$DH$3)*$CN$3</f>
        <v>300343.27979604842</v>
      </c>
      <c r="CV35" s="20"/>
      <c r="CX35" s="6" t="s">
        <v>372</v>
      </c>
      <c r="CY35" s="7">
        <f>VLOOKUP(CX35,'Inf Base'!$B$59:$C$90,2,0)/($L$3+$AF$3+$AZ$3+$BT$3+$CN$3+$DH$3)*$DH$3</f>
        <v>247341.52453792223</v>
      </c>
      <c r="DP35" s="20"/>
    </row>
    <row r="36" spans="2:121">
      <c r="B36" s="153" t="s">
        <v>45</v>
      </c>
      <c r="C36" s="7">
        <f>VLOOKUP(B36,'Inf Base'!$B$59:$C$90,2,0)/($L$3+$AF$3+$AZ$3+$BT$3+$CN$3+$DH$3)*$L$3</f>
        <v>10447.737412364562</v>
      </c>
      <c r="D36" s="26"/>
      <c r="E36" s="26"/>
      <c r="F36" s="26"/>
      <c r="G36" s="26"/>
      <c r="H36" s="26"/>
      <c r="I36" s="26"/>
      <c r="J36" s="26"/>
      <c r="K36" s="26"/>
      <c r="T36" s="20"/>
      <c r="V36" s="6" t="s">
        <v>45</v>
      </c>
      <c r="W36" s="7">
        <f>VLOOKUP(V36,'Inf Base'!$B$59:$C$90,2,0)/($L$3+$AF$3+$AZ$3+$BT$3+$CN$3+$DH$3)*$AF$3</f>
        <v>12210.006373486296</v>
      </c>
      <c r="AN36" s="20"/>
      <c r="AP36" s="6" t="s">
        <v>45</v>
      </c>
      <c r="AQ36" s="7">
        <f>VLOOKUP(AP36,'Inf Base'!$B$59:$C$90,2,0)/($L$3+$AF$3+$AZ$3+$BT$3+$CN$3+$DH$3)*$AZ$3</f>
        <v>12839.388145315486</v>
      </c>
      <c r="BH36" s="20"/>
      <c r="BJ36" s="6" t="s">
        <v>45</v>
      </c>
      <c r="BK36" s="7">
        <f>VLOOKUP(BJ36,'Inf Base'!$B$59:$C$90,2,0)/($L$3+$AF$3+$AZ$3+$BT$3+$CN$3+$DH$3)*$BT$3</f>
        <v>10825.366475462077</v>
      </c>
      <c r="CB36" s="20"/>
      <c r="CD36" s="6" t="s">
        <v>45</v>
      </c>
      <c r="CE36" s="7">
        <f>VLOOKUP(CD36,'Inf Base'!$B$59:$C$90,2,0)/($L$3+$AF$3+$AZ$3+$BT$3+$CN$3+$DH$3)*$CN$3</f>
        <v>10699.490121096238</v>
      </c>
      <c r="CV36" s="20"/>
      <c r="CX36" s="6" t="s">
        <v>45</v>
      </c>
      <c r="CY36" s="7">
        <f>VLOOKUP(CX36,'Inf Base'!$B$59:$C$90,2,0)/($L$3+$AF$3+$AZ$3+$BT$3+$CN$3+$DH$3)*$DH$3</f>
        <v>8811.3448056086672</v>
      </c>
      <c r="DP36" s="20"/>
    </row>
    <row r="37" spans="2:121">
      <c r="B37" s="153" t="s">
        <v>21</v>
      </c>
      <c r="C37" s="7">
        <f>VLOOKUP(B37,'Inf Base'!$B$59:$C$90,2,0)/($L$3+$AF$3+$AZ$3+$BT$3+$CN$3+$DH$3)*$L$3</f>
        <v>396749.52198852773</v>
      </c>
      <c r="D37" s="26"/>
      <c r="E37" s="26"/>
      <c r="F37" s="26"/>
      <c r="G37" s="26"/>
      <c r="H37" s="26"/>
      <c r="I37" s="26"/>
      <c r="J37" s="26"/>
      <c r="K37" s="26"/>
      <c r="T37" s="20"/>
      <c r="V37" s="6" t="s">
        <v>21</v>
      </c>
      <c r="W37" s="7">
        <f>VLOOKUP(V37,'Inf Base'!$B$59:$C$90,2,0)/($L$3+$AF$3+$AZ$3+$BT$3+$CN$3+$DH$3)*$AF$3</f>
        <v>463671.12810707453</v>
      </c>
      <c r="AN37" s="20"/>
      <c r="AP37" s="6" t="s">
        <v>21</v>
      </c>
      <c r="AQ37" s="7">
        <f>VLOOKUP(AP37,'Inf Base'!$B$59:$C$90,2,0)/($L$3+$AF$3+$AZ$3+$BT$3+$CN$3+$DH$3)*$AZ$3</f>
        <v>487571.70172084129</v>
      </c>
      <c r="BH37" s="20"/>
      <c r="BJ37" s="6" t="s">
        <v>21</v>
      </c>
      <c r="BK37" s="7">
        <f>VLOOKUP(BJ37,'Inf Base'!$B$59:$C$90,2,0)/($L$3+$AF$3+$AZ$3+$BT$3+$CN$3+$DH$3)*$BT$3</f>
        <v>411089.86615678773</v>
      </c>
      <c r="CB37" s="20"/>
      <c r="CD37" s="6" t="s">
        <v>21</v>
      </c>
      <c r="CE37" s="7">
        <f>VLOOKUP(CD37,'Inf Base'!$B$59:$C$90,2,0)/($L$3+$AF$3+$AZ$3+$BT$3+$CN$3+$DH$3)*$CN$3</f>
        <v>406309.75143403444</v>
      </c>
      <c r="CV37" s="20"/>
      <c r="CX37" s="6" t="s">
        <v>21</v>
      </c>
      <c r="CY37" s="7">
        <f>VLOOKUP(CX37,'Inf Base'!$B$59:$C$90,2,0)/($L$3+$AF$3+$AZ$3+$BT$3+$CN$3+$DH$3)*$DH$3</f>
        <v>334608.03059273423</v>
      </c>
      <c r="DP37" s="20"/>
    </row>
    <row r="38" spans="2:121">
      <c r="B38" s="153" t="s">
        <v>425</v>
      </c>
      <c r="C38" s="7">
        <f>VLOOKUP(B38,'Inf Base'!$B$59:$C$90,2,0)/($L$3+$AF$3+$AZ$3+$BT$3+$CN$3+$DH$3)*$L$3</f>
        <v>142829.82791586997</v>
      </c>
      <c r="T38" s="20"/>
      <c r="V38" s="6" t="s">
        <v>425</v>
      </c>
      <c r="W38" s="7">
        <f>VLOOKUP(V38,'Inf Base'!$B$59:$C$90,2,0)/($L$3+$AF$3+$AZ$3+$BT$3+$CN$3+$DH$3)*$AF$3</f>
        <v>166921.60611854686</v>
      </c>
      <c r="AN38" s="20"/>
      <c r="AP38" s="6" t="s">
        <v>425</v>
      </c>
      <c r="AQ38" s="7">
        <f>VLOOKUP(AP38,'Inf Base'!$B$59:$C$90,2,0)/($L$3+$AF$3+$AZ$3+$BT$3+$CN$3+$DH$3)*$AZ$3</f>
        <v>175525.81261950289</v>
      </c>
      <c r="BH38" s="20"/>
      <c r="BJ38" s="6" t="s">
        <v>425</v>
      </c>
      <c r="BK38" s="7">
        <f>VLOOKUP(BJ38,'Inf Base'!$B$59:$C$90,2,0)/($L$3+$AF$3+$AZ$3+$BT$3+$CN$3+$DH$3)*$BT$3</f>
        <v>147992.35181644361</v>
      </c>
      <c r="CB38" s="20"/>
      <c r="CD38" s="6" t="s">
        <v>425</v>
      </c>
      <c r="CE38" s="7">
        <f>VLOOKUP(CD38,'Inf Base'!$B$59:$C$90,2,0)/($L$3+$AF$3+$AZ$3+$BT$3+$CN$3+$DH$3)*$CN$3</f>
        <v>146271.5105162524</v>
      </c>
      <c r="CV38" s="20"/>
      <c r="CX38" s="6" t="s">
        <v>425</v>
      </c>
      <c r="CY38" s="7">
        <f>VLOOKUP(CX38,'Inf Base'!$B$59:$C$90,2,0)/($L$3+$AF$3+$AZ$3+$BT$3+$CN$3+$DH$3)*$DH$3</f>
        <v>120458.89101338433</v>
      </c>
      <c r="DP38" s="20"/>
    </row>
    <row r="39" spans="2:121">
      <c r="B39" s="153" t="s">
        <v>22</v>
      </c>
      <c r="C39" s="7">
        <f>VLOOKUP(B39,'Inf Base'!$B$59:$C$90,2,0)/($L$3+$AF$3+$AZ$3+$BT$3+$CN$3+$DH$3)*$L$3</f>
        <v>17298.27915869981</v>
      </c>
      <c r="D39" s="26"/>
      <c r="E39" s="26"/>
      <c r="F39" s="26"/>
      <c r="G39" s="26"/>
      <c r="H39" s="26"/>
      <c r="I39" s="26"/>
      <c r="J39" s="26"/>
      <c r="K39" s="26"/>
      <c r="T39" s="20"/>
      <c r="V39" s="6" t="s">
        <v>22</v>
      </c>
      <c r="W39" s="7">
        <f>VLOOKUP(V39,'Inf Base'!$B$59:$C$90,2,0)/($L$3+$AF$3+$AZ$3+$BT$3+$CN$3+$DH$3)*$AF$3</f>
        <v>20216.06118546845</v>
      </c>
      <c r="AN39" s="20"/>
      <c r="AP39" s="6" t="s">
        <v>22</v>
      </c>
      <c r="AQ39" s="7">
        <f>VLOOKUP(AP39,'Inf Base'!$B$59:$C$90,2,0)/($L$3+$AF$3+$AZ$3+$BT$3+$CN$3+$DH$3)*$AZ$3</f>
        <v>21258.126195028679</v>
      </c>
      <c r="BH39" s="20"/>
      <c r="BJ39" s="6" t="s">
        <v>22</v>
      </c>
      <c r="BK39" s="7">
        <f>VLOOKUP(BJ39,'Inf Base'!$B$59:$C$90,2,0)/($L$3+$AF$3+$AZ$3+$BT$3+$CN$3+$DH$3)*$BT$3</f>
        <v>17923.518164435947</v>
      </c>
      <c r="CB39" s="20"/>
      <c r="CD39" s="6" t="s">
        <v>22</v>
      </c>
      <c r="CE39" s="7">
        <f>VLOOKUP(CD39,'Inf Base'!$B$59:$C$90,2,0)/($L$3+$AF$3+$AZ$3+$BT$3+$CN$3+$DH$3)*$CN$3</f>
        <v>17715.105162523902</v>
      </c>
      <c r="CV39" s="20"/>
      <c r="CX39" s="6" t="s">
        <v>22</v>
      </c>
      <c r="CY39" s="7">
        <f>VLOOKUP(CX39,'Inf Base'!$B$59:$C$90,2,0)/($L$3+$AF$3+$AZ$3+$BT$3+$CN$3+$DH$3)*$DH$3</f>
        <v>14588.910133843212</v>
      </c>
      <c r="DP39" s="20"/>
    </row>
    <row r="40" spans="2:121">
      <c r="B40" s="5" t="s">
        <v>6</v>
      </c>
      <c r="C40" s="17">
        <f>SUM(C33:C39)</f>
        <v>1077721.3873804971</v>
      </c>
      <c r="D40" s="26"/>
      <c r="E40" s="26"/>
      <c r="F40" s="26"/>
      <c r="G40" s="26"/>
      <c r="H40" s="26"/>
      <c r="I40" s="26"/>
      <c r="J40" s="26"/>
      <c r="K40" s="26"/>
      <c r="T40" s="20"/>
      <c r="V40" s="5" t="s">
        <v>6</v>
      </c>
      <c r="W40" s="17">
        <f>SUM(W33:W39)</f>
        <v>1259505.7177820266</v>
      </c>
      <c r="AN40" s="20"/>
      <c r="AP40" s="5" t="s">
        <v>6</v>
      </c>
      <c r="AQ40" s="17">
        <f>SUM(AQ33:AQ39)</f>
        <v>1324428.6929254301</v>
      </c>
      <c r="BH40" s="20"/>
      <c r="BJ40" s="5" t="s">
        <v>6</v>
      </c>
      <c r="BK40" s="17">
        <f>SUM(BK33:BK39)</f>
        <v>1116675.1724665391</v>
      </c>
      <c r="CB40" s="20"/>
      <c r="CD40" s="5" t="s">
        <v>6</v>
      </c>
      <c r="CE40" s="17">
        <f>SUM(CE33:CE39)</f>
        <v>1103690.5774378586</v>
      </c>
      <c r="CV40" s="20"/>
      <c r="CX40" s="5" t="s">
        <v>6</v>
      </c>
      <c r="CY40" s="17">
        <f>SUM(CY33:CY39)</f>
        <v>908921.65200764814</v>
      </c>
      <c r="DP40" s="20"/>
      <c r="DQ40" s="12"/>
    </row>
    <row r="41" spans="2:121">
      <c r="B41" s="5" t="s">
        <v>523</v>
      </c>
      <c r="C41" s="17">
        <f>+C40/L3</f>
        <v>2596.9190057361375</v>
      </c>
      <c r="T41" s="20"/>
      <c r="V41" s="5" t="s">
        <v>523</v>
      </c>
      <c r="W41" s="17">
        <f>+W40/AF3</f>
        <v>2596.9190057361375</v>
      </c>
      <c r="AN41" s="20"/>
      <c r="AP41" s="5" t="s">
        <v>523</v>
      </c>
      <c r="AQ41" s="17">
        <f>+AQ40/AZ3</f>
        <v>2596.9190057361375</v>
      </c>
      <c r="BH41" s="20"/>
      <c r="BJ41" s="5" t="s">
        <v>523</v>
      </c>
      <c r="BK41" s="17">
        <f>+BK40/BT3</f>
        <v>2596.9190057361375</v>
      </c>
      <c r="CB41" s="20"/>
      <c r="CD41" s="5" t="s">
        <v>523</v>
      </c>
      <c r="CE41" s="17">
        <f>+CE40/CN3</f>
        <v>2596.9190057361379</v>
      </c>
      <c r="CV41" s="20"/>
      <c r="CX41" s="5" t="s">
        <v>523</v>
      </c>
      <c r="CY41" s="17">
        <f>+CY40/DH3</f>
        <v>2596.9190057361375</v>
      </c>
      <c r="DP41" s="20"/>
    </row>
    <row r="42" spans="2:121">
      <c r="B42" s="2"/>
      <c r="C42" s="16"/>
      <c r="T42" s="20"/>
      <c r="V42" s="2"/>
      <c r="W42" s="16"/>
      <c r="AN42" s="20"/>
      <c r="AP42" s="2"/>
      <c r="AQ42" s="16"/>
      <c r="BH42" s="20"/>
      <c r="BJ42" s="2"/>
      <c r="BK42" s="16"/>
      <c r="CB42" s="20"/>
      <c r="CD42" s="2"/>
      <c r="CE42" s="16"/>
      <c r="CV42" s="20"/>
      <c r="CX42" s="2"/>
      <c r="CY42" s="16"/>
      <c r="DP42" s="20"/>
    </row>
    <row r="43" spans="2:121">
      <c r="B43" s="2" t="s">
        <v>59</v>
      </c>
      <c r="T43" s="20"/>
      <c r="V43" s="2" t="s">
        <v>59</v>
      </c>
      <c r="AN43" s="20"/>
      <c r="AP43" s="2" t="s">
        <v>59</v>
      </c>
      <c r="BH43" s="20"/>
      <c r="BJ43" s="2" t="s">
        <v>59</v>
      </c>
      <c r="CB43" s="20"/>
      <c r="CD43" s="2" t="s">
        <v>59</v>
      </c>
      <c r="CV43" s="20"/>
      <c r="CX43" s="2" t="s">
        <v>59</v>
      </c>
      <c r="DP43" s="20"/>
    </row>
    <row r="44" spans="2:121">
      <c r="B44" s="11" t="str">
        <f>+B1</f>
        <v>LÍNEA TRADICIONAL</v>
      </c>
      <c r="T44" s="20"/>
      <c r="V44" s="11" t="str">
        <f>+V1</f>
        <v>LÍNEA GOURMET</v>
      </c>
      <c r="AN44" s="20"/>
      <c r="AP44" s="11" t="str">
        <f>+AP1</f>
        <v>LÍNEA ICE ROLL'S</v>
      </c>
      <c r="BH44" s="20"/>
      <c r="BJ44" s="11" t="str">
        <f>+BJ1</f>
        <v>BEBIDAS NATURALES EN AGUA</v>
      </c>
      <c r="CB44" s="20"/>
      <c r="CD44" s="11" t="str">
        <f>+CD1</f>
        <v>BEBIDAS NATURALES EN LECHE</v>
      </c>
      <c r="CV44" s="20"/>
      <c r="CX44" s="11" t="str">
        <f>+CX1</f>
        <v>MALTEADAS</v>
      </c>
      <c r="DP44" s="20"/>
    </row>
    <row r="45" spans="2:121">
      <c r="B45" s="1" t="s">
        <v>65</v>
      </c>
      <c r="C45" s="12">
        <f>L17</f>
        <v>1071.5333333333333</v>
      </c>
      <c r="D45" s="26"/>
      <c r="E45" s="26"/>
      <c r="F45" s="26"/>
      <c r="G45" s="26"/>
      <c r="H45" s="26"/>
      <c r="I45" s="26"/>
      <c r="J45" s="26"/>
      <c r="K45" s="26"/>
      <c r="T45" s="20"/>
      <c r="V45" s="1" t="s">
        <v>65</v>
      </c>
      <c r="W45" s="12">
        <f>AF17</f>
        <v>4564.8596899224813</v>
      </c>
      <c r="X45" s="26"/>
      <c r="Y45" s="26"/>
      <c r="Z45" s="26"/>
      <c r="AA45" s="26"/>
      <c r="AB45" s="26"/>
      <c r="AC45" s="26"/>
      <c r="AD45" s="26"/>
      <c r="AE45" s="26"/>
      <c r="AN45" s="20"/>
      <c r="AP45" s="1" t="s">
        <v>65</v>
      </c>
      <c r="AQ45" s="12">
        <f>AZ17</f>
        <v>1658.4818181818182</v>
      </c>
      <c r="AR45" s="26"/>
      <c r="AS45" s="26"/>
      <c r="AT45" s="26"/>
      <c r="AU45" s="26"/>
      <c r="AV45" s="26"/>
      <c r="AW45" s="26"/>
      <c r="AX45" s="26"/>
      <c r="AY45" s="26"/>
      <c r="BH45" s="20"/>
      <c r="BJ45" s="1" t="s">
        <v>65</v>
      </c>
      <c r="BK45" s="12">
        <f>BT17</f>
        <v>256.89999999999998</v>
      </c>
      <c r="BL45" s="690"/>
      <c r="BM45" s="690"/>
      <c r="BN45" s="690"/>
      <c r="BO45" s="690"/>
      <c r="BP45" s="690"/>
      <c r="BQ45" s="690"/>
      <c r="BR45" s="690"/>
      <c r="BS45" s="690"/>
      <c r="CB45" s="20"/>
      <c r="CD45" s="1" t="s">
        <v>65</v>
      </c>
      <c r="CE45" s="12">
        <f>CN17</f>
        <v>615.5363636363636</v>
      </c>
      <c r="CF45" s="26"/>
      <c r="CG45" s="26"/>
      <c r="CH45" s="26"/>
      <c r="CI45" s="26"/>
      <c r="CJ45" s="26"/>
      <c r="CK45" s="26"/>
      <c r="CL45" s="26"/>
      <c r="CM45" s="26"/>
      <c r="CV45" s="20"/>
      <c r="CX45" s="1" t="s">
        <v>65</v>
      </c>
      <c r="CY45" s="12">
        <f>DH17</f>
        <v>1062.5484848484848</v>
      </c>
      <c r="CZ45" s="26"/>
      <c r="DA45" s="26"/>
      <c r="DB45" s="26"/>
      <c r="DC45" s="26"/>
      <c r="DD45" s="26"/>
      <c r="DE45" s="26"/>
      <c r="DF45" s="26"/>
      <c r="DG45" s="26"/>
      <c r="DP45" s="20"/>
    </row>
    <row r="46" spans="2:121">
      <c r="B46" s="1" t="s">
        <v>66</v>
      </c>
      <c r="C46" s="12">
        <f>C24</f>
        <v>458.89101338432118</v>
      </c>
      <c r="D46" s="26"/>
      <c r="E46" s="26"/>
      <c r="F46" s="26"/>
      <c r="G46" s="26"/>
      <c r="H46" s="26"/>
      <c r="I46" s="26"/>
      <c r="J46" s="26"/>
      <c r="K46" s="26"/>
      <c r="T46" s="20"/>
      <c r="V46" s="1" t="s">
        <v>66</v>
      </c>
      <c r="W46" s="12">
        <f>W24</f>
        <v>458.89101338432118</v>
      </c>
      <c r="X46" s="26"/>
      <c r="Y46" s="26"/>
      <c r="Z46" s="26"/>
      <c r="AA46" s="26"/>
      <c r="AB46" s="26"/>
      <c r="AC46" s="26"/>
      <c r="AD46" s="26"/>
      <c r="AE46" s="26"/>
      <c r="AN46" s="20"/>
      <c r="AP46" s="1" t="s">
        <v>66</v>
      </c>
      <c r="AQ46" s="12">
        <f>AQ24</f>
        <v>458.89101338432118</v>
      </c>
      <c r="AR46" s="26"/>
      <c r="AS46" s="26"/>
      <c r="AT46" s="26"/>
      <c r="AU46" s="26"/>
      <c r="AV46" s="26"/>
      <c r="AW46" s="26"/>
      <c r="AX46" s="26"/>
      <c r="AY46" s="26"/>
      <c r="BH46" s="20"/>
      <c r="BJ46" s="1" t="s">
        <v>66</v>
      </c>
      <c r="BK46" s="12">
        <f>BK24</f>
        <v>458.89101338432118</v>
      </c>
      <c r="BL46" s="690"/>
      <c r="BM46" s="690"/>
      <c r="BN46" s="690"/>
      <c r="BO46" s="690"/>
      <c r="BP46" s="690"/>
      <c r="BQ46" s="690"/>
      <c r="BR46" s="690"/>
      <c r="BS46" s="690"/>
      <c r="CB46" s="20"/>
      <c r="CD46" s="1" t="s">
        <v>66</v>
      </c>
      <c r="CE46" s="12">
        <f>CE24</f>
        <v>458.89101338432118</v>
      </c>
      <c r="CF46" s="26"/>
      <c r="CG46" s="26"/>
      <c r="CH46" s="26"/>
      <c r="CI46" s="26"/>
      <c r="CJ46" s="26"/>
      <c r="CK46" s="26"/>
      <c r="CL46" s="26"/>
      <c r="CM46" s="26"/>
      <c r="CV46" s="20"/>
      <c r="CX46" s="1" t="s">
        <v>66</v>
      </c>
      <c r="CY46" s="12">
        <f>CY24</f>
        <v>458.89101338432118</v>
      </c>
      <c r="CZ46" s="26"/>
      <c r="DA46" s="26"/>
      <c r="DB46" s="26"/>
      <c r="DC46" s="26"/>
      <c r="DD46" s="26"/>
      <c r="DE46" s="26"/>
      <c r="DF46" s="26"/>
      <c r="DG46" s="26"/>
      <c r="DP46" s="20"/>
    </row>
    <row r="47" spans="2:121">
      <c r="B47" s="1" t="s">
        <v>67</v>
      </c>
      <c r="C47" s="12">
        <f>C30</f>
        <v>2872.6493817718292</v>
      </c>
      <c r="D47" s="26"/>
      <c r="E47" s="26"/>
      <c r="F47" s="26"/>
      <c r="G47" s="26"/>
      <c r="H47" s="26"/>
      <c r="I47" s="26"/>
      <c r="J47" s="26"/>
      <c r="K47" s="26"/>
      <c r="T47" s="20"/>
      <c r="V47" s="1" t="s">
        <v>67</v>
      </c>
      <c r="W47" s="12">
        <f>W30</f>
        <v>2872.6493817718292</v>
      </c>
      <c r="X47" s="26"/>
      <c r="Y47" s="26"/>
      <c r="Z47" s="26"/>
      <c r="AA47" s="26"/>
      <c r="AB47" s="26"/>
      <c r="AC47" s="26"/>
      <c r="AD47" s="26"/>
      <c r="AE47" s="26"/>
      <c r="AN47" s="20"/>
      <c r="AP47" s="1" t="s">
        <v>67</v>
      </c>
      <c r="AQ47" s="12">
        <f>AQ30</f>
        <v>2872.6493817718292</v>
      </c>
      <c r="AR47" s="26"/>
      <c r="AS47" s="26"/>
      <c r="AT47" s="26"/>
      <c r="AU47" s="26"/>
      <c r="AV47" s="26"/>
      <c r="AW47" s="26"/>
      <c r="AX47" s="26"/>
      <c r="AY47" s="26"/>
      <c r="BH47" s="20"/>
      <c r="BJ47" s="1" t="s">
        <v>67</v>
      </c>
      <c r="BK47" s="12">
        <f>BK30</f>
        <v>2872.6493817718288</v>
      </c>
      <c r="BL47" s="690"/>
      <c r="BM47" s="690"/>
      <c r="BN47" s="690"/>
      <c r="BO47" s="690"/>
      <c r="BP47" s="690"/>
      <c r="BQ47" s="690"/>
      <c r="BR47" s="690"/>
      <c r="BS47" s="690"/>
      <c r="CB47" s="20"/>
      <c r="CD47" s="1" t="s">
        <v>67</v>
      </c>
      <c r="CE47" s="12">
        <f>CE30</f>
        <v>2872.6493817718288</v>
      </c>
      <c r="CF47" s="26"/>
      <c r="CG47" s="26"/>
      <c r="CH47" s="26"/>
      <c r="CI47" s="26"/>
      <c r="CJ47" s="26"/>
      <c r="CK47" s="26"/>
      <c r="CL47" s="26"/>
      <c r="CM47" s="26"/>
      <c r="CV47" s="20"/>
      <c r="CX47" s="1" t="s">
        <v>67</v>
      </c>
      <c r="CY47" s="12">
        <f>CY30</f>
        <v>2872.6493817718292</v>
      </c>
      <c r="CZ47" s="26"/>
      <c r="DA47" s="26"/>
      <c r="DB47" s="26"/>
      <c r="DC47" s="26"/>
      <c r="DD47" s="26"/>
      <c r="DE47" s="26"/>
      <c r="DF47" s="26"/>
      <c r="DG47" s="26"/>
      <c r="DP47" s="20"/>
    </row>
    <row r="48" spans="2:121">
      <c r="B48" s="2" t="s">
        <v>68</v>
      </c>
      <c r="C48" s="18">
        <f>SUM(C45:C47)</f>
        <v>4403.073728489484</v>
      </c>
      <c r="D48" s="26"/>
      <c r="E48" s="26"/>
      <c r="F48" s="26"/>
      <c r="G48" s="26"/>
      <c r="H48" s="26"/>
      <c r="I48" s="26"/>
      <c r="J48" s="26"/>
      <c r="K48" s="26"/>
      <c r="T48" s="20"/>
      <c r="V48" s="2" t="s">
        <v>68</v>
      </c>
      <c r="W48" s="18">
        <f>SUM(W45:W47)</f>
        <v>7896.4000850786315</v>
      </c>
      <c r="X48" s="26"/>
      <c r="Y48" s="26"/>
      <c r="Z48" s="26"/>
      <c r="AA48" s="26"/>
      <c r="AB48" s="26"/>
      <c r="AC48" s="26"/>
      <c r="AD48" s="26"/>
      <c r="AE48" s="26"/>
      <c r="AN48" s="20"/>
      <c r="AP48" s="2" t="s">
        <v>68</v>
      </c>
      <c r="AQ48" s="18">
        <f>SUM(AQ45:AQ47)</f>
        <v>4990.0222133379684</v>
      </c>
      <c r="AR48" s="26"/>
      <c r="AS48" s="26"/>
      <c r="AT48" s="26"/>
      <c r="AU48" s="26"/>
      <c r="AV48" s="26"/>
      <c r="AW48" s="26"/>
      <c r="AX48" s="26"/>
      <c r="AY48" s="26"/>
      <c r="BH48" s="20"/>
      <c r="BJ48" s="2" t="s">
        <v>68</v>
      </c>
      <c r="BK48" s="18">
        <f>SUM(BK45:BK47)</f>
        <v>3588.4403951561499</v>
      </c>
      <c r="BL48" s="690"/>
      <c r="BM48" s="690"/>
      <c r="BN48" s="690"/>
      <c r="BO48" s="690"/>
      <c r="BP48" s="690"/>
      <c r="BQ48" s="690"/>
      <c r="BR48" s="690"/>
      <c r="BS48" s="690"/>
      <c r="CB48" s="20"/>
      <c r="CD48" s="2" t="s">
        <v>68</v>
      </c>
      <c r="CE48" s="18">
        <f>SUM(CE45:CE47)</f>
        <v>3947.0767587925138</v>
      </c>
      <c r="CF48" s="26"/>
      <c r="CG48" s="26"/>
      <c r="CH48" s="26"/>
      <c r="CI48" s="26"/>
      <c r="CJ48" s="26"/>
      <c r="CK48" s="26"/>
      <c r="CL48" s="26"/>
      <c r="CM48" s="26"/>
      <c r="CV48" s="20"/>
      <c r="CX48" s="2" t="s">
        <v>68</v>
      </c>
      <c r="CY48" s="18">
        <f>SUM(CY45:CY47)</f>
        <v>4394.088880004635</v>
      </c>
      <c r="CZ48" s="26"/>
      <c r="DA48" s="26"/>
      <c r="DB48" s="26"/>
      <c r="DC48" s="26"/>
      <c r="DD48" s="26"/>
      <c r="DE48" s="26"/>
      <c r="DF48" s="26"/>
      <c r="DG48" s="26"/>
      <c r="DP48" s="20"/>
    </row>
    <row r="49" spans="2:120">
      <c r="B49" s="1" t="s">
        <v>20</v>
      </c>
      <c r="C49" s="12">
        <f>C41</f>
        <v>2596.9190057361375</v>
      </c>
      <c r="D49" s="26"/>
      <c r="E49" s="26"/>
      <c r="F49" s="26"/>
      <c r="G49" s="26"/>
      <c r="H49" s="26"/>
      <c r="I49" s="26"/>
      <c r="J49" s="26"/>
      <c r="K49" s="26"/>
      <c r="T49" s="20"/>
      <c r="V49" s="1" t="s">
        <v>20</v>
      </c>
      <c r="W49" s="12">
        <f>W41</f>
        <v>2596.9190057361375</v>
      </c>
      <c r="X49" s="26"/>
      <c r="Y49" s="26"/>
      <c r="Z49" s="26"/>
      <c r="AA49" s="26"/>
      <c r="AB49" s="26"/>
      <c r="AC49" s="26"/>
      <c r="AD49" s="26"/>
      <c r="AE49" s="26"/>
      <c r="AN49" s="20"/>
      <c r="AP49" s="1" t="s">
        <v>20</v>
      </c>
      <c r="AQ49" s="12">
        <f>AQ41</f>
        <v>2596.9190057361375</v>
      </c>
      <c r="AR49" s="26"/>
      <c r="AS49" s="26"/>
      <c r="AT49" s="26"/>
      <c r="AU49" s="26"/>
      <c r="AV49" s="26"/>
      <c r="AW49" s="26"/>
      <c r="AX49" s="26"/>
      <c r="AY49" s="26"/>
      <c r="BH49" s="20"/>
      <c r="BJ49" s="1" t="s">
        <v>20</v>
      </c>
      <c r="BK49" s="12">
        <f>BK41</f>
        <v>2596.9190057361375</v>
      </c>
      <c r="BL49" s="690"/>
      <c r="BM49" s="690"/>
      <c r="BN49" s="690"/>
      <c r="BO49" s="690"/>
      <c r="BP49" s="690"/>
      <c r="BQ49" s="690"/>
      <c r="BR49" s="690"/>
      <c r="BS49" s="690"/>
      <c r="CB49" s="20"/>
      <c r="CD49" s="1" t="s">
        <v>20</v>
      </c>
      <c r="CE49" s="12">
        <f>CE41</f>
        <v>2596.9190057361379</v>
      </c>
      <c r="CF49" s="26"/>
      <c r="CG49" s="26"/>
      <c r="CH49" s="26"/>
      <c r="CI49" s="26"/>
      <c r="CJ49" s="26"/>
      <c r="CK49" s="26"/>
      <c r="CL49" s="26"/>
      <c r="CM49" s="26"/>
      <c r="CV49" s="20"/>
      <c r="CX49" s="1" t="s">
        <v>20</v>
      </c>
      <c r="CY49" s="12">
        <f>CY41</f>
        <v>2596.9190057361375</v>
      </c>
      <c r="CZ49" s="26"/>
      <c r="DA49" s="26"/>
      <c r="DB49" s="26"/>
      <c r="DC49" s="26"/>
      <c r="DD49" s="26"/>
      <c r="DE49" s="26"/>
      <c r="DF49" s="26"/>
      <c r="DG49" s="26"/>
      <c r="DP49" s="20"/>
    </row>
    <row r="50" spans="2:120">
      <c r="B50" s="2" t="s">
        <v>69</v>
      </c>
      <c r="C50" s="18">
        <f>SUM(C49:C49)</f>
        <v>2596.9190057361375</v>
      </c>
      <c r="D50" s="26"/>
      <c r="E50" s="26"/>
      <c r="F50" s="26"/>
      <c r="G50" s="26"/>
      <c r="H50" s="26"/>
      <c r="I50" s="26"/>
      <c r="J50" s="26"/>
      <c r="K50" s="26"/>
      <c r="T50" s="20"/>
      <c r="V50" s="2" t="s">
        <v>69</v>
      </c>
      <c r="W50" s="18">
        <f>SUM(W49:W49)</f>
        <v>2596.9190057361375</v>
      </c>
      <c r="X50" s="26"/>
      <c r="Y50" s="26"/>
      <c r="Z50" s="26"/>
      <c r="AA50" s="26"/>
      <c r="AB50" s="26"/>
      <c r="AC50" s="26"/>
      <c r="AD50" s="26"/>
      <c r="AE50" s="26"/>
      <c r="AN50" s="20"/>
      <c r="AP50" s="2" t="s">
        <v>69</v>
      </c>
      <c r="AQ50" s="18">
        <f>SUM(AQ49:AQ49)</f>
        <v>2596.9190057361375</v>
      </c>
      <c r="AR50" s="26"/>
      <c r="AS50" s="26"/>
      <c r="AT50" s="26"/>
      <c r="AU50" s="26"/>
      <c r="AV50" s="26"/>
      <c r="AW50" s="26"/>
      <c r="AX50" s="26"/>
      <c r="AY50" s="26"/>
      <c r="BH50" s="20"/>
      <c r="BJ50" s="2" t="s">
        <v>69</v>
      </c>
      <c r="BK50" s="18">
        <f>SUM(BK49:BK49)</f>
        <v>2596.9190057361375</v>
      </c>
      <c r="BL50" s="690"/>
      <c r="BM50" s="690"/>
      <c r="BN50" s="690"/>
      <c r="BO50" s="690"/>
      <c r="BP50" s="690"/>
      <c r="BQ50" s="690"/>
      <c r="BR50" s="690"/>
      <c r="BS50" s="690"/>
      <c r="CB50" s="20"/>
      <c r="CD50" s="2" t="s">
        <v>69</v>
      </c>
      <c r="CE50" s="18">
        <f>SUM(CE49:CE49)</f>
        <v>2596.9190057361379</v>
      </c>
      <c r="CF50" s="26"/>
      <c r="CG50" s="26"/>
      <c r="CH50" s="26"/>
      <c r="CI50" s="26"/>
      <c r="CJ50" s="26"/>
      <c r="CK50" s="26"/>
      <c r="CL50" s="26"/>
      <c r="CM50" s="26"/>
      <c r="CV50" s="20"/>
      <c r="CX50" s="2" t="s">
        <v>69</v>
      </c>
      <c r="CY50" s="18">
        <f>SUM(CY49:CY49)</f>
        <v>2596.9190057361375</v>
      </c>
      <c r="CZ50" s="26"/>
      <c r="DA50" s="26"/>
      <c r="DB50" s="26"/>
      <c r="DC50" s="26"/>
      <c r="DD50" s="26"/>
      <c r="DE50" s="26"/>
      <c r="DF50" s="26"/>
      <c r="DG50" s="26"/>
      <c r="DP50" s="20"/>
    </row>
    <row r="51" spans="2:120">
      <c r="B51" s="22" t="s">
        <v>73</v>
      </c>
      <c r="C51" s="18">
        <f>C48+C50</f>
        <v>6999.9927342256215</v>
      </c>
      <c r="D51" s="26"/>
      <c r="E51" s="26"/>
      <c r="F51" s="26"/>
      <c r="G51" s="26"/>
      <c r="H51" s="26"/>
      <c r="I51" s="26"/>
      <c r="J51" s="26"/>
      <c r="K51" s="26"/>
      <c r="T51" s="20"/>
      <c r="V51" s="22" t="s">
        <v>73</v>
      </c>
      <c r="W51" s="18">
        <f>W48+W50</f>
        <v>10493.31909081477</v>
      </c>
      <c r="X51" s="26"/>
      <c r="Y51" s="26"/>
      <c r="Z51" s="26"/>
      <c r="AA51" s="26"/>
      <c r="AB51" s="26"/>
      <c r="AC51" s="26"/>
      <c r="AD51" s="26"/>
      <c r="AE51" s="26"/>
      <c r="AN51" s="20"/>
      <c r="AP51" s="22" t="s">
        <v>73</v>
      </c>
      <c r="AQ51" s="18">
        <f>AQ48+AQ50</f>
        <v>7586.9412190741059</v>
      </c>
      <c r="AR51" s="26"/>
      <c r="AS51" s="26"/>
      <c r="AT51" s="26"/>
      <c r="AU51" s="26"/>
      <c r="AV51" s="26"/>
      <c r="AW51" s="26"/>
      <c r="AX51" s="26"/>
      <c r="AY51" s="26"/>
      <c r="BH51" s="20"/>
      <c r="BJ51" s="22" t="s">
        <v>73</v>
      </c>
      <c r="BK51" s="18">
        <f>BK48+BK50</f>
        <v>6185.3594008922873</v>
      </c>
      <c r="BL51" s="690"/>
      <c r="BM51" s="690"/>
      <c r="BN51" s="690"/>
      <c r="BO51" s="690"/>
      <c r="BP51" s="690"/>
      <c r="BQ51" s="690"/>
      <c r="BR51" s="690"/>
      <c r="BS51" s="690"/>
      <c r="CB51" s="20"/>
      <c r="CD51" s="22" t="s">
        <v>73</v>
      </c>
      <c r="CE51" s="18">
        <f>CE48+CE50</f>
        <v>6543.9957645286522</v>
      </c>
      <c r="CF51" s="26"/>
      <c r="CG51" s="26"/>
      <c r="CH51" s="26"/>
      <c r="CI51" s="26"/>
      <c r="CJ51" s="26"/>
      <c r="CK51" s="26"/>
      <c r="CL51" s="26"/>
      <c r="CM51" s="26"/>
      <c r="CV51" s="20"/>
      <c r="CX51" s="22" t="s">
        <v>73</v>
      </c>
      <c r="CY51" s="18">
        <f>CY48+CY50</f>
        <v>6991.0078857407725</v>
      </c>
      <c r="CZ51" s="26"/>
      <c r="DA51" s="26"/>
      <c r="DB51" s="26"/>
      <c r="DC51" s="26"/>
      <c r="DD51" s="26"/>
      <c r="DE51" s="26"/>
      <c r="DF51" s="26"/>
      <c r="DG51" s="26"/>
      <c r="DP51" s="20"/>
    </row>
    <row r="52" spans="2:120">
      <c r="B52" s="1" t="s">
        <v>70</v>
      </c>
      <c r="C52" s="12">
        <f>C51*L4</f>
        <v>3499.9963671128107</v>
      </c>
      <c r="D52" s="26"/>
      <c r="E52" s="26"/>
      <c r="F52" s="26"/>
      <c r="G52" s="26"/>
      <c r="H52" s="26"/>
      <c r="I52" s="26"/>
      <c r="J52" s="26"/>
      <c r="K52" s="26"/>
      <c r="T52" s="20"/>
      <c r="V52" s="1" t="s">
        <v>70</v>
      </c>
      <c r="W52" s="12">
        <f>W51*AF4</f>
        <v>5246.6595454073849</v>
      </c>
      <c r="X52" s="26"/>
      <c r="Y52" s="26"/>
      <c r="Z52" s="26"/>
      <c r="AA52" s="26"/>
      <c r="AB52" s="26"/>
      <c r="AC52" s="26"/>
      <c r="AD52" s="26"/>
      <c r="AE52" s="26"/>
      <c r="AN52" s="20"/>
      <c r="AP52" s="1" t="s">
        <v>70</v>
      </c>
      <c r="AQ52" s="12">
        <f>AQ51*AZ4</f>
        <v>3793.470609537053</v>
      </c>
      <c r="AR52" s="26"/>
      <c r="AS52" s="26"/>
      <c r="AT52" s="26"/>
      <c r="AU52" s="26"/>
      <c r="AV52" s="26"/>
      <c r="AW52" s="26"/>
      <c r="AX52" s="26"/>
      <c r="AY52" s="26"/>
      <c r="BH52" s="20"/>
      <c r="BJ52" s="1" t="s">
        <v>70</v>
      </c>
      <c r="BK52" s="12">
        <f>BK51*BT4</f>
        <v>3092.6797004461437</v>
      </c>
      <c r="BL52" s="690"/>
      <c r="BM52" s="690"/>
      <c r="BN52" s="690"/>
      <c r="BO52" s="690"/>
      <c r="BP52" s="690"/>
      <c r="BQ52" s="690"/>
      <c r="BR52" s="690"/>
      <c r="BS52" s="690"/>
      <c r="CB52" s="20"/>
      <c r="CD52" s="1" t="s">
        <v>70</v>
      </c>
      <c r="CE52" s="12">
        <f>CE51*CN4</f>
        <v>3271.9978822643261</v>
      </c>
      <c r="CF52" s="26"/>
      <c r="CG52" s="26"/>
      <c r="CH52" s="26"/>
      <c r="CI52" s="26"/>
      <c r="CJ52" s="26"/>
      <c r="CK52" s="26"/>
      <c r="CL52" s="26"/>
      <c r="CM52" s="26"/>
      <c r="CV52" s="20"/>
      <c r="CX52" s="1" t="s">
        <v>70</v>
      </c>
      <c r="CY52" s="12">
        <f>CY51*DH4</f>
        <v>3495.5039428703863</v>
      </c>
      <c r="CZ52" s="26"/>
      <c r="DA52" s="26"/>
      <c r="DB52" s="26"/>
      <c r="DC52" s="26"/>
      <c r="DD52" s="26"/>
      <c r="DE52" s="26"/>
      <c r="DF52" s="26"/>
      <c r="DG52" s="26"/>
      <c r="DP52" s="20"/>
    </row>
    <row r="53" spans="2:120">
      <c r="B53" s="2" t="s">
        <v>72</v>
      </c>
      <c r="C53" s="18">
        <f>C51+C52</f>
        <v>10499.989101338433</v>
      </c>
      <c r="D53" s="228"/>
      <c r="E53" s="228"/>
      <c r="F53" s="228"/>
      <c r="G53" s="228"/>
      <c r="H53" s="228"/>
      <c r="I53" s="228"/>
      <c r="J53" s="228"/>
      <c r="K53" s="228"/>
      <c r="T53" s="20"/>
      <c r="V53" s="2" t="s">
        <v>72</v>
      </c>
      <c r="W53" s="18">
        <f>W51+W52</f>
        <v>15739.978636222155</v>
      </c>
      <c r="X53" s="26"/>
      <c r="Y53" s="26"/>
      <c r="Z53" s="26"/>
      <c r="AA53" s="26"/>
      <c r="AB53" s="26"/>
      <c r="AC53" s="26"/>
      <c r="AD53" s="26"/>
      <c r="AE53" s="26"/>
      <c r="AN53" s="20"/>
      <c r="AP53" s="2" t="s">
        <v>72</v>
      </c>
      <c r="AQ53" s="18">
        <f>AQ51+AQ52</f>
        <v>11380.411828611159</v>
      </c>
      <c r="AR53" s="26"/>
      <c r="AS53" s="26"/>
      <c r="AT53" s="26"/>
      <c r="AU53" s="26"/>
      <c r="AV53" s="26"/>
      <c r="AW53" s="26"/>
      <c r="AX53" s="26"/>
      <c r="AY53" s="26"/>
      <c r="BH53" s="20"/>
      <c r="BJ53" s="2" t="s">
        <v>72</v>
      </c>
      <c r="BK53" s="18">
        <f>BK51+BK52</f>
        <v>9278.0391013384306</v>
      </c>
      <c r="BL53" s="690"/>
      <c r="BM53" s="690"/>
      <c r="BN53" s="690"/>
      <c r="BO53" s="690"/>
      <c r="BP53" s="690"/>
      <c r="BQ53" s="690"/>
      <c r="BR53" s="690"/>
      <c r="BS53" s="690"/>
      <c r="CB53" s="20"/>
      <c r="CD53" s="2" t="s">
        <v>72</v>
      </c>
      <c r="CE53" s="18">
        <f>CE51+CE52</f>
        <v>9815.9936467929783</v>
      </c>
      <c r="CF53" s="26"/>
      <c r="CG53" s="26"/>
      <c r="CH53" s="26"/>
      <c r="CI53" s="26"/>
      <c r="CJ53" s="26"/>
      <c r="CK53" s="26"/>
      <c r="CL53" s="26"/>
      <c r="CM53" s="26"/>
      <c r="CV53" s="20"/>
      <c r="CX53" s="2" t="s">
        <v>72</v>
      </c>
      <c r="CY53" s="18">
        <f>CY51+CY52</f>
        <v>10486.511828611159</v>
      </c>
      <c r="CZ53" s="26"/>
      <c r="DA53" s="26"/>
      <c r="DB53" s="26"/>
      <c r="DC53" s="26"/>
      <c r="DD53" s="26"/>
      <c r="DE53" s="26"/>
      <c r="DF53" s="26"/>
      <c r="DG53" s="26"/>
      <c r="DP53" s="20"/>
    </row>
    <row r="54" spans="2:120">
      <c r="T54" s="20"/>
      <c r="AN54" s="20"/>
      <c r="BH54" s="20"/>
      <c r="CB54" s="20"/>
      <c r="CV54" s="20"/>
      <c r="DP54" s="20"/>
    </row>
    <row r="55" spans="2:120">
      <c r="B55" s="1" t="s">
        <v>74</v>
      </c>
      <c r="C55" s="26">
        <f>C52/C53</f>
        <v>0.33333333333333331</v>
      </c>
      <c r="V55" s="1" t="s">
        <v>74</v>
      </c>
      <c r="W55" s="26">
        <f>W52/W53</f>
        <v>0.33333333333333331</v>
      </c>
      <c r="AP55" s="1" t="s">
        <v>74</v>
      </c>
      <c r="AQ55" s="26">
        <f>AQ52/AQ53</f>
        <v>0.33333333333333331</v>
      </c>
      <c r="BJ55" s="1" t="s">
        <v>74</v>
      </c>
      <c r="BK55" s="26">
        <f>BK52/BK53</f>
        <v>0.33333333333333337</v>
      </c>
      <c r="CD55" s="1" t="s">
        <v>74</v>
      </c>
      <c r="CE55" s="26">
        <f>CE52/CE53</f>
        <v>0.33333333333333331</v>
      </c>
      <c r="CX55" s="1" t="s">
        <v>74</v>
      </c>
      <c r="CY55" s="26">
        <f>CY52/CY53</f>
        <v>0.33333333333333331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6885-960A-4AF5-94B9-43C141581E73}">
  <dimension ref="A1:V53"/>
  <sheetViews>
    <sheetView topLeftCell="D1" workbookViewId="0">
      <selection activeCell="F22" sqref="F22"/>
    </sheetView>
  </sheetViews>
  <sheetFormatPr baseColWidth="10" defaultRowHeight="14.5"/>
  <cols>
    <col min="1" max="1" width="14.1796875" bestFit="1" customWidth="1"/>
    <col min="2" max="2" width="17" bestFit="1" customWidth="1"/>
    <col min="3" max="3" width="18.7265625" bestFit="1" customWidth="1"/>
    <col min="4" max="4" width="11.7265625" bestFit="1" customWidth="1"/>
    <col min="5" max="5" width="16.54296875" bestFit="1" customWidth="1"/>
    <col min="6" max="6" width="41.1796875" bestFit="1" customWidth="1"/>
    <col min="7" max="13" width="10.7265625" bestFit="1" customWidth="1"/>
    <col min="15" max="22" width="8.7265625" bestFit="1" customWidth="1"/>
  </cols>
  <sheetData>
    <row r="1" spans="1:22">
      <c r="A1" s="618" t="str">
        <f>'EF Proyecto'!A1</f>
        <v>NORMAL</v>
      </c>
      <c r="F1" s="691" t="s">
        <v>740</v>
      </c>
      <c r="G1" s="692">
        <v>0.08</v>
      </c>
      <c r="H1" s="692">
        <v>7.0000000000000007E-2</v>
      </c>
      <c r="I1" s="692">
        <v>0.06</v>
      </c>
      <c r="J1" s="740">
        <v>8.0000000000000002E-3</v>
      </c>
      <c r="K1" s="740">
        <v>7.0000000000000001E-3</v>
      </c>
      <c r="L1" s="740">
        <v>6.0000000000000001E-3</v>
      </c>
      <c r="M1" s="740">
        <v>5.0000000000000001E-3</v>
      </c>
    </row>
    <row r="2" spans="1:22">
      <c r="F2">
        <v>2023</v>
      </c>
      <c r="G2">
        <v>2024</v>
      </c>
      <c r="H2">
        <v>2025</v>
      </c>
      <c r="I2">
        <v>2026</v>
      </c>
      <c r="J2">
        <v>2027</v>
      </c>
      <c r="K2">
        <v>2028</v>
      </c>
      <c r="L2">
        <v>2029</v>
      </c>
      <c r="M2">
        <v>2030</v>
      </c>
      <c r="O2">
        <v>2023</v>
      </c>
      <c r="P2">
        <v>2024</v>
      </c>
      <c r="Q2">
        <v>2025</v>
      </c>
      <c r="R2">
        <v>2026</v>
      </c>
      <c r="S2">
        <v>2027</v>
      </c>
      <c r="T2">
        <v>2028</v>
      </c>
      <c r="U2">
        <v>2029</v>
      </c>
      <c r="V2">
        <v>2030</v>
      </c>
    </row>
    <row r="3" spans="1:22">
      <c r="G3" s="219">
        <f>IF($A$1="NORMAL",Datos!B53-G1,IF($A$1="PESIMISTA",Datos!B59-G1,IF($A$1="OPTIMISTA",Datos!B65-G1)))</f>
        <v>-2.3E-2</v>
      </c>
      <c r="H3" s="219">
        <f>IF($A$1="NORMAL",Datos!C53-H1,IF($A$1="PESIMISTA",Datos!C59-H1,IF($A$1="OPTIMISTA",Datos!C65-H1)))</f>
        <v>5.4999999999999993E-2</v>
      </c>
      <c r="I3" s="219">
        <f>IF($A$1="NORMAL",Datos!D53-I1,IF($A$1="PESIMISTA",Datos!D59-I1,IF($A$1="OPTIMISTA",Datos!D65-I1)))</f>
        <v>5.5000000000000007E-2</v>
      </c>
      <c r="J3" s="219">
        <f>IF($A$1="NORMAL",Datos!E53-J1,IF($A$1="PESIMISTA",Datos!E59-J1,IF($A$1="OPTIMISTA",Datos!E65-J1)))</f>
        <v>7.7000000000000013E-2</v>
      </c>
      <c r="K3" s="219">
        <f>IF($A$1="NORMAL",Datos!F53-K1,IF($A$1="PESIMISTA",Datos!F59-K1,IF($A$1="OPTIMISTA",Datos!F65-K1)))</f>
        <v>4.3000000000000003E-2</v>
      </c>
      <c r="L3" s="219">
        <f>IF($A$1="NORMAL",Datos!G53-L1,IF($A$1="PESIMISTA",Datos!G59-L1,IF($A$1="OPTIMISTA",Datos!G65-L1)))</f>
        <v>3.9E-2</v>
      </c>
      <c r="M3" s="219">
        <f>IF($A$1="NORMAL",Datos!H53-M1,IF($A$1="PESIMISTA",Datos!H59-M1,IF($A$1="OPTIMISTA",Datos!H65-M1)))</f>
        <v>4.5000000000000005E-2</v>
      </c>
    </row>
    <row r="4" spans="1:22" s="265" customFormat="1">
      <c r="B4" s="674" t="s">
        <v>3</v>
      </c>
      <c r="C4" s="674" t="s">
        <v>4</v>
      </c>
      <c r="D4" s="674" t="s">
        <v>5</v>
      </c>
      <c r="E4" s="674" t="s">
        <v>7</v>
      </c>
      <c r="F4" s="674" t="s">
        <v>8</v>
      </c>
      <c r="G4" s="674" t="s">
        <v>8</v>
      </c>
      <c r="H4" s="674" t="s">
        <v>8</v>
      </c>
      <c r="I4" s="674" t="s">
        <v>8</v>
      </c>
      <c r="J4" s="674" t="s">
        <v>8</v>
      </c>
      <c r="K4" s="674" t="s">
        <v>8</v>
      </c>
      <c r="L4" s="674" t="s">
        <v>8</v>
      </c>
      <c r="M4" s="674" t="s">
        <v>8</v>
      </c>
      <c r="O4" s="674" t="s">
        <v>741</v>
      </c>
      <c r="P4" s="674" t="s">
        <v>741</v>
      </c>
      <c r="Q4" s="674" t="s">
        <v>741</v>
      </c>
      <c r="R4" s="674" t="s">
        <v>741</v>
      </c>
      <c r="S4" s="674" t="s">
        <v>741</v>
      </c>
      <c r="T4" s="674" t="s">
        <v>741</v>
      </c>
      <c r="U4" s="674" t="s">
        <v>741</v>
      </c>
      <c r="V4" s="684" t="s">
        <v>741</v>
      </c>
    </row>
    <row r="5" spans="1:22">
      <c r="A5" t="s">
        <v>519</v>
      </c>
      <c r="B5" s="153" t="s">
        <v>12</v>
      </c>
      <c r="C5" s="153" t="s">
        <v>310</v>
      </c>
      <c r="D5" s="153" t="s">
        <v>13</v>
      </c>
      <c r="E5" s="623">
        <v>1000</v>
      </c>
      <c r="F5" s="693">
        <f>+'Inf Base'!F9</f>
        <v>14000</v>
      </c>
      <c r="G5" s="693">
        <f>+F5*(1+Datos!B$53-G$1)</f>
        <v>13678</v>
      </c>
      <c r="H5" s="693">
        <f>+G5*(1+Datos!C$53-H$1)</f>
        <v>14430.289999999999</v>
      </c>
      <c r="I5" s="693">
        <f>+H5*(1+Datos!D$53-I$1)</f>
        <v>15223.955949999998</v>
      </c>
      <c r="J5" s="693">
        <f>+I5*(1+Datos!E$53-J$1)</f>
        <v>16396.200558149998</v>
      </c>
      <c r="K5" s="693">
        <f>+J5*(1+Datos!F$53-K$1)</f>
        <v>17101.237182150449</v>
      </c>
      <c r="L5" s="693">
        <f>+K5*(1+Datos!G$53-L$1)</f>
        <v>17768.185432254315</v>
      </c>
      <c r="M5" s="693">
        <f>+L5*(1+Datos!H$53-M$1)</f>
        <v>18567.753776705762</v>
      </c>
      <c r="O5" s="694">
        <f t="shared" ref="O5:O48" si="0">IF(E5="",F5,F5/E5)</f>
        <v>14</v>
      </c>
      <c r="P5" s="694">
        <f>IF(E5="",G5,G5/E5)</f>
        <v>13.678000000000001</v>
      </c>
      <c r="Q5" s="694">
        <f>IF(E5="",H5,H5/E5)</f>
        <v>14.430289999999999</v>
      </c>
      <c r="R5" s="694">
        <f>IF(E5="",I5,I5/E5)</f>
        <v>15.223955949999997</v>
      </c>
      <c r="S5" s="694">
        <f>IF(E5="",J5,J5/E5)</f>
        <v>16.396200558149999</v>
      </c>
      <c r="T5" s="694">
        <f>IF(E5="",K5,K5/E5)</f>
        <v>17.101237182150449</v>
      </c>
      <c r="U5" s="694">
        <f>IF(E5="",L5,L5/E5)</f>
        <v>17.768185432254317</v>
      </c>
      <c r="V5" s="695">
        <f>IF(E5="",M5,M5/E5)</f>
        <v>18.567753776705761</v>
      </c>
    </row>
    <row r="6" spans="1:22">
      <c r="A6" t="s">
        <v>519</v>
      </c>
      <c r="B6" s="153" t="s">
        <v>11</v>
      </c>
      <c r="C6" s="153" t="s">
        <v>310</v>
      </c>
      <c r="D6" s="153" t="s">
        <v>13</v>
      </c>
      <c r="E6" s="623">
        <v>1000</v>
      </c>
      <c r="F6" s="693">
        <f>+'Inf Base'!F10</f>
        <v>11000</v>
      </c>
      <c r="G6" s="693">
        <f>+F6*(1+Datos!B$53-$G$1)</f>
        <v>10747</v>
      </c>
      <c r="H6" s="693">
        <f>+G6*(1+Datos!C$53-H$1)</f>
        <v>11338.084999999999</v>
      </c>
      <c r="I6" s="693">
        <f>+H6*(1+Datos!D$53-I$1)</f>
        <v>11961.679674999998</v>
      </c>
      <c r="J6" s="693">
        <f>+I6*(1+Datos!E$53-J$1)</f>
        <v>12882.729009974997</v>
      </c>
      <c r="K6" s="693">
        <f>+J6*(1+Datos!F$53-K$1)</f>
        <v>13436.686357403923</v>
      </c>
      <c r="L6" s="693">
        <f>+K6*(1+Datos!G$53-L$1)</f>
        <v>13960.717125342675</v>
      </c>
      <c r="M6" s="693">
        <f>+L6*(1+Datos!H$53-M$1)</f>
        <v>14588.949395983098</v>
      </c>
      <c r="O6" s="694">
        <f t="shared" si="0"/>
        <v>11</v>
      </c>
      <c r="P6" s="694">
        <f t="shared" ref="P6:P48" si="1">IF(E6="",G6,G6/E6)</f>
        <v>10.747</v>
      </c>
      <c r="Q6" s="694">
        <f t="shared" ref="Q6:Q48" si="2">IF(E6="",H6,H6/E6)</f>
        <v>11.338085</v>
      </c>
      <c r="R6" s="694">
        <f t="shared" ref="R6:R48" si="3">IF(E6="",I6,I6/E6)</f>
        <v>11.961679674999997</v>
      </c>
      <c r="S6" s="694">
        <f t="shared" ref="S6:S48" si="4">IF(E6="",J6,J6/E6)</f>
        <v>12.882729009974996</v>
      </c>
      <c r="T6" s="694">
        <f t="shared" ref="T6:T48" si="5">IF(E6="",K6,K6/E6)</f>
        <v>13.436686357403923</v>
      </c>
      <c r="U6" s="694">
        <f t="shared" ref="U6:U48" si="6">IF(E6="",L6,L6/E6)</f>
        <v>13.960717125342676</v>
      </c>
      <c r="V6" s="695">
        <f t="shared" ref="V6:V48" si="7">IF(E6="",M6,M6/E6)</f>
        <v>14.588949395983098</v>
      </c>
    </row>
    <row r="7" spans="1:22">
      <c r="A7" t="s">
        <v>519</v>
      </c>
      <c r="B7" s="153" t="s">
        <v>305</v>
      </c>
      <c r="C7" s="153" t="s">
        <v>310</v>
      </c>
      <c r="D7" s="153" t="s">
        <v>13</v>
      </c>
      <c r="E7" s="623">
        <v>1000</v>
      </c>
      <c r="F7" s="693">
        <f>+'Inf Base'!F11</f>
        <v>12000</v>
      </c>
      <c r="G7" s="693">
        <f>+F7*(1+Datos!B$53-$G$1)</f>
        <v>11724</v>
      </c>
      <c r="H7" s="693">
        <f>+G7*(1+Datos!C$53-H$1)</f>
        <v>12368.82</v>
      </c>
      <c r="I7" s="693">
        <f>+H7*(1+Datos!D$53-I$1)</f>
        <v>13049.105099999999</v>
      </c>
      <c r="J7" s="693">
        <f>+I7*(1+Datos!E$53-J$1)</f>
        <v>14053.886192699998</v>
      </c>
      <c r="K7" s="693">
        <f>+J7*(1+Datos!F$53-K$1)</f>
        <v>14658.2032989861</v>
      </c>
      <c r="L7" s="693">
        <f>+K7*(1+Datos!G$53-L$1)</f>
        <v>15229.873227646556</v>
      </c>
      <c r="M7" s="693">
        <f>+L7*(1+Datos!H$53-M$1)</f>
        <v>15915.217522890653</v>
      </c>
      <c r="O7" s="694">
        <f t="shared" si="0"/>
        <v>12</v>
      </c>
      <c r="P7" s="694">
        <f t="shared" si="1"/>
        <v>11.724</v>
      </c>
      <c r="Q7" s="694">
        <f t="shared" si="2"/>
        <v>12.368819999999999</v>
      </c>
      <c r="R7" s="694">
        <f t="shared" si="3"/>
        <v>13.049105099999998</v>
      </c>
      <c r="S7" s="694">
        <f t="shared" si="4"/>
        <v>14.053886192699999</v>
      </c>
      <c r="T7" s="694">
        <f t="shared" si="5"/>
        <v>14.6582032989861</v>
      </c>
      <c r="U7" s="694">
        <f t="shared" si="6"/>
        <v>15.229873227646555</v>
      </c>
      <c r="V7" s="695">
        <f t="shared" si="7"/>
        <v>15.915217522890652</v>
      </c>
    </row>
    <row r="8" spans="1:22">
      <c r="A8" t="str">
        <f>+B8</f>
        <v>Adobo</v>
      </c>
      <c r="B8" s="153" t="s">
        <v>286</v>
      </c>
      <c r="C8" s="153" t="s">
        <v>309</v>
      </c>
      <c r="D8" s="153" t="s">
        <v>10</v>
      </c>
      <c r="E8" s="623">
        <v>5000</v>
      </c>
      <c r="F8" s="693">
        <f>+'Inf Base'!F12</f>
        <v>31000</v>
      </c>
      <c r="G8" s="693">
        <f>+F8*(1+Datos!B$53-$G$1)</f>
        <v>30287</v>
      </c>
      <c r="H8" s="693">
        <f>+G8*(1+Datos!C$53-H$1)</f>
        <v>31952.785</v>
      </c>
      <c r="I8" s="693">
        <f>+H8*(1+Datos!D$53-I$1)</f>
        <v>33710.188174999996</v>
      </c>
      <c r="J8" s="693">
        <f>+I8*(1+Datos!E$53-J$1)</f>
        <v>36305.872664474991</v>
      </c>
      <c r="K8" s="693">
        <f>+J8*(1+Datos!F$53-K$1)</f>
        <v>37867.025189047425</v>
      </c>
      <c r="L8" s="693">
        <f>+K8*(1+Datos!G$53-L$1)</f>
        <v>39343.839171420273</v>
      </c>
      <c r="M8" s="693">
        <f>+L8*(1+Datos!H$53-M$1)</f>
        <v>41114.311934134195</v>
      </c>
      <c r="O8" s="694">
        <f t="shared" si="0"/>
        <v>6.2</v>
      </c>
      <c r="P8" s="694">
        <f t="shared" si="1"/>
        <v>6.0574000000000003</v>
      </c>
      <c r="Q8" s="694">
        <f t="shared" si="2"/>
        <v>6.3905570000000003</v>
      </c>
      <c r="R8" s="694">
        <f t="shared" si="3"/>
        <v>6.7420376349999991</v>
      </c>
      <c r="S8" s="694">
        <f t="shared" si="4"/>
        <v>7.2611745328949979</v>
      </c>
      <c r="T8" s="694">
        <f t="shared" si="5"/>
        <v>7.5734050378094846</v>
      </c>
      <c r="U8" s="694">
        <f t="shared" si="6"/>
        <v>7.8687678342840544</v>
      </c>
      <c r="V8" s="695">
        <f t="shared" si="7"/>
        <v>8.2228623868268382</v>
      </c>
    </row>
    <row r="9" spans="1:22">
      <c r="A9" t="str">
        <f>+B9</f>
        <v>Salsas de sal</v>
      </c>
      <c r="B9" s="153" t="s">
        <v>299</v>
      </c>
      <c r="C9" s="153" t="s">
        <v>308</v>
      </c>
      <c r="D9" s="153" t="s">
        <v>10</v>
      </c>
      <c r="E9" s="623">
        <v>4300</v>
      </c>
      <c r="F9" s="693">
        <f>+'Inf Base'!F13</f>
        <v>39170</v>
      </c>
      <c r="G9" s="693">
        <f>+F9*(1+Datos!B$53-$G$1)</f>
        <v>38269.089999999997</v>
      </c>
      <c r="H9" s="693">
        <f>+G9*(1+Datos!C$53-H$1)</f>
        <v>40373.889949999997</v>
      </c>
      <c r="I9" s="693">
        <f>+H9*(1+Datos!D$53-I$1)</f>
        <v>42594.453897249994</v>
      </c>
      <c r="J9" s="693">
        <f>+I9*(1+Datos!E$53-J$1)</f>
        <v>45874.226847338243</v>
      </c>
      <c r="K9" s="693">
        <f>+J9*(1+Datos!F$53-K$1)</f>
        <v>47846.818601773797</v>
      </c>
      <c r="L9" s="693">
        <f>+K9*(1+Datos!G$53-L$1)</f>
        <v>49712.844527242974</v>
      </c>
      <c r="M9" s="693">
        <f>+L9*(1+Datos!H$53-M$1)</f>
        <v>51949.922530968914</v>
      </c>
      <c r="O9" s="694">
        <f t="shared" si="0"/>
        <v>9.1093023255813961</v>
      </c>
      <c r="P9" s="694">
        <f t="shared" si="1"/>
        <v>8.8997883720930222</v>
      </c>
      <c r="Q9" s="694">
        <f t="shared" si="2"/>
        <v>9.3892767325581392</v>
      </c>
      <c r="R9" s="694">
        <f t="shared" si="3"/>
        <v>9.9056869528488356</v>
      </c>
      <c r="S9" s="694">
        <f t="shared" si="4"/>
        <v>10.668424848218196</v>
      </c>
      <c r="T9" s="694">
        <f t="shared" si="5"/>
        <v>11.127167116691581</v>
      </c>
      <c r="U9" s="694">
        <f t="shared" si="6"/>
        <v>11.561126634242552</v>
      </c>
      <c r="V9" s="695">
        <f t="shared" si="7"/>
        <v>12.081377332783468</v>
      </c>
    </row>
    <row r="10" spans="1:22">
      <c r="A10" t="s">
        <v>2</v>
      </c>
      <c r="B10" s="153" t="s">
        <v>307</v>
      </c>
      <c r="C10" s="153"/>
      <c r="D10" s="153" t="s">
        <v>24</v>
      </c>
      <c r="E10" s="623"/>
      <c r="F10" s="693">
        <f>+'Inf Base'!F14</f>
        <v>800</v>
      </c>
      <c r="G10" s="693">
        <f>+F10*(1+Datos!B$53-$G$1)</f>
        <v>781.6</v>
      </c>
      <c r="H10" s="693">
        <f>+G10*(1+Datos!C$53-H$1)</f>
        <v>824.58799999999997</v>
      </c>
      <c r="I10" s="693">
        <f>+H10*(1+Datos!D$53-I$1)</f>
        <v>869.94033999999988</v>
      </c>
      <c r="J10" s="693">
        <f>+I10*(1+Datos!E$53-J$1)</f>
        <v>936.92574617999981</v>
      </c>
      <c r="K10" s="693">
        <f>+J10*(1+Datos!F$53-K$1)</f>
        <v>977.21355326573996</v>
      </c>
      <c r="L10" s="693">
        <f>+K10*(1+Datos!G$53-L$1)</f>
        <v>1015.3248818431038</v>
      </c>
      <c r="M10" s="693">
        <f>+L10*(1+Datos!H$53-M$1)</f>
        <v>1061.0145015260437</v>
      </c>
      <c r="O10" s="694">
        <f t="shared" si="0"/>
        <v>800</v>
      </c>
      <c r="P10" s="694">
        <f t="shared" si="1"/>
        <v>781.6</v>
      </c>
      <c r="Q10" s="694">
        <f t="shared" si="2"/>
        <v>824.58799999999997</v>
      </c>
      <c r="R10" s="694">
        <f t="shared" si="3"/>
        <v>869.94033999999988</v>
      </c>
      <c r="S10" s="694">
        <f t="shared" si="4"/>
        <v>936.92574617999981</v>
      </c>
      <c r="T10" s="694">
        <f t="shared" si="5"/>
        <v>977.21355326573996</v>
      </c>
      <c r="U10" s="694">
        <f t="shared" si="6"/>
        <v>1015.3248818431038</v>
      </c>
      <c r="V10" s="695">
        <f t="shared" si="7"/>
        <v>1061.0145015260437</v>
      </c>
    </row>
    <row r="11" spans="1:22">
      <c r="A11" t="s">
        <v>2</v>
      </c>
      <c r="B11" s="153" t="s">
        <v>306</v>
      </c>
      <c r="C11" s="153"/>
      <c r="D11" s="153" t="s">
        <v>24</v>
      </c>
      <c r="E11" s="623"/>
      <c r="F11" s="693">
        <f>+'Inf Base'!F15</f>
        <v>800</v>
      </c>
      <c r="G11" s="693">
        <f>+F11*(1+Datos!B$53-$G$1)</f>
        <v>781.6</v>
      </c>
      <c r="H11" s="693">
        <f>+G11*(1+Datos!C$53-H$1)</f>
        <v>824.58799999999997</v>
      </c>
      <c r="I11" s="693">
        <f>+H11*(1+Datos!D$53-I$1)</f>
        <v>869.94033999999988</v>
      </c>
      <c r="J11" s="693">
        <f>+I11*(1+Datos!E$53-J$1)</f>
        <v>936.92574617999981</v>
      </c>
      <c r="K11" s="693">
        <f>+J11*(1+Datos!F$53-K$1)</f>
        <v>977.21355326573996</v>
      </c>
      <c r="L11" s="693">
        <f>+K11*(1+Datos!G$53-L$1)</f>
        <v>1015.3248818431038</v>
      </c>
      <c r="M11" s="693">
        <f>+L11*(1+Datos!H$53-M$1)</f>
        <v>1061.0145015260437</v>
      </c>
      <c r="O11" s="694">
        <f t="shared" si="0"/>
        <v>800</v>
      </c>
      <c r="P11" s="694">
        <f t="shared" si="1"/>
        <v>781.6</v>
      </c>
      <c r="Q11" s="694">
        <f t="shared" si="2"/>
        <v>824.58799999999997</v>
      </c>
      <c r="R11" s="694">
        <f t="shared" si="3"/>
        <v>869.94033999999988</v>
      </c>
      <c r="S11" s="694">
        <f t="shared" si="4"/>
        <v>936.92574617999981</v>
      </c>
      <c r="T11" s="694">
        <f t="shared" si="5"/>
        <v>977.21355326573996</v>
      </c>
      <c r="U11" s="694">
        <f t="shared" si="6"/>
        <v>1015.3248818431038</v>
      </c>
      <c r="V11" s="695">
        <f t="shared" si="7"/>
        <v>1061.0145015260437</v>
      </c>
    </row>
    <row r="12" spans="1:22">
      <c r="A12" t="str">
        <f>+B12</f>
        <v>Yogurt Gourmet</v>
      </c>
      <c r="B12" s="153" t="s">
        <v>287</v>
      </c>
      <c r="C12" s="153"/>
      <c r="D12" s="153" t="s">
        <v>10</v>
      </c>
      <c r="E12" s="623">
        <v>5000</v>
      </c>
      <c r="F12" s="693">
        <f>+'Inf Base'!F16</f>
        <v>74300</v>
      </c>
      <c r="G12" s="693">
        <f>+F12*(1+Datos!B$53-$G$1)</f>
        <v>72591.099999999991</v>
      </c>
      <c r="H12" s="693">
        <f>+G12*(1+Datos!C$53-H$1)</f>
        <v>76583.610499999981</v>
      </c>
      <c r="I12" s="693">
        <f>+H12*(1+Datos!D$53-I$1)</f>
        <v>80795.709077499982</v>
      </c>
      <c r="J12" s="693">
        <f>+I12*(1+Datos!E$53-J$1)</f>
        <v>87016.978676467479</v>
      </c>
      <c r="K12" s="693">
        <f>+J12*(1+Datos!F$53-K$1)</f>
        <v>90758.708759555593</v>
      </c>
      <c r="L12" s="693">
        <f>+K12*(1+Datos!G$53-L$1)</f>
        <v>94298.298401178254</v>
      </c>
      <c r="M12" s="693">
        <f>+L12*(1+Datos!H$53-M$1)</f>
        <v>98541.72182923129</v>
      </c>
      <c r="O12" s="694">
        <f t="shared" si="0"/>
        <v>14.86</v>
      </c>
      <c r="P12" s="694">
        <f t="shared" si="1"/>
        <v>14.518219999999998</v>
      </c>
      <c r="Q12" s="694">
        <f t="shared" si="2"/>
        <v>15.316722099999996</v>
      </c>
      <c r="R12" s="694">
        <f t="shared" si="3"/>
        <v>16.159141815499996</v>
      </c>
      <c r="S12" s="694">
        <f t="shared" si="4"/>
        <v>17.403395735293497</v>
      </c>
      <c r="T12" s="694">
        <f t="shared" si="5"/>
        <v>18.151741751911118</v>
      </c>
      <c r="U12" s="694">
        <f t="shared" si="6"/>
        <v>18.859659680235652</v>
      </c>
      <c r="V12" s="695">
        <f t="shared" si="7"/>
        <v>19.708344365846258</v>
      </c>
    </row>
    <row r="13" spans="1:22">
      <c r="A13" t="str">
        <f>+B13</f>
        <v>Servilletas</v>
      </c>
      <c r="B13" s="153" t="s">
        <v>301</v>
      </c>
      <c r="C13" s="153"/>
      <c r="D13" s="153" t="s">
        <v>13</v>
      </c>
      <c r="E13" s="623">
        <v>300</v>
      </c>
      <c r="F13" s="693">
        <f>+'Inf Base'!F17</f>
        <v>4790</v>
      </c>
      <c r="G13" s="693">
        <f>+F13*(1+Datos!B$53-$G$1)</f>
        <v>4679.83</v>
      </c>
      <c r="H13" s="693">
        <f>+G13*(1+Datos!C$53-H$1)</f>
        <v>4937.2206499999993</v>
      </c>
      <c r="I13" s="693">
        <f>+H13*(1+Datos!D$53-I$1)</f>
        <v>5208.7677857499993</v>
      </c>
      <c r="J13" s="693">
        <f>+I13*(1+Datos!E$53-J$1)</f>
        <v>5609.842905252749</v>
      </c>
      <c r="K13" s="693">
        <f>+J13*(1+Datos!F$53-K$1)</f>
        <v>5851.066150178618</v>
      </c>
      <c r="L13" s="693">
        <f>+K13*(1+Datos!G$53-L$1)</f>
        <v>6079.2577300355833</v>
      </c>
      <c r="M13" s="693">
        <f>+L13*(1+Datos!H$53-M$1)</f>
        <v>6352.8243278871851</v>
      </c>
      <c r="O13" s="694">
        <f t="shared" si="0"/>
        <v>15.966666666666667</v>
      </c>
      <c r="P13" s="694">
        <f t="shared" si="1"/>
        <v>15.599433333333334</v>
      </c>
      <c r="Q13" s="694">
        <f t="shared" si="2"/>
        <v>16.457402166666665</v>
      </c>
      <c r="R13" s="694">
        <f t="shared" si="3"/>
        <v>17.362559285833331</v>
      </c>
      <c r="S13" s="694">
        <f t="shared" si="4"/>
        <v>18.699476350842495</v>
      </c>
      <c r="T13" s="694">
        <f t="shared" si="5"/>
        <v>19.503553833928727</v>
      </c>
      <c r="U13" s="694">
        <f t="shared" si="6"/>
        <v>20.264192433451946</v>
      </c>
      <c r="V13" s="695">
        <f t="shared" si="7"/>
        <v>21.176081092957283</v>
      </c>
    </row>
    <row r="14" spans="1:22">
      <c r="A14" t="s">
        <v>521</v>
      </c>
      <c r="B14" s="153" t="s">
        <v>311</v>
      </c>
      <c r="C14" s="153"/>
      <c r="D14" s="153" t="s">
        <v>13</v>
      </c>
      <c r="E14" s="623">
        <v>1000</v>
      </c>
      <c r="F14" s="693">
        <f>+'Inf Base'!F18</f>
        <v>35000</v>
      </c>
      <c r="G14" s="693">
        <f>+F14*(1+Datos!B$53-$G$1)</f>
        <v>34195</v>
      </c>
      <c r="H14" s="693">
        <f>+G14*(1+Datos!C$53-H$1)</f>
        <v>36075.724999999999</v>
      </c>
      <c r="I14" s="693">
        <f>+H14*(1+Datos!D$53-I$1)</f>
        <v>38059.889874999993</v>
      </c>
      <c r="J14" s="693">
        <f>+I14*(1+Datos!E$53-J$1)</f>
        <v>40990.501395374995</v>
      </c>
      <c r="K14" s="693">
        <f>+J14*(1+Datos!F$53-K$1)</f>
        <v>42753.092955376123</v>
      </c>
      <c r="L14" s="693">
        <f>+K14*(1+Datos!G$53-L$1)</f>
        <v>44420.463580635791</v>
      </c>
      <c r="M14" s="693">
        <f>+L14*(1+Datos!H$53-M$1)</f>
        <v>46419.384441764407</v>
      </c>
      <c r="O14" s="694">
        <f t="shared" si="0"/>
        <v>35</v>
      </c>
      <c r="P14" s="694">
        <f t="shared" si="1"/>
        <v>34.195</v>
      </c>
      <c r="Q14" s="694">
        <f t="shared" si="2"/>
        <v>36.075724999999998</v>
      </c>
      <c r="R14" s="694">
        <f t="shared" si="3"/>
        <v>38.059889874999996</v>
      </c>
      <c r="S14" s="694">
        <f t="shared" si="4"/>
        <v>40.990501395374991</v>
      </c>
      <c r="T14" s="694">
        <f t="shared" si="5"/>
        <v>42.753092955376125</v>
      </c>
      <c r="U14" s="694">
        <f t="shared" si="6"/>
        <v>44.42046358063579</v>
      </c>
      <c r="V14" s="695">
        <f t="shared" si="7"/>
        <v>46.419384441764407</v>
      </c>
    </row>
    <row r="15" spans="1:22">
      <c r="A15" t="s">
        <v>521</v>
      </c>
      <c r="B15" s="153" t="s">
        <v>302</v>
      </c>
      <c r="C15" s="153"/>
      <c r="D15" s="153" t="s">
        <v>13</v>
      </c>
      <c r="E15" s="623">
        <v>1000</v>
      </c>
      <c r="F15" s="693">
        <f>+'Inf Base'!F19</f>
        <v>30000</v>
      </c>
      <c r="G15" s="693">
        <f>+F15*(1+Datos!B$53-$G$1)</f>
        <v>29310</v>
      </c>
      <c r="H15" s="693">
        <f>+G15*(1+Datos!C$53-H$1)</f>
        <v>30922.05</v>
      </c>
      <c r="I15" s="693">
        <f>+H15*(1+Datos!D$53-I$1)</f>
        <v>32622.762749999998</v>
      </c>
      <c r="J15" s="693">
        <f>+I15*(1+Datos!E$53-J$1)</f>
        <v>35134.715481749998</v>
      </c>
      <c r="K15" s="693">
        <f>+J15*(1+Datos!F$53-K$1)</f>
        <v>36645.508247465252</v>
      </c>
      <c r="L15" s="693">
        <f>+K15*(1+Datos!G$53-L$1)</f>
        <v>38074.683069116392</v>
      </c>
      <c r="M15" s="693">
        <f>+L15*(1+Datos!H$53-M$1)</f>
        <v>39788.043807226633</v>
      </c>
      <c r="O15" s="694">
        <f t="shared" si="0"/>
        <v>30</v>
      </c>
      <c r="P15" s="694">
        <f t="shared" si="1"/>
        <v>29.31</v>
      </c>
      <c r="Q15" s="694">
        <f t="shared" si="2"/>
        <v>30.922049999999999</v>
      </c>
      <c r="R15" s="694">
        <f t="shared" si="3"/>
        <v>32.62276275</v>
      </c>
      <c r="S15" s="694">
        <f t="shared" si="4"/>
        <v>35.13471548175</v>
      </c>
      <c r="T15" s="694">
        <f t="shared" si="5"/>
        <v>36.645508247465251</v>
      </c>
      <c r="U15" s="694">
        <f t="shared" si="6"/>
        <v>38.074683069116389</v>
      </c>
      <c r="V15" s="695">
        <f t="shared" si="7"/>
        <v>39.788043807226636</v>
      </c>
    </row>
    <row r="16" spans="1:22">
      <c r="A16" t="s">
        <v>521</v>
      </c>
      <c r="B16" s="153" t="s">
        <v>303</v>
      </c>
      <c r="C16" s="153"/>
      <c r="D16" s="153" t="s">
        <v>13</v>
      </c>
      <c r="E16" s="623">
        <v>1000</v>
      </c>
      <c r="F16" s="693">
        <f>+'Inf Base'!F20</f>
        <v>7500</v>
      </c>
      <c r="G16" s="693">
        <f>+F16*(1+Datos!B$53-$G$1)</f>
        <v>7327.5</v>
      </c>
      <c r="H16" s="693">
        <f>+G16*(1+Datos!C$53-H$1)</f>
        <v>7730.5124999999998</v>
      </c>
      <c r="I16" s="693">
        <f>+H16*(1+Datos!D$53-I$1)</f>
        <v>8155.6906874999995</v>
      </c>
      <c r="J16" s="693">
        <f>+I16*(1+Datos!E$53-J$1)</f>
        <v>8783.6788704374994</v>
      </c>
      <c r="K16" s="693">
        <f>+J16*(1+Datos!F$53-K$1)</f>
        <v>9161.3770618663129</v>
      </c>
      <c r="L16" s="693">
        <f>+K16*(1+Datos!G$53-L$1)</f>
        <v>9518.6707672790981</v>
      </c>
      <c r="M16" s="693">
        <f>+L16*(1+Datos!H$53-M$1)</f>
        <v>9947.0109518066583</v>
      </c>
      <c r="O16" s="694">
        <f t="shared" si="0"/>
        <v>7.5</v>
      </c>
      <c r="P16" s="694">
        <f t="shared" si="1"/>
        <v>7.3274999999999997</v>
      </c>
      <c r="Q16" s="694">
        <f t="shared" si="2"/>
        <v>7.7305124999999997</v>
      </c>
      <c r="R16" s="694">
        <f t="shared" si="3"/>
        <v>8.1556906874999999</v>
      </c>
      <c r="S16" s="694">
        <f t="shared" si="4"/>
        <v>8.7836788704375</v>
      </c>
      <c r="T16" s="694">
        <f t="shared" si="5"/>
        <v>9.1613770618663128</v>
      </c>
      <c r="U16" s="694">
        <f t="shared" si="6"/>
        <v>9.5186707672790973</v>
      </c>
      <c r="V16" s="695">
        <f t="shared" si="7"/>
        <v>9.947010951806659</v>
      </c>
    </row>
    <row r="17" spans="1:22">
      <c r="A17" t="s">
        <v>521</v>
      </c>
      <c r="B17" s="153" t="s">
        <v>304</v>
      </c>
      <c r="C17" s="153"/>
      <c r="D17" s="153" t="s">
        <v>13</v>
      </c>
      <c r="E17" s="623">
        <v>1000</v>
      </c>
      <c r="F17" s="693">
        <f>+'Inf Base'!F21</f>
        <v>7500</v>
      </c>
      <c r="G17" s="693">
        <f>+F17*(1+Datos!B$53-$G$1)</f>
        <v>7327.5</v>
      </c>
      <c r="H17" s="693">
        <f>+G17*(1+Datos!C$53-H$1)</f>
        <v>7730.5124999999998</v>
      </c>
      <c r="I17" s="693">
        <f>+H17*(1+Datos!D$53-I$1)</f>
        <v>8155.6906874999995</v>
      </c>
      <c r="J17" s="693">
        <f>+I17*(1+Datos!E$53-J$1)</f>
        <v>8783.6788704374994</v>
      </c>
      <c r="K17" s="693">
        <f>+J17*(1+Datos!F$53-K$1)</f>
        <v>9161.3770618663129</v>
      </c>
      <c r="L17" s="693">
        <f>+K17*(1+Datos!G$53-L$1)</f>
        <v>9518.6707672790981</v>
      </c>
      <c r="M17" s="693">
        <f>+L17*(1+Datos!H$53-M$1)</f>
        <v>9947.0109518066583</v>
      </c>
      <c r="O17" s="694">
        <f t="shared" si="0"/>
        <v>7.5</v>
      </c>
      <c r="P17" s="694">
        <f t="shared" si="1"/>
        <v>7.3274999999999997</v>
      </c>
      <c r="Q17" s="694">
        <f t="shared" si="2"/>
        <v>7.7305124999999997</v>
      </c>
      <c r="R17" s="694">
        <f t="shared" si="3"/>
        <v>8.1556906874999999</v>
      </c>
      <c r="S17" s="694">
        <f t="shared" si="4"/>
        <v>8.7836788704375</v>
      </c>
      <c r="T17" s="694">
        <f t="shared" si="5"/>
        <v>9.1613770618663128</v>
      </c>
      <c r="U17" s="694">
        <f t="shared" si="6"/>
        <v>9.5186707672790973</v>
      </c>
      <c r="V17" s="695">
        <f t="shared" si="7"/>
        <v>9.947010951806659</v>
      </c>
    </row>
    <row r="18" spans="1:22">
      <c r="A18" t="str">
        <f>+B18</f>
        <v>Base Yogurt</v>
      </c>
      <c r="B18" s="153" t="s">
        <v>288</v>
      </c>
      <c r="C18" s="153"/>
      <c r="D18" s="153" t="s">
        <v>10</v>
      </c>
      <c r="E18" s="623">
        <v>5000</v>
      </c>
      <c r="F18" s="693">
        <f>+'Inf Base'!F22</f>
        <v>32700</v>
      </c>
      <c r="G18" s="693">
        <f>+F18*(1+Datos!B$53-$G$1)</f>
        <v>31947.899999999998</v>
      </c>
      <c r="H18" s="693">
        <f>+G18*(1+Datos!C$53-H$1)</f>
        <v>33705.034499999994</v>
      </c>
      <c r="I18" s="693">
        <f>+H18*(1+Datos!D$53-I$1)</f>
        <v>35558.811397499994</v>
      </c>
      <c r="J18" s="693">
        <f>+I18*(1+Datos!E$53-J$1)</f>
        <v>38296.839875107493</v>
      </c>
      <c r="K18" s="693">
        <f>+J18*(1+Datos!F$53-K$1)</f>
        <v>39943.603989737123</v>
      </c>
      <c r="L18" s="693">
        <f>+K18*(1+Datos!G$53-L$1)</f>
        <v>41501.404545336867</v>
      </c>
      <c r="M18" s="693">
        <f>+L18*(1+Datos!H$53-M$1)</f>
        <v>43368.967749877032</v>
      </c>
      <c r="O18" s="694">
        <f t="shared" si="0"/>
        <v>6.54</v>
      </c>
      <c r="P18" s="694">
        <f t="shared" si="1"/>
        <v>6.3895799999999996</v>
      </c>
      <c r="Q18" s="694">
        <f t="shared" si="2"/>
        <v>6.7410068999999986</v>
      </c>
      <c r="R18" s="694">
        <f t="shared" si="3"/>
        <v>7.1117622794999988</v>
      </c>
      <c r="S18" s="694">
        <f t="shared" si="4"/>
        <v>7.6593679750214987</v>
      </c>
      <c r="T18" s="694">
        <f t="shared" si="5"/>
        <v>7.9887207979474244</v>
      </c>
      <c r="U18" s="694">
        <f t="shared" si="6"/>
        <v>8.3002809090673733</v>
      </c>
      <c r="V18" s="695">
        <f t="shared" si="7"/>
        <v>8.6737935499754073</v>
      </c>
    </row>
    <row r="19" spans="1:22">
      <c r="A19" t="s">
        <v>520</v>
      </c>
      <c r="B19" s="153" t="s">
        <v>283</v>
      </c>
      <c r="C19" s="153"/>
      <c r="D19" s="153" t="s">
        <v>13</v>
      </c>
      <c r="E19" s="623">
        <v>1500</v>
      </c>
      <c r="F19" s="693">
        <f>+'Inf Base'!F23</f>
        <v>9200</v>
      </c>
      <c r="G19" s="693">
        <f>+F19*(1+Datos!B$53-$G$1)</f>
        <v>8988.4</v>
      </c>
      <c r="H19" s="693">
        <f>+G19*(1+Datos!C$53-H$1)</f>
        <v>9482.7619999999988</v>
      </c>
      <c r="I19" s="693">
        <f>+H19*(1+Datos!D$53-I$1)</f>
        <v>10004.313909999999</v>
      </c>
      <c r="J19" s="693">
        <f>+I19*(1+Datos!E$53-J$1)</f>
        <v>10774.646081069999</v>
      </c>
      <c r="K19" s="693">
        <f>+J19*(1+Datos!F$53-K$1)</f>
        <v>11237.955862556011</v>
      </c>
      <c r="L19" s="693">
        <f>+K19*(1+Datos!G$53-L$1)</f>
        <v>11676.236141195695</v>
      </c>
      <c r="M19" s="693">
        <f>+L19*(1+Datos!H$53-M$1)</f>
        <v>12201.666767549503</v>
      </c>
      <c r="O19" s="694">
        <f t="shared" si="0"/>
        <v>6.1333333333333337</v>
      </c>
      <c r="P19" s="694">
        <f t="shared" si="1"/>
        <v>5.9922666666666666</v>
      </c>
      <c r="Q19" s="694">
        <f t="shared" si="2"/>
        <v>6.3218413333333325</v>
      </c>
      <c r="R19" s="694">
        <f t="shared" si="3"/>
        <v>6.6695426066666661</v>
      </c>
      <c r="S19" s="694">
        <f t="shared" si="4"/>
        <v>7.1830973873799993</v>
      </c>
      <c r="T19" s="694">
        <f t="shared" si="5"/>
        <v>7.4919705750373407</v>
      </c>
      <c r="U19" s="694">
        <f t="shared" si="6"/>
        <v>7.7841574274637972</v>
      </c>
      <c r="V19" s="695">
        <f t="shared" si="7"/>
        <v>8.1344445116996678</v>
      </c>
    </row>
    <row r="20" spans="1:22">
      <c r="A20" t="s">
        <v>520</v>
      </c>
      <c r="B20" s="153" t="s">
        <v>284</v>
      </c>
      <c r="C20" s="153"/>
      <c r="D20" s="153" t="s">
        <v>13</v>
      </c>
      <c r="E20" s="623">
        <v>2000</v>
      </c>
      <c r="F20" s="693">
        <f>+'Inf Base'!F24</f>
        <v>12000</v>
      </c>
      <c r="G20" s="693">
        <f>+F20*(1+Datos!B$53-$G$1)</f>
        <v>11724</v>
      </c>
      <c r="H20" s="693">
        <f>+G20*(1+Datos!C$53-H$1)</f>
        <v>12368.82</v>
      </c>
      <c r="I20" s="693">
        <f>+H20*(1+Datos!D$53-I$1)</f>
        <v>13049.105099999999</v>
      </c>
      <c r="J20" s="693">
        <f>+I20*(1+Datos!E$53-J$1)</f>
        <v>14053.886192699998</v>
      </c>
      <c r="K20" s="693">
        <f>+J20*(1+Datos!F$53-K$1)</f>
        <v>14658.2032989861</v>
      </c>
      <c r="L20" s="693">
        <f>+K20*(1+Datos!G$53-L$1)</f>
        <v>15229.873227646556</v>
      </c>
      <c r="M20" s="693">
        <f>+L20*(1+Datos!H$53-M$1)</f>
        <v>15915.217522890653</v>
      </c>
      <c r="O20" s="694">
        <f t="shared" si="0"/>
        <v>6</v>
      </c>
      <c r="P20" s="694">
        <f t="shared" si="1"/>
        <v>5.8620000000000001</v>
      </c>
      <c r="Q20" s="694">
        <f t="shared" si="2"/>
        <v>6.1844099999999997</v>
      </c>
      <c r="R20" s="694">
        <f t="shared" si="3"/>
        <v>6.5245525499999992</v>
      </c>
      <c r="S20" s="694">
        <f t="shared" si="4"/>
        <v>7.0269430963499993</v>
      </c>
      <c r="T20" s="694">
        <f t="shared" si="5"/>
        <v>7.3291016494930501</v>
      </c>
      <c r="U20" s="694">
        <f t="shared" si="6"/>
        <v>7.6149366138232777</v>
      </c>
      <c r="V20" s="695">
        <f t="shared" si="7"/>
        <v>7.9576087614453259</v>
      </c>
    </row>
    <row r="21" spans="1:22">
      <c r="A21" t="s">
        <v>520</v>
      </c>
      <c r="B21" s="153" t="s">
        <v>285</v>
      </c>
      <c r="C21" s="153"/>
      <c r="D21" s="153" t="s">
        <v>13</v>
      </c>
      <c r="E21" s="623">
        <v>1500</v>
      </c>
      <c r="F21" s="693">
        <f>+'Inf Base'!F25</f>
        <v>19245</v>
      </c>
      <c r="G21" s="693">
        <f>+F21*(1+Datos!B$53-$G$1)</f>
        <v>18802.364999999998</v>
      </c>
      <c r="H21" s="693">
        <f>+G21*(1+Datos!C$53-H$1)</f>
        <v>19836.495074999995</v>
      </c>
      <c r="I21" s="693">
        <f>+H21*(1+Datos!D$53-I$1)</f>
        <v>20927.502304124995</v>
      </c>
      <c r="J21" s="693">
        <f>+I21*(1+Datos!E$53-J$1)</f>
        <v>22538.919981542618</v>
      </c>
      <c r="K21" s="693">
        <f>+J21*(1+Datos!F$53-K$1)</f>
        <v>23508.093540748952</v>
      </c>
      <c r="L21" s="693">
        <f>+K21*(1+Datos!G$53-L$1)</f>
        <v>24424.909188838159</v>
      </c>
      <c r="M21" s="693">
        <f>+L21*(1+Datos!H$53-M$1)</f>
        <v>25524.030102335881</v>
      </c>
      <c r="O21" s="694">
        <f t="shared" si="0"/>
        <v>12.83</v>
      </c>
      <c r="P21" s="694">
        <f t="shared" si="1"/>
        <v>12.534909999999998</v>
      </c>
      <c r="Q21" s="694">
        <f t="shared" si="2"/>
        <v>13.224330049999997</v>
      </c>
      <c r="R21" s="694">
        <f t="shared" si="3"/>
        <v>13.951668202749996</v>
      </c>
      <c r="S21" s="694">
        <f t="shared" si="4"/>
        <v>15.025946654361745</v>
      </c>
      <c r="T21" s="694">
        <f t="shared" si="5"/>
        <v>15.672062360499302</v>
      </c>
      <c r="U21" s="694">
        <f t="shared" si="6"/>
        <v>16.283272792558773</v>
      </c>
      <c r="V21" s="695">
        <f t="shared" si="7"/>
        <v>17.01602006822392</v>
      </c>
    </row>
    <row r="22" spans="1:22">
      <c r="A22" t="str">
        <f>+B22</f>
        <v>Barquillo</v>
      </c>
      <c r="B22" s="153" t="s">
        <v>296</v>
      </c>
      <c r="C22" s="153"/>
      <c r="D22" s="153" t="s">
        <v>24</v>
      </c>
      <c r="E22" s="623"/>
      <c r="F22" s="693">
        <f>+'Inf Base'!F26</f>
        <v>100</v>
      </c>
      <c r="G22" s="693">
        <f>+F22*(1+Datos!B$53-$G$1)</f>
        <v>97.7</v>
      </c>
      <c r="H22" s="693">
        <f>+G22*(1+Datos!C$53-H$1)</f>
        <v>103.0735</v>
      </c>
      <c r="I22" s="693">
        <f>+H22*(1+Datos!D$53-I$1)</f>
        <v>108.74254249999998</v>
      </c>
      <c r="J22" s="693">
        <f>+I22*(1+Datos!E$53-J$1)</f>
        <v>117.11571827249998</v>
      </c>
      <c r="K22" s="693">
        <f>+J22*(1+Datos!F$53-K$1)</f>
        <v>122.1516941582175</v>
      </c>
      <c r="L22" s="693">
        <f>+K22*(1+Datos!G$53-L$1)</f>
        <v>126.91561023038797</v>
      </c>
      <c r="M22" s="693">
        <f>+L22*(1+Datos!H$53-M$1)</f>
        <v>132.62681269075546</v>
      </c>
      <c r="O22" s="694">
        <f t="shared" si="0"/>
        <v>100</v>
      </c>
      <c r="P22" s="694">
        <f t="shared" si="1"/>
        <v>97.7</v>
      </c>
      <c r="Q22" s="694">
        <f t="shared" si="2"/>
        <v>103.0735</v>
      </c>
      <c r="R22" s="694">
        <f t="shared" si="3"/>
        <v>108.74254249999998</v>
      </c>
      <c r="S22" s="694">
        <f t="shared" si="4"/>
        <v>117.11571827249998</v>
      </c>
      <c r="T22" s="694">
        <f t="shared" si="5"/>
        <v>122.1516941582175</v>
      </c>
      <c r="U22" s="694">
        <f t="shared" si="6"/>
        <v>126.91561023038797</v>
      </c>
      <c r="V22" s="695">
        <f t="shared" si="7"/>
        <v>132.62681269075546</v>
      </c>
    </row>
    <row r="23" spans="1:22">
      <c r="A23" t="str">
        <f>+B23</f>
        <v>Galleta</v>
      </c>
      <c r="B23" s="153" t="s">
        <v>297</v>
      </c>
      <c r="C23" s="153"/>
      <c r="D23" s="153" t="s">
        <v>24</v>
      </c>
      <c r="E23" s="623"/>
      <c r="F23" s="693">
        <f>+'Inf Base'!F27</f>
        <v>100</v>
      </c>
      <c r="G23" s="693">
        <f>+F23*(1+Datos!B$53-$G$1)</f>
        <v>97.7</v>
      </c>
      <c r="H23" s="693">
        <f>+G23*(1+Datos!C$53-H$1)</f>
        <v>103.0735</v>
      </c>
      <c r="I23" s="693">
        <f>+H23*(1+Datos!D$53-I$1)</f>
        <v>108.74254249999998</v>
      </c>
      <c r="J23" s="693">
        <f>+I23*(1+Datos!E$53-J$1)</f>
        <v>117.11571827249998</v>
      </c>
      <c r="K23" s="693">
        <f>+J23*(1+Datos!F$53-K$1)</f>
        <v>122.1516941582175</v>
      </c>
      <c r="L23" s="693">
        <f>+K23*(1+Datos!G$53-L$1)</f>
        <v>126.91561023038797</v>
      </c>
      <c r="M23" s="693">
        <f>+L23*(1+Datos!H$53-M$1)</f>
        <v>132.62681269075546</v>
      </c>
      <c r="O23" s="694">
        <f t="shared" si="0"/>
        <v>100</v>
      </c>
      <c r="P23" s="694">
        <f t="shared" si="1"/>
        <v>97.7</v>
      </c>
      <c r="Q23" s="694">
        <f t="shared" si="2"/>
        <v>103.0735</v>
      </c>
      <c r="R23" s="694">
        <f t="shared" si="3"/>
        <v>108.74254249999998</v>
      </c>
      <c r="S23" s="694">
        <f t="shared" si="4"/>
        <v>117.11571827249998</v>
      </c>
      <c r="T23" s="694">
        <f t="shared" si="5"/>
        <v>122.1516941582175</v>
      </c>
      <c r="U23" s="694">
        <f t="shared" si="6"/>
        <v>126.91561023038797</v>
      </c>
      <c r="V23" s="695">
        <f t="shared" si="7"/>
        <v>132.62681269075546</v>
      </c>
    </row>
    <row r="24" spans="1:22">
      <c r="A24" t="str">
        <f>+B24</f>
        <v xml:space="preserve">Chispitas </v>
      </c>
      <c r="B24" s="153" t="s">
        <v>298</v>
      </c>
      <c r="C24" s="153"/>
      <c r="D24" s="153" t="s">
        <v>13</v>
      </c>
      <c r="E24" s="623">
        <v>1000</v>
      </c>
      <c r="F24" s="693">
        <f>+'Inf Base'!F28</f>
        <v>9000</v>
      </c>
      <c r="G24" s="693">
        <f>+F24*(1+Datos!B$53-$G$1)</f>
        <v>8793</v>
      </c>
      <c r="H24" s="693">
        <f>+G24*(1+Datos!C$53-H$1)</f>
        <v>9276.6149999999998</v>
      </c>
      <c r="I24" s="693">
        <f>+H24*(1+Datos!D$53-I$1)</f>
        <v>9786.8288249999987</v>
      </c>
      <c r="J24" s="693">
        <f>+I24*(1+Datos!E$53-J$1)</f>
        <v>10540.414644524999</v>
      </c>
      <c r="K24" s="693">
        <f>+J24*(1+Datos!F$53-K$1)</f>
        <v>10993.652474239576</v>
      </c>
      <c r="L24" s="693">
        <f>+K24*(1+Datos!G$53-L$1)</f>
        <v>11422.404920734918</v>
      </c>
      <c r="M24" s="693">
        <f>+L24*(1+Datos!H$53-M$1)</f>
        <v>11936.41314216799</v>
      </c>
      <c r="O24" s="694">
        <f t="shared" si="0"/>
        <v>9</v>
      </c>
      <c r="P24" s="694">
        <f t="shared" si="1"/>
        <v>8.7929999999999993</v>
      </c>
      <c r="Q24" s="694">
        <f t="shared" si="2"/>
        <v>9.2766149999999996</v>
      </c>
      <c r="R24" s="694">
        <f t="shared" si="3"/>
        <v>9.7868288249999988</v>
      </c>
      <c r="S24" s="694">
        <f t="shared" si="4"/>
        <v>10.540414644524999</v>
      </c>
      <c r="T24" s="694">
        <f t="shared" si="5"/>
        <v>10.993652474239576</v>
      </c>
      <c r="U24" s="694">
        <f t="shared" si="6"/>
        <v>11.422404920734918</v>
      </c>
      <c r="V24" s="695">
        <f t="shared" si="7"/>
        <v>11.936413142167991</v>
      </c>
    </row>
    <row r="25" spans="1:22">
      <c r="A25" t="str">
        <f>+B25</f>
        <v>Quipitos</v>
      </c>
      <c r="B25" s="153" t="s">
        <v>312</v>
      </c>
      <c r="C25" s="153"/>
      <c r="D25" s="153" t="s">
        <v>13</v>
      </c>
      <c r="E25" s="623">
        <v>1000</v>
      </c>
      <c r="F25" s="693">
        <f>+'Inf Base'!F29</f>
        <v>15000</v>
      </c>
      <c r="G25" s="693">
        <f>+F25*(1+Datos!B$53-$G$1)</f>
        <v>14655</v>
      </c>
      <c r="H25" s="693">
        <f>+G25*(1+Datos!C$53-H$1)</f>
        <v>15461.025</v>
      </c>
      <c r="I25" s="693">
        <f>+H25*(1+Datos!D$53-I$1)</f>
        <v>16311.381374999999</v>
      </c>
      <c r="J25" s="693">
        <f>+I25*(1+Datos!E$53-J$1)</f>
        <v>17567.357740874999</v>
      </c>
      <c r="K25" s="693">
        <f>+J25*(1+Datos!F$53-K$1)</f>
        <v>18322.754123732626</v>
      </c>
      <c r="L25" s="693">
        <f>+K25*(1+Datos!G$53-L$1)</f>
        <v>19037.341534558196</v>
      </c>
      <c r="M25" s="693">
        <f>+L25*(1+Datos!H$53-M$1)</f>
        <v>19894.021903613317</v>
      </c>
      <c r="O25" s="694">
        <f t="shared" si="0"/>
        <v>15</v>
      </c>
      <c r="P25" s="694">
        <f t="shared" si="1"/>
        <v>14.654999999999999</v>
      </c>
      <c r="Q25" s="694">
        <f t="shared" si="2"/>
        <v>15.461024999999999</v>
      </c>
      <c r="R25" s="694">
        <f t="shared" si="3"/>
        <v>16.311381375</v>
      </c>
      <c r="S25" s="694">
        <f t="shared" si="4"/>
        <v>17.567357740875</v>
      </c>
      <c r="T25" s="694">
        <f t="shared" si="5"/>
        <v>18.322754123732626</v>
      </c>
      <c r="U25" s="694">
        <f t="shared" si="6"/>
        <v>19.037341534558195</v>
      </c>
      <c r="V25" s="695">
        <f t="shared" si="7"/>
        <v>19.894021903613318</v>
      </c>
    </row>
    <row r="26" spans="1:22">
      <c r="A26" t="str">
        <f>+B26</f>
        <v>Salsas de dulce</v>
      </c>
      <c r="B26" s="153" t="s">
        <v>300</v>
      </c>
      <c r="C26" s="153"/>
      <c r="D26" s="153" t="s">
        <v>10</v>
      </c>
      <c r="E26" s="623">
        <v>5000</v>
      </c>
      <c r="F26" s="693">
        <f>+'Inf Base'!F30</f>
        <v>60000</v>
      </c>
      <c r="G26" s="693">
        <f>+F26*(1+Datos!B$53-$G$1)</f>
        <v>58620</v>
      </c>
      <c r="H26" s="693">
        <f>+G26*(1+Datos!C$53-H$1)</f>
        <v>61844.1</v>
      </c>
      <c r="I26" s="693">
        <f>+H26*(1+Datos!D$53-I$1)</f>
        <v>65245.525499999996</v>
      </c>
      <c r="J26" s="693">
        <f>+I26*(1+Datos!E$53-J$1)</f>
        <v>70269.430963499995</v>
      </c>
      <c r="K26" s="693">
        <f>+J26*(1+Datos!F$53-K$1)</f>
        <v>73291.016494930504</v>
      </c>
      <c r="L26" s="693">
        <f>+K26*(1+Datos!G$53-L$1)</f>
        <v>76149.366138232785</v>
      </c>
      <c r="M26" s="693">
        <f>+L26*(1+Datos!H$53-M$1)</f>
        <v>79576.087614453267</v>
      </c>
      <c r="O26" s="694">
        <f t="shared" si="0"/>
        <v>12</v>
      </c>
      <c r="P26" s="694">
        <f t="shared" si="1"/>
        <v>11.724</v>
      </c>
      <c r="Q26" s="694">
        <f t="shared" si="2"/>
        <v>12.368819999999999</v>
      </c>
      <c r="R26" s="694">
        <f t="shared" si="3"/>
        <v>13.049105099999998</v>
      </c>
      <c r="S26" s="694">
        <f t="shared" si="4"/>
        <v>14.053886192699999</v>
      </c>
      <c r="T26" s="694">
        <f t="shared" si="5"/>
        <v>14.6582032989861</v>
      </c>
      <c r="U26" s="694">
        <f t="shared" si="6"/>
        <v>15.229873227646557</v>
      </c>
      <c r="V26" s="695">
        <f t="shared" si="7"/>
        <v>15.915217522890654</v>
      </c>
    </row>
    <row r="27" spans="1:22">
      <c r="A27" t="s">
        <v>522</v>
      </c>
      <c r="B27" s="153" t="s">
        <v>295</v>
      </c>
      <c r="C27" s="153"/>
      <c r="D27" s="153" t="s">
        <v>13</v>
      </c>
      <c r="E27" s="623">
        <v>2500</v>
      </c>
      <c r="F27" s="693">
        <f>+'Inf Base'!F31</f>
        <v>55000</v>
      </c>
      <c r="G27" s="693">
        <f>+F27*(1+Datos!B$53-$G$1)</f>
        <v>53735</v>
      </c>
      <c r="H27" s="693">
        <f>+G27*(1+Datos!C$53-H$1)</f>
        <v>56690.424999999996</v>
      </c>
      <c r="I27" s="693">
        <f>+H27*(1+Datos!D$53-I$1)</f>
        <v>59808.39837499999</v>
      </c>
      <c r="J27" s="693">
        <f>+I27*(1+Datos!E$53-J$1)</f>
        <v>64413.645049874984</v>
      </c>
      <c r="K27" s="693">
        <f>+J27*(1+Datos!F$53-K$1)</f>
        <v>67183.431787019625</v>
      </c>
      <c r="L27" s="693">
        <f>+K27*(1+Datos!G$53-L$1)</f>
        <v>69803.585626713379</v>
      </c>
      <c r="M27" s="693">
        <f>+L27*(1+Datos!H$53-M$1)</f>
        <v>72944.746979915493</v>
      </c>
      <c r="O27" s="694">
        <f t="shared" si="0"/>
        <v>22</v>
      </c>
      <c r="P27" s="694">
        <f t="shared" si="1"/>
        <v>21.494</v>
      </c>
      <c r="Q27" s="694">
        <f t="shared" si="2"/>
        <v>22.676169999999999</v>
      </c>
      <c r="R27" s="694">
        <f t="shared" si="3"/>
        <v>23.923359349999995</v>
      </c>
      <c r="S27" s="694">
        <f t="shared" si="4"/>
        <v>25.765458019949993</v>
      </c>
      <c r="T27" s="694">
        <f t="shared" si="5"/>
        <v>26.87337271480785</v>
      </c>
      <c r="U27" s="694">
        <f t="shared" si="6"/>
        <v>27.921434250685351</v>
      </c>
      <c r="V27" s="695">
        <f t="shared" si="7"/>
        <v>29.177898791966197</v>
      </c>
    </row>
    <row r="28" spans="1:22">
      <c r="A28" t="s">
        <v>522</v>
      </c>
      <c r="B28" s="153" t="s">
        <v>280</v>
      </c>
      <c r="C28" s="153"/>
      <c r="D28" s="153" t="s">
        <v>13</v>
      </c>
      <c r="E28" s="623">
        <v>2500</v>
      </c>
      <c r="F28" s="693">
        <f>+'Inf Base'!F32</f>
        <v>37500</v>
      </c>
      <c r="G28" s="693">
        <f>+F28*(1+Datos!B$53-$G$1)</f>
        <v>36637.5</v>
      </c>
      <c r="H28" s="693">
        <f>+G28*(1+Datos!C$53-H$1)</f>
        <v>38652.5625</v>
      </c>
      <c r="I28" s="693">
        <f>+H28*(1+Datos!D$53-I$1)</f>
        <v>40778.4534375</v>
      </c>
      <c r="J28" s="693">
        <f>+I28*(1+Datos!E$53-J$1)</f>
        <v>43918.394352187497</v>
      </c>
      <c r="K28" s="693">
        <f>+J28*(1+Datos!F$53-K$1)</f>
        <v>45806.885309331563</v>
      </c>
      <c r="L28" s="693">
        <f>+K28*(1+Datos!G$53-L$1)</f>
        <v>47593.353836395487</v>
      </c>
      <c r="M28" s="693">
        <f>+L28*(1+Datos!H$53-M$1)</f>
        <v>49735.054759033294</v>
      </c>
      <c r="O28" s="694">
        <f t="shared" si="0"/>
        <v>15</v>
      </c>
      <c r="P28" s="694">
        <f t="shared" si="1"/>
        <v>14.654999999999999</v>
      </c>
      <c r="Q28" s="694">
        <f t="shared" si="2"/>
        <v>15.461024999999999</v>
      </c>
      <c r="R28" s="694">
        <f t="shared" si="3"/>
        <v>16.311381375</v>
      </c>
      <c r="S28" s="694">
        <f t="shared" si="4"/>
        <v>17.567357740875</v>
      </c>
      <c r="T28" s="694">
        <f t="shared" si="5"/>
        <v>18.322754123732626</v>
      </c>
      <c r="U28" s="694">
        <f t="shared" si="6"/>
        <v>19.037341534558195</v>
      </c>
      <c r="V28" s="695">
        <f t="shared" si="7"/>
        <v>19.894021903613318</v>
      </c>
    </row>
    <row r="29" spans="1:22">
      <c r="A29" t="s">
        <v>522</v>
      </c>
      <c r="B29" s="153" t="s">
        <v>270</v>
      </c>
      <c r="C29" s="153"/>
      <c r="D29" s="153" t="s">
        <v>13</v>
      </c>
      <c r="E29" s="623">
        <v>2500</v>
      </c>
      <c r="F29" s="693">
        <f>+'Inf Base'!F33</f>
        <v>160000</v>
      </c>
      <c r="G29" s="693">
        <f>+F29*(1+Datos!B$53-$G$1)</f>
        <v>156320</v>
      </c>
      <c r="H29" s="693">
        <f>+G29*(1+Datos!C$53-H$1)</f>
        <v>164917.59999999998</v>
      </c>
      <c r="I29" s="693">
        <f>+H29*(1+Datos!D$53-I$1)</f>
        <v>173988.06799999997</v>
      </c>
      <c r="J29" s="693">
        <f>+I29*(1+Datos!E$53-J$1)</f>
        <v>187385.14923599997</v>
      </c>
      <c r="K29" s="693">
        <f>+J29*(1+Datos!F$53-K$1)</f>
        <v>195442.71065314801</v>
      </c>
      <c r="L29" s="693">
        <f>+K29*(1+Datos!G$53-L$1)</f>
        <v>203064.97636862076</v>
      </c>
      <c r="M29" s="693">
        <f>+L29*(1+Datos!H$53-M$1)</f>
        <v>212202.90030520872</v>
      </c>
      <c r="O29" s="694">
        <f t="shared" si="0"/>
        <v>64</v>
      </c>
      <c r="P29" s="694">
        <f t="shared" si="1"/>
        <v>62.527999999999999</v>
      </c>
      <c r="Q29" s="694">
        <f t="shared" si="2"/>
        <v>65.967039999999997</v>
      </c>
      <c r="R29" s="694">
        <f t="shared" si="3"/>
        <v>69.595227199999982</v>
      </c>
      <c r="S29" s="694">
        <f t="shared" si="4"/>
        <v>74.954059694399987</v>
      </c>
      <c r="T29" s="694">
        <f t="shared" si="5"/>
        <v>78.177084261259211</v>
      </c>
      <c r="U29" s="694">
        <f t="shared" si="6"/>
        <v>81.225990547448305</v>
      </c>
      <c r="V29" s="695">
        <f t="shared" si="7"/>
        <v>84.881160122083486</v>
      </c>
    </row>
    <row r="30" spans="1:22">
      <c r="A30" t="s">
        <v>522</v>
      </c>
      <c r="B30" s="153" t="s">
        <v>271</v>
      </c>
      <c r="C30" s="153"/>
      <c r="D30" s="153" t="s">
        <v>13</v>
      </c>
      <c r="E30" s="623">
        <v>2500</v>
      </c>
      <c r="F30" s="693">
        <f>+'Inf Base'!F34</f>
        <v>145000</v>
      </c>
      <c r="G30" s="693">
        <f>+F30*(1+Datos!B$53-$G$1)</f>
        <v>141665</v>
      </c>
      <c r="H30" s="693">
        <f>+G30*(1+Datos!C$53-H$1)</f>
        <v>149456.57499999998</v>
      </c>
      <c r="I30" s="693">
        <f>+H30*(1+Datos!D$53-I$1)</f>
        <v>157676.68662499997</v>
      </c>
      <c r="J30" s="693">
        <f>+I30*(1+Datos!E$53-J$1)</f>
        <v>169817.79149512495</v>
      </c>
      <c r="K30" s="693">
        <f>+J30*(1+Datos!F$53-K$1)</f>
        <v>177119.95652941536</v>
      </c>
      <c r="L30" s="693">
        <f>+K30*(1+Datos!G$53-L$1)</f>
        <v>184027.63483406254</v>
      </c>
      <c r="M30" s="693">
        <f>+L30*(1+Datos!H$53-M$1)</f>
        <v>192308.87840159537</v>
      </c>
      <c r="O30" s="694">
        <f t="shared" si="0"/>
        <v>58</v>
      </c>
      <c r="P30" s="694">
        <f t="shared" si="1"/>
        <v>56.665999999999997</v>
      </c>
      <c r="Q30" s="694">
        <f t="shared" si="2"/>
        <v>59.78262999999999</v>
      </c>
      <c r="R30" s="694">
        <f t="shared" si="3"/>
        <v>63.070674649999987</v>
      </c>
      <c r="S30" s="694">
        <f t="shared" si="4"/>
        <v>67.927116598049977</v>
      </c>
      <c r="T30" s="694">
        <f t="shared" si="5"/>
        <v>70.847982611766142</v>
      </c>
      <c r="U30" s="694">
        <f t="shared" si="6"/>
        <v>73.611053933625016</v>
      </c>
      <c r="V30" s="695">
        <f t="shared" si="7"/>
        <v>76.923551360638143</v>
      </c>
    </row>
    <row r="31" spans="1:22">
      <c r="A31" t="s">
        <v>522</v>
      </c>
      <c r="B31" s="153" t="s">
        <v>281</v>
      </c>
      <c r="C31" s="153"/>
      <c r="D31" s="153" t="s">
        <v>13</v>
      </c>
      <c r="E31" s="623">
        <v>2500</v>
      </c>
      <c r="F31" s="693">
        <f>+'Inf Base'!F35</f>
        <v>127500</v>
      </c>
      <c r="G31" s="693">
        <f>+F31*(1+Datos!B$53-$G$1)</f>
        <v>124567.5</v>
      </c>
      <c r="H31" s="693">
        <f>+G31*(1+Datos!C$53-H$1)</f>
        <v>131418.71249999999</v>
      </c>
      <c r="I31" s="693">
        <f>+H31*(1+Datos!D$53-I$1)</f>
        <v>138646.74168749998</v>
      </c>
      <c r="J31" s="693">
        <f>+I31*(1+Datos!E$53-J$1)</f>
        <v>149322.54079743748</v>
      </c>
      <c r="K31" s="693">
        <f>+J31*(1+Datos!F$53-K$1)</f>
        <v>155743.41005172732</v>
      </c>
      <c r="L31" s="693">
        <f>+K31*(1+Datos!G$53-L$1)</f>
        <v>161817.40304374468</v>
      </c>
      <c r="M31" s="693">
        <f>+L31*(1+Datos!H$53-M$1)</f>
        <v>169099.18618071321</v>
      </c>
      <c r="O31" s="694">
        <f t="shared" si="0"/>
        <v>51</v>
      </c>
      <c r="P31" s="694">
        <f t="shared" si="1"/>
        <v>49.826999999999998</v>
      </c>
      <c r="Q31" s="694">
        <f t="shared" si="2"/>
        <v>52.567484999999998</v>
      </c>
      <c r="R31" s="694">
        <f t="shared" si="3"/>
        <v>55.458696674999992</v>
      </c>
      <c r="S31" s="694">
        <f t="shared" si="4"/>
        <v>59.729016318974992</v>
      </c>
      <c r="T31" s="694">
        <f t="shared" si="5"/>
        <v>62.297364020690928</v>
      </c>
      <c r="U31" s="694">
        <f t="shared" si="6"/>
        <v>64.726961217497873</v>
      </c>
      <c r="V31" s="695">
        <f t="shared" si="7"/>
        <v>67.639674472285279</v>
      </c>
    </row>
    <row r="32" spans="1:22">
      <c r="A32" t="s">
        <v>522</v>
      </c>
      <c r="B32" s="153" t="s">
        <v>273</v>
      </c>
      <c r="C32" s="153"/>
      <c r="D32" s="153" t="s">
        <v>13</v>
      </c>
      <c r="E32" s="623">
        <v>2500</v>
      </c>
      <c r="F32" s="693">
        <f>+'Inf Base'!F36</f>
        <v>170000</v>
      </c>
      <c r="G32" s="693">
        <f>+F32*(1+Datos!B$53-$G$1)</f>
        <v>166090</v>
      </c>
      <c r="H32" s="693">
        <f>+G32*(1+Datos!C$53-H$1)</f>
        <v>175224.94999999998</v>
      </c>
      <c r="I32" s="693">
        <f>+H32*(1+Datos!D$53-I$1)</f>
        <v>184862.32224999997</v>
      </c>
      <c r="J32" s="693">
        <f>+I32*(1+Datos!E$53-J$1)</f>
        <v>199096.72106324995</v>
      </c>
      <c r="K32" s="693">
        <f>+J32*(1+Datos!F$53-K$1)</f>
        <v>207657.88006896974</v>
      </c>
      <c r="L32" s="693">
        <f>+K32*(1+Datos!G$53-L$1)</f>
        <v>215756.53739165954</v>
      </c>
      <c r="M32" s="693">
        <f>+L32*(1+Datos!H$53-M$1)</f>
        <v>225465.58157428427</v>
      </c>
      <c r="O32" s="694">
        <f t="shared" si="0"/>
        <v>68</v>
      </c>
      <c r="P32" s="694">
        <f t="shared" si="1"/>
        <v>66.436000000000007</v>
      </c>
      <c r="Q32" s="694">
        <f t="shared" si="2"/>
        <v>70.089979999999997</v>
      </c>
      <c r="R32" s="694">
        <f t="shared" si="3"/>
        <v>73.944928899999994</v>
      </c>
      <c r="S32" s="694">
        <f t="shared" si="4"/>
        <v>79.638688425299975</v>
      </c>
      <c r="T32" s="694">
        <f t="shared" si="5"/>
        <v>83.06315202758789</v>
      </c>
      <c r="U32" s="694">
        <f t="shared" si="6"/>
        <v>86.302614956663817</v>
      </c>
      <c r="V32" s="695">
        <f t="shared" si="7"/>
        <v>90.1862326297137</v>
      </c>
    </row>
    <row r="33" spans="1:22">
      <c r="A33" t="s">
        <v>522</v>
      </c>
      <c r="B33" s="153" t="s">
        <v>278</v>
      </c>
      <c r="C33" s="153"/>
      <c r="D33" s="153" t="s">
        <v>13</v>
      </c>
      <c r="E33" s="623">
        <v>2500</v>
      </c>
      <c r="F33" s="693">
        <f>+'Inf Base'!F37</f>
        <v>132500</v>
      </c>
      <c r="G33" s="693">
        <f>+F33*(1+Datos!B$53-$G$1)</f>
        <v>129452.5</v>
      </c>
      <c r="H33" s="693">
        <f>+G33*(1+Datos!C$53-H$1)</f>
        <v>136572.38749999998</v>
      </c>
      <c r="I33" s="693">
        <f>+H33*(1+Datos!D$53-I$1)</f>
        <v>144083.86881249998</v>
      </c>
      <c r="J33" s="693">
        <f>+I33*(1+Datos!E$53-J$1)</f>
        <v>155178.32671106246</v>
      </c>
      <c r="K33" s="693">
        <f>+J33*(1+Datos!F$53-K$1)</f>
        <v>161850.99475963815</v>
      </c>
      <c r="L33" s="693">
        <f>+K33*(1+Datos!G$53-L$1)</f>
        <v>168163.18355526403</v>
      </c>
      <c r="M33" s="693">
        <f>+L33*(1+Datos!H$53-M$1)</f>
        <v>175730.52681525092</v>
      </c>
      <c r="O33" s="694">
        <f t="shared" si="0"/>
        <v>53</v>
      </c>
      <c r="P33" s="694">
        <f t="shared" si="1"/>
        <v>51.780999999999999</v>
      </c>
      <c r="Q33" s="694">
        <f t="shared" si="2"/>
        <v>54.628954999999991</v>
      </c>
      <c r="R33" s="694">
        <f t="shared" si="3"/>
        <v>57.63354752499999</v>
      </c>
      <c r="S33" s="694">
        <f t="shared" si="4"/>
        <v>62.071330684424986</v>
      </c>
      <c r="T33" s="694">
        <f t="shared" si="5"/>
        <v>64.740397903855268</v>
      </c>
      <c r="U33" s="694">
        <f t="shared" si="6"/>
        <v>67.265273422105608</v>
      </c>
      <c r="V33" s="695">
        <f t="shared" si="7"/>
        <v>70.292210726100365</v>
      </c>
    </row>
    <row r="34" spans="1:22">
      <c r="A34" t="s">
        <v>522</v>
      </c>
      <c r="B34" s="153" t="s">
        <v>272</v>
      </c>
      <c r="C34" s="153"/>
      <c r="D34" s="153" t="s">
        <v>13</v>
      </c>
      <c r="E34" s="623">
        <v>2500</v>
      </c>
      <c r="F34" s="693">
        <f>+'Inf Base'!F38</f>
        <v>122500</v>
      </c>
      <c r="G34" s="693">
        <f>+F34*(1+Datos!B$53-$G$1)</f>
        <v>119682.5</v>
      </c>
      <c r="H34" s="693">
        <f>+G34*(1+Datos!C$53-H$1)</f>
        <v>126265.03749999999</v>
      </c>
      <c r="I34" s="693">
        <f>+H34*(1+Datos!D$53-I$1)</f>
        <v>133209.61456249998</v>
      </c>
      <c r="J34" s="693">
        <f>+I34*(1+Datos!E$53-J$1)</f>
        <v>143466.75488381248</v>
      </c>
      <c r="K34" s="693">
        <f>+J34*(1+Datos!F$53-K$1)</f>
        <v>149635.82534381642</v>
      </c>
      <c r="L34" s="693">
        <f>+K34*(1+Datos!G$53-L$1)</f>
        <v>155471.62253222524</v>
      </c>
      <c r="M34" s="693">
        <f>+L34*(1+Datos!H$53-M$1)</f>
        <v>162467.84554617541</v>
      </c>
      <c r="O34" s="694">
        <f t="shared" si="0"/>
        <v>49</v>
      </c>
      <c r="P34" s="694">
        <f t="shared" si="1"/>
        <v>47.872999999999998</v>
      </c>
      <c r="Q34" s="694">
        <f t="shared" si="2"/>
        <v>50.506014999999998</v>
      </c>
      <c r="R34" s="694">
        <f t="shared" si="3"/>
        <v>53.283845824999993</v>
      </c>
      <c r="S34" s="694">
        <f t="shared" si="4"/>
        <v>57.386701953524991</v>
      </c>
      <c r="T34" s="694">
        <f t="shared" si="5"/>
        <v>59.854330137526567</v>
      </c>
      <c r="U34" s="694">
        <f t="shared" si="6"/>
        <v>62.188649012890096</v>
      </c>
      <c r="V34" s="695">
        <f t="shared" si="7"/>
        <v>64.987138218470164</v>
      </c>
    </row>
    <row r="35" spans="1:22">
      <c r="A35" t="s">
        <v>522</v>
      </c>
      <c r="B35" s="153" t="s">
        <v>268</v>
      </c>
      <c r="C35" s="153"/>
      <c r="D35" s="153" t="s">
        <v>13</v>
      </c>
      <c r="E35" s="623">
        <v>2500</v>
      </c>
      <c r="F35" s="693">
        <f>+'Inf Base'!F39</f>
        <v>77500</v>
      </c>
      <c r="G35" s="693">
        <f>+F35*(1+Datos!B$53-$G$1)</f>
        <v>75717.5</v>
      </c>
      <c r="H35" s="693">
        <f>+G35*(1+Datos!C$53-H$1)</f>
        <v>79881.962499999994</v>
      </c>
      <c r="I35" s="693">
        <f>+H35*(1+Datos!D$53-I$1)</f>
        <v>84275.470437499986</v>
      </c>
      <c r="J35" s="693">
        <f>+I35*(1+Datos!E$53-J$1)</f>
        <v>90764.681661187482</v>
      </c>
      <c r="K35" s="693">
        <f>+J35*(1+Datos!F$53-K$1)</f>
        <v>94667.562972618558</v>
      </c>
      <c r="L35" s="693">
        <f>+K35*(1+Datos!G$53-L$1)</f>
        <v>98359.597928550676</v>
      </c>
      <c r="M35" s="693">
        <f>+L35*(1+Datos!H$53-M$1)</f>
        <v>102785.77983533547</v>
      </c>
      <c r="O35" s="694">
        <f t="shared" si="0"/>
        <v>31</v>
      </c>
      <c r="P35" s="694">
        <f t="shared" si="1"/>
        <v>30.286999999999999</v>
      </c>
      <c r="Q35" s="694">
        <f t="shared" si="2"/>
        <v>31.952784999999999</v>
      </c>
      <c r="R35" s="694">
        <f t="shared" si="3"/>
        <v>33.710188174999992</v>
      </c>
      <c r="S35" s="694">
        <f t="shared" si="4"/>
        <v>36.30587266447499</v>
      </c>
      <c r="T35" s="694">
        <f t="shared" si="5"/>
        <v>37.867025189047425</v>
      </c>
      <c r="U35" s="694">
        <f t="shared" si="6"/>
        <v>39.343839171420271</v>
      </c>
      <c r="V35" s="695">
        <f t="shared" si="7"/>
        <v>41.114311934134193</v>
      </c>
    </row>
    <row r="36" spans="1:22">
      <c r="A36" t="s">
        <v>522</v>
      </c>
      <c r="B36" s="153" t="s">
        <v>277</v>
      </c>
      <c r="C36" s="153"/>
      <c r="D36" s="153" t="s">
        <v>13</v>
      </c>
      <c r="E36" s="623">
        <v>2500</v>
      </c>
      <c r="F36" s="693">
        <f>+'Inf Base'!F40</f>
        <v>55000</v>
      </c>
      <c r="G36" s="693">
        <f>+F36*(1+Datos!B$53-$G$1)</f>
        <v>53735</v>
      </c>
      <c r="H36" s="693">
        <f>+G36*(1+Datos!C$53-H$1)</f>
        <v>56690.424999999996</v>
      </c>
      <c r="I36" s="693">
        <f>+H36*(1+Datos!D$53-I$1)</f>
        <v>59808.39837499999</v>
      </c>
      <c r="J36" s="693">
        <f>+I36*(1+Datos!E$53-J$1)</f>
        <v>64413.645049874984</v>
      </c>
      <c r="K36" s="693">
        <f>+J36*(1+Datos!F$53-K$1)</f>
        <v>67183.431787019625</v>
      </c>
      <c r="L36" s="693">
        <f>+K36*(1+Datos!G$53-L$1)</f>
        <v>69803.585626713379</v>
      </c>
      <c r="M36" s="693">
        <f>+L36*(1+Datos!H$53-M$1)</f>
        <v>72944.746979915493</v>
      </c>
      <c r="O36" s="694">
        <f t="shared" si="0"/>
        <v>22</v>
      </c>
      <c r="P36" s="694">
        <f t="shared" si="1"/>
        <v>21.494</v>
      </c>
      <c r="Q36" s="694">
        <f t="shared" si="2"/>
        <v>22.676169999999999</v>
      </c>
      <c r="R36" s="694">
        <f t="shared" si="3"/>
        <v>23.923359349999995</v>
      </c>
      <c r="S36" s="694">
        <f t="shared" si="4"/>
        <v>25.765458019949993</v>
      </c>
      <c r="T36" s="694">
        <f t="shared" si="5"/>
        <v>26.87337271480785</v>
      </c>
      <c r="U36" s="694">
        <f t="shared" si="6"/>
        <v>27.921434250685351</v>
      </c>
      <c r="V36" s="695">
        <f t="shared" si="7"/>
        <v>29.177898791966197</v>
      </c>
    </row>
    <row r="37" spans="1:22">
      <c r="A37" t="s">
        <v>522</v>
      </c>
      <c r="B37" s="153" t="s">
        <v>269</v>
      </c>
      <c r="C37" s="153"/>
      <c r="D37" s="153" t="s">
        <v>13</v>
      </c>
      <c r="E37" s="623">
        <v>2500</v>
      </c>
      <c r="F37" s="693">
        <f>+'Inf Base'!F41</f>
        <v>75000</v>
      </c>
      <c r="G37" s="693">
        <f>+F37*(1+Datos!B$53-$G$1)</f>
        <v>73275</v>
      </c>
      <c r="H37" s="693">
        <f>+G37*(1+Datos!C$53-H$1)</f>
        <v>77305.125</v>
      </c>
      <c r="I37" s="693">
        <f>+H37*(1+Datos!D$53-I$1)</f>
        <v>81556.906875000001</v>
      </c>
      <c r="J37" s="693">
        <f>+I37*(1+Datos!E$53-J$1)</f>
        <v>87836.788704374994</v>
      </c>
      <c r="K37" s="693">
        <f>+J37*(1+Datos!F$53-K$1)</f>
        <v>91613.770618663126</v>
      </c>
      <c r="L37" s="693">
        <f>+K37*(1+Datos!G$53-L$1)</f>
        <v>95186.707672790973</v>
      </c>
      <c r="M37" s="693">
        <f>+L37*(1+Datos!H$53-M$1)</f>
        <v>99470.109518066587</v>
      </c>
      <c r="O37" s="694">
        <f t="shared" si="0"/>
        <v>30</v>
      </c>
      <c r="P37" s="694">
        <f t="shared" si="1"/>
        <v>29.31</v>
      </c>
      <c r="Q37" s="694">
        <f t="shared" si="2"/>
        <v>30.922049999999999</v>
      </c>
      <c r="R37" s="694">
        <f t="shared" si="3"/>
        <v>32.62276275</v>
      </c>
      <c r="S37" s="694">
        <f t="shared" si="4"/>
        <v>35.13471548175</v>
      </c>
      <c r="T37" s="694">
        <f t="shared" si="5"/>
        <v>36.645508247465251</v>
      </c>
      <c r="U37" s="694">
        <f t="shared" si="6"/>
        <v>38.074683069116389</v>
      </c>
      <c r="V37" s="695">
        <f t="shared" si="7"/>
        <v>39.788043807226636</v>
      </c>
    </row>
    <row r="38" spans="1:22">
      <c r="A38" t="s">
        <v>522</v>
      </c>
      <c r="B38" s="153" t="s">
        <v>289</v>
      </c>
      <c r="C38" s="153"/>
      <c r="D38" s="153" t="s">
        <v>13</v>
      </c>
      <c r="E38" s="623">
        <v>2500</v>
      </c>
      <c r="F38" s="693">
        <f>+'Inf Base'!F42</f>
        <v>67500</v>
      </c>
      <c r="G38" s="693">
        <f>+F38*(1+Datos!B$53-$G$1)</f>
        <v>65947.5</v>
      </c>
      <c r="H38" s="693">
        <f>+G38*(1+Datos!C$53-H$1)</f>
        <v>69574.612500000003</v>
      </c>
      <c r="I38" s="693">
        <f>+H38*(1+Datos!D$53-I$1)</f>
        <v>73401.216187500002</v>
      </c>
      <c r="J38" s="693">
        <f>+I38*(1+Datos!E$53-J$1)</f>
        <v>79053.109833937502</v>
      </c>
      <c r="K38" s="693">
        <f>+J38*(1+Datos!F$53-K$1)</f>
        <v>82452.393556796829</v>
      </c>
      <c r="L38" s="693">
        <f>+K38*(1+Datos!G$53-L$1)</f>
        <v>85668.036905511894</v>
      </c>
      <c r="M38" s="693">
        <f>+L38*(1+Datos!H$53-M$1)</f>
        <v>89523.098566259941</v>
      </c>
      <c r="O38" s="694">
        <f t="shared" si="0"/>
        <v>27</v>
      </c>
      <c r="P38" s="694">
        <f t="shared" si="1"/>
        <v>26.379000000000001</v>
      </c>
      <c r="Q38" s="694">
        <f t="shared" si="2"/>
        <v>27.829845000000002</v>
      </c>
      <c r="R38" s="694">
        <f t="shared" si="3"/>
        <v>29.360486475000002</v>
      </c>
      <c r="S38" s="694">
        <f t="shared" si="4"/>
        <v>31.621243933575002</v>
      </c>
      <c r="T38" s="694">
        <f t="shared" si="5"/>
        <v>32.980957422718731</v>
      </c>
      <c r="U38" s="694">
        <f t="shared" si="6"/>
        <v>34.267214762204759</v>
      </c>
      <c r="V38" s="695">
        <f t="shared" si="7"/>
        <v>35.809239426503979</v>
      </c>
    </row>
    <row r="39" spans="1:22">
      <c r="A39" t="s">
        <v>522</v>
      </c>
      <c r="B39" s="153" t="s">
        <v>276</v>
      </c>
      <c r="C39" s="153"/>
      <c r="D39" s="153" t="s">
        <v>13</v>
      </c>
      <c r="E39" s="623">
        <v>2500</v>
      </c>
      <c r="F39" s="693">
        <f>+'Inf Base'!F43</f>
        <v>42500</v>
      </c>
      <c r="G39" s="693">
        <f>+F39*(1+Datos!B$53-$G$1)</f>
        <v>41522.5</v>
      </c>
      <c r="H39" s="693">
        <f>+G39*(1+Datos!C$53-H$1)</f>
        <v>43806.237499999996</v>
      </c>
      <c r="I39" s="693">
        <f>+H39*(1+Datos!D$53-I$1)</f>
        <v>46215.580562499992</v>
      </c>
      <c r="J39" s="693">
        <f>+I39*(1+Datos!E$53-J$1)</f>
        <v>49774.180265812487</v>
      </c>
      <c r="K39" s="693">
        <f>+J39*(1+Datos!F$53-K$1)</f>
        <v>51914.470017242435</v>
      </c>
      <c r="L39" s="693">
        <f>+K39*(1+Datos!G$53-L$1)</f>
        <v>53939.134347914885</v>
      </c>
      <c r="M39" s="693">
        <f>+L39*(1+Datos!H$53-M$1)</f>
        <v>56366.395393571067</v>
      </c>
      <c r="O39" s="694">
        <f t="shared" si="0"/>
        <v>17</v>
      </c>
      <c r="P39" s="694">
        <f t="shared" si="1"/>
        <v>16.609000000000002</v>
      </c>
      <c r="Q39" s="694">
        <f t="shared" si="2"/>
        <v>17.522494999999999</v>
      </c>
      <c r="R39" s="694">
        <f t="shared" si="3"/>
        <v>18.486232224999998</v>
      </c>
      <c r="S39" s="694">
        <f t="shared" si="4"/>
        <v>19.909672106324994</v>
      </c>
      <c r="T39" s="694">
        <f t="shared" si="5"/>
        <v>20.765788006896972</v>
      </c>
      <c r="U39" s="694">
        <f t="shared" si="6"/>
        <v>21.575653739165954</v>
      </c>
      <c r="V39" s="695">
        <f t="shared" si="7"/>
        <v>22.546558157428425</v>
      </c>
    </row>
    <row r="40" spans="1:22">
      <c r="A40" t="s">
        <v>522</v>
      </c>
      <c r="B40" s="153" t="s">
        <v>282</v>
      </c>
      <c r="C40" s="153"/>
      <c r="D40" s="153" t="s">
        <v>13</v>
      </c>
      <c r="E40" s="623">
        <v>2500</v>
      </c>
      <c r="F40" s="693">
        <f>+'Inf Base'!F44</f>
        <v>22500</v>
      </c>
      <c r="G40" s="693">
        <f>+F40*(1+Datos!B$53-$G$1)</f>
        <v>21982.5</v>
      </c>
      <c r="H40" s="693">
        <f>+G40*(1+Datos!C$53-H$1)</f>
        <v>23191.537499999999</v>
      </c>
      <c r="I40" s="693">
        <f>+H40*(1+Datos!D$53-I$1)</f>
        <v>24467.072062499996</v>
      </c>
      <c r="J40" s="693">
        <f>+I40*(1+Datos!E$53-J$1)</f>
        <v>26351.036611312495</v>
      </c>
      <c r="K40" s="693">
        <f>+J40*(1+Datos!F$53-K$1)</f>
        <v>27484.131185598937</v>
      </c>
      <c r="L40" s="693">
        <f>+K40*(1+Datos!G$53-L$1)</f>
        <v>28556.012301837294</v>
      </c>
      <c r="M40" s="693">
        <f>+L40*(1+Datos!H$53-M$1)</f>
        <v>29841.032855419977</v>
      </c>
      <c r="O40" s="694">
        <f t="shared" si="0"/>
        <v>9</v>
      </c>
      <c r="P40" s="694">
        <f t="shared" si="1"/>
        <v>8.7929999999999993</v>
      </c>
      <c r="Q40" s="694">
        <f t="shared" si="2"/>
        <v>9.2766149999999996</v>
      </c>
      <c r="R40" s="694">
        <f t="shared" si="3"/>
        <v>9.7868288249999988</v>
      </c>
      <c r="S40" s="694">
        <f t="shared" si="4"/>
        <v>10.540414644524997</v>
      </c>
      <c r="T40" s="694">
        <f t="shared" si="5"/>
        <v>10.993652474239575</v>
      </c>
      <c r="U40" s="694">
        <f t="shared" si="6"/>
        <v>11.422404920734918</v>
      </c>
      <c r="V40" s="695">
        <f t="shared" si="7"/>
        <v>11.936413142167991</v>
      </c>
    </row>
    <row r="41" spans="1:22">
      <c r="A41" t="s">
        <v>522</v>
      </c>
      <c r="B41" s="153" t="s">
        <v>279</v>
      </c>
      <c r="C41" s="153"/>
      <c r="D41" s="153" t="s">
        <v>13</v>
      </c>
      <c r="E41" s="623">
        <v>2500</v>
      </c>
      <c r="F41" s="693">
        <f>+'Inf Base'!F45</f>
        <v>152500</v>
      </c>
      <c r="G41" s="693">
        <f>+F41*(1+Datos!B$53-$G$1)</f>
        <v>148992.5</v>
      </c>
      <c r="H41" s="693">
        <f>+G41*(1+Datos!C$53-H$1)</f>
        <v>157187.08749999999</v>
      </c>
      <c r="I41" s="693">
        <f>+H41*(1+Datos!D$53-I$1)</f>
        <v>165832.37731249997</v>
      </c>
      <c r="J41" s="693">
        <f>+I41*(1+Datos!E$53-J$1)</f>
        <v>178601.47036556248</v>
      </c>
      <c r="K41" s="693">
        <f>+J41*(1+Datos!F$53-K$1)</f>
        <v>186281.3335912817</v>
      </c>
      <c r="L41" s="693">
        <f>+K41*(1+Datos!G$53-L$1)</f>
        <v>193546.30560134168</v>
      </c>
      <c r="M41" s="693">
        <f>+L41*(1+Datos!H$53-M$1)</f>
        <v>202255.88935340208</v>
      </c>
      <c r="O41" s="694">
        <f t="shared" si="0"/>
        <v>61</v>
      </c>
      <c r="P41" s="694">
        <f t="shared" si="1"/>
        <v>59.597000000000001</v>
      </c>
      <c r="Q41" s="694">
        <f t="shared" si="2"/>
        <v>62.874834999999997</v>
      </c>
      <c r="R41" s="694">
        <f t="shared" si="3"/>
        <v>66.332950924999992</v>
      </c>
      <c r="S41" s="694">
        <f t="shared" si="4"/>
        <v>71.440588146224997</v>
      </c>
      <c r="T41" s="694">
        <f t="shared" si="5"/>
        <v>74.512533436512683</v>
      </c>
      <c r="U41" s="694">
        <f t="shared" si="6"/>
        <v>77.418522240536674</v>
      </c>
      <c r="V41" s="695">
        <f t="shared" si="7"/>
        <v>80.902355741360836</v>
      </c>
    </row>
    <row r="42" spans="1:22">
      <c r="A42" t="s">
        <v>522</v>
      </c>
      <c r="B42" s="153" t="s">
        <v>290</v>
      </c>
      <c r="C42" s="153"/>
      <c r="D42" s="153" t="s">
        <v>13</v>
      </c>
      <c r="E42" s="623">
        <v>2500</v>
      </c>
      <c r="F42" s="693">
        <f>+'Inf Base'!F46</f>
        <v>157500</v>
      </c>
      <c r="G42" s="693">
        <f>+F42*(1+Datos!B$53-$G$1)</f>
        <v>153877.5</v>
      </c>
      <c r="H42" s="693">
        <f>+G42*(1+Datos!C$53-H$1)</f>
        <v>162340.76249999998</v>
      </c>
      <c r="I42" s="693">
        <f>+H42*(1+Datos!D$53-I$1)</f>
        <v>171269.50443749997</v>
      </c>
      <c r="J42" s="693">
        <f>+I42*(1+Datos!E$53-J$1)</f>
        <v>184457.25627918745</v>
      </c>
      <c r="K42" s="693">
        <f>+J42*(1+Datos!F$53-K$1)</f>
        <v>192388.91829919253</v>
      </c>
      <c r="L42" s="693">
        <f>+K42*(1+Datos!G$53-L$1)</f>
        <v>199892.08611286103</v>
      </c>
      <c r="M42" s="693">
        <f>+L42*(1+Datos!H$53-M$1)</f>
        <v>208887.22998793979</v>
      </c>
      <c r="O42" s="694">
        <f t="shared" si="0"/>
        <v>63</v>
      </c>
      <c r="P42" s="694">
        <f t="shared" si="1"/>
        <v>61.551000000000002</v>
      </c>
      <c r="Q42" s="694">
        <f t="shared" si="2"/>
        <v>64.93630499999999</v>
      </c>
      <c r="R42" s="694">
        <f t="shared" si="3"/>
        <v>68.50780177499999</v>
      </c>
      <c r="S42" s="694">
        <f t="shared" si="4"/>
        <v>73.782902511674976</v>
      </c>
      <c r="T42" s="694">
        <f t="shared" si="5"/>
        <v>76.955567319677016</v>
      </c>
      <c r="U42" s="694">
        <f t="shared" si="6"/>
        <v>79.956834445144409</v>
      </c>
      <c r="V42" s="695">
        <f t="shared" si="7"/>
        <v>83.554891995175922</v>
      </c>
    </row>
    <row r="43" spans="1:22">
      <c r="A43" t="s">
        <v>522</v>
      </c>
      <c r="B43" s="153" t="s">
        <v>275</v>
      </c>
      <c r="C43" s="153"/>
      <c r="D43" s="153" t="s">
        <v>13</v>
      </c>
      <c r="E43" s="623">
        <v>2500</v>
      </c>
      <c r="F43" s="693">
        <f>+'Inf Base'!F47</f>
        <v>65000</v>
      </c>
      <c r="G43" s="693">
        <f>+F43*(1+Datos!B$53-$G$1)</f>
        <v>63505</v>
      </c>
      <c r="H43" s="693">
        <f>+G43*(1+Datos!C$53-H$1)</f>
        <v>66997.774999999994</v>
      </c>
      <c r="I43" s="693">
        <f>+H43*(1+Datos!D$53-I$1)</f>
        <v>70682.652624999988</v>
      </c>
      <c r="J43" s="693">
        <f>+I43*(1+Datos!E$53-J$1)</f>
        <v>76125.216877124985</v>
      </c>
      <c r="K43" s="693">
        <f>+J43*(1+Datos!F$53-K$1)</f>
        <v>79398.601202841368</v>
      </c>
      <c r="L43" s="693">
        <f>+K43*(1+Datos!G$53-L$1)</f>
        <v>82495.146649752176</v>
      </c>
      <c r="M43" s="693">
        <f>+L43*(1+Datos!H$53-M$1)</f>
        <v>86207.42824899104</v>
      </c>
      <c r="O43" s="694">
        <f t="shared" si="0"/>
        <v>26</v>
      </c>
      <c r="P43" s="694">
        <f t="shared" si="1"/>
        <v>25.402000000000001</v>
      </c>
      <c r="Q43" s="694">
        <f t="shared" si="2"/>
        <v>26.799109999999999</v>
      </c>
      <c r="R43" s="694">
        <f t="shared" si="3"/>
        <v>28.273061049999995</v>
      </c>
      <c r="S43" s="694">
        <f t="shared" si="4"/>
        <v>30.450086750849994</v>
      </c>
      <c r="T43" s="694">
        <f t="shared" si="5"/>
        <v>31.759440481136547</v>
      </c>
      <c r="U43" s="694">
        <f t="shared" si="6"/>
        <v>32.99805865990087</v>
      </c>
      <c r="V43" s="695">
        <f t="shared" si="7"/>
        <v>34.482971299596414</v>
      </c>
    </row>
    <row r="44" spans="1:22">
      <c r="A44" t="s">
        <v>522</v>
      </c>
      <c r="B44" s="153" t="s">
        <v>274</v>
      </c>
      <c r="C44" s="153"/>
      <c r="D44" s="153" t="s">
        <v>13</v>
      </c>
      <c r="E44" s="623">
        <v>2500</v>
      </c>
      <c r="F44" s="693">
        <f>+'Inf Base'!F48</f>
        <v>165000</v>
      </c>
      <c r="G44" s="693">
        <f>+F44*(1+Datos!B$53-$G$1)</f>
        <v>161205</v>
      </c>
      <c r="H44" s="693">
        <f>+G44*(1+Datos!C$53-H$1)</f>
        <v>170071.27499999999</v>
      </c>
      <c r="I44" s="693">
        <f>+H44*(1+Datos!D$53-I$1)</f>
        <v>179425.19512499997</v>
      </c>
      <c r="J44" s="693">
        <f>+I44*(1+Datos!E$53-J$1)</f>
        <v>193240.93514962497</v>
      </c>
      <c r="K44" s="693">
        <f>+J44*(1+Datos!F$53-K$1)</f>
        <v>201550.29536105887</v>
      </c>
      <c r="L44" s="693">
        <f>+K44*(1+Datos!G$53-L$1)</f>
        <v>209410.75688014016</v>
      </c>
      <c r="M44" s="693">
        <f>+L44*(1+Datos!H$53-M$1)</f>
        <v>218834.24093974649</v>
      </c>
      <c r="O44" s="694">
        <f t="shared" si="0"/>
        <v>66</v>
      </c>
      <c r="P44" s="694">
        <f t="shared" si="1"/>
        <v>64.481999999999999</v>
      </c>
      <c r="Q44" s="694">
        <f t="shared" si="2"/>
        <v>68.028509999999997</v>
      </c>
      <c r="R44" s="694">
        <f t="shared" si="3"/>
        <v>71.770078049999981</v>
      </c>
      <c r="S44" s="694">
        <f t="shared" si="4"/>
        <v>77.296374059849995</v>
      </c>
      <c r="T44" s="694">
        <f t="shared" si="5"/>
        <v>80.620118144423543</v>
      </c>
      <c r="U44" s="694">
        <f t="shared" si="6"/>
        <v>83.764302752056068</v>
      </c>
      <c r="V44" s="695">
        <f t="shared" si="7"/>
        <v>87.5336963758986</v>
      </c>
    </row>
    <row r="45" spans="1:22">
      <c r="A45" t="s">
        <v>522</v>
      </c>
      <c r="B45" s="153" t="s">
        <v>294</v>
      </c>
      <c r="C45" s="153"/>
      <c r="D45" s="153" t="s">
        <v>13</v>
      </c>
      <c r="E45" s="623">
        <v>2500</v>
      </c>
      <c r="F45" s="693">
        <f>+'Inf Base'!F49</f>
        <v>25000</v>
      </c>
      <c r="G45" s="693">
        <f>+F45*(1+Datos!B$53-$G$1)</f>
        <v>24425</v>
      </c>
      <c r="H45" s="693">
        <f>+G45*(1+Datos!C$53-H$1)</f>
        <v>25768.375</v>
      </c>
      <c r="I45" s="693">
        <f>+H45*(1+Datos!D$53-I$1)</f>
        <v>27185.635624999999</v>
      </c>
      <c r="J45" s="693">
        <f>+I45*(1+Datos!E$53-J$1)</f>
        <v>29278.929568124997</v>
      </c>
      <c r="K45" s="693">
        <f>+J45*(1+Datos!F$53-K$1)</f>
        <v>30537.923539554376</v>
      </c>
      <c r="L45" s="693">
        <f>+K45*(1+Datos!G$53-L$1)</f>
        <v>31728.902557596994</v>
      </c>
      <c r="M45" s="693">
        <f>+L45*(1+Datos!H$53-M$1)</f>
        <v>33156.70317268886</v>
      </c>
      <c r="O45" s="694">
        <f t="shared" si="0"/>
        <v>10</v>
      </c>
      <c r="P45" s="694">
        <f t="shared" si="1"/>
        <v>9.77</v>
      </c>
      <c r="Q45" s="694">
        <f t="shared" si="2"/>
        <v>10.30735</v>
      </c>
      <c r="R45" s="694">
        <f t="shared" si="3"/>
        <v>10.87425425</v>
      </c>
      <c r="S45" s="694">
        <f t="shared" si="4"/>
        <v>11.711571827249999</v>
      </c>
      <c r="T45" s="694">
        <f t="shared" si="5"/>
        <v>12.21516941582175</v>
      </c>
      <c r="U45" s="694">
        <f t="shared" si="6"/>
        <v>12.691561023038798</v>
      </c>
      <c r="V45" s="695">
        <f t="shared" si="7"/>
        <v>13.262681269075545</v>
      </c>
    </row>
    <row r="46" spans="1:22">
      <c r="A46" t="s">
        <v>522</v>
      </c>
      <c r="B46" s="153" t="s">
        <v>293</v>
      </c>
      <c r="C46" s="153"/>
      <c r="D46" s="153" t="s">
        <v>13</v>
      </c>
      <c r="E46" s="623">
        <v>2500</v>
      </c>
      <c r="F46" s="693">
        <f>+'Inf Base'!F50</f>
        <v>65000</v>
      </c>
      <c r="G46" s="693">
        <f>+F46*(1+Datos!B$53-$G$1)</f>
        <v>63505</v>
      </c>
      <c r="H46" s="693">
        <f>+G46*(1+Datos!C$53-H$1)</f>
        <v>66997.774999999994</v>
      </c>
      <c r="I46" s="693">
        <f>+H46*(1+Datos!D$53-I$1)</f>
        <v>70682.652624999988</v>
      </c>
      <c r="J46" s="693">
        <f>+I46*(1+Datos!E$53-J$1)</f>
        <v>76125.216877124985</v>
      </c>
      <c r="K46" s="693">
        <f>+J46*(1+Datos!F$53-K$1)</f>
        <v>79398.601202841368</v>
      </c>
      <c r="L46" s="693">
        <f>+K46*(1+Datos!G$53-L$1)</f>
        <v>82495.146649752176</v>
      </c>
      <c r="M46" s="693">
        <f>+L46*(1+Datos!H$53-M$1)</f>
        <v>86207.42824899104</v>
      </c>
      <c r="O46" s="694">
        <f t="shared" si="0"/>
        <v>26</v>
      </c>
      <c r="P46" s="694">
        <f t="shared" si="1"/>
        <v>25.402000000000001</v>
      </c>
      <c r="Q46" s="694">
        <f t="shared" si="2"/>
        <v>26.799109999999999</v>
      </c>
      <c r="R46" s="694">
        <f t="shared" si="3"/>
        <v>28.273061049999995</v>
      </c>
      <c r="S46" s="694">
        <f t="shared" si="4"/>
        <v>30.450086750849994</v>
      </c>
      <c r="T46" s="694">
        <f t="shared" si="5"/>
        <v>31.759440481136547</v>
      </c>
      <c r="U46" s="694">
        <f t="shared" si="6"/>
        <v>32.99805865990087</v>
      </c>
      <c r="V46" s="695">
        <f t="shared" si="7"/>
        <v>34.482971299596414</v>
      </c>
    </row>
    <row r="47" spans="1:22">
      <c r="A47" t="s">
        <v>522</v>
      </c>
      <c r="B47" s="153" t="s">
        <v>292</v>
      </c>
      <c r="C47" s="153"/>
      <c r="D47" s="153" t="s">
        <v>13</v>
      </c>
      <c r="E47" s="623">
        <v>2500</v>
      </c>
      <c r="F47" s="693">
        <f>+'Inf Base'!F51</f>
        <v>100000</v>
      </c>
      <c r="G47" s="693">
        <f>+F47*(1+Datos!B$53-$G$1)</f>
        <v>97700</v>
      </c>
      <c r="H47" s="693">
        <f>+G47*(1+Datos!C$53-H$1)</f>
        <v>103073.5</v>
      </c>
      <c r="I47" s="693">
        <f>+H47*(1+Datos!D$53-I$1)</f>
        <v>108742.5425</v>
      </c>
      <c r="J47" s="693">
        <f>+I47*(1+Datos!E$53-J$1)</f>
        <v>117115.71827249999</v>
      </c>
      <c r="K47" s="693">
        <f>+J47*(1+Datos!F$53-K$1)</f>
        <v>122151.69415821751</v>
      </c>
      <c r="L47" s="693">
        <f>+K47*(1+Datos!G$53-L$1)</f>
        <v>126915.61023038797</v>
      </c>
      <c r="M47" s="693">
        <f>+L47*(1+Datos!H$53-M$1)</f>
        <v>132626.81269075544</v>
      </c>
      <c r="O47" s="694">
        <f t="shared" si="0"/>
        <v>40</v>
      </c>
      <c r="P47" s="694">
        <f t="shared" si="1"/>
        <v>39.08</v>
      </c>
      <c r="Q47" s="694">
        <f t="shared" si="2"/>
        <v>41.229399999999998</v>
      </c>
      <c r="R47" s="694">
        <f t="shared" si="3"/>
        <v>43.497017</v>
      </c>
      <c r="S47" s="694">
        <f t="shared" si="4"/>
        <v>46.846287308999997</v>
      </c>
      <c r="T47" s="694">
        <f t="shared" si="5"/>
        <v>48.860677663286999</v>
      </c>
      <c r="U47" s="694">
        <f t="shared" si="6"/>
        <v>50.766244092155191</v>
      </c>
      <c r="V47" s="695">
        <f t="shared" si="7"/>
        <v>53.050725076302179</v>
      </c>
    </row>
    <row r="48" spans="1:22">
      <c r="A48" t="s">
        <v>522</v>
      </c>
      <c r="B48" s="153" t="s">
        <v>291</v>
      </c>
      <c r="C48" s="153"/>
      <c r="D48" s="153" t="s">
        <v>13</v>
      </c>
      <c r="E48" s="623">
        <v>2500</v>
      </c>
      <c r="F48" s="693">
        <f>+'Inf Base'!F52</f>
        <v>120000</v>
      </c>
      <c r="G48" s="693">
        <f>+F48*(1+Datos!B$53-$G$1)</f>
        <v>117240</v>
      </c>
      <c r="H48" s="693">
        <f>+G48*(1+Datos!C$53-H$1)</f>
        <v>123688.2</v>
      </c>
      <c r="I48" s="693">
        <f>+H48*(1+Datos!D$53-I$1)</f>
        <v>130491.05099999999</v>
      </c>
      <c r="J48" s="693">
        <f>+I48*(1+Datos!E$53-J$1)</f>
        <v>140538.86192699999</v>
      </c>
      <c r="K48" s="693">
        <f>+J48*(1+Datos!F$53-K$1)</f>
        <v>146582.03298986101</v>
      </c>
      <c r="L48" s="693">
        <f>+K48*(1+Datos!G$53-L$1)</f>
        <v>152298.73227646557</v>
      </c>
      <c r="M48" s="693">
        <f>+L48*(1+Datos!H$53-M$1)</f>
        <v>159152.17522890653</v>
      </c>
      <c r="O48" s="694">
        <f t="shared" si="0"/>
        <v>48</v>
      </c>
      <c r="P48" s="694">
        <f t="shared" si="1"/>
        <v>46.896000000000001</v>
      </c>
      <c r="Q48" s="694">
        <f t="shared" si="2"/>
        <v>49.475279999999998</v>
      </c>
      <c r="R48" s="694">
        <f t="shared" si="3"/>
        <v>52.196420399999994</v>
      </c>
      <c r="S48" s="694">
        <f t="shared" si="4"/>
        <v>56.215544770799994</v>
      </c>
      <c r="T48" s="694">
        <f t="shared" si="5"/>
        <v>58.632813195944401</v>
      </c>
      <c r="U48" s="694">
        <f t="shared" si="6"/>
        <v>60.919492910586229</v>
      </c>
      <c r="V48" s="695">
        <f t="shared" si="7"/>
        <v>63.660870091562614</v>
      </c>
    </row>
    <row r="49" spans="1:22">
      <c r="A49" t="s">
        <v>9</v>
      </c>
      <c r="B49" s="153"/>
      <c r="C49" s="153"/>
      <c r="D49" s="153" t="s">
        <v>10</v>
      </c>
      <c r="E49" s="623">
        <v>20000</v>
      </c>
      <c r="F49" s="693">
        <f>+'Inf Base'!F53</f>
        <v>14000</v>
      </c>
      <c r="G49" s="693">
        <f>+F49*(1+Datos!B$53-$G$1)</f>
        <v>13678</v>
      </c>
      <c r="H49" s="693">
        <f>+G49*(1+Datos!C$53-H$1)</f>
        <v>14430.289999999999</v>
      </c>
      <c r="I49" s="693">
        <f>+H49*(1+Datos!D$53-I$1)</f>
        <v>15223.955949999998</v>
      </c>
      <c r="J49" s="693">
        <f>+I49*(1+Datos!E$53-J$1)</f>
        <v>16396.200558149998</v>
      </c>
      <c r="K49" s="693">
        <f>+J49*(1+Datos!F$53-K$1)</f>
        <v>17101.237182150449</v>
      </c>
      <c r="L49" s="693">
        <f>+K49*(1+Datos!G$53-L$1)</f>
        <v>17768.185432254315</v>
      </c>
      <c r="M49" s="693">
        <f>+L49*(1+Datos!H$53-M$1)</f>
        <v>18567.753776705762</v>
      </c>
      <c r="O49" s="694">
        <f t="shared" ref="O49:O53" si="8">IF(E49="",F49,F49/E49)</f>
        <v>0.7</v>
      </c>
      <c r="P49" s="694">
        <f t="shared" ref="P49:P53" si="9">IF(E49="",G49,G49/E49)</f>
        <v>0.68389999999999995</v>
      </c>
      <c r="Q49" s="694">
        <f t="shared" ref="Q49:Q53" si="10">IF(E49="",H49,H49/E49)</f>
        <v>0.72151449999999995</v>
      </c>
      <c r="R49" s="694">
        <f t="shared" ref="R49:R53" si="11">IF(E49="",I49,I49/E49)</f>
        <v>0.76119779749999994</v>
      </c>
      <c r="S49" s="694">
        <f t="shared" ref="S49:S53" si="12">IF(E49="",J49,J49/E49)</f>
        <v>0.81981002790749991</v>
      </c>
      <c r="T49" s="694">
        <f t="shared" ref="T49:T53" si="13">IF(E49="",K49,K49/E49)</f>
        <v>0.85506185910752242</v>
      </c>
      <c r="U49" s="694">
        <f t="shared" ref="U49:U53" si="14">IF(E49="",L49,L49/E49)</f>
        <v>0.88840927161271577</v>
      </c>
      <c r="V49" s="695">
        <f t="shared" ref="V49:V53" si="15">IF(E49="",M49,M49/E49)</f>
        <v>0.92838768883528811</v>
      </c>
    </row>
    <row r="50" spans="1:22">
      <c r="A50" t="s">
        <v>751</v>
      </c>
      <c r="B50" s="153"/>
      <c r="C50" s="153"/>
      <c r="D50" s="153" t="s">
        <v>10</v>
      </c>
      <c r="E50" s="623">
        <v>1100</v>
      </c>
      <c r="F50" s="693">
        <f>+'Inf Base'!F54</f>
        <v>3400</v>
      </c>
      <c r="G50" s="693">
        <f>+F50*(1+Datos!B$53-$G$1)</f>
        <v>3321.7999999999997</v>
      </c>
      <c r="H50" s="693">
        <f>+G50*(1+Datos!C$53-H$1)</f>
        <v>3504.4989999999993</v>
      </c>
      <c r="I50" s="693">
        <f>+H50*(1+Datos!D$53-I$1)</f>
        <v>3697.2464449999993</v>
      </c>
      <c r="J50" s="693">
        <f>+I50*(1+Datos!E$53-J$1)</f>
        <v>3981.9344212649989</v>
      </c>
      <c r="K50" s="693">
        <f>+J50*(1+Datos!F$53-K$1)</f>
        <v>4153.1576013793947</v>
      </c>
      <c r="L50" s="693">
        <f>+K50*(1+Datos!G$53-L$1)</f>
        <v>4315.130747833191</v>
      </c>
      <c r="M50" s="693">
        <f>+L50*(1+Datos!H$53-M$1)</f>
        <v>4509.3116314856852</v>
      </c>
      <c r="O50" s="694">
        <f t="shared" si="8"/>
        <v>3.0909090909090908</v>
      </c>
      <c r="P50" s="694">
        <f t="shared" si="9"/>
        <v>3.0198181818181817</v>
      </c>
      <c r="Q50" s="694">
        <f t="shared" si="10"/>
        <v>3.1859081818181814</v>
      </c>
      <c r="R50" s="694">
        <f t="shared" si="11"/>
        <v>3.3611331318181814</v>
      </c>
      <c r="S50" s="694">
        <f t="shared" si="12"/>
        <v>3.6199403829681809</v>
      </c>
      <c r="T50" s="694">
        <f t="shared" si="13"/>
        <v>3.7755978194358133</v>
      </c>
      <c r="U50" s="694">
        <f t="shared" si="14"/>
        <v>3.9228461343938101</v>
      </c>
      <c r="V50" s="695">
        <f t="shared" si="15"/>
        <v>4.0993742104415318</v>
      </c>
    </row>
    <row r="51" spans="1:22">
      <c r="A51" t="s">
        <v>284</v>
      </c>
      <c r="B51" s="153"/>
      <c r="C51" s="153"/>
      <c r="D51" s="153" t="s">
        <v>13</v>
      </c>
      <c r="E51" s="623">
        <v>2500</v>
      </c>
      <c r="F51" s="693">
        <f>+'Inf Base'!F55</f>
        <v>4000</v>
      </c>
      <c r="G51" s="693">
        <f>+F51*(1+Datos!B$53-$G$1)</f>
        <v>3908</v>
      </c>
      <c r="H51" s="693">
        <f>+G51*(1+Datos!C$53-H$1)</f>
        <v>4122.9399999999996</v>
      </c>
      <c r="I51" s="693">
        <f>+H51*(1+Datos!D$53-I$1)</f>
        <v>4349.7016999999996</v>
      </c>
      <c r="J51" s="693">
        <f>+I51*(1+Datos!E$53-J$1)</f>
        <v>4684.628730899999</v>
      </c>
      <c r="K51" s="693">
        <f>+J51*(1+Datos!F$53-K$1)</f>
        <v>4886.0677663286997</v>
      </c>
      <c r="L51" s="693">
        <f>+K51*(1+Datos!G$53-L$1)</f>
        <v>5076.6244092155184</v>
      </c>
      <c r="M51" s="693">
        <f>+L51*(1+Datos!H$53-M$1)</f>
        <v>5305.0725076302178</v>
      </c>
      <c r="O51" s="694">
        <f t="shared" si="8"/>
        <v>1.6</v>
      </c>
      <c r="P51" s="694">
        <f t="shared" si="9"/>
        <v>1.5631999999999999</v>
      </c>
      <c r="Q51" s="694">
        <f t="shared" si="10"/>
        <v>1.6491759999999998</v>
      </c>
      <c r="R51" s="694">
        <f t="shared" si="11"/>
        <v>1.73988068</v>
      </c>
      <c r="S51" s="694">
        <f t="shared" si="12"/>
        <v>1.8738514923599996</v>
      </c>
      <c r="T51" s="694">
        <f t="shared" si="13"/>
        <v>1.9544271065314798</v>
      </c>
      <c r="U51" s="694">
        <f t="shared" si="14"/>
        <v>2.0306497636862075</v>
      </c>
      <c r="V51" s="695">
        <f t="shared" si="15"/>
        <v>2.122029003052087</v>
      </c>
    </row>
    <row r="52" spans="1:22">
      <c r="A52" t="s">
        <v>750</v>
      </c>
      <c r="B52" s="153"/>
      <c r="C52" s="153"/>
      <c r="D52" s="153" t="s">
        <v>13</v>
      </c>
      <c r="E52" s="623">
        <v>2500</v>
      </c>
      <c r="F52" s="693">
        <f>+'Inf Base'!F56</f>
        <v>10000</v>
      </c>
      <c r="G52" s="693">
        <f>+F52*(1+Datos!B$53-$G$1)</f>
        <v>9770</v>
      </c>
      <c r="H52" s="693">
        <f>+G52*(1+Datos!C$53-H$1)</f>
        <v>10307.349999999999</v>
      </c>
      <c r="I52" s="693">
        <f>+H52*(1+Datos!D$53-I$1)</f>
        <v>10874.254249999998</v>
      </c>
      <c r="J52" s="693">
        <f>+I52*(1+Datos!E$53-J$1)</f>
        <v>11711.571827249998</v>
      </c>
      <c r="K52" s="693">
        <f>+J52*(1+Datos!F$53-K$1)</f>
        <v>12215.169415821751</v>
      </c>
      <c r="L52" s="693">
        <f>+K52*(1+Datos!G$53-L$1)</f>
        <v>12691.561023038797</v>
      </c>
      <c r="M52" s="693">
        <f>+L52*(1+Datos!H$53-M$1)</f>
        <v>13262.681269075545</v>
      </c>
      <c r="O52" s="694">
        <f t="shared" si="8"/>
        <v>4</v>
      </c>
      <c r="P52" s="694">
        <f t="shared" si="9"/>
        <v>3.9079999999999999</v>
      </c>
      <c r="Q52" s="694">
        <f t="shared" si="10"/>
        <v>4.1229399999999998</v>
      </c>
      <c r="R52" s="694">
        <f t="shared" si="11"/>
        <v>4.3497016999999989</v>
      </c>
      <c r="S52" s="694">
        <f t="shared" si="12"/>
        <v>4.6846287308999992</v>
      </c>
      <c r="T52" s="694">
        <f t="shared" si="13"/>
        <v>4.8860677663287007</v>
      </c>
      <c r="U52" s="694">
        <f t="shared" si="14"/>
        <v>5.0766244092155191</v>
      </c>
      <c r="V52" s="695">
        <f t="shared" si="15"/>
        <v>5.3050725076302179</v>
      </c>
    </row>
    <row r="53" spans="1:22">
      <c r="A53" t="s">
        <v>752</v>
      </c>
      <c r="B53" s="153"/>
      <c r="C53" s="153"/>
      <c r="D53" s="153" t="s">
        <v>10</v>
      </c>
      <c r="E53" s="623">
        <v>5000</v>
      </c>
      <c r="F53" s="693">
        <f>+'Inf Base'!F57</f>
        <v>34000</v>
      </c>
      <c r="G53" s="693">
        <f>+F53*(1+Datos!B$53-$G$1)</f>
        <v>33218</v>
      </c>
      <c r="H53" s="693">
        <f>+G53*(1+Datos!C$53-H$1)</f>
        <v>35044.99</v>
      </c>
      <c r="I53" s="693">
        <f>+H53*(1+Datos!D$53-I$1)</f>
        <v>36972.464449999992</v>
      </c>
      <c r="J53" s="693">
        <f>+I53*(1+Datos!E$53-J$1)</f>
        <v>39819.344212649987</v>
      </c>
      <c r="K53" s="693">
        <f>+J53*(1+Datos!F$53-K$1)</f>
        <v>41531.576013793943</v>
      </c>
      <c r="L53" s="693">
        <f>+K53*(1+Datos!G$53-L$1)</f>
        <v>43151.307478331903</v>
      </c>
      <c r="M53" s="693">
        <f>+L53*(1+Datos!H$53-M$1)</f>
        <v>45093.116314856845</v>
      </c>
      <c r="O53" s="694">
        <f t="shared" si="8"/>
        <v>6.8</v>
      </c>
      <c r="P53" s="694">
        <f t="shared" si="9"/>
        <v>6.6436000000000002</v>
      </c>
      <c r="Q53" s="694">
        <f t="shared" si="10"/>
        <v>7.0089979999999992</v>
      </c>
      <c r="R53" s="694">
        <f t="shared" si="11"/>
        <v>7.3944928899999987</v>
      </c>
      <c r="S53" s="694">
        <f t="shared" si="12"/>
        <v>7.9638688425299975</v>
      </c>
      <c r="T53" s="694">
        <f t="shared" si="13"/>
        <v>8.306315202758789</v>
      </c>
      <c r="U53" s="694">
        <f t="shared" si="14"/>
        <v>8.6302614956663799</v>
      </c>
      <c r="V53" s="695">
        <f t="shared" si="15"/>
        <v>9.018623262971369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BCF5BE4-1683-4C1B-A999-2C7A970D8CB6}">
          <x14:formula1>
            <xm:f>'Ventas-Mp Ins-Invent'!$B$1:$E$1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8437-F425-43D9-BF0D-F33795918D0C}">
  <sheetPr codeName="Hoja3"/>
  <dimension ref="A1:AA289"/>
  <sheetViews>
    <sheetView zoomScale="85" zoomScaleNormal="85" workbookViewId="0">
      <pane ySplit="1" topLeftCell="A2" activePane="bottomLeft" state="frozen"/>
      <selection pane="bottomLeft" activeCell="C15" sqref="C15"/>
    </sheetView>
  </sheetViews>
  <sheetFormatPr baseColWidth="10" defaultColWidth="12.54296875" defaultRowHeight="14.5"/>
  <cols>
    <col min="6" max="7" width="12.54296875" style="151"/>
    <col min="8" max="9" width="12.54296875" style="152"/>
    <col min="10" max="10" width="23.453125" style="152" bestFit="1" customWidth="1"/>
    <col min="11" max="24" width="12.54296875" style="152"/>
  </cols>
  <sheetData>
    <row r="1" spans="1:27" s="149" customFormat="1">
      <c r="A1" s="145" t="str">
        <f>+A4&amp;"-"&amp;A2</f>
        <v>Cajero-2023-Aux cocina-2023</v>
      </c>
      <c r="B1" s="145" t="s">
        <v>337</v>
      </c>
      <c r="C1" s="145" t="s">
        <v>338</v>
      </c>
      <c r="D1" s="145" t="s">
        <v>339</v>
      </c>
      <c r="E1" s="145" t="s">
        <v>340</v>
      </c>
      <c r="F1" s="146" t="s">
        <v>341</v>
      </c>
      <c r="G1" s="146" t="s">
        <v>342</v>
      </c>
      <c r="H1" s="147" t="s">
        <v>343</v>
      </c>
      <c r="I1" s="147" t="s">
        <v>344</v>
      </c>
      <c r="J1" s="148" t="s">
        <v>345</v>
      </c>
      <c r="K1" s="148" t="s">
        <v>344</v>
      </c>
      <c r="L1" s="148" t="s">
        <v>346</v>
      </c>
      <c r="M1" s="148" t="s">
        <v>347</v>
      </c>
      <c r="N1" s="148" t="s">
        <v>348</v>
      </c>
      <c r="O1" s="148" t="s">
        <v>349</v>
      </c>
      <c r="P1" s="148" t="s">
        <v>350</v>
      </c>
      <c r="Q1" s="148" t="s">
        <v>351</v>
      </c>
      <c r="R1" s="148" t="s">
        <v>352</v>
      </c>
      <c r="S1" s="148" t="s">
        <v>756</v>
      </c>
      <c r="T1" s="148" t="s">
        <v>757</v>
      </c>
      <c r="U1" s="148" t="s">
        <v>758</v>
      </c>
      <c r="V1" s="148" t="s">
        <v>353</v>
      </c>
      <c r="W1" s="148" t="s">
        <v>427</v>
      </c>
      <c r="X1" s="148" t="s">
        <v>354</v>
      </c>
    </row>
    <row r="2" spans="1:27">
      <c r="A2" t="str">
        <f>+D2&amp;"-"&amp;B2</f>
        <v>Aux cocina-2023</v>
      </c>
      <c r="B2">
        <v>2023</v>
      </c>
      <c r="C2" t="s">
        <v>355</v>
      </c>
      <c r="D2" s="150" t="s">
        <v>368</v>
      </c>
      <c r="E2" s="150" t="s">
        <v>369</v>
      </c>
      <c r="F2" s="151">
        <v>4</v>
      </c>
      <c r="G2" s="151">
        <v>4</v>
      </c>
      <c r="H2" s="152">
        <f>+HLOOKUP(A2,Datos!$D$80:$K$84,5,0)</f>
        <v>1160000</v>
      </c>
      <c r="I2" s="152">
        <f>+HLOOKUP(A2,Datos!$D$89:$K$93,5,0)</f>
        <v>140606</v>
      </c>
      <c r="J2" s="152">
        <f t="shared" ref="J2:J65" si="0">+F2*H2</f>
        <v>4640000</v>
      </c>
      <c r="K2" s="152">
        <f t="shared" ref="K2:K65" si="1">+G2*I2</f>
        <v>562424</v>
      </c>
      <c r="L2" s="152">
        <f>+J2*8.5%</f>
        <v>394400</v>
      </c>
      <c r="M2" s="152">
        <f>+J2*12%</f>
        <v>556800</v>
      </c>
      <c r="N2" s="152">
        <f>+J2*0.522%</f>
        <v>24220.799999999999</v>
      </c>
      <c r="O2" s="152">
        <f>+J2/30*1.25</f>
        <v>193333.33333333331</v>
      </c>
      <c r="P2" s="152">
        <f t="shared" ref="P2:P65" si="2">+J2/12</f>
        <v>386666.66666666669</v>
      </c>
      <c r="Q2" s="152">
        <f>+J2/30*1.25</f>
        <v>193333.33333333331</v>
      </c>
      <c r="R2" s="152">
        <f t="shared" ref="R2:R65" si="3">+Q2*12%</f>
        <v>23199.999999999996</v>
      </c>
      <c r="S2" s="152">
        <f>+J2*2%</f>
        <v>92800</v>
      </c>
      <c r="T2" s="152">
        <f>+J2*3%</f>
        <v>139200</v>
      </c>
      <c r="U2" s="152">
        <f>+J2*4%</f>
        <v>185600</v>
      </c>
      <c r="V2" s="152">
        <f>+SUM(J2:U2)</f>
        <v>7391978.1333333328</v>
      </c>
      <c r="W2" s="152">
        <f>IF(OR(Y2=$AA$2,Y2=$AA$3,Y2=$AA$4),HLOOKUP(A2,Datos!$D$98:$K$102,5,0),0)*G2</f>
        <v>0</v>
      </c>
      <c r="X2" s="152">
        <f t="shared" ref="X2:X65" si="4">+SUMIF(A:A,A2,W:W)/12</f>
        <v>120000</v>
      </c>
      <c r="Y2" s="152" t="str">
        <f t="shared" ref="Y2:Y65" si="5">+IF(LEN(Z2)=10,LEFT(C2,5),LEFT(C2,6))</f>
        <v xml:space="preserve">MES 1 </v>
      </c>
      <c r="Z2">
        <f t="shared" ref="Z2:Z65" si="6">+LEN(C2)</f>
        <v>10</v>
      </c>
      <c r="AA2" t="s">
        <v>571</v>
      </c>
    </row>
    <row r="3" spans="1:27">
      <c r="A3" t="str">
        <f t="shared" ref="A3:A49" si="7">+D3&amp;"-"&amp;B3</f>
        <v>Administrador-2023</v>
      </c>
      <c r="B3">
        <v>2023</v>
      </c>
      <c r="C3" t="s">
        <v>355</v>
      </c>
      <c r="D3" s="150" t="s">
        <v>370</v>
      </c>
      <c r="E3" s="150" t="s">
        <v>371</v>
      </c>
      <c r="F3" s="151">
        <v>0.5</v>
      </c>
      <c r="G3" s="151">
        <v>1</v>
      </c>
      <c r="H3" s="152">
        <f>+HLOOKUP(A3,Datos!$D$81:$K$85,5,0)</f>
        <v>1600000</v>
      </c>
      <c r="I3" s="152">
        <f>+HLOOKUP(A3,Datos!$D$90:$K$94,5,0)</f>
        <v>140606</v>
      </c>
      <c r="J3" s="152">
        <f t="shared" si="0"/>
        <v>800000</v>
      </c>
      <c r="K3" s="152">
        <f t="shared" si="1"/>
        <v>140606</v>
      </c>
      <c r="L3" s="152">
        <f t="shared" ref="L3:L66" si="8">+J3*8.5%</f>
        <v>68000</v>
      </c>
      <c r="M3" s="152">
        <f t="shared" ref="M3:M66" si="9">+J3*12%</f>
        <v>96000</v>
      </c>
      <c r="N3" s="152">
        <f t="shared" ref="N3:N66" si="10">+J3*0.522%</f>
        <v>4176</v>
      </c>
      <c r="O3" s="152">
        <f t="shared" ref="O3:O66" si="11">+J3/30*1.25</f>
        <v>33333.333333333336</v>
      </c>
      <c r="P3" s="152">
        <f t="shared" si="2"/>
        <v>66666.666666666672</v>
      </c>
      <c r="Q3" s="152">
        <f t="shared" ref="Q3:Q66" si="12">+J3/30*1.25</f>
        <v>33333.333333333336</v>
      </c>
      <c r="R3" s="152">
        <f t="shared" si="3"/>
        <v>4000</v>
      </c>
      <c r="S3" s="152">
        <f t="shared" ref="S3:S66" si="13">+J3*2%</f>
        <v>16000</v>
      </c>
      <c r="T3" s="152">
        <f t="shared" ref="T3:T66" si="14">+J3*3%</f>
        <v>24000</v>
      </c>
      <c r="U3" s="152">
        <f t="shared" ref="U3:U66" si="15">+J3*4%</f>
        <v>32000</v>
      </c>
      <c r="V3" s="152">
        <f t="shared" ref="V3:V66" si="16">+SUM(J3:U3)</f>
        <v>1318115.3333333333</v>
      </c>
      <c r="W3" s="152">
        <f>IF(OR(Y3=$AA$2,Y3=$AA$3,Y3=$AA$4),HLOOKUP(A3,Datos!$D$99:$K$104,5,0),0)*G3</f>
        <v>0</v>
      </c>
      <c r="X3" s="152">
        <f t="shared" si="4"/>
        <v>12500</v>
      </c>
      <c r="Y3" s="152" t="str">
        <f t="shared" si="5"/>
        <v xml:space="preserve">MES 1 </v>
      </c>
      <c r="Z3">
        <f t="shared" si="6"/>
        <v>10</v>
      </c>
      <c r="AA3" t="s">
        <v>572</v>
      </c>
    </row>
    <row r="4" spans="1:27">
      <c r="A4" t="str">
        <f t="shared" si="7"/>
        <v>Cajero-2023</v>
      </c>
      <c r="B4">
        <v>2023</v>
      </c>
      <c r="C4" t="s">
        <v>355</v>
      </c>
      <c r="D4" s="150" t="s">
        <v>372</v>
      </c>
      <c r="E4" s="150" t="s">
        <v>371</v>
      </c>
      <c r="F4" s="151">
        <v>1</v>
      </c>
      <c r="G4" s="151">
        <v>1</v>
      </c>
      <c r="H4" s="152">
        <f>HLOOKUP(A4,Datos!$D$82:$K$86,5,0)</f>
        <v>1160000</v>
      </c>
      <c r="I4" s="152">
        <f>+HLOOKUP(A4,Datos!$D$91:$K$95,5,0)</f>
        <v>140606</v>
      </c>
      <c r="J4" s="152">
        <f t="shared" si="0"/>
        <v>1160000</v>
      </c>
      <c r="K4" s="152">
        <f t="shared" si="1"/>
        <v>140606</v>
      </c>
      <c r="L4" s="152">
        <f t="shared" si="8"/>
        <v>98600</v>
      </c>
      <c r="M4" s="152">
        <f t="shared" si="9"/>
        <v>139200</v>
      </c>
      <c r="N4" s="152">
        <f t="shared" si="10"/>
        <v>6055.2</v>
      </c>
      <c r="O4" s="152">
        <f t="shared" si="11"/>
        <v>48333.333333333328</v>
      </c>
      <c r="P4" s="152">
        <f t="shared" si="2"/>
        <v>96666.666666666672</v>
      </c>
      <c r="Q4" s="152">
        <f t="shared" si="12"/>
        <v>48333.333333333328</v>
      </c>
      <c r="R4" s="152">
        <f t="shared" si="3"/>
        <v>5799.9999999999991</v>
      </c>
      <c r="S4" s="152">
        <f t="shared" si="13"/>
        <v>23200</v>
      </c>
      <c r="T4" s="152">
        <f t="shared" si="14"/>
        <v>34800</v>
      </c>
      <c r="U4" s="152">
        <f t="shared" si="15"/>
        <v>46400</v>
      </c>
      <c r="V4" s="152">
        <f t="shared" si="16"/>
        <v>1847994.5333333332</v>
      </c>
      <c r="W4" s="152">
        <f>IF(OR(Y4=$AA$2,Y4=$AA$3,Y4=$AA$4),HLOOKUP(A4,Datos!$D$100:$K$104,5,0),0)*G4</f>
        <v>0</v>
      </c>
      <c r="X4" s="152">
        <f t="shared" si="4"/>
        <v>37500</v>
      </c>
      <c r="Y4" s="152" t="str">
        <f t="shared" si="5"/>
        <v xml:space="preserve">MES 1 </v>
      </c>
      <c r="Z4">
        <f t="shared" si="6"/>
        <v>10</v>
      </c>
      <c r="AA4" t="s">
        <v>573</v>
      </c>
    </row>
    <row r="5" spans="1:27">
      <c r="A5" t="str">
        <f t="shared" si="7"/>
        <v>Aux cocina-2023</v>
      </c>
      <c r="B5">
        <v>2023</v>
      </c>
      <c r="C5" t="s">
        <v>356</v>
      </c>
      <c r="D5" s="150" t="s">
        <v>368</v>
      </c>
      <c r="E5" s="150" t="s">
        <v>369</v>
      </c>
      <c r="F5" s="151">
        <f t="shared" ref="F5:G7" si="17">+F2</f>
        <v>4</v>
      </c>
      <c r="G5" s="151">
        <f t="shared" si="17"/>
        <v>4</v>
      </c>
      <c r="H5" s="152">
        <f>+HLOOKUP(A5,Datos!$D$80:$K$84,5,0)</f>
        <v>1160000</v>
      </c>
      <c r="I5" s="152">
        <f>+HLOOKUP(A5,Datos!$D$89:$K$93,5,0)</f>
        <v>140606</v>
      </c>
      <c r="J5" s="152">
        <f t="shared" si="0"/>
        <v>4640000</v>
      </c>
      <c r="K5" s="152">
        <f t="shared" si="1"/>
        <v>562424</v>
      </c>
      <c r="L5" s="152">
        <f t="shared" si="8"/>
        <v>394400</v>
      </c>
      <c r="M5" s="152">
        <f t="shared" si="9"/>
        <v>556800</v>
      </c>
      <c r="N5" s="152">
        <f t="shared" si="10"/>
        <v>24220.799999999999</v>
      </c>
      <c r="O5" s="152">
        <f t="shared" si="11"/>
        <v>193333.33333333331</v>
      </c>
      <c r="P5" s="152">
        <f t="shared" si="2"/>
        <v>386666.66666666669</v>
      </c>
      <c r="Q5" s="152">
        <f t="shared" si="12"/>
        <v>193333.33333333331</v>
      </c>
      <c r="R5" s="152">
        <f t="shared" si="3"/>
        <v>23199.999999999996</v>
      </c>
      <c r="S5" s="152">
        <f t="shared" si="13"/>
        <v>92800</v>
      </c>
      <c r="T5" s="152">
        <f t="shared" si="14"/>
        <v>139200</v>
      </c>
      <c r="U5" s="152">
        <f t="shared" si="15"/>
        <v>185600</v>
      </c>
      <c r="V5" s="152">
        <f t="shared" si="16"/>
        <v>7391978.1333333328</v>
      </c>
      <c r="W5" s="152">
        <f>IF(OR(Y5=$AA$2,Y5=$AA$3,Y5=$AA$4),HLOOKUP(A5,Datos!$D$98:$K$102,5,0),0)*G5</f>
        <v>0</v>
      </c>
      <c r="X5" s="152">
        <f t="shared" si="4"/>
        <v>120000</v>
      </c>
      <c r="Y5" s="152" t="str">
        <f t="shared" si="5"/>
        <v xml:space="preserve">MES 2 </v>
      </c>
      <c r="Z5">
        <f t="shared" si="6"/>
        <v>10</v>
      </c>
    </row>
    <row r="6" spans="1:27">
      <c r="A6" t="str">
        <f t="shared" si="7"/>
        <v>Administrador-2023</v>
      </c>
      <c r="B6">
        <v>2023</v>
      </c>
      <c r="C6" t="s">
        <v>356</v>
      </c>
      <c r="D6" s="150" t="s">
        <v>370</v>
      </c>
      <c r="E6" s="150" t="s">
        <v>371</v>
      </c>
      <c r="F6" s="151">
        <f t="shared" si="17"/>
        <v>0.5</v>
      </c>
      <c r="G6" s="151">
        <f t="shared" si="17"/>
        <v>1</v>
      </c>
      <c r="H6" s="152">
        <f>+HLOOKUP(A6,Datos!$D$81:$K$85,5,0)</f>
        <v>1600000</v>
      </c>
      <c r="I6" s="152">
        <f>+HLOOKUP(A6,Datos!$D$90:$K$94,5,0)</f>
        <v>140606</v>
      </c>
      <c r="J6" s="152">
        <f t="shared" si="0"/>
        <v>800000</v>
      </c>
      <c r="K6" s="152">
        <f t="shared" si="1"/>
        <v>140606</v>
      </c>
      <c r="L6" s="152">
        <f t="shared" si="8"/>
        <v>68000</v>
      </c>
      <c r="M6" s="152">
        <f t="shared" si="9"/>
        <v>96000</v>
      </c>
      <c r="N6" s="152">
        <f t="shared" si="10"/>
        <v>4176</v>
      </c>
      <c r="O6" s="152">
        <f t="shared" si="11"/>
        <v>33333.333333333336</v>
      </c>
      <c r="P6" s="152">
        <f t="shared" si="2"/>
        <v>66666.666666666672</v>
      </c>
      <c r="Q6" s="152">
        <f t="shared" si="12"/>
        <v>33333.333333333336</v>
      </c>
      <c r="R6" s="152">
        <f t="shared" si="3"/>
        <v>4000</v>
      </c>
      <c r="S6" s="152">
        <f t="shared" si="13"/>
        <v>16000</v>
      </c>
      <c r="T6" s="152">
        <f t="shared" si="14"/>
        <v>24000</v>
      </c>
      <c r="U6" s="152">
        <f t="shared" si="15"/>
        <v>32000</v>
      </c>
      <c r="V6" s="152">
        <f t="shared" si="16"/>
        <v>1318115.3333333333</v>
      </c>
      <c r="W6" s="152">
        <f>IF(OR(Y6=$AA$2,Y6=$AA$3,Y6=$AA$4),HLOOKUP(A6,Datos!$D$99:$K$104,5,0),0)*G6</f>
        <v>0</v>
      </c>
      <c r="X6" s="152">
        <f t="shared" si="4"/>
        <v>12500</v>
      </c>
      <c r="Y6" s="152" t="str">
        <f t="shared" si="5"/>
        <v xml:space="preserve">MES 2 </v>
      </c>
      <c r="Z6">
        <f t="shared" si="6"/>
        <v>10</v>
      </c>
    </row>
    <row r="7" spans="1:27">
      <c r="A7" t="str">
        <f t="shared" si="7"/>
        <v>Cajero-2023</v>
      </c>
      <c r="B7">
        <v>2023</v>
      </c>
      <c r="C7" t="s">
        <v>356</v>
      </c>
      <c r="D7" s="150" t="s">
        <v>372</v>
      </c>
      <c r="E7" s="150" t="s">
        <v>371</v>
      </c>
      <c r="F7" s="151">
        <f t="shared" si="17"/>
        <v>1</v>
      </c>
      <c r="G7" s="151">
        <f t="shared" si="17"/>
        <v>1</v>
      </c>
      <c r="H7" s="152">
        <f>HLOOKUP(A7,Datos!$D$82:$K$86,5,0)</f>
        <v>1160000</v>
      </c>
      <c r="I7" s="152">
        <f>+HLOOKUP(A7,Datos!$D$91:$K$95,5,0)</f>
        <v>140606</v>
      </c>
      <c r="J7" s="152">
        <f t="shared" si="0"/>
        <v>1160000</v>
      </c>
      <c r="K7" s="152">
        <f t="shared" si="1"/>
        <v>140606</v>
      </c>
      <c r="L7" s="152">
        <f t="shared" si="8"/>
        <v>98600</v>
      </c>
      <c r="M7" s="152">
        <f t="shared" si="9"/>
        <v>139200</v>
      </c>
      <c r="N7" s="152">
        <f t="shared" si="10"/>
        <v>6055.2</v>
      </c>
      <c r="O7" s="152">
        <f t="shared" si="11"/>
        <v>48333.333333333328</v>
      </c>
      <c r="P7" s="152">
        <f t="shared" si="2"/>
        <v>96666.666666666672</v>
      </c>
      <c r="Q7" s="152">
        <f t="shared" si="12"/>
        <v>48333.333333333328</v>
      </c>
      <c r="R7" s="152">
        <f t="shared" si="3"/>
        <v>5799.9999999999991</v>
      </c>
      <c r="S7" s="152">
        <f t="shared" si="13"/>
        <v>23200</v>
      </c>
      <c r="T7" s="152">
        <f t="shared" si="14"/>
        <v>34800</v>
      </c>
      <c r="U7" s="152">
        <f t="shared" si="15"/>
        <v>46400</v>
      </c>
      <c r="V7" s="152">
        <f t="shared" si="16"/>
        <v>1847994.5333333332</v>
      </c>
      <c r="W7" s="152">
        <f>IF(OR(Y7=$AA$2,Y7=$AA$3,Y7=$AA$4),HLOOKUP(A7,Datos!$D$100:$K$104,5,0),0)*G7</f>
        <v>0</v>
      </c>
      <c r="X7" s="152">
        <f t="shared" si="4"/>
        <v>37500</v>
      </c>
      <c r="Y7" s="152" t="str">
        <f t="shared" si="5"/>
        <v xml:space="preserve">MES 2 </v>
      </c>
      <c r="Z7">
        <f t="shared" si="6"/>
        <v>10</v>
      </c>
    </row>
    <row r="8" spans="1:27">
      <c r="A8" t="str">
        <f t="shared" si="7"/>
        <v>Aux cocina-2023</v>
      </c>
      <c r="B8">
        <v>2023</v>
      </c>
      <c r="C8" t="s">
        <v>357</v>
      </c>
      <c r="D8" s="150" t="s">
        <v>368</v>
      </c>
      <c r="E8" s="150" t="s">
        <v>369</v>
      </c>
      <c r="F8" s="151">
        <f t="shared" ref="F8:F39" si="18">+F5</f>
        <v>4</v>
      </c>
      <c r="G8" s="151">
        <f t="shared" ref="G8:G12" si="19">+G5</f>
        <v>4</v>
      </c>
      <c r="H8" s="152">
        <f>+HLOOKUP(A8,Datos!$D$80:$K$84,5,0)</f>
        <v>1160000</v>
      </c>
      <c r="I8" s="152">
        <f>+HLOOKUP(A8,Datos!$D$89:$K$93,5,0)</f>
        <v>140606</v>
      </c>
      <c r="J8" s="152">
        <f t="shared" si="0"/>
        <v>4640000</v>
      </c>
      <c r="K8" s="152">
        <f t="shared" si="1"/>
        <v>562424</v>
      </c>
      <c r="L8" s="152">
        <f t="shared" si="8"/>
        <v>394400</v>
      </c>
      <c r="M8" s="152">
        <f t="shared" si="9"/>
        <v>556800</v>
      </c>
      <c r="N8" s="152">
        <f t="shared" si="10"/>
        <v>24220.799999999999</v>
      </c>
      <c r="O8" s="152">
        <f t="shared" si="11"/>
        <v>193333.33333333331</v>
      </c>
      <c r="P8" s="152">
        <f t="shared" si="2"/>
        <v>386666.66666666669</v>
      </c>
      <c r="Q8" s="152">
        <f t="shared" si="12"/>
        <v>193333.33333333331</v>
      </c>
      <c r="R8" s="152">
        <f t="shared" si="3"/>
        <v>23199.999999999996</v>
      </c>
      <c r="S8" s="152">
        <f t="shared" si="13"/>
        <v>92800</v>
      </c>
      <c r="T8" s="152">
        <f t="shared" si="14"/>
        <v>139200</v>
      </c>
      <c r="U8" s="152">
        <f t="shared" si="15"/>
        <v>185600</v>
      </c>
      <c r="V8" s="152">
        <f t="shared" si="16"/>
        <v>7391978.1333333328</v>
      </c>
      <c r="W8" s="152">
        <f>IF(OR(Y8=$AA$2,Y8=$AA$3,Y8=$AA$4),HLOOKUP(A8,Datos!$D$98:$K$102,5,0),0)*G8</f>
        <v>0</v>
      </c>
      <c r="X8" s="152">
        <f t="shared" si="4"/>
        <v>120000</v>
      </c>
      <c r="Y8" s="152" t="str">
        <f t="shared" si="5"/>
        <v xml:space="preserve">MES 3 </v>
      </c>
      <c r="Z8">
        <f t="shared" si="6"/>
        <v>10</v>
      </c>
    </row>
    <row r="9" spans="1:27">
      <c r="A9" t="str">
        <f t="shared" si="7"/>
        <v>Administrador-2023</v>
      </c>
      <c r="B9">
        <v>2023</v>
      </c>
      <c r="C9" t="s">
        <v>357</v>
      </c>
      <c r="D9" s="150" t="s">
        <v>370</v>
      </c>
      <c r="E9" s="150" t="s">
        <v>371</v>
      </c>
      <c r="F9" s="151">
        <f t="shared" si="18"/>
        <v>0.5</v>
      </c>
      <c r="G9" s="151">
        <f t="shared" si="19"/>
        <v>1</v>
      </c>
      <c r="H9" s="152">
        <f>+HLOOKUP(A9,Datos!$D$81:$K$85,5,0)</f>
        <v>1600000</v>
      </c>
      <c r="I9" s="152">
        <f>+HLOOKUP(A9,Datos!$D$90:$K$94,5,0)</f>
        <v>140606</v>
      </c>
      <c r="J9" s="152">
        <f t="shared" si="0"/>
        <v>800000</v>
      </c>
      <c r="K9" s="152">
        <f t="shared" si="1"/>
        <v>140606</v>
      </c>
      <c r="L9" s="152">
        <f t="shared" si="8"/>
        <v>68000</v>
      </c>
      <c r="M9" s="152">
        <f t="shared" si="9"/>
        <v>96000</v>
      </c>
      <c r="N9" s="152">
        <f t="shared" si="10"/>
        <v>4176</v>
      </c>
      <c r="O9" s="152">
        <f t="shared" si="11"/>
        <v>33333.333333333336</v>
      </c>
      <c r="P9" s="152">
        <f t="shared" si="2"/>
        <v>66666.666666666672</v>
      </c>
      <c r="Q9" s="152">
        <f t="shared" si="12"/>
        <v>33333.333333333336</v>
      </c>
      <c r="R9" s="152">
        <f t="shared" si="3"/>
        <v>4000</v>
      </c>
      <c r="S9" s="152">
        <f t="shared" si="13"/>
        <v>16000</v>
      </c>
      <c r="T9" s="152">
        <f t="shared" si="14"/>
        <v>24000</v>
      </c>
      <c r="U9" s="152">
        <f t="shared" si="15"/>
        <v>32000</v>
      </c>
      <c r="V9" s="152">
        <f t="shared" si="16"/>
        <v>1318115.3333333333</v>
      </c>
      <c r="W9" s="152">
        <f>IF(OR(Y9=$AA$2,Y9=$AA$3,Y9=$AA$4),HLOOKUP(A9,Datos!$D$99:$K$104,5,0),0)*G9</f>
        <v>0</v>
      </c>
      <c r="X9" s="152">
        <f t="shared" si="4"/>
        <v>12500</v>
      </c>
      <c r="Y9" s="152" t="str">
        <f t="shared" si="5"/>
        <v xml:space="preserve">MES 3 </v>
      </c>
      <c r="Z9">
        <f t="shared" si="6"/>
        <v>10</v>
      </c>
    </row>
    <row r="10" spans="1:27">
      <c r="A10" t="str">
        <f t="shared" si="7"/>
        <v>Cajero-2023</v>
      </c>
      <c r="B10">
        <v>2023</v>
      </c>
      <c r="C10" t="s">
        <v>357</v>
      </c>
      <c r="D10" s="150" t="s">
        <v>372</v>
      </c>
      <c r="E10" s="150" t="s">
        <v>371</v>
      </c>
      <c r="F10" s="151">
        <f t="shared" si="18"/>
        <v>1</v>
      </c>
      <c r="G10" s="151">
        <f>+G7</f>
        <v>1</v>
      </c>
      <c r="H10" s="152">
        <f>HLOOKUP(A10,Datos!$D$82:$K$86,5,0)</f>
        <v>1160000</v>
      </c>
      <c r="I10" s="152">
        <f>+HLOOKUP(A10,Datos!$D$91:$K$95,5,0)</f>
        <v>140606</v>
      </c>
      <c r="J10" s="152">
        <f t="shared" si="0"/>
        <v>1160000</v>
      </c>
      <c r="K10" s="152">
        <f t="shared" si="1"/>
        <v>140606</v>
      </c>
      <c r="L10" s="152">
        <f t="shared" si="8"/>
        <v>98600</v>
      </c>
      <c r="M10" s="152">
        <f t="shared" si="9"/>
        <v>139200</v>
      </c>
      <c r="N10" s="152">
        <f t="shared" si="10"/>
        <v>6055.2</v>
      </c>
      <c r="O10" s="152">
        <f t="shared" si="11"/>
        <v>48333.333333333328</v>
      </c>
      <c r="P10" s="152">
        <f t="shared" si="2"/>
        <v>96666.666666666672</v>
      </c>
      <c r="Q10" s="152">
        <f t="shared" si="12"/>
        <v>48333.333333333328</v>
      </c>
      <c r="R10" s="152">
        <f t="shared" si="3"/>
        <v>5799.9999999999991</v>
      </c>
      <c r="S10" s="152">
        <f t="shared" si="13"/>
        <v>23200</v>
      </c>
      <c r="T10" s="152">
        <f t="shared" si="14"/>
        <v>34800</v>
      </c>
      <c r="U10" s="152">
        <f t="shared" si="15"/>
        <v>46400</v>
      </c>
      <c r="V10" s="152">
        <f t="shared" si="16"/>
        <v>1847994.5333333332</v>
      </c>
      <c r="W10" s="152">
        <f>IF(OR(Y10=$AA$2,Y10=$AA$3,Y10=$AA$4),HLOOKUP(A10,Datos!$D$100:$K$104,5,0),0)*G10</f>
        <v>0</v>
      </c>
      <c r="X10" s="152">
        <f t="shared" si="4"/>
        <v>37500</v>
      </c>
      <c r="Y10" s="152" t="str">
        <f t="shared" si="5"/>
        <v xml:space="preserve">MES 3 </v>
      </c>
      <c r="Z10">
        <f t="shared" si="6"/>
        <v>10</v>
      </c>
    </row>
    <row r="11" spans="1:27">
      <c r="A11" t="str">
        <f t="shared" si="7"/>
        <v>Aux cocina-2023</v>
      </c>
      <c r="B11">
        <v>2023</v>
      </c>
      <c r="C11" t="s">
        <v>358</v>
      </c>
      <c r="D11" s="150" t="s">
        <v>368</v>
      </c>
      <c r="E11" s="150" t="s">
        <v>369</v>
      </c>
      <c r="F11" s="151">
        <f t="shared" si="18"/>
        <v>4</v>
      </c>
      <c r="G11" s="151">
        <f t="shared" si="19"/>
        <v>4</v>
      </c>
      <c r="H11" s="152">
        <f>+HLOOKUP(A11,Datos!$D$80:$K$84,5,0)</f>
        <v>1160000</v>
      </c>
      <c r="I11" s="152">
        <f>+HLOOKUP(A11,Datos!$D$89:$K$93,5,0)</f>
        <v>140606</v>
      </c>
      <c r="J11" s="152">
        <f t="shared" si="0"/>
        <v>4640000</v>
      </c>
      <c r="K11" s="152">
        <f t="shared" si="1"/>
        <v>562424</v>
      </c>
      <c r="L11" s="152">
        <f t="shared" si="8"/>
        <v>394400</v>
      </c>
      <c r="M11" s="152">
        <f t="shared" si="9"/>
        <v>556800</v>
      </c>
      <c r="N11" s="152">
        <f t="shared" si="10"/>
        <v>24220.799999999999</v>
      </c>
      <c r="O11" s="152">
        <f t="shared" si="11"/>
        <v>193333.33333333331</v>
      </c>
      <c r="P11" s="152">
        <f t="shared" si="2"/>
        <v>386666.66666666669</v>
      </c>
      <c r="Q11" s="152">
        <f t="shared" si="12"/>
        <v>193333.33333333331</v>
      </c>
      <c r="R11" s="152">
        <f t="shared" si="3"/>
        <v>23199.999999999996</v>
      </c>
      <c r="S11" s="152">
        <f t="shared" si="13"/>
        <v>92800</v>
      </c>
      <c r="T11" s="152">
        <f t="shared" si="14"/>
        <v>139200</v>
      </c>
      <c r="U11" s="152">
        <f t="shared" si="15"/>
        <v>185600</v>
      </c>
      <c r="V11" s="152">
        <f t="shared" si="16"/>
        <v>7391978.1333333328</v>
      </c>
      <c r="W11" s="152">
        <f>IF(OR(Y11=$AA$2,Y11=$AA$3,Y11=$AA$4),HLOOKUP(A11,Datos!$D$98:$K$102,5,0),0)*G11</f>
        <v>480000</v>
      </c>
      <c r="X11" s="152">
        <f t="shared" si="4"/>
        <v>120000</v>
      </c>
      <c r="Y11" s="152" t="str">
        <f t="shared" si="5"/>
        <v xml:space="preserve">MES 4 </v>
      </c>
      <c r="Z11">
        <f t="shared" si="6"/>
        <v>10</v>
      </c>
    </row>
    <row r="12" spans="1:27">
      <c r="A12" t="str">
        <f t="shared" si="7"/>
        <v>Administrador-2023</v>
      </c>
      <c r="B12">
        <v>2023</v>
      </c>
      <c r="C12" t="s">
        <v>358</v>
      </c>
      <c r="D12" s="150" t="s">
        <v>370</v>
      </c>
      <c r="E12" s="150" t="s">
        <v>371</v>
      </c>
      <c r="F12" s="151">
        <f t="shared" si="18"/>
        <v>0.5</v>
      </c>
      <c r="G12" s="151">
        <f t="shared" si="19"/>
        <v>1</v>
      </c>
      <c r="H12" s="152">
        <f>+HLOOKUP(A12,Datos!$D$81:$K$85,5,0)</f>
        <v>1600000</v>
      </c>
      <c r="I12" s="152">
        <f>+HLOOKUP(A12,Datos!$D$90:$K$94,5,0)</f>
        <v>140606</v>
      </c>
      <c r="J12" s="152">
        <f t="shared" si="0"/>
        <v>800000</v>
      </c>
      <c r="K12" s="152">
        <f t="shared" si="1"/>
        <v>140606</v>
      </c>
      <c r="L12" s="152">
        <f t="shared" si="8"/>
        <v>68000</v>
      </c>
      <c r="M12" s="152">
        <f t="shared" si="9"/>
        <v>96000</v>
      </c>
      <c r="N12" s="152">
        <f t="shared" si="10"/>
        <v>4176</v>
      </c>
      <c r="O12" s="152">
        <f t="shared" si="11"/>
        <v>33333.333333333336</v>
      </c>
      <c r="P12" s="152">
        <f t="shared" si="2"/>
        <v>66666.666666666672</v>
      </c>
      <c r="Q12" s="152">
        <f t="shared" si="12"/>
        <v>33333.333333333336</v>
      </c>
      <c r="R12" s="152">
        <f t="shared" si="3"/>
        <v>4000</v>
      </c>
      <c r="S12" s="152">
        <f t="shared" si="13"/>
        <v>16000</v>
      </c>
      <c r="T12" s="152">
        <f t="shared" si="14"/>
        <v>24000</v>
      </c>
      <c r="U12" s="152">
        <f t="shared" si="15"/>
        <v>32000</v>
      </c>
      <c r="V12" s="152">
        <f t="shared" si="16"/>
        <v>1318115.3333333333</v>
      </c>
      <c r="W12" s="152">
        <f>IF(OR(Y12=$AA$2,Y12=$AA$3,Y12=$AA$4),HLOOKUP(A12,Datos!$D$99:$K$104,5,0),0)*G12</f>
        <v>50000</v>
      </c>
      <c r="X12" s="152">
        <f t="shared" si="4"/>
        <v>12500</v>
      </c>
      <c r="Y12" s="152" t="str">
        <f t="shared" si="5"/>
        <v xml:space="preserve">MES 4 </v>
      </c>
      <c r="Z12">
        <f t="shared" si="6"/>
        <v>10</v>
      </c>
    </row>
    <row r="13" spans="1:27">
      <c r="A13" t="str">
        <f t="shared" si="7"/>
        <v>Cajero-2023</v>
      </c>
      <c r="B13">
        <v>2023</v>
      </c>
      <c r="C13" t="s">
        <v>358</v>
      </c>
      <c r="D13" s="150" t="s">
        <v>372</v>
      </c>
      <c r="E13" s="150" t="s">
        <v>371</v>
      </c>
      <c r="F13" s="151">
        <f t="shared" si="18"/>
        <v>1</v>
      </c>
      <c r="G13" s="151">
        <f t="shared" ref="G13:G44" si="20">+G10</f>
        <v>1</v>
      </c>
      <c r="H13" s="152">
        <f>HLOOKUP(A13,Datos!$D$82:$K$86,5,0)</f>
        <v>1160000</v>
      </c>
      <c r="I13" s="152">
        <f>+HLOOKUP(A13,Datos!$D$91:$K$95,5,0)</f>
        <v>140606</v>
      </c>
      <c r="J13" s="152">
        <f t="shared" si="0"/>
        <v>1160000</v>
      </c>
      <c r="K13" s="152">
        <f t="shared" si="1"/>
        <v>140606</v>
      </c>
      <c r="L13" s="152">
        <f t="shared" si="8"/>
        <v>98600</v>
      </c>
      <c r="M13" s="152">
        <f t="shared" si="9"/>
        <v>139200</v>
      </c>
      <c r="N13" s="152">
        <f t="shared" si="10"/>
        <v>6055.2</v>
      </c>
      <c r="O13" s="152">
        <f t="shared" si="11"/>
        <v>48333.333333333328</v>
      </c>
      <c r="P13" s="152">
        <f t="shared" si="2"/>
        <v>96666.666666666672</v>
      </c>
      <c r="Q13" s="152">
        <f t="shared" si="12"/>
        <v>48333.333333333328</v>
      </c>
      <c r="R13" s="152">
        <f t="shared" si="3"/>
        <v>5799.9999999999991</v>
      </c>
      <c r="S13" s="152">
        <f t="shared" si="13"/>
        <v>23200</v>
      </c>
      <c r="T13" s="152">
        <f t="shared" si="14"/>
        <v>34800</v>
      </c>
      <c r="U13" s="152">
        <f t="shared" si="15"/>
        <v>46400</v>
      </c>
      <c r="V13" s="152">
        <f t="shared" si="16"/>
        <v>1847994.5333333332</v>
      </c>
      <c r="W13" s="152">
        <f>IF(OR(Y13=$AA$2,Y13=$AA$3,Y13=$AA$4),HLOOKUP(A13,Datos!$D$100:$K$104,5,0),0)*G13</f>
        <v>150000</v>
      </c>
      <c r="X13" s="152">
        <f t="shared" si="4"/>
        <v>37500</v>
      </c>
      <c r="Y13" s="152" t="str">
        <f t="shared" si="5"/>
        <v xml:space="preserve">MES 4 </v>
      </c>
      <c r="Z13">
        <f t="shared" si="6"/>
        <v>10</v>
      </c>
    </row>
    <row r="14" spans="1:27">
      <c r="A14" t="str">
        <f t="shared" si="7"/>
        <v>Aux cocina-2023</v>
      </c>
      <c r="B14">
        <v>2023</v>
      </c>
      <c r="C14" t="s">
        <v>359</v>
      </c>
      <c r="D14" s="150" t="s">
        <v>368</v>
      </c>
      <c r="E14" s="150" t="s">
        <v>369</v>
      </c>
      <c r="F14" s="151">
        <f t="shared" si="18"/>
        <v>4</v>
      </c>
      <c r="G14" s="151">
        <f t="shared" si="20"/>
        <v>4</v>
      </c>
      <c r="H14" s="152">
        <f>+HLOOKUP(A14,Datos!$D$80:$K$84,5,0)</f>
        <v>1160000</v>
      </c>
      <c r="I14" s="152">
        <f>+HLOOKUP(A14,Datos!$D$89:$K$93,5,0)</f>
        <v>140606</v>
      </c>
      <c r="J14" s="152">
        <f t="shared" si="0"/>
        <v>4640000</v>
      </c>
      <c r="K14" s="152">
        <f t="shared" si="1"/>
        <v>562424</v>
      </c>
      <c r="L14" s="152">
        <f t="shared" si="8"/>
        <v>394400</v>
      </c>
      <c r="M14" s="152">
        <f t="shared" si="9"/>
        <v>556800</v>
      </c>
      <c r="N14" s="152">
        <f t="shared" si="10"/>
        <v>24220.799999999999</v>
      </c>
      <c r="O14" s="152">
        <f t="shared" si="11"/>
        <v>193333.33333333331</v>
      </c>
      <c r="P14" s="152">
        <f t="shared" si="2"/>
        <v>386666.66666666669</v>
      </c>
      <c r="Q14" s="152">
        <f t="shared" si="12"/>
        <v>193333.33333333331</v>
      </c>
      <c r="R14" s="152">
        <f t="shared" si="3"/>
        <v>23199.999999999996</v>
      </c>
      <c r="S14" s="152">
        <f t="shared" si="13"/>
        <v>92800</v>
      </c>
      <c r="T14" s="152">
        <f t="shared" si="14"/>
        <v>139200</v>
      </c>
      <c r="U14" s="152">
        <f t="shared" si="15"/>
        <v>185600</v>
      </c>
      <c r="V14" s="152">
        <f t="shared" si="16"/>
        <v>7391978.1333333328</v>
      </c>
      <c r="W14" s="152">
        <f>IF(OR(Y14=$AA$2,Y14=$AA$3,Y14=$AA$4),HLOOKUP(A14,Datos!$D$98:$K$102,5,0),0)*G14</f>
        <v>0</v>
      </c>
      <c r="X14" s="152">
        <f t="shared" si="4"/>
        <v>120000</v>
      </c>
      <c r="Y14" s="152" t="str">
        <f t="shared" si="5"/>
        <v xml:space="preserve">MES 5 </v>
      </c>
      <c r="Z14">
        <f t="shared" si="6"/>
        <v>10</v>
      </c>
    </row>
    <row r="15" spans="1:27">
      <c r="A15" t="str">
        <f t="shared" si="7"/>
        <v>Administrador-2023</v>
      </c>
      <c r="B15">
        <v>2023</v>
      </c>
      <c r="C15" t="s">
        <v>359</v>
      </c>
      <c r="D15" s="150" t="s">
        <v>370</v>
      </c>
      <c r="E15" s="150" t="s">
        <v>371</v>
      </c>
      <c r="F15" s="151">
        <f t="shared" si="18"/>
        <v>0.5</v>
      </c>
      <c r="G15" s="151">
        <f t="shared" si="20"/>
        <v>1</v>
      </c>
      <c r="H15" s="152">
        <f>+HLOOKUP(A15,Datos!$D$81:$K$85,5,0)</f>
        <v>1600000</v>
      </c>
      <c r="I15" s="152">
        <f>+HLOOKUP(A15,Datos!$D$90:$K$94,5,0)</f>
        <v>140606</v>
      </c>
      <c r="J15" s="152">
        <f t="shared" si="0"/>
        <v>800000</v>
      </c>
      <c r="K15" s="152">
        <f t="shared" si="1"/>
        <v>140606</v>
      </c>
      <c r="L15" s="152">
        <f t="shared" si="8"/>
        <v>68000</v>
      </c>
      <c r="M15" s="152">
        <f t="shared" si="9"/>
        <v>96000</v>
      </c>
      <c r="N15" s="152">
        <f t="shared" si="10"/>
        <v>4176</v>
      </c>
      <c r="O15" s="152">
        <f t="shared" si="11"/>
        <v>33333.333333333336</v>
      </c>
      <c r="P15" s="152">
        <f t="shared" si="2"/>
        <v>66666.666666666672</v>
      </c>
      <c r="Q15" s="152">
        <f t="shared" si="12"/>
        <v>33333.333333333336</v>
      </c>
      <c r="R15" s="152">
        <f t="shared" si="3"/>
        <v>4000</v>
      </c>
      <c r="S15" s="152">
        <f t="shared" si="13"/>
        <v>16000</v>
      </c>
      <c r="T15" s="152">
        <f t="shared" si="14"/>
        <v>24000</v>
      </c>
      <c r="U15" s="152">
        <f t="shared" si="15"/>
        <v>32000</v>
      </c>
      <c r="V15" s="152">
        <f t="shared" si="16"/>
        <v>1318115.3333333333</v>
      </c>
      <c r="W15" s="152">
        <f>IF(OR(Y15=$AA$2,Y15=$AA$3,Y15=$AA$4),HLOOKUP(A15,Datos!$D$99:$K$104,5,0),0)*G15</f>
        <v>0</v>
      </c>
      <c r="X15" s="152">
        <f t="shared" si="4"/>
        <v>12500</v>
      </c>
      <c r="Y15" s="152" t="str">
        <f t="shared" si="5"/>
        <v xml:space="preserve">MES 5 </v>
      </c>
      <c r="Z15">
        <f t="shared" si="6"/>
        <v>10</v>
      </c>
    </row>
    <row r="16" spans="1:27">
      <c r="A16" t="str">
        <f t="shared" si="7"/>
        <v>Cajero-2023</v>
      </c>
      <c r="B16">
        <v>2023</v>
      </c>
      <c r="C16" t="s">
        <v>359</v>
      </c>
      <c r="D16" s="150" t="s">
        <v>372</v>
      </c>
      <c r="E16" s="150" t="s">
        <v>371</v>
      </c>
      <c r="F16" s="151">
        <f t="shared" si="18"/>
        <v>1</v>
      </c>
      <c r="G16" s="151">
        <f t="shared" si="20"/>
        <v>1</v>
      </c>
      <c r="H16" s="152">
        <f>HLOOKUP(A16,Datos!$D$82:$K$86,5,0)</f>
        <v>1160000</v>
      </c>
      <c r="I16" s="152">
        <f>+HLOOKUP(A16,Datos!$D$91:$K$95,5,0)</f>
        <v>140606</v>
      </c>
      <c r="J16" s="152">
        <f t="shared" si="0"/>
        <v>1160000</v>
      </c>
      <c r="K16" s="152">
        <f t="shared" si="1"/>
        <v>140606</v>
      </c>
      <c r="L16" s="152">
        <f t="shared" si="8"/>
        <v>98600</v>
      </c>
      <c r="M16" s="152">
        <f t="shared" si="9"/>
        <v>139200</v>
      </c>
      <c r="N16" s="152">
        <f t="shared" si="10"/>
        <v>6055.2</v>
      </c>
      <c r="O16" s="152">
        <f t="shared" si="11"/>
        <v>48333.333333333328</v>
      </c>
      <c r="P16" s="152">
        <f t="shared" si="2"/>
        <v>96666.666666666672</v>
      </c>
      <c r="Q16" s="152">
        <f t="shared" si="12"/>
        <v>48333.333333333328</v>
      </c>
      <c r="R16" s="152">
        <f t="shared" si="3"/>
        <v>5799.9999999999991</v>
      </c>
      <c r="S16" s="152">
        <f t="shared" si="13"/>
        <v>23200</v>
      </c>
      <c r="T16" s="152">
        <f t="shared" si="14"/>
        <v>34800</v>
      </c>
      <c r="U16" s="152">
        <f t="shared" si="15"/>
        <v>46400</v>
      </c>
      <c r="V16" s="152">
        <f t="shared" si="16"/>
        <v>1847994.5333333332</v>
      </c>
      <c r="W16" s="152">
        <f>IF(OR(Y16=$AA$2,Y16=$AA$3,Y16=$AA$4),HLOOKUP(A16,Datos!$D$100:$K$104,5,0),0)*G16</f>
        <v>0</v>
      </c>
      <c r="X16" s="152">
        <f t="shared" si="4"/>
        <v>37500</v>
      </c>
      <c r="Y16" s="152" t="str">
        <f t="shared" si="5"/>
        <v xml:space="preserve">MES 5 </v>
      </c>
      <c r="Z16">
        <f t="shared" si="6"/>
        <v>10</v>
      </c>
    </row>
    <row r="17" spans="1:26">
      <c r="A17" t="str">
        <f t="shared" si="7"/>
        <v>Aux cocina-2023</v>
      </c>
      <c r="B17">
        <v>2023</v>
      </c>
      <c r="C17" t="s">
        <v>360</v>
      </c>
      <c r="D17" s="150" t="s">
        <v>368</v>
      </c>
      <c r="E17" s="150" t="s">
        <v>369</v>
      </c>
      <c r="F17" s="151">
        <f t="shared" si="18"/>
        <v>4</v>
      </c>
      <c r="G17" s="151">
        <f t="shared" si="20"/>
        <v>4</v>
      </c>
      <c r="H17" s="152">
        <f>+HLOOKUP(A17,Datos!$D$80:$K$84,5,0)</f>
        <v>1160000</v>
      </c>
      <c r="I17" s="152">
        <f>+HLOOKUP(A17,Datos!$D$89:$K$93,5,0)</f>
        <v>140606</v>
      </c>
      <c r="J17" s="152">
        <f t="shared" si="0"/>
        <v>4640000</v>
      </c>
      <c r="K17" s="152">
        <f t="shared" si="1"/>
        <v>562424</v>
      </c>
      <c r="L17" s="152">
        <f t="shared" si="8"/>
        <v>394400</v>
      </c>
      <c r="M17" s="152">
        <f t="shared" si="9"/>
        <v>556800</v>
      </c>
      <c r="N17" s="152">
        <f t="shared" si="10"/>
        <v>24220.799999999999</v>
      </c>
      <c r="O17" s="152">
        <f t="shared" si="11"/>
        <v>193333.33333333331</v>
      </c>
      <c r="P17" s="152">
        <f t="shared" si="2"/>
        <v>386666.66666666669</v>
      </c>
      <c r="Q17" s="152">
        <f t="shared" si="12"/>
        <v>193333.33333333331</v>
      </c>
      <c r="R17" s="152">
        <f t="shared" si="3"/>
        <v>23199.999999999996</v>
      </c>
      <c r="S17" s="152">
        <f t="shared" si="13"/>
        <v>92800</v>
      </c>
      <c r="T17" s="152">
        <f t="shared" si="14"/>
        <v>139200</v>
      </c>
      <c r="U17" s="152">
        <f t="shared" si="15"/>
        <v>185600</v>
      </c>
      <c r="V17" s="152">
        <f t="shared" si="16"/>
        <v>7391978.1333333328</v>
      </c>
      <c r="W17" s="152">
        <f>IF(OR(Y17=$AA$2,Y17=$AA$3,Y17=$AA$4),HLOOKUP(A17,Datos!$D$98:$K$102,5,0),0)*G17</f>
        <v>0</v>
      </c>
      <c r="X17" s="152">
        <f t="shared" si="4"/>
        <v>120000</v>
      </c>
      <c r="Y17" s="152" t="str">
        <f t="shared" si="5"/>
        <v xml:space="preserve">MES 6 </v>
      </c>
      <c r="Z17">
        <f t="shared" si="6"/>
        <v>10</v>
      </c>
    </row>
    <row r="18" spans="1:26">
      <c r="A18" t="str">
        <f t="shared" si="7"/>
        <v>Administrador-2023</v>
      </c>
      <c r="B18">
        <v>2023</v>
      </c>
      <c r="C18" t="s">
        <v>360</v>
      </c>
      <c r="D18" s="150" t="s">
        <v>370</v>
      </c>
      <c r="E18" s="150" t="s">
        <v>371</v>
      </c>
      <c r="F18" s="151">
        <f t="shared" si="18"/>
        <v>0.5</v>
      </c>
      <c r="G18" s="151">
        <f t="shared" si="20"/>
        <v>1</v>
      </c>
      <c r="H18" s="152">
        <f>+HLOOKUP(A18,Datos!$D$81:$K$85,5,0)</f>
        <v>1600000</v>
      </c>
      <c r="I18" s="152">
        <f>+HLOOKUP(A18,Datos!$D$90:$K$94,5,0)</f>
        <v>140606</v>
      </c>
      <c r="J18" s="152">
        <f t="shared" si="0"/>
        <v>800000</v>
      </c>
      <c r="K18" s="152">
        <f t="shared" si="1"/>
        <v>140606</v>
      </c>
      <c r="L18" s="152">
        <f t="shared" si="8"/>
        <v>68000</v>
      </c>
      <c r="M18" s="152">
        <f t="shared" si="9"/>
        <v>96000</v>
      </c>
      <c r="N18" s="152">
        <f t="shared" si="10"/>
        <v>4176</v>
      </c>
      <c r="O18" s="152">
        <f t="shared" si="11"/>
        <v>33333.333333333336</v>
      </c>
      <c r="P18" s="152">
        <f t="shared" si="2"/>
        <v>66666.666666666672</v>
      </c>
      <c r="Q18" s="152">
        <f t="shared" si="12"/>
        <v>33333.333333333336</v>
      </c>
      <c r="R18" s="152">
        <f t="shared" si="3"/>
        <v>4000</v>
      </c>
      <c r="S18" s="152">
        <f t="shared" si="13"/>
        <v>16000</v>
      </c>
      <c r="T18" s="152">
        <f t="shared" si="14"/>
        <v>24000</v>
      </c>
      <c r="U18" s="152">
        <f t="shared" si="15"/>
        <v>32000</v>
      </c>
      <c r="V18" s="152">
        <f t="shared" si="16"/>
        <v>1318115.3333333333</v>
      </c>
      <c r="W18" s="152">
        <f>IF(OR(Y18=$AA$2,Y18=$AA$3,Y18=$AA$4),HLOOKUP(A18,Datos!$D$99:$K$104,5,0),0)*G18</f>
        <v>0</v>
      </c>
      <c r="X18" s="152">
        <f t="shared" si="4"/>
        <v>12500</v>
      </c>
      <c r="Y18" s="152" t="str">
        <f t="shared" si="5"/>
        <v xml:space="preserve">MES 6 </v>
      </c>
      <c r="Z18">
        <f t="shared" si="6"/>
        <v>10</v>
      </c>
    </row>
    <row r="19" spans="1:26">
      <c r="A19" t="str">
        <f t="shared" si="7"/>
        <v>Cajero-2023</v>
      </c>
      <c r="B19">
        <v>2023</v>
      </c>
      <c r="C19" t="s">
        <v>360</v>
      </c>
      <c r="D19" s="150" t="s">
        <v>372</v>
      </c>
      <c r="E19" s="150" t="s">
        <v>371</v>
      </c>
      <c r="F19" s="151">
        <f t="shared" si="18"/>
        <v>1</v>
      </c>
      <c r="G19" s="151">
        <f t="shared" si="20"/>
        <v>1</v>
      </c>
      <c r="H19" s="152">
        <f>HLOOKUP(A19,Datos!$D$82:$K$86,5,0)</f>
        <v>1160000</v>
      </c>
      <c r="I19" s="152">
        <f>+HLOOKUP(A19,Datos!$D$91:$K$95,5,0)</f>
        <v>140606</v>
      </c>
      <c r="J19" s="152">
        <f t="shared" si="0"/>
        <v>1160000</v>
      </c>
      <c r="K19" s="152">
        <f t="shared" si="1"/>
        <v>140606</v>
      </c>
      <c r="L19" s="152">
        <f t="shared" si="8"/>
        <v>98600</v>
      </c>
      <c r="M19" s="152">
        <f t="shared" si="9"/>
        <v>139200</v>
      </c>
      <c r="N19" s="152">
        <f t="shared" si="10"/>
        <v>6055.2</v>
      </c>
      <c r="O19" s="152">
        <f t="shared" si="11"/>
        <v>48333.333333333328</v>
      </c>
      <c r="P19" s="152">
        <f t="shared" si="2"/>
        <v>96666.666666666672</v>
      </c>
      <c r="Q19" s="152">
        <f t="shared" si="12"/>
        <v>48333.333333333328</v>
      </c>
      <c r="R19" s="152">
        <f t="shared" si="3"/>
        <v>5799.9999999999991</v>
      </c>
      <c r="S19" s="152">
        <f t="shared" si="13"/>
        <v>23200</v>
      </c>
      <c r="T19" s="152">
        <f t="shared" si="14"/>
        <v>34800</v>
      </c>
      <c r="U19" s="152">
        <f t="shared" si="15"/>
        <v>46400</v>
      </c>
      <c r="V19" s="152">
        <f t="shared" si="16"/>
        <v>1847994.5333333332</v>
      </c>
      <c r="W19" s="152">
        <f>IF(OR(Y19=$AA$2,Y19=$AA$3,Y19=$AA$4),HLOOKUP(A19,Datos!$D$100:$K$104,5,0),0)*G19</f>
        <v>0</v>
      </c>
      <c r="X19" s="152">
        <f t="shared" si="4"/>
        <v>37500</v>
      </c>
      <c r="Y19" s="152" t="str">
        <f t="shared" si="5"/>
        <v xml:space="preserve">MES 6 </v>
      </c>
      <c r="Z19">
        <f t="shared" si="6"/>
        <v>10</v>
      </c>
    </row>
    <row r="20" spans="1:26">
      <c r="A20" t="str">
        <f t="shared" si="7"/>
        <v>Aux cocina-2023</v>
      </c>
      <c r="B20">
        <v>2023</v>
      </c>
      <c r="C20" t="s">
        <v>361</v>
      </c>
      <c r="D20" s="150" t="s">
        <v>368</v>
      </c>
      <c r="E20" s="150" t="s">
        <v>369</v>
      </c>
      <c r="F20" s="151">
        <f t="shared" si="18"/>
        <v>4</v>
      </c>
      <c r="G20" s="151">
        <f t="shared" si="20"/>
        <v>4</v>
      </c>
      <c r="H20" s="152">
        <f>+HLOOKUP(A20,Datos!$D$80:$K$84,5,0)</f>
        <v>1160000</v>
      </c>
      <c r="I20" s="152">
        <f>+HLOOKUP(A20,Datos!$D$89:$K$93,5,0)</f>
        <v>140606</v>
      </c>
      <c r="J20" s="152">
        <f t="shared" si="0"/>
        <v>4640000</v>
      </c>
      <c r="K20" s="152">
        <f t="shared" si="1"/>
        <v>562424</v>
      </c>
      <c r="L20" s="152">
        <f t="shared" si="8"/>
        <v>394400</v>
      </c>
      <c r="M20" s="152">
        <f t="shared" si="9"/>
        <v>556800</v>
      </c>
      <c r="N20" s="152">
        <f t="shared" si="10"/>
        <v>24220.799999999999</v>
      </c>
      <c r="O20" s="152">
        <f t="shared" si="11"/>
        <v>193333.33333333331</v>
      </c>
      <c r="P20" s="152">
        <f t="shared" si="2"/>
        <v>386666.66666666669</v>
      </c>
      <c r="Q20" s="152">
        <f t="shared" si="12"/>
        <v>193333.33333333331</v>
      </c>
      <c r="R20" s="152">
        <f t="shared" si="3"/>
        <v>23199.999999999996</v>
      </c>
      <c r="S20" s="152">
        <f t="shared" si="13"/>
        <v>92800</v>
      </c>
      <c r="T20" s="152">
        <f t="shared" si="14"/>
        <v>139200</v>
      </c>
      <c r="U20" s="152">
        <f t="shared" si="15"/>
        <v>185600</v>
      </c>
      <c r="V20" s="152">
        <f t="shared" si="16"/>
        <v>7391978.1333333328</v>
      </c>
      <c r="W20" s="152">
        <f>IF(OR(Y20=$AA$2,Y20=$AA$3,Y20=$AA$4),HLOOKUP(A20,Datos!$D$98:$K$102,5,0),0)*G20</f>
        <v>0</v>
      </c>
      <c r="X20" s="152">
        <f t="shared" si="4"/>
        <v>120000</v>
      </c>
      <c r="Y20" s="152" t="str">
        <f t="shared" si="5"/>
        <v>MES 10</v>
      </c>
      <c r="Z20">
        <f t="shared" si="6"/>
        <v>11</v>
      </c>
    </row>
    <row r="21" spans="1:26">
      <c r="A21" t="str">
        <f t="shared" si="7"/>
        <v>Administrador-2023</v>
      </c>
      <c r="B21">
        <v>2023</v>
      </c>
      <c r="C21" t="s">
        <v>361</v>
      </c>
      <c r="D21" s="150" t="s">
        <v>370</v>
      </c>
      <c r="E21" s="150" t="s">
        <v>371</v>
      </c>
      <c r="F21" s="151">
        <f t="shared" si="18"/>
        <v>0.5</v>
      </c>
      <c r="G21" s="151">
        <f t="shared" si="20"/>
        <v>1</v>
      </c>
      <c r="H21" s="152">
        <f>+HLOOKUP(A21,Datos!$D$81:$K$85,5,0)</f>
        <v>1600000</v>
      </c>
      <c r="I21" s="152">
        <f>+HLOOKUP(A21,Datos!$D$90:$K$94,5,0)</f>
        <v>140606</v>
      </c>
      <c r="J21" s="152">
        <f t="shared" si="0"/>
        <v>800000</v>
      </c>
      <c r="K21" s="152">
        <f t="shared" si="1"/>
        <v>140606</v>
      </c>
      <c r="L21" s="152">
        <f t="shared" si="8"/>
        <v>68000</v>
      </c>
      <c r="M21" s="152">
        <f t="shared" si="9"/>
        <v>96000</v>
      </c>
      <c r="N21" s="152">
        <f t="shared" si="10"/>
        <v>4176</v>
      </c>
      <c r="O21" s="152">
        <f t="shared" si="11"/>
        <v>33333.333333333336</v>
      </c>
      <c r="P21" s="152">
        <f t="shared" si="2"/>
        <v>66666.666666666672</v>
      </c>
      <c r="Q21" s="152">
        <f t="shared" si="12"/>
        <v>33333.333333333336</v>
      </c>
      <c r="R21" s="152">
        <f t="shared" si="3"/>
        <v>4000</v>
      </c>
      <c r="S21" s="152">
        <f t="shared" si="13"/>
        <v>16000</v>
      </c>
      <c r="T21" s="152">
        <f t="shared" si="14"/>
        <v>24000</v>
      </c>
      <c r="U21" s="152">
        <f t="shared" si="15"/>
        <v>32000</v>
      </c>
      <c r="V21" s="152">
        <f t="shared" si="16"/>
        <v>1318115.3333333333</v>
      </c>
      <c r="W21" s="152">
        <f>IF(OR(Y21=$AA$2,Y21=$AA$3,Y21=$AA$4),HLOOKUP(A21,Datos!$D$99:$K$104,5,0),0)*G21</f>
        <v>0</v>
      </c>
      <c r="X21" s="152">
        <f t="shared" si="4"/>
        <v>12500</v>
      </c>
      <c r="Y21" s="152" t="str">
        <f t="shared" si="5"/>
        <v>MES 10</v>
      </c>
      <c r="Z21">
        <f t="shared" si="6"/>
        <v>11</v>
      </c>
    </row>
    <row r="22" spans="1:26">
      <c r="A22" t="str">
        <f t="shared" si="7"/>
        <v>Cajero-2023</v>
      </c>
      <c r="B22">
        <v>2023</v>
      </c>
      <c r="C22" t="s">
        <v>361</v>
      </c>
      <c r="D22" s="150" t="s">
        <v>372</v>
      </c>
      <c r="E22" s="150" t="s">
        <v>371</v>
      </c>
      <c r="F22" s="151">
        <f t="shared" si="18"/>
        <v>1</v>
      </c>
      <c r="G22" s="151">
        <f t="shared" si="20"/>
        <v>1</v>
      </c>
      <c r="H22" s="152">
        <f>HLOOKUP(A22,Datos!$D$82:$K$86,5,0)</f>
        <v>1160000</v>
      </c>
      <c r="I22" s="152">
        <f>+HLOOKUP(A22,Datos!$D$91:$K$95,5,0)</f>
        <v>140606</v>
      </c>
      <c r="J22" s="152">
        <f t="shared" si="0"/>
        <v>1160000</v>
      </c>
      <c r="K22" s="152">
        <f t="shared" si="1"/>
        <v>140606</v>
      </c>
      <c r="L22" s="152">
        <f t="shared" si="8"/>
        <v>98600</v>
      </c>
      <c r="M22" s="152">
        <f t="shared" si="9"/>
        <v>139200</v>
      </c>
      <c r="N22" s="152">
        <f t="shared" si="10"/>
        <v>6055.2</v>
      </c>
      <c r="O22" s="152">
        <f t="shared" si="11"/>
        <v>48333.333333333328</v>
      </c>
      <c r="P22" s="152">
        <f t="shared" si="2"/>
        <v>96666.666666666672</v>
      </c>
      <c r="Q22" s="152">
        <f t="shared" si="12"/>
        <v>48333.333333333328</v>
      </c>
      <c r="R22" s="152">
        <f t="shared" si="3"/>
        <v>5799.9999999999991</v>
      </c>
      <c r="S22" s="152">
        <f t="shared" si="13"/>
        <v>23200</v>
      </c>
      <c r="T22" s="152">
        <f t="shared" si="14"/>
        <v>34800</v>
      </c>
      <c r="U22" s="152">
        <f t="shared" si="15"/>
        <v>46400</v>
      </c>
      <c r="V22" s="152">
        <f t="shared" si="16"/>
        <v>1847994.5333333332</v>
      </c>
      <c r="W22" s="152">
        <f>IF(OR(Y22=$AA$2,Y22=$AA$3,Y22=$AA$4),HLOOKUP(A22,Datos!$D$100:$K$104,5,0),0)*G22</f>
        <v>0</v>
      </c>
      <c r="X22" s="152">
        <f t="shared" si="4"/>
        <v>37500</v>
      </c>
      <c r="Y22" s="152" t="str">
        <f t="shared" si="5"/>
        <v>MES 10</v>
      </c>
      <c r="Z22">
        <f t="shared" si="6"/>
        <v>11</v>
      </c>
    </row>
    <row r="23" spans="1:26">
      <c r="A23" t="str">
        <f t="shared" si="7"/>
        <v>Aux cocina-2023</v>
      </c>
      <c r="B23">
        <v>2023</v>
      </c>
      <c r="C23" t="s">
        <v>362</v>
      </c>
      <c r="D23" s="150" t="s">
        <v>368</v>
      </c>
      <c r="E23" s="150" t="s">
        <v>369</v>
      </c>
      <c r="F23" s="151">
        <f t="shared" si="18"/>
        <v>4</v>
      </c>
      <c r="G23" s="151">
        <f t="shared" si="20"/>
        <v>4</v>
      </c>
      <c r="H23" s="152">
        <f>+HLOOKUP(A23,Datos!$D$80:$K$84,5,0)</f>
        <v>1160000</v>
      </c>
      <c r="I23" s="152">
        <f>+HLOOKUP(A23,Datos!$D$89:$K$93,5,0)</f>
        <v>140606</v>
      </c>
      <c r="J23" s="152">
        <f t="shared" si="0"/>
        <v>4640000</v>
      </c>
      <c r="K23" s="152">
        <f t="shared" si="1"/>
        <v>562424</v>
      </c>
      <c r="L23" s="152">
        <f t="shared" si="8"/>
        <v>394400</v>
      </c>
      <c r="M23" s="152">
        <f t="shared" si="9"/>
        <v>556800</v>
      </c>
      <c r="N23" s="152">
        <f t="shared" si="10"/>
        <v>24220.799999999999</v>
      </c>
      <c r="O23" s="152">
        <f t="shared" si="11"/>
        <v>193333.33333333331</v>
      </c>
      <c r="P23" s="152">
        <f t="shared" si="2"/>
        <v>386666.66666666669</v>
      </c>
      <c r="Q23" s="152">
        <f t="shared" si="12"/>
        <v>193333.33333333331</v>
      </c>
      <c r="R23" s="152">
        <f t="shared" si="3"/>
        <v>23199.999999999996</v>
      </c>
      <c r="S23" s="152">
        <f t="shared" si="13"/>
        <v>92800</v>
      </c>
      <c r="T23" s="152">
        <f t="shared" si="14"/>
        <v>139200</v>
      </c>
      <c r="U23" s="152">
        <f t="shared" si="15"/>
        <v>185600</v>
      </c>
      <c r="V23" s="152">
        <f t="shared" si="16"/>
        <v>7391978.1333333328</v>
      </c>
      <c r="W23" s="152">
        <f>IF(OR(Y23=$AA$2,Y23=$AA$3,Y23=$AA$4),HLOOKUP(A23,Datos!$D$98:$K$102,5,0),0)*G23</f>
        <v>0</v>
      </c>
      <c r="X23" s="152">
        <f t="shared" si="4"/>
        <v>120000</v>
      </c>
      <c r="Y23" s="152" t="str">
        <f t="shared" si="5"/>
        <v>MES 11</v>
      </c>
      <c r="Z23">
        <f t="shared" si="6"/>
        <v>11</v>
      </c>
    </row>
    <row r="24" spans="1:26">
      <c r="A24" t="str">
        <f t="shared" si="7"/>
        <v>Administrador-2023</v>
      </c>
      <c r="B24">
        <v>2023</v>
      </c>
      <c r="C24" t="s">
        <v>362</v>
      </c>
      <c r="D24" s="150" t="s">
        <v>370</v>
      </c>
      <c r="E24" s="150" t="s">
        <v>371</v>
      </c>
      <c r="F24" s="151">
        <f t="shared" si="18"/>
        <v>0.5</v>
      </c>
      <c r="G24" s="151">
        <f t="shared" si="20"/>
        <v>1</v>
      </c>
      <c r="H24" s="152">
        <f>+HLOOKUP(A24,Datos!$D$81:$K$85,5,0)</f>
        <v>1600000</v>
      </c>
      <c r="I24" s="152">
        <f>+HLOOKUP(A24,Datos!$D$90:$K$94,5,0)</f>
        <v>140606</v>
      </c>
      <c r="J24" s="152">
        <f t="shared" si="0"/>
        <v>800000</v>
      </c>
      <c r="K24" s="152">
        <f t="shared" si="1"/>
        <v>140606</v>
      </c>
      <c r="L24" s="152">
        <f t="shared" si="8"/>
        <v>68000</v>
      </c>
      <c r="M24" s="152">
        <f t="shared" si="9"/>
        <v>96000</v>
      </c>
      <c r="N24" s="152">
        <f t="shared" si="10"/>
        <v>4176</v>
      </c>
      <c r="O24" s="152">
        <f t="shared" si="11"/>
        <v>33333.333333333336</v>
      </c>
      <c r="P24" s="152">
        <f t="shared" si="2"/>
        <v>66666.666666666672</v>
      </c>
      <c r="Q24" s="152">
        <f t="shared" si="12"/>
        <v>33333.333333333336</v>
      </c>
      <c r="R24" s="152">
        <f t="shared" si="3"/>
        <v>4000</v>
      </c>
      <c r="S24" s="152">
        <f t="shared" si="13"/>
        <v>16000</v>
      </c>
      <c r="T24" s="152">
        <f t="shared" si="14"/>
        <v>24000</v>
      </c>
      <c r="U24" s="152">
        <f t="shared" si="15"/>
        <v>32000</v>
      </c>
      <c r="V24" s="152">
        <f t="shared" si="16"/>
        <v>1318115.3333333333</v>
      </c>
      <c r="W24" s="152">
        <f>IF(OR(Y24=$AA$2,Y24=$AA$3,Y24=$AA$4),HLOOKUP(A24,Datos!$D$99:$K$104,5,0),0)*G24</f>
        <v>0</v>
      </c>
      <c r="X24" s="152">
        <f t="shared" si="4"/>
        <v>12500</v>
      </c>
      <c r="Y24" s="152" t="str">
        <f t="shared" si="5"/>
        <v>MES 11</v>
      </c>
      <c r="Z24">
        <f t="shared" si="6"/>
        <v>11</v>
      </c>
    </row>
    <row r="25" spans="1:26">
      <c r="A25" t="str">
        <f t="shared" si="7"/>
        <v>Cajero-2023</v>
      </c>
      <c r="B25">
        <v>2023</v>
      </c>
      <c r="C25" t="s">
        <v>362</v>
      </c>
      <c r="D25" s="150" t="s">
        <v>372</v>
      </c>
      <c r="E25" s="150" t="s">
        <v>371</v>
      </c>
      <c r="F25" s="151">
        <f t="shared" si="18"/>
        <v>1</v>
      </c>
      <c r="G25" s="151">
        <f t="shared" si="20"/>
        <v>1</v>
      </c>
      <c r="H25" s="152">
        <f>HLOOKUP(A25,Datos!$D$82:$K$86,5,0)</f>
        <v>1160000</v>
      </c>
      <c r="I25" s="152">
        <f>+HLOOKUP(A25,Datos!$D$91:$K$95,5,0)</f>
        <v>140606</v>
      </c>
      <c r="J25" s="152">
        <f t="shared" si="0"/>
        <v>1160000</v>
      </c>
      <c r="K25" s="152">
        <f t="shared" si="1"/>
        <v>140606</v>
      </c>
      <c r="L25" s="152">
        <f t="shared" si="8"/>
        <v>98600</v>
      </c>
      <c r="M25" s="152">
        <f t="shared" si="9"/>
        <v>139200</v>
      </c>
      <c r="N25" s="152">
        <f t="shared" si="10"/>
        <v>6055.2</v>
      </c>
      <c r="O25" s="152">
        <f t="shared" si="11"/>
        <v>48333.333333333328</v>
      </c>
      <c r="P25" s="152">
        <f t="shared" si="2"/>
        <v>96666.666666666672</v>
      </c>
      <c r="Q25" s="152">
        <f t="shared" si="12"/>
        <v>48333.333333333328</v>
      </c>
      <c r="R25" s="152">
        <f t="shared" si="3"/>
        <v>5799.9999999999991</v>
      </c>
      <c r="S25" s="152">
        <f t="shared" si="13"/>
        <v>23200</v>
      </c>
      <c r="T25" s="152">
        <f t="shared" si="14"/>
        <v>34800</v>
      </c>
      <c r="U25" s="152">
        <f t="shared" si="15"/>
        <v>46400</v>
      </c>
      <c r="V25" s="152">
        <f t="shared" si="16"/>
        <v>1847994.5333333332</v>
      </c>
      <c r="W25" s="152">
        <f>IF(OR(Y25=$AA$2,Y25=$AA$3,Y25=$AA$4),HLOOKUP(A25,Datos!$D$100:$K$104,5,0),0)*G25</f>
        <v>0</v>
      </c>
      <c r="X25" s="152">
        <f t="shared" si="4"/>
        <v>37500</v>
      </c>
      <c r="Y25" s="152" t="str">
        <f t="shared" si="5"/>
        <v>MES 11</v>
      </c>
      <c r="Z25">
        <f t="shared" si="6"/>
        <v>11</v>
      </c>
    </row>
    <row r="26" spans="1:26">
      <c r="A26" t="str">
        <f t="shared" si="7"/>
        <v>Aux cocina-2023</v>
      </c>
      <c r="B26">
        <v>2023</v>
      </c>
      <c r="C26" t="s">
        <v>363</v>
      </c>
      <c r="D26" s="150" t="s">
        <v>368</v>
      </c>
      <c r="E26" s="150" t="s">
        <v>369</v>
      </c>
      <c r="F26" s="151">
        <f t="shared" si="18"/>
        <v>4</v>
      </c>
      <c r="G26" s="151">
        <f t="shared" si="20"/>
        <v>4</v>
      </c>
      <c r="H26" s="152">
        <f>+HLOOKUP(A26,Datos!$D$80:$K$84,5,0)</f>
        <v>1160000</v>
      </c>
      <c r="I26" s="152">
        <f>+HLOOKUP(A26,Datos!$D$89:$K$93,5,0)</f>
        <v>140606</v>
      </c>
      <c r="J26" s="152">
        <f t="shared" si="0"/>
        <v>4640000</v>
      </c>
      <c r="K26" s="152">
        <f t="shared" si="1"/>
        <v>562424</v>
      </c>
      <c r="L26" s="152">
        <f t="shared" si="8"/>
        <v>394400</v>
      </c>
      <c r="M26" s="152">
        <f t="shared" si="9"/>
        <v>556800</v>
      </c>
      <c r="N26" s="152">
        <f t="shared" si="10"/>
        <v>24220.799999999999</v>
      </c>
      <c r="O26" s="152">
        <f t="shared" si="11"/>
        <v>193333.33333333331</v>
      </c>
      <c r="P26" s="152">
        <f t="shared" si="2"/>
        <v>386666.66666666669</v>
      </c>
      <c r="Q26" s="152">
        <f t="shared" si="12"/>
        <v>193333.33333333331</v>
      </c>
      <c r="R26" s="152">
        <f t="shared" si="3"/>
        <v>23199.999999999996</v>
      </c>
      <c r="S26" s="152">
        <f t="shared" si="13"/>
        <v>92800</v>
      </c>
      <c r="T26" s="152">
        <f t="shared" si="14"/>
        <v>139200</v>
      </c>
      <c r="U26" s="152">
        <f t="shared" si="15"/>
        <v>185600</v>
      </c>
      <c r="V26" s="152">
        <f t="shared" si="16"/>
        <v>7391978.1333333328</v>
      </c>
      <c r="W26" s="152">
        <f>IF(OR(Y26=$AA$2,Y26=$AA$3,Y26=$AA$4),HLOOKUP(A26,Datos!$D$98:$K$102,5,0),0)*G26</f>
        <v>480000</v>
      </c>
      <c r="X26" s="152">
        <f t="shared" si="4"/>
        <v>120000</v>
      </c>
      <c r="Y26" s="152" t="str">
        <f t="shared" si="5"/>
        <v>MES 12</v>
      </c>
      <c r="Z26">
        <f t="shared" si="6"/>
        <v>11</v>
      </c>
    </row>
    <row r="27" spans="1:26">
      <c r="A27" t="str">
        <f t="shared" si="7"/>
        <v>Administrador-2023</v>
      </c>
      <c r="B27">
        <v>2023</v>
      </c>
      <c r="C27" t="s">
        <v>363</v>
      </c>
      <c r="D27" s="150" t="s">
        <v>370</v>
      </c>
      <c r="E27" s="150" t="s">
        <v>371</v>
      </c>
      <c r="F27" s="151">
        <f t="shared" si="18"/>
        <v>0.5</v>
      </c>
      <c r="G27" s="151">
        <f t="shared" si="20"/>
        <v>1</v>
      </c>
      <c r="H27" s="152">
        <f>+HLOOKUP(A27,Datos!$D$81:$K$85,5,0)</f>
        <v>1600000</v>
      </c>
      <c r="I27" s="152">
        <f>+HLOOKUP(A27,Datos!$D$90:$K$94,5,0)</f>
        <v>140606</v>
      </c>
      <c r="J27" s="152">
        <f t="shared" si="0"/>
        <v>800000</v>
      </c>
      <c r="K27" s="152">
        <f t="shared" si="1"/>
        <v>140606</v>
      </c>
      <c r="L27" s="152">
        <f t="shared" si="8"/>
        <v>68000</v>
      </c>
      <c r="M27" s="152">
        <f t="shared" si="9"/>
        <v>96000</v>
      </c>
      <c r="N27" s="152">
        <f t="shared" si="10"/>
        <v>4176</v>
      </c>
      <c r="O27" s="152">
        <f t="shared" si="11"/>
        <v>33333.333333333336</v>
      </c>
      <c r="P27" s="152">
        <f t="shared" si="2"/>
        <v>66666.666666666672</v>
      </c>
      <c r="Q27" s="152">
        <f t="shared" si="12"/>
        <v>33333.333333333336</v>
      </c>
      <c r="R27" s="152">
        <f t="shared" si="3"/>
        <v>4000</v>
      </c>
      <c r="S27" s="152">
        <f t="shared" si="13"/>
        <v>16000</v>
      </c>
      <c r="T27" s="152">
        <f t="shared" si="14"/>
        <v>24000</v>
      </c>
      <c r="U27" s="152">
        <f t="shared" si="15"/>
        <v>32000</v>
      </c>
      <c r="V27" s="152">
        <f t="shared" si="16"/>
        <v>1318115.3333333333</v>
      </c>
      <c r="W27" s="152">
        <f>IF(OR(Y27=$AA$2,Y27=$AA$3,Y27=$AA$4),HLOOKUP(A27,Datos!$D$99:$K$104,5,0),0)*G27</f>
        <v>50000</v>
      </c>
      <c r="X27" s="152">
        <f t="shared" si="4"/>
        <v>12500</v>
      </c>
      <c r="Y27" s="152" t="str">
        <f t="shared" si="5"/>
        <v>MES 12</v>
      </c>
      <c r="Z27">
        <f t="shared" si="6"/>
        <v>11</v>
      </c>
    </row>
    <row r="28" spans="1:26">
      <c r="A28" t="str">
        <f t="shared" si="7"/>
        <v>Cajero-2023</v>
      </c>
      <c r="B28">
        <v>2023</v>
      </c>
      <c r="C28" t="s">
        <v>363</v>
      </c>
      <c r="D28" s="150" t="s">
        <v>372</v>
      </c>
      <c r="E28" s="150" t="s">
        <v>371</v>
      </c>
      <c r="F28" s="151">
        <f t="shared" si="18"/>
        <v>1</v>
      </c>
      <c r="G28" s="151">
        <f t="shared" si="20"/>
        <v>1</v>
      </c>
      <c r="H28" s="152">
        <f>HLOOKUP(A28,Datos!$D$82:$K$86,5,0)</f>
        <v>1160000</v>
      </c>
      <c r="I28" s="152">
        <f>+HLOOKUP(A28,Datos!$D$91:$K$95,5,0)</f>
        <v>140606</v>
      </c>
      <c r="J28" s="152">
        <f t="shared" si="0"/>
        <v>1160000</v>
      </c>
      <c r="K28" s="152">
        <f t="shared" si="1"/>
        <v>140606</v>
      </c>
      <c r="L28" s="152">
        <f t="shared" si="8"/>
        <v>98600</v>
      </c>
      <c r="M28" s="152">
        <f t="shared" si="9"/>
        <v>139200</v>
      </c>
      <c r="N28" s="152">
        <f t="shared" si="10"/>
        <v>6055.2</v>
      </c>
      <c r="O28" s="152">
        <f t="shared" si="11"/>
        <v>48333.333333333328</v>
      </c>
      <c r="P28" s="152">
        <f t="shared" si="2"/>
        <v>96666.666666666672</v>
      </c>
      <c r="Q28" s="152">
        <f t="shared" si="12"/>
        <v>48333.333333333328</v>
      </c>
      <c r="R28" s="152">
        <f t="shared" si="3"/>
        <v>5799.9999999999991</v>
      </c>
      <c r="S28" s="152">
        <f t="shared" si="13"/>
        <v>23200</v>
      </c>
      <c r="T28" s="152">
        <f t="shared" si="14"/>
        <v>34800</v>
      </c>
      <c r="U28" s="152">
        <f t="shared" si="15"/>
        <v>46400</v>
      </c>
      <c r="V28" s="152">
        <f t="shared" si="16"/>
        <v>1847994.5333333332</v>
      </c>
      <c r="W28" s="152">
        <f>IF(OR(Y28=$AA$2,Y28=$AA$3,Y28=$AA$4),HLOOKUP(A28,Datos!$D$100:$K$104,5,0),0)*G28</f>
        <v>150000</v>
      </c>
      <c r="X28" s="152">
        <f t="shared" si="4"/>
        <v>37500</v>
      </c>
      <c r="Y28" s="152" t="str">
        <f t="shared" si="5"/>
        <v>MES 12</v>
      </c>
      <c r="Z28">
        <f t="shared" si="6"/>
        <v>11</v>
      </c>
    </row>
    <row r="29" spans="1:26">
      <c r="A29" t="str">
        <f t="shared" si="7"/>
        <v>Aux cocina-2023</v>
      </c>
      <c r="B29">
        <v>2023</v>
      </c>
      <c r="C29" t="s">
        <v>364</v>
      </c>
      <c r="D29" s="150" t="s">
        <v>368</v>
      </c>
      <c r="E29" s="150" t="s">
        <v>369</v>
      </c>
      <c r="F29" s="151">
        <f t="shared" si="18"/>
        <v>4</v>
      </c>
      <c r="G29" s="151">
        <f t="shared" si="20"/>
        <v>4</v>
      </c>
      <c r="H29" s="152">
        <f>+HLOOKUP(A29,Datos!$D$80:$K$84,5,0)</f>
        <v>1160000</v>
      </c>
      <c r="I29" s="152">
        <f>+HLOOKUP(A29,Datos!$D$89:$K$93,5,0)</f>
        <v>140606</v>
      </c>
      <c r="J29" s="152">
        <f t="shared" si="0"/>
        <v>4640000</v>
      </c>
      <c r="K29" s="152">
        <f t="shared" si="1"/>
        <v>562424</v>
      </c>
      <c r="L29" s="152">
        <f t="shared" si="8"/>
        <v>394400</v>
      </c>
      <c r="M29" s="152">
        <f t="shared" si="9"/>
        <v>556800</v>
      </c>
      <c r="N29" s="152">
        <f t="shared" si="10"/>
        <v>24220.799999999999</v>
      </c>
      <c r="O29" s="152">
        <f t="shared" si="11"/>
        <v>193333.33333333331</v>
      </c>
      <c r="P29" s="152">
        <f t="shared" si="2"/>
        <v>386666.66666666669</v>
      </c>
      <c r="Q29" s="152">
        <f t="shared" si="12"/>
        <v>193333.33333333331</v>
      </c>
      <c r="R29" s="152">
        <f t="shared" si="3"/>
        <v>23199.999999999996</v>
      </c>
      <c r="S29" s="152">
        <f t="shared" si="13"/>
        <v>92800</v>
      </c>
      <c r="T29" s="152">
        <f t="shared" si="14"/>
        <v>139200</v>
      </c>
      <c r="U29" s="152">
        <f t="shared" si="15"/>
        <v>185600</v>
      </c>
      <c r="V29" s="152">
        <f t="shared" si="16"/>
        <v>7391978.1333333328</v>
      </c>
      <c r="W29" s="152">
        <f>IF(OR(Y29=$AA$2,Y29=$AA$3,Y29=$AA$4),HLOOKUP(A29,Datos!$D$98:$K$102,5,0),0)*G29</f>
        <v>0</v>
      </c>
      <c r="X29" s="152">
        <f t="shared" si="4"/>
        <v>120000</v>
      </c>
      <c r="Y29" s="152" t="str">
        <f t="shared" si="5"/>
        <v xml:space="preserve">MES 7 </v>
      </c>
      <c r="Z29">
        <f t="shared" si="6"/>
        <v>10</v>
      </c>
    </row>
    <row r="30" spans="1:26">
      <c r="A30" t="str">
        <f t="shared" si="7"/>
        <v>Administrador-2023</v>
      </c>
      <c r="B30">
        <v>2023</v>
      </c>
      <c r="C30" t="s">
        <v>364</v>
      </c>
      <c r="D30" s="150" t="s">
        <v>370</v>
      </c>
      <c r="E30" s="150" t="s">
        <v>371</v>
      </c>
      <c r="F30" s="151">
        <f t="shared" si="18"/>
        <v>0.5</v>
      </c>
      <c r="G30" s="151">
        <f t="shared" si="20"/>
        <v>1</v>
      </c>
      <c r="H30" s="152">
        <f>+HLOOKUP(A30,Datos!$D$81:$K$85,5,0)</f>
        <v>1600000</v>
      </c>
      <c r="I30" s="152">
        <f>+HLOOKUP(A30,Datos!$D$90:$K$94,5,0)</f>
        <v>140606</v>
      </c>
      <c r="J30" s="152">
        <f t="shared" si="0"/>
        <v>800000</v>
      </c>
      <c r="K30" s="152">
        <f t="shared" si="1"/>
        <v>140606</v>
      </c>
      <c r="L30" s="152">
        <f t="shared" si="8"/>
        <v>68000</v>
      </c>
      <c r="M30" s="152">
        <f t="shared" si="9"/>
        <v>96000</v>
      </c>
      <c r="N30" s="152">
        <f t="shared" si="10"/>
        <v>4176</v>
      </c>
      <c r="O30" s="152">
        <f t="shared" si="11"/>
        <v>33333.333333333336</v>
      </c>
      <c r="P30" s="152">
        <f t="shared" si="2"/>
        <v>66666.666666666672</v>
      </c>
      <c r="Q30" s="152">
        <f t="shared" si="12"/>
        <v>33333.333333333336</v>
      </c>
      <c r="R30" s="152">
        <f t="shared" si="3"/>
        <v>4000</v>
      </c>
      <c r="S30" s="152">
        <f t="shared" si="13"/>
        <v>16000</v>
      </c>
      <c r="T30" s="152">
        <f t="shared" si="14"/>
        <v>24000</v>
      </c>
      <c r="U30" s="152">
        <f t="shared" si="15"/>
        <v>32000</v>
      </c>
      <c r="V30" s="152">
        <f t="shared" si="16"/>
        <v>1318115.3333333333</v>
      </c>
      <c r="W30" s="152">
        <f>IF(OR(Y30=$AA$2,Y30=$AA$3,Y30=$AA$4),HLOOKUP(A30,Datos!$D$99:$K$104,5,0),0)*G30</f>
        <v>0</v>
      </c>
      <c r="X30" s="152">
        <f t="shared" si="4"/>
        <v>12500</v>
      </c>
      <c r="Y30" s="152" t="str">
        <f t="shared" si="5"/>
        <v xml:space="preserve">MES 7 </v>
      </c>
      <c r="Z30">
        <f t="shared" si="6"/>
        <v>10</v>
      </c>
    </row>
    <row r="31" spans="1:26">
      <c r="A31" t="str">
        <f t="shared" si="7"/>
        <v>Cajero-2023</v>
      </c>
      <c r="B31">
        <v>2023</v>
      </c>
      <c r="C31" t="s">
        <v>364</v>
      </c>
      <c r="D31" s="150" t="s">
        <v>372</v>
      </c>
      <c r="E31" s="150" t="s">
        <v>371</v>
      </c>
      <c r="F31" s="151">
        <f t="shared" si="18"/>
        <v>1</v>
      </c>
      <c r="G31" s="151">
        <f t="shared" si="20"/>
        <v>1</v>
      </c>
      <c r="H31" s="152">
        <f>HLOOKUP(A31,Datos!$D$82:$K$86,5,0)</f>
        <v>1160000</v>
      </c>
      <c r="I31" s="152">
        <f>+HLOOKUP(A31,Datos!$D$91:$K$95,5,0)</f>
        <v>140606</v>
      </c>
      <c r="J31" s="152">
        <f t="shared" si="0"/>
        <v>1160000</v>
      </c>
      <c r="K31" s="152">
        <f t="shared" si="1"/>
        <v>140606</v>
      </c>
      <c r="L31" s="152">
        <f t="shared" si="8"/>
        <v>98600</v>
      </c>
      <c r="M31" s="152">
        <f t="shared" si="9"/>
        <v>139200</v>
      </c>
      <c r="N31" s="152">
        <f t="shared" si="10"/>
        <v>6055.2</v>
      </c>
      <c r="O31" s="152">
        <f t="shared" si="11"/>
        <v>48333.333333333328</v>
      </c>
      <c r="P31" s="152">
        <f t="shared" si="2"/>
        <v>96666.666666666672</v>
      </c>
      <c r="Q31" s="152">
        <f t="shared" si="12"/>
        <v>48333.333333333328</v>
      </c>
      <c r="R31" s="152">
        <f t="shared" si="3"/>
        <v>5799.9999999999991</v>
      </c>
      <c r="S31" s="152">
        <f t="shared" si="13"/>
        <v>23200</v>
      </c>
      <c r="T31" s="152">
        <f t="shared" si="14"/>
        <v>34800</v>
      </c>
      <c r="U31" s="152">
        <f t="shared" si="15"/>
        <v>46400</v>
      </c>
      <c r="V31" s="152">
        <f t="shared" si="16"/>
        <v>1847994.5333333332</v>
      </c>
      <c r="W31" s="152">
        <f>IF(OR(Y31=$AA$2,Y31=$AA$3,Y31=$AA$4),HLOOKUP(A31,Datos!$D$100:$K$104,5,0),0)*G31</f>
        <v>0</v>
      </c>
      <c r="X31" s="152">
        <f t="shared" si="4"/>
        <v>37500</v>
      </c>
      <c r="Y31" s="152" t="str">
        <f t="shared" si="5"/>
        <v xml:space="preserve">MES 7 </v>
      </c>
      <c r="Z31">
        <f t="shared" si="6"/>
        <v>10</v>
      </c>
    </row>
    <row r="32" spans="1:26">
      <c r="A32" t="str">
        <f t="shared" si="7"/>
        <v>Aux cocina-2023</v>
      </c>
      <c r="B32">
        <v>2023</v>
      </c>
      <c r="C32" t="s">
        <v>365</v>
      </c>
      <c r="D32" s="150" t="s">
        <v>368</v>
      </c>
      <c r="E32" s="150" t="s">
        <v>369</v>
      </c>
      <c r="F32" s="151">
        <f t="shared" si="18"/>
        <v>4</v>
      </c>
      <c r="G32" s="151">
        <f t="shared" si="20"/>
        <v>4</v>
      </c>
      <c r="H32" s="152">
        <f>+HLOOKUP(A32,Datos!$D$80:$K$84,5,0)</f>
        <v>1160000</v>
      </c>
      <c r="I32" s="152">
        <f>+HLOOKUP(A32,Datos!$D$89:$K$93,5,0)</f>
        <v>140606</v>
      </c>
      <c r="J32" s="152">
        <f t="shared" si="0"/>
        <v>4640000</v>
      </c>
      <c r="K32" s="152">
        <f t="shared" si="1"/>
        <v>562424</v>
      </c>
      <c r="L32" s="152">
        <f t="shared" si="8"/>
        <v>394400</v>
      </c>
      <c r="M32" s="152">
        <f t="shared" si="9"/>
        <v>556800</v>
      </c>
      <c r="N32" s="152">
        <f t="shared" si="10"/>
        <v>24220.799999999999</v>
      </c>
      <c r="O32" s="152">
        <f t="shared" si="11"/>
        <v>193333.33333333331</v>
      </c>
      <c r="P32" s="152">
        <f t="shared" si="2"/>
        <v>386666.66666666669</v>
      </c>
      <c r="Q32" s="152">
        <f t="shared" si="12"/>
        <v>193333.33333333331</v>
      </c>
      <c r="R32" s="152">
        <f t="shared" si="3"/>
        <v>23199.999999999996</v>
      </c>
      <c r="S32" s="152">
        <f t="shared" si="13"/>
        <v>92800</v>
      </c>
      <c r="T32" s="152">
        <f t="shared" si="14"/>
        <v>139200</v>
      </c>
      <c r="U32" s="152">
        <f t="shared" si="15"/>
        <v>185600</v>
      </c>
      <c r="V32" s="152">
        <f t="shared" si="16"/>
        <v>7391978.1333333328</v>
      </c>
      <c r="W32" s="152">
        <f>IF(OR(Y32=$AA$2,Y32=$AA$3,Y32=$AA$4),HLOOKUP(A32,Datos!$D$98:$K$102,5,0),0)*G32</f>
        <v>480000</v>
      </c>
      <c r="X32" s="152">
        <f t="shared" si="4"/>
        <v>120000</v>
      </c>
      <c r="Y32" s="152" t="str">
        <f t="shared" si="5"/>
        <v xml:space="preserve">MES 8 </v>
      </c>
      <c r="Z32">
        <f t="shared" si="6"/>
        <v>10</v>
      </c>
    </row>
    <row r="33" spans="1:26">
      <c r="A33" t="str">
        <f t="shared" si="7"/>
        <v>Administrador-2023</v>
      </c>
      <c r="B33">
        <v>2023</v>
      </c>
      <c r="C33" t="s">
        <v>365</v>
      </c>
      <c r="D33" s="150" t="s">
        <v>370</v>
      </c>
      <c r="E33" s="150" t="s">
        <v>371</v>
      </c>
      <c r="F33" s="151">
        <f t="shared" si="18"/>
        <v>0.5</v>
      </c>
      <c r="G33" s="151">
        <f t="shared" si="20"/>
        <v>1</v>
      </c>
      <c r="H33" s="152">
        <f>+HLOOKUP(A33,Datos!$D$81:$K$85,5,0)</f>
        <v>1600000</v>
      </c>
      <c r="I33" s="152">
        <f>+HLOOKUP(A33,Datos!$D$90:$K$94,5,0)</f>
        <v>140606</v>
      </c>
      <c r="J33" s="152">
        <f t="shared" si="0"/>
        <v>800000</v>
      </c>
      <c r="K33" s="152">
        <f t="shared" si="1"/>
        <v>140606</v>
      </c>
      <c r="L33" s="152">
        <f t="shared" si="8"/>
        <v>68000</v>
      </c>
      <c r="M33" s="152">
        <f t="shared" si="9"/>
        <v>96000</v>
      </c>
      <c r="N33" s="152">
        <f t="shared" si="10"/>
        <v>4176</v>
      </c>
      <c r="O33" s="152">
        <f t="shared" si="11"/>
        <v>33333.333333333336</v>
      </c>
      <c r="P33" s="152">
        <f t="shared" si="2"/>
        <v>66666.666666666672</v>
      </c>
      <c r="Q33" s="152">
        <f t="shared" si="12"/>
        <v>33333.333333333336</v>
      </c>
      <c r="R33" s="152">
        <f t="shared" si="3"/>
        <v>4000</v>
      </c>
      <c r="S33" s="152">
        <f t="shared" si="13"/>
        <v>16000</v>
      </c>
      <c r="T33" s="152">
        <f t="shared" si="14"/>
        <v>24000</v>
      </c>
      <c r="U33" s="152">
        <f t="shared" si="15"/>
        <v>32000</v>
      </c>
      <c r="V33" s="152">
        <f t="shared" si="16"/>
        <v>1318115.3333333333</v>
      </c>
      <c r="W33" s="152">
        <f>IF(OR(Y33=$AA$2,Y33=$AA$3,Y33=$AA$4),HLOOKUP(A33,Datos!$D$99:$K$104,5,0),0)*G33</f>
        <v>50000</v>
      </c>
      <c r="X33" s="152">
        <f t="shared" si="4"/>
        <v>12500</v>
      </c>
      <c r="Y33" s="152" t="str">
        <f t="shared" si="5"/>
        <v xml:space="preserve">MES 8 </v>
      </c>
      <c r="Z33">
        <f t="shared" si="6"/>
        <v>10</v>
      </c>
    </row>
    <row r="34" spans="1:26">
      <c r="A34" t="str">
        <f t="shared" si="7"/>
        <v>Cajero-2023</v>
      </c>
      <c r="B34">
        <v>2023</v>
      </c>
      <c r="C34" t="s">
        <v>365</v>
      </c>
      <c r="D34" s="150" t="s">
        <v>372</v>
      </c>
      <c r="E34" s="150" t="s">
        <v>371</v>
      </c>
      <c r="F34" s="151">
        <f t="shared" si="18"/>
        <v>1</v>
      </c>
      <c r="G34" s="151">
        <f t="shared" si="20"/>
        <v>1</v>
      </c>
      <c r="H34" s="152">
        <f>HLOOKUP(A34,Datos!$D$82:$K$86,5,0)</f>
        <v>1160000</v>
      </c>
      <c r="I34" s="152">
        <f>+HLOOKUP(A34,Datos!$D$91:$K$95,5,0)</f>
        <v>140606</v>
      </c>
      <c r="J34" s="152">
        <f t="shared" si="0"/>
        <v>1160000</v>
      </c>
      <c r="K34" s="152">
        <f t="shared" si="1"/>
        <v>140606</v>
      </c>
      <c r="L34" s="152">
        <f t="shared" si="8"/>
        <v>98600</v>
      </c>
      <c r="M34" s="152">
        <f t="shared" si="9"/>
        <v>139200</v>
      </c>
      <c r="N34" s="152">
        <f t="shared" si="10"/>
        <v>6055.2</v>
      </c>
      <c r="O34" s="152">
        <f t="shared" si="11"/>
        <v>48333.333333333328</v>
      </c>
      <c r="P34" s="152">
        <f t="shared" si="2"/>
        <v>96666.666666666672</v>
      </c>
      <c r="Q34" s="152">
        <f t="shared" si="12"/>
        <v>48333.333333333328</v>
      </c>
      <c r="R34" s="152">
        <f t="shared" si="3"/>
        <v>5799.9999999999991</v>
      </c>
      <c r="S34" s="152">
        <f t="shared" si="13"/>
        <v>23200</v>
      </c>
      <c r="T34" s="152">
        <f t="shared" si="14"/>
        <v>34800</v>
      </c>
      <c r="U34" s="152">
        <f t="shared" si="15"/>
        <v>46400</v>
      </c>
      <c r="V34" s="152">
        <f t="shared" si="16"/>
        <v>1847994.5333333332</v>
      </c>
      <c r="W34" s="152">
        <f>IF(OR(Y34=$AA$2,Y34=$AA$3,Y34=$AA$4),HLOOKUP(A34,Datos!$D$100:$K$104,5,0),0)*G34</f>
        <v>150000</v>
      </c>
      <c r="X34" s="152">
        <f t="shared" si="4"/>
        <v>37500</v>
      </c>
      <c r="Y34" s="152" t="str">
        <f t="shared" si="5"/>
        <v xml:space="preserve">MES 8 </v>
      </c>
      <c r="Z34">
        <f t="shared" si="6"/>
        <v>10</v>
      </c>
    </row>
    <row r="35" spans="1:26">
      <c r="A35" t="str">
        <f t="shared" si="7"/>
        <v>Aux cocina-2023</v>
      </c>
      <c r="B35">
        <v>2023</v>
      </c>
      <c r="C35" t="s">
        <v>366</v>
      </c>
      <c r="D35" s="150" t="s">
        <v>368</v>
      </c>
      <c r="E35" s="150" t="s">
        <v>369</v>
      </c>
      <c r="F35" s="151">
        <f t="shared" si="18"/>
        <v>4</v>
      </c>
      <c r="G35" s="151">
        <f t="shared" si="20"/>
        <v>4</v>
      </c>
      <c r="H35" s="152">
        <f>+HLOOKUP(A35,Datos!$D$80:$K$84,5,0)</f>
        <v>1160000</v>
      </c>
      <c r="I35" s="152">
        <f>+HLOOKUP(A35,Datos!$D$89:$K$93,5,0)</f>
        <v>140606</v>
      </c>
      <c r="J35" s="152">
        <f t="shared" si="0"/>
        <v>4640000</v>
      </c>
      <c r="K35" s="152">
        <f t="shared" si="1"/>
        <v>562424</v>
      </c>
      <c r="L35" s="152">
        <f t="shared" si="8"/>
        <v>394400</v>
      </c>
      <c r="M35" s="152">
        <f t="shared" si="9"/>
        <v>556800</v>
      </c>
      <c r="N35" s="152">
        <f t="shared" si="10"/>
        <v>24220.799999999999</v>
      </c>
      <c r="O35" s="152">
        <f t="shared" si="11"/>
        <v>193333.33333333331</v>
      </c>
      <c r="P35" s="152">
        <f t="shared" si="2"/>
        <v>386666.66666666669</v>
      </c>
      <c r="Q35" s="152">
        <f t="shared" si="12"/>
        <v>193333.33333333331</v>
      </c>
      <c r="R35" s="152">
        <f t="shared" si="3"/>
        <v>23199.999999999996</v>
      </c>
      <c r="S35" s="152">
        <f t="shared" si="13"/>
        <v>92800</v>
      </c>
      <c r="T35" s="152">
        <f t="shared" si="14"/>
        <v>139200</v>
      </c>
      <c r="U35" s="152">
        <f t="shared" si="15"/>
        <v>185600</v>
      </c>
      <c r="V35" s="152">
        <f t="shared" si="16"/>
        <v>7391978.1333333328</v>
      </c>
      <c r="W35" s="152">
        <f>IF(OR(Y35=$AA$2,Y35=$AA$3,Y35=$AA$4),HLOOKUP(A35,Datos!$D$98:$K$102,5,0),0)*G35</f>
        <v>0</v>
      </c>
      <c r="X35" s="152">
        <f t="shared" si="4"/>
        <v>120000</v>
      </c>
      <c r="Y35" s="152" t="str">
        <f t="shared" si="5"/>
        <v xml:space="preserve">MES 9 </v>
      </c>
      <c r="Z35">
        <f t="shared" si="6"/>
        <v>10</v>
      </c>
    </row>
    <row r="36" spans="1:26">
      <c r="A36" t="str">
        <f t="shared" si="7"/>
        <v>Administrador-2023</v>
      </c>
      <c r="B36">
        <v>2023</v>
      </c>
      <c r="C36" t="s">
        <v>366</v>
      </c>
      <c r="D36" s="150" t="s">
        <v>370</v>
      </c>
      <c r="E36" s="150" t="s">
        <v>371</v>
      </c>
      <c r="F36" s="151">
        <f t="shared" si="18"/>
        <v>0.5</v>
      </c>
      <c r="G36" s="151">
        <f t="shared" si="20"/>
        <v>1</v>
      </c>
      <c r="H36" s="152">
        <f>+HLOOKUP(A36,Datos!$D$81:$K$85,5,0)</f>
        <v>1600000</v>
      </c>
      <c r="I36" s="152">
        <f>+HLOOKUP(A36,Datos!$D$90:$K$94,5,0)</f>
        <v>140606</v>
      </c>
      <c r="J36" s="152">
        <f t="shared" si="0"/>
        <v>800000</v>
      </c>
      <c r="K36" s="152">
        <f t="shared" si="1"/>
        <v>140606</v>
      </c>
      <c r="L36" s="152">
        <f t="shared" si="8"/>
        <v>68000</v>
      </c>
      <c r="M36" s="152">
        <f t="shared" si="9"/>
        <v>96000</v>
      </c>
      <c r="N36" s="152">
        <f t="shared" si="10"/>
        <v>4176</v>
      </c>
      <c r="O36" s="152">
        <f t="shared" si="11"/>
        <v>33333.333333333336</v>
      </c>
      <c r="P36" s="152">
        <f t="shared" si="2"/>
        <v>66666.666666666672</v>
      </c>
      <c r="Q36" s="152">
        <f t="shared" si="12"/>
        <v>33333.333333333336</v>
      </c>
      <c r="R36" s="152">
        <f t="shared" si="3"/>
        <v>4000</v>
      </c>
      <c r="S36" s="152">
        <f t="shared" si="13"/>
        <v>16000</v>
      </c>
      <c r="T36" s="152">
        <f t="shared" si="14"/>
        <v>24000</v>
      </c>
      <c r="U36" s="152">
        <f t="shared" si="15"/>
        <v>32000</v>
      </c>
      <c r="V36" s="152">
        <f t="shared" si="16"/>
        <v>1318115.3333333333</v>
      </c>
      <c r="W36" s="152">
        <f>IF(OR(Y36=$AA$2,Y36=$AA$3,Y36=$AA$4),HLOOKUP(A36,Datos!$D$99:$K$104,5,0),0)*G36</f>
        <v>0</v>
      </c>
      <c r="X36" s="152">
        <f t="shared" si="4"/>
        <v>12500</v>
      </c>
      <c r="Y36" s="152" t="str">
        <f t="shared" si="5"/>
        <v xml:space="preserve">MES 9 </v>
      </c>
      <c r="Z36">
        <f t="shared" si="6"/>
        <v>10</v>
      </c>
    </row>
    <row r="37" spans="1:26">
      <c r="A37" t="str">
        <f t="shared" si="7"/>
        <v>Cajero-2023</v>
      </c>
      <c r="B37">
        <v>2023</v>
      </c>
      <c r="C37" t="s">
        <v>366</v>
      </c>
      <c r="D37" s="150" t="s">
        <v>372</v>
      </c>
      <c r="E37" s="150" t="s">
        <v>371</v>
      </c>
      <c r="F37" s="151">
        <f t="shared" si="18"/>
        <v>1</v>
      </c>
      <c r="G37" s="151">
        <f t="shared" si="20"/>
        <v>1</v>
      </c>
      <c r="H37" s="152">
        <f>HLOOKUP(A37,Datos!$D$82:$K$86,5,0)</f>
        <v>1160000</v>
      </c>
      <c r="I37" s="152">
        <f>+HLOOKUP(A37,Datos!$D$91:$K$95,5,0)</f>
        <v>140606</v>
      </c>
      <c r="J37" s="152">
        <f t="shared" si="0"/>
        <v>1160000</v>
      </c>
      <c r="K37" s="152">
        <f t="shared" si="1"/>
        <v>140606</v>
      </c>
      <c r="L37" s="152">
        <f t="shared" si="8"/>
        <v>98600</v>
      </c>
      <c r="M37" s="152">
        <f t="shared" si="9"/>
        <v>139200</v>
      </c>
      <c r="N37" s="152">
        <f t="shared" si="10"/>
        <v>6055.2</v>
      </c>
      <c r="O37" s="152">
        <f t="shared" si="11"/>
        <v>48333.333333333328</v>
      </c>
      <c r="P37" s="152">
        <f t="shared" si="2"/>
        <v>96666.666666666672</v>
      </c>
      <c r="Q37" s="152">
        <f t="shared" si="12"/>
        <v>48333.333333333328</v>
      </c>
      <c r="R37" s="152">
        <f t="shared" si="3"/>
        <v>5799.9999999999991</v>
      </c>
      <c r="S37" s="152">
        <f t="shared" si="13"/>
        <v>23200</v>
      </c>
      <c r="T37" s="152">
        <f t="shared" si="14"/>
        <v>34800</v>
      </c>
      <c r="U37" s="152">
        <f t="shared" si="15"/>
        <v>46400</v>
      </c>
      <c r="V37" s="152">
        <f t="shared" si="16"/>
        <v>1847994.5333333332</v>
      </c>
      <c r="W37" s="152">
        <f>IF(OR(Y37=$AA$2,Y37=$AA$3,Y37=$AA$4),HLOOKUP(A37,Datos!$D$100:$K$104,5,0),0)*G37</f>
        <v>0</v>
      </c>
      <c r="X37" s="152">
        <f t="shared" si="4"/>
        <v>37500</v>
      </c>
      <c r="Y37" s="152" t="str">
        <f t="shared" si="5"/>
        <v xml:space="preserve">MES 9 </v>
      </c>
      <c r="Z37">
        <f t="shared" si="6"/>
        <v>10</v>
      </c>
    </row>
    <row r="38" spans="1:26">
      <c r="A38" t="str">
        <f t="shared" si="7"/>
        <v>Aux cocina-2024</v>
      </c>
      <c r="B38">
        <v>2024</v>
      </c>
      <c r="C38" t="s">
        <v>367</v>
      </c>
      <c r="D38" t="s">
        <v>368</v>
      </c>
      <c r="E38" t="s">
        <v>369</v>
      </c>
      <c r="F38" s="151">
        <f t="shared" si="18"/>
        <v>4</v>
      </c>
      <c r="G38" s="151">
        <f t="shared" si="20"/>
        <v>4</v>
      </c>
      <c r="H38" s="152">
        <f>+HLOOKUP(A38,Datos!$D$80:$K$84,5,0)</f>
        <v>1287600</v>
      </c>
      <c r="I38" s="152">
        <f>+HLOOKUP(A38,Datos!$D$89:$K$93,5,0)</f>
        <v>156072.66</v>
      </c>
      <c r="J38" s="152">
        <f t="shared" si="0"/>
        <v>5150400</v>
      </c>
      <c r="K38" s="152">
        <f t="shared" si="1"/>
        <v>624290.64</v>
      </c>
      <c r="L38" s="152">
        <f t="shared" si="8"/>
        <v>437784.00000000006</v>
      </c>
      <c r="M38" s="152">
        <f t="shared" si="9"/>
        <v>618048</v>
      </c>
      <c r="N38" s="152">
        <f t="shared" si="10"/>
        <v>26885.088</v>
      </c>
      <c r="O38" s="152">
        <f t="shared" si="11"/>
        <v>214600</v>
      </c>
      <c r="P38" s="152">
        <f t="shared" si="2"/>
        <v>429200</v>
      </c>
      <c r="Q38" s="152">
        <f t="shared" si="12"/>
        <v>214600</v>
      </c>
      <c r="R38" s="152">
        <f t="shared" si="3"/>
        <v>25752</v>
      </c>
      <c r="S38" s="152">
        <f t="shared" si="13"/>
        <v>103008</v>
      </c>
      <c r="T38" s="152">
        <f t="shared" si="14"/>
        <v>154512</v>
      </c>
      <c r="U38" s="152">
        <f t="shared" si="15"/>
        <v>206016</v>
      </c>
      <c r="V38" s="152">
        <f t="shared" si="16"/>
        <v>8205095.7280000001</v>
      </c>
      <c r="W38" s="152">
        <f>IF(OR(Y38=$AA$2,Y38=$AA$3,Y38=$AA$4),HLOOKUP(A38,Datos!$D$98:$K$102,5,0),0)*G38</f>
        <v>0</v>
      </c>
      <c r="X38" s="152">
        <f t="shared" si="4"/>
        <v>133200</v>
      </c>
      <c r="Y38" s="152" t="str">
        <f t="shared" si="5"/>
        <v xml:space="preserve">MES 1 </v>
      </c>
      <c r="Z38">
        <f t="shared" si="6"/>
        <v>10</v>
      </c>
    </row>
    <row r="39" spans="1:26">
      <c r="A39" t="str">
        <f t="shared" si="7"/>
        <v>Administrador-2024</v>
      </c>
      <c r="B39">
        <v>2024</v>
      </c>
      <c r="C39" t="s">
        <v>367</v>
      </c>
      <c r="D39" t="s">
        <v>370</v>
      </c>
      <c r="E39" t="s">
        <v>371</v>
      </c>
      <c r="F39" s="151">
        <f t="shared" si="18"/>
        <v>0.5</v>
      </c>
      <c r="G39" s="151">
        <f t="shared" si="20"/>
        <v>1</v>
      </c>
      <c r="H39" s="152">
        <f>+HLOOKUP(A39,Datos!$D$81:$K$85,5,0)</f>
        <v>1776000.0000000002</v>
      </c>
      <c r="I39" s="152">
        <f>+HLOOKUP(A39,Datos!$D$90:$K$94,5,0)</f>
        <v>156072.66</v>
      </c>
      <c r="J39" s="152">
        <f t="shared" si="0"/>
        <v>888000.00000000012</v>
      </c>
      <c r="K39" s="152">
        <f t="shared" si="1"/>
        <v>156072.66</v>
      </c>
      <c r="L39" s="152">
        <f t="shared" si="8"/>
        <v>75480.000000000015</v>
      </c>
      <c r="M39" s="152">
        <f t="shared" si="9"/>
        <v>106560.00000000001</v>
      </c>
      <c r="N39" s="152">
        <f t="shared" si="10"/>
        <v>4635.3600000000006</v>
      </c>
      <c r="O39" s="152">
        <f t="shared" si="11"/>
        <v>37000.000000000007</v>
      </c>
      <c r="P39" s="152">
        <f t="shared" si="2"/>
        <v>74000.000000000015</v>
      </c>
      <c r="Q39" s="152">
        <f t="shared" si="12"/>
        <v>37000.000000000007</v>
      </c>
      <c r="R39" s="152">
        <f t="shared" si="3"/>
        <v>4440.0000000000009</v>
      </c>
      <c r="S39" s="152">
        <f t="shared" si="13"/>
        <v>17760.000000000004</v>
      </c>
      <c r="T39" s="152">
        <f t="shared" si="14"/>
        <v>26640.000000000004</v>
      </c>
      <c r="U39" s="152">
        <f t="shared" si="15"/>
        <v>35520.000000000007</v>
      </c>
      <c r="V39" s="152">
        <f t="shared" si="16"/>
        <v>1463108.0200000003</v>
      </c>
      <c r="W39" s="152">
        <f>IF(OR(Y39=$AA$2,Y39=$AA$3,Y39=$AA$4),HLOOKUP(A39,Datos!$D$99:$K$104,5,0),0)*G39</f>
        <v>0</v>
      </c>
      <c r="X39" s="152">
        <f t="shared" si="4"/>
        <v>13875.000000000002</v>
      </c>
      <c r="Y39" s="152" t="str">
        <f t="shared" si="5"/>
        <v xml:space="preserve">MES 1 </v>
      </c>
      <c r="Z39">
        <f t="shared" si="6"/>
        <v>10</v>
      </c>
    </row>
    <row r="40" spans="1:26">
      <c r="A40" t="str">
        <f t="shared" si="7"/>
        <v>Cajero-2024</v>
      </c>
      <c r="B40">
        <v>2024</v>
      </c>
      <c r="C40" t="s">
        <v>367</v>
      </c>
      <c r="D40" t="s">
        <v>372</v>
      </c>
      <c r="E40" t="s">
        <v>371</v>
      </c>
      <c r="F40" s="151">
        <f t="shared" ref="F40:F71" si="21">+F37</f>
        <v>1</v>
      </c>
      <c r="G40" s="151">
        <f t="shared" si="20"/>
        <v>1</v>
      </c>
      <c r="H40" s="152">
        <f>HLOOKUP(A40,Datos!$D$82:$K$86,5,0)</f>
        <v>1287600</v>
      </c>
      <c r="I40" s="152">
        <f>+HLOOKUP(A40,Datos!$D$91:$K$95,5,0)</f>
        <v>156072.66</v>
      </c>
      <c r="J40" s="152">
        <f t="shared" si="0"/>
        <v>1287600</v>
      </c>
      <c r="K40" s="152">
        <f t="shared" si="1"/>
        <v>156072.66</v>
      </c>
      <c r="L40" s="152">
        <f t="shared" si="8"/>
        <v>109446.00000000001</v>
      </c>
      <c r="M40" s="152">
        <f t="shared" si="9"/>
        <v>154512</v>
      </c>
      <c r="N40" s="152">
        <f t="shared" si="10"/>
        <v>6721.2719999999999</v>
      </c>
      <c r="O40" s="152">
        <f t="shared" si="11"/>
        <v>53650</v>
      </c>
      <c r="P40" s="152">
        <f t="shared" si="2"/>
        <v>107300</v>
      </c>
      <c r="Q40" s="152">
        <f t="shared" si="12"/>
        <v>53650</v>
      </c>
      <c r="R40" s="152">
        <f t="shared" si="3"/>
        <v>6438</v>
      </c>
      <c r="S40" s="152">
        <f t="shared" si="13"/>
        <v>25752</v>
      </c>
      <c r="T40" s="152">
        <f t="shared" si="14"/>
        <v>38628</v>
      </c>
      <c r="U40" s="152">
        <f t="shared" si="15"/>
        <v>51504</v>
      </c>
      <c r="V40" s="152">
        <f t="shared" si="16"/>
        <v>2051273.932</v>
      </c>
      <c r="W40" s="152">
        <f>IF(OR(Y40=$AA$2,Y40=$AA$3,Y40=$AA$4),HLOOKUP(A40,Datos!$D$100:$K$104,5,0),0)*G40</f>
        <v>0</v>
      </c>
      <c r="X40" s="152">
        <f t="shared" si="4"/>
        <v>41625.000000000007</v>
      </c>
      <c r="Y40" s="152" t="str">
        <f t="shared" si="5"/>
        <v xml:space="preserve">MES 1 </v>
      </c>
      <c r="Z40">
        <f t="shared" si="6"/>
        <v>10</v>
      </c>
    </row>
    <row r="41" spans="1:26">
      <c r="A41" t="str">
        <f t="shared" si="7"/>
        <v>Aux cocina-2024</v>
      </c>
      <c r="B41">
        <v>2024</v>
      </c>
      <c r="C41" t="s">
        <v>373</v>
      </c>
      <c r="D41" t="s">
        <v>368</v>
      </c>
      <c r="E41" t="s">
        <v>369</v>
      </c>
      <c r="F41" s="151">
        <f t="shared" si="21"/>
        <v>4</v>
      </c>
      <c r="G41" s="151">
        <f t="shared" si="20"/>
        <v>4</v>
      </c>
      <c r="H41" s="152">
        <f>+HLOOKUP(A41,Datos!$D$80:$K$84,5,0)</f>
        <v>1287600</v>
      </c>
      <c r="I41" s="152">
        <f>+HLOOKUP(A41,Datos!$D$89:$K$93,5,0)</f>
        <v>156072.66</v>
      </c>
      <c r="J41" s="152">
        <f t="shared" si="0"/>
        <v>5150400</v>
      </c>
      <c r="K41" s="152">
        <f t="shared" si="1"/>
        <v>624290.64</v>
      </c>
      <c r="L41" s="152">
        <f t="shared" si="8"/>
        <v>437784.00000000006</v>
      </c>
      <c r="M41" s="152">
        <f t="shared" si="9"/>
        <v>618048</v>
      </c>
      <c r="N41" s="152">
        <f t="shared" si="10"/>
        <v>26885.088</v>
      </c>
      <c r="O41" s="152">
        <f t="shared" si="11"/>
        <v>214600</v>
      </c>
      <c r="P41" s="152">
        <f t="shared" si="2"/>
        <v>429200</v>
      </c>
      <c r="Q41" s="152">
        <f t="shared" si="12"/>
        <v>214600</v>
      </c>
      <c r="R41" s="152">
        <f t="shared" si="3"/>
        <v>25752</v>
      </c>
      <c r="S41" s="152">
        <f t="shared" si="13"/>
        <v>103008</v>
      </c>
      <c r="T41" s="152">
        <f t="shared" si="14"/>
        <v>154512</v>
      </c>
      <c r="U41" s="152">
        <f t="shared" si="15"/>
        <v>206016</v>
      </c>
      <c r="V41" s="152">
        <f t="shared" si="16"/>
        <v>8205095.7280000001</v>
      </c>
      <c r="W41" s="152">
        <f>IF(OR(Y41=$AA$2,Y41=$AA$3,Y41=$AA$4),HLOOKUP(A41,Datos!$D$98:$K$102,5,0),0)*G41</f>
        <v>0</v>
      </c>
      <c r="X41" s="152">
        <f t="shared" si="4"/>
        <v>133200</v>
      </c>
      <c r="Y41" s="152" t="str">
        <f t="shared" si="5"/>
        <v>MES 10</v>
      </c>
      <c r="Z41">
        <f t="shared" si="6"/>
        <v>11</v>
      </c>
    </row>
    <row r="42" spans="1:26">
      <c r="A42" t="str">
        <f t="shared" si="7"/>
        <v>Administrador-2024</v>
      </c>
      <c r="B42">
        <v>2024</v>
      </c>
      <c r="C42" t="s">
        <v>373</v>
      </c>
      <c r="D42" t="s">
        <v>370</v>
      </c>
      <c r="E42" t="s">
        <v>371</v>
      </c>
      <c r="F42" s="151">
        <f t="shared" si="21"/>
        <v>0.5</v>
      </c>
      <c r="G42" s="151">
        <f t="shared" si="20"/>
        <v>1</v>
      </c>
      <c r="H42" s="152">
        <f>+HLOOKUP(A42,Datos!$D$81:$K$85,5,0)</f>
        <v>1776000.0000000002</v>
      </c>
      <c r="I42" s="152">
        <f>+HLOOKUP(A42,Datos!$D$90:$K$94,5,0)</f>
        <v>156072.66</v>
      </c>
      <c r="J42" s="152">
        <f t="shared" si="0"/>
        <v>888000.00000000012</v>
      </c>
      <c r="K42" s="152">
        <f t="shared" si="1"/>
        <v>156072.66</v>
      </c>
      <c r="L42" s="152">
        <f t="shared" si="8"/>
        <v>75480.000000000015</v>
      </c>
      <c r="M42" s="152">
        <f t="shared" si="9"/>
        <v>106560.00000000001</v>
      </c>
      <c r="N42" s="152">
        <f t="shared" si="10"/>
        <v>4635.3600000000006</v>
      </c>
      <c r="O42" s="152">
        <f t="shared" si="11"/>
        <v>37000.000000000007</v>
      </c>
      <c r="P42" s="152">
        <f t="shared" si="2"/>
        <v>74000.000000000015</v>
      </c>
      <c r="Q42" s="152">
        <f t="shared" si="12"/>
        <v>37000.000000000007</v>
      </c>
      <c r="R42" s="152">
        <f t="shared" si="3"/>
        <v>4440.0000000000009</v>
      </c>
      <c r="S42" s="152">
        <f t="shared" si="13"/>
        <v>17760.000000000004</v>
      </c>
      <c r="T42" s="152">
        <f t="shared" si="14"/>
        <v>26640.000000000004</v>
      </c>
      <c r="U42" s="152">
        <f t="shared" si="15"/>
        <v>35520.000000000007</v>
      </c>
      <c r="V42" s="152">
        <f t="shared" si="16"/>
        <v>1463108.0200000003</v>
      </c>
      <c r="W42" s="152">
        <f>IF(OR(Y42=$AA$2,Y42=$AA$3,Y42=$AA$4),HLOOKUP(A42,Datos!$D$99:$K$104,5,0),0)*G42</f>
        <v>0</v>
      </c>
      <c r="X42" s="152">
        <f t="shared" si="4"/>
        <v>13875.000000000002</v>
      </c>
      <c r="Y42" s="152" t="str">
        <f t="shared" si="5"/>
        <v>MES 10</v>
      </c>
      <c r="Z42">
        <f t="shared" si="6"/>
        <v>11</v>
      </c>
    </row>
    <row r="43" spans="1:26">
      <c r="A43" t="str">
        <f t="shared" si="7"/>
        <v>Cajero-2024</v>
      </c>
      <c r="B43">
        <v>2024</v>
      </c>
      <c r="C43" t="s">
        <v>373</v>
      </c>
      <c r="D43" t="s">
        <v>372</v>
      </c>
      <c r="E43" t="s">
        <v>371</v>
      </c>
      <c r="F43" s="151">
        <f t="shared" si="21"/>
        <v>1</v>
      </c>
      <c r="G43" s="151">
        <f t="shared" si="20"/>
        <v>1</v>
      </c>
      <c r="H43" s="152">
        <f>HLOOKUP(A43,Datos!$D$82:$K$86,5,0)</f>
        <v>1287600</v>
      </c>
      <c r="I43" s="152">
        <f>+HLOOKUP(A43,Datos!$D$91:$K$95,5,0)</f>
        <v>156072.66</v>
      </c>
      <c r="J43" s="152">
        <f t="shared" si="0"/>
        <v>1287600</v>
      </c>
      <c r="K43" s="152">
        <f t="shared" si="1"/>
        <v>156072.66</v>
      </c>
      <c r="L43" s="152">
        <f t="shared" si="8"/>
        <v>109446.00000000001</v>
      </c>
      <c r="M43" s="152">
        <f t="shared" si="9"/>
        <v>154512</v>
      </c>
      <c r="N43" s="152">
        <f t="shared" si="10"/>
        <v>6721.2719999999999</v>
      </c>
      <c r="O43" s="152">
        <f t="shared" si="11"/>
        <v>53650</v>
      </c>
      <c r="P43" s="152">
        <f t="shared" si="2"/>
        <v>107300</v>
      </c>
      <c r="Q43" s="152">
        <f t="shared" si="12"/>
        <v>53650</v>
      </c>
      <c r="R43" s="152">
        <f t="shared" si="3"/>
        <v>6438</v>
      </c>
      <c r="S43" s="152">
        <f t="shared" si="13"/>
        <v>25752</v>
      </c>
      <c r="T43" s="152">
        <f t="shared" si="14"/>
        <v>38628</v>
      </c>
      <c r="U43" s="152">
        <f t="shared" si="15"/>
        <v>51504</v>
      </c>
      <c r="V43" s="152">
        <f t="shared" si="16"/>
        <v>2051273.932</v>
      </c>
      <c r="W43" s="152">
        <f>IF(OR(Y43=$AA$2,Y43=$AA$3,Y43=$AA$4),HLOOKUP(A43,Datos!$D$100:$K$104,5,0),0)*G43</f>
        <v>0</v>
      </c>
      <c r="X43" s="152">
        <f t="shared" si="4"/>
        <v>41625.000000000007</v>
      </c>
      <c r="Y43" s="152" t="str">
        <f t="shared" si="5"/>
        <v>MES 10</v>
      </c>
      <c r="Z43">
        <f t="shared" si="6"/>
        <v>11</v>
      </c>
    </row>
    <row r="44" spans="1:26">
      <c r="A44" t="str">
        <f t="shared" si="7"/>
        <v>Aux cocina-2024</v>
      </c>
      <c r="B44">
        <v>2024</v>
      </c>
      <c r="C44" t="s">
        <v>374</v>
      </c>
      <c r="D44" t="s">
        <v>368</v>
      </c>
      <c r="E44" t="s">
        <v>369</v>
      </c>
      <c r="F44" s="151">
        <f t="shared" si="21"/>
        <v>4</v>
      </c>
      <c r="G44" s="151">
        <f t="shared" si="20"/>
        <v>4</v>
      </c>
      <c r="H44" s="152">
        <f>+HLOOKUP(A44,Datos!$D$80:$K$84,5,0)</f>
        <v>1287600</v>
      </c>
      <c r="I44" s="152">
        <f>+HLOOKUP(A44,Datos!$D$89:$K$93,5,0)</f>
        <v>156072.66</v>
      </c>
      <c r="J44" s="152">
        <f t="shared" si="0"/>
        <v>5150400</v>
      </c>
      <c r="K44" s="152">
        <f t="shared" si="1"/>
        <v>624290.64</v>
      </c>
      <c r="L44" s="152">
        <f t="shared" si="8"/>
        <v>437784.00000000006</v>
      </c>
      <c r="M44" s="152">
        <f t="shared" si="9"/>
        <v>618048</v>
      </c>
      <c r="N44" s="152">
        <f t="shared" si="10"/>
        <v>26885.088</v>
      </c>
      <c r="O44" s="152">
        <f t="shared" si="11"/>
        <v>214600</v>
      </c>
      <c r="P44" s="152">
        <f t="shared" si="2"/>
        <v>429200</v>
      </c>
      <c r="Q44" s="152">
        <f t="shared" si="12"/>
        <v>214600</v>
      </c>
      <c r="R44" s="152">
        <f t="shared" si="3"/>
        <v>25752</v>
      </c>
      <c r="S44" s="152">
        <f t="shared" si="13"/>
        <v>103008</v>
      </c>
      <c r="T44" s="152">
        <f t="shared" si="14"/>
        <v>154512</v>
      </c>
      <c r="U44" s="152">
        <f t="shared" si="15"/>
        <v>206016</v>
      </c>
      <c r="V44" s="152">
        <f t="shared" si="16"/>
        <v>8205095.7280000001</v>
      </c>
      <c r="W44" s="152">
        <f>IF(OR(Y44=$AA$2,Y44=$AA$3,Y44=$AA$4),HLOOKUP(A44,Datos!$D$98:$K$102,5,0),0)*G44</f>
        <v>0</v>
      </c>
      <c r="X44" s="152">
        <f t="shared" si="4"/>
        <v>133200</v>
      </c>
      <c r="Y44" s="152" t="str">
        <f t="shared" si="5"/>
        <v>MES 11</v>
      </c>
      <c r="Z44">
        <f t="shared" si="6"/>
        <v>11</v>
      </c>
    </row>
    <row r="45" spans="1:26">
      <c r="A45" t="str">
        <f t="shared" si="7"/>
        <v>Administrador-2024</v>
      </c>
      <c r="B45">
        <v>2024</v>
      </c>
      <c r="C45" t="s">
        <v>374</v>
      </c>
      <c r="D45" t="s">
        <v>370</v>
      </c>
      <c r="E45" t="s">
        <v>371</v>
      </c>
      <c r="F45" s="151">
        <f t="shared" si="21"/>
        <v>0.5</v>
      </c>
      <c r="G45" s="151">
        <f t="shared" ref="G45:G73" si="22">+G42</f>
        <v>1</v>
      </c>
      <c r="H45" s="152">
        <f>+HLOOKUP(A45,Datos!$D$81:$K$85,5,0)</f>
        <v>1776000.0000000002</v>
      </c>
      <c r="I45" s="152">
        <f>+HLOOKUP(A45,Datos!$D$90:$K$94,5,0)</f>
        <v>156072.66</v>
      </c>
      <c r="J45" s="152">
        <f t="shared" si="0"/>
        <v>888000.00000000012</v>
      </c>
      <c r="K45" s="152">
        <f t="shared" si="1"/>
        <v>156072.66</v>
      </c>
      <c r="L45" s="152">
        <f t="shared" si="8"/>
        <v>75480.000000000015</v>
      </c>
      <c r="M45" s="152">
        <f t="shared" si="9"/>
        <v>106560.00000000001</v>
      </c>
      <c r="N45" s="152">
        <f t="shared" si="10"/>
        <v>4635.3600000000006</v>
      </c>
      <c r="O45" s="152">
        <f t="shared" si="11"/>
        <v>37000.000000000007</v>
      </c>
      <c r="P45" s="152">
        <f t="shared" si="2"/>
        <v>74000.000000000015</v>
      </c>
      <c r="Q45" s="152">
        <f t="shared" si="12"/>
        <v>37000.000000000007</v>
      </c>
      <c r="R45" s="152">
        <f t="shared" si="3"/>
        <v>4440.0000000000009</v>
      </c>
      <c r="S45" s="152">
        <f t="shared" si="13"/>
        <v>17760.000000000004</v>
      </c>
      <c r="T45" s="152">
        <f t="shared" si="14"/>
        <v>26640.000000000004</v>
      </c>
      <c r="U45" s="152">
        <f t="shared" si="15"/>
        <v>35520.000000000007</v>
      </c>
      <c r="V45" s="152">
        <f t="shared" si="16"/>
        <v>1463108.0200000003</v>
      </c>
      <c r="W45" s="152">
        <f>IF(OR(Y45=$AA$2,Y45=$AA$3,Y45=$AA$4),HLOOKUP(A45,Datos!$D$99:$K$104,5,0),0)*G45</f>
        <v>0</v>
      </c>
      <c r="X45" s="152">
        <f t="shared" si="4"/>
        <v>13875.000000000002</v>
      </c>
      <c r="Y45" s="152" t="str">
        <f t="shared" si="5"/>
        <v>MES 11</v>
      </c>
      <c r="Z45">
        <f t="shared" si="6"/>
        <v>11</v>
      </c>
    </row>
    <row r="46" spans="1:26">
      <c r="A46" t="str">
        <f t="shared" si="7"/>
        <v>Cajero-2024</v>
      </c>
      <c r="B46">
        <v>2024</v>
      </c>
      <c r="C46" t="s">
        <v>374</v>
      </c>
      <c r="D46" t="s">
        <v>372</v>
      </c>
      <c r="E46" t="s">
        <v>371</v>
      </c>
      <c r="F46" s="151">
        <f t="shared" si="21"/>
        <v>1</v>
      </c>
      <c r="G46" s="151">
        <f t="shared" si="22"/>
        <v>1</v>
      </c>
      <c r="H46" s="152">
        <f>HLOOKUP(A46,Datos!$D$82:$K$86,5,0)</f>
        <v>1287600</v>
      </c>
      <c r="I46" s="152">
        <f>+HLOOKUP(A46,Datos!$D$91:$K$95,5,0)</f>
        <v>156072.66</v>
      </c>
      <c r="J46" s="152">
        <f t="shared" si="0"/>
        <v>1287600</v>
      </c>
      <c r="K46" s="152">
        <f t="shared" si="1"/>
        <v>156072.66</v>
      </c>
      <c r="L46" s="152">
        <f t="shared" si="8"/>
        <v>109446.00000000001</v>
      </c>
      <c r="M46" s="152">
        <f t="shared" si="9"/>
        <v>154512</v>
      </c>
      <c r="N46" s="152">
        <f t="shared" si="10"/>
        <v>6721.2719999999999</v>
      </c>
      <c r="O46" s="152">
        <f t="shared" si="11"/>
        <v>53650</v>
      </c>
      <c r="P46" s="152">
        <f t="shared" si="2"/>
        <v>107300</v>
      </c>
      <c r="Q46" s="152">
        <f t="shared" si="12"/>
        <v>53650</v>
      </c>
      <c r="R46" s="152">
        <f t="shared" si="3"/>
        <v>6438</v>
      </c>
      <c r="S46" s="152">
        <f t="shared" si="13"/>
        <v>25752</v>
      </c>
      <c r="T46" s="152">
        <f t="shared" si="14"/>
        <v>38628</v>
      </c>
      <c r="U46" s="152">
        <f t="shared" si="15"/>
        <v>51504</v>
      </c>
      <c r="V46" s="152">
        <f t="shared" si="16"/>
        <v>2051273.932</v>
      </c>
      <c r="W46" s="152">
        <f>IF(OR(Y46=$AA$2,Y46=$AA$3,Y46=$AA$4),HLOOKUP(A46,Datos!$D$100:$K$104,5,0),0)*G46</f>
        <v>0</v>
      </c>
      <c r="X46" s="152">
        <f t="shared" si="4"/>
        <v>41625.000000000007</v>
      </c>
      <c r="Y46" s="152" t="str">
        <f t="shared" si="5"/>
        <v>MES 11</v>
      </c>
      <c r="Z46">
        <f t="shared" si="6"/>
        <v>11</v>
      </c>
    </row>
    <row r="47" spans="1:26">
      <c r="A47" t="str">
        <f t="shared" si="7"/>
        <v>Aux cocina-2024</v>
      </c>
      <c r="B47">
        <v>2024</v>
      </c>
      <c r="C47" t="s">
        <v>375</v>
      </c>
      <c r="D47" t="s">
        <v>368</v>
      </c>
      <c r="E47" t="s">
        <v>369</v>
      </c>
      <c r="F47" s="151">
        <f t="shared" si="21"/>
        <v>4</v>
      </c>
      <c r="G47" s="151">
        <f t="shared" si="22"/>
        <v>4</v>
      </c>
      <c r="H47" s="152">
        <f>+HLOOKUP(A47,Datos!$D$80:$K$84,5,0)</f>
        <v>1287600</v>
      </c>
      <c r="I47" s="152">
        <f>+HLOOKUP(A47,Datos!$D$89:$K$93,5,0)</f>
        <v>156072.66</v>
      </c>
      <c r="J47" s="152">
        <f t="shared" si="0"/>
        <v>5150400</v>
      </c>
      <c r="K47" s="152">
        <f t="shared" si="1"/>
        <v>624290.64</v>
      </c>
      <c r="L47" s="152">
        <f t="shared" si="8"/>
        <v>437784.00000000006</v>
      </c>
      <c r="M47" s="152">
        <f t="shared" si="9"/>
        <v>618048</v>
      </c>
      <c r="N47" s="152">
        <f t="shared" si="10"/>
        <v>26885.088</v>
      </c>
      <c r="O47" s="152">
        <f t="shared" si="11"/>
        <v>214600</v>
      </c>
      <c r="P47" s="152">
        <f t="shared" si="2"/>
        <v>429200</v>
      </c>
      <c r="Q47" s="152">
        <f t="shared" si="12"/>
        <v>214600</v>
      </c>
      <c r="R47" s="152">
        <f t="shared" si="3"/>
        <v>25752</v>
      </c>
      <c r="S47" s="152">
        <f t="shared" si="13"/>
        <v>103008</v>
      </c>
      <c r="T47" s="152">
        <f t="shared" si="14"/>
        <v>154512</v>
      </c>
      <c r="U47" s="152">
        <f t="shared" si="15"/>
        <v>206016</v>
      </c>
      <c r="V47" s="152">
        <f t="shared" si="16"/>
        <v>8205095.7280000001</v>
      </c>
      <c r="W47" s="152">
        <f>IF(OR(Y47=$AA$2,Y47=$AA$3,Y47=$AA$4),HLOOKUP(A47,Datos!$D$98:$K$102,5,0),0)*G47</f>
        <v>532800</v>
      </c>
      <c r="X47" s="152">
        <f t="shared" si="4"/>
        <v>133200</v>
      </c>
      <c r="Y47" s="152" t="str">
        <f t="shared" si="5"/>
        <v>MES 12</v>
      </c>
      <c r="Z47">
        <f t="shared" si="6"/>
        <v>11</v>
      </c>
    </row>
    <row r="48" spans="1:26">
      <c r="A48" t="str">
        <f t="shared" si="7"/>
        <v>Administrador-2024</v>
      </c>
      <c r="B48">
        <v>2024</v>
      </c>
      <c r="C48" t="s">
        <v>375</v>
      </c>
      <c r="D48" t="s">
        <v>370</v>
      </c>
      <c r="E48" t="s">
        <v>371</v>
      </c>
      <c r="F48" s="151">
        <f t="shared" si="21"/>
        <v>0.5</v>
      </c>
      <c r="G48" s="151">
        <f t="shared" si="22"/>
        <v>1</v>
      </c>
      <c r="H48" s="152">
        <f>+HLOOKUP(A48,Datos!$D$81:$K$85,5,0)</f>
        <v>1776000.0000000002</v>
      </c>
      <c r="I48" s="152">
        <f>+HLOOKUP(A48,Datos!$D$90:$K$94,5,0)</f>
        <v>156072.66</v>
      </c>
      <c r="J48" s="152">
        <f t="shared" si="0"/>
        <v>888000.00000000012</v>
      </c>
      <c r="K48" s="152">
        <f t="shared" si="1"/>
        <v>156072.66</v>
      </c>
      <c r="L48" s="152">
        <f t="shared" si="8"/>
        <v>75480.000000000015</v>
      </c>
      <c r="M48" s="152">
        <f t="shared" si="9"/>
        <v>106560.00000000001</v>
      </c>
      <c r="N48" s="152">
        <f t="shared" si="10"/>
        <v>4635.3600000000006</v>
      </c>
      <c r="O48" s="152">
        <f t="shared" si="11"/>
        <v>37000.000000000007</v>
      </c>
      <c r="P48" s="152">
        <f t="shared" si="2"/>
        <v>74000.000000000015</v>
      </c>
      <c r="Q48" s="152">
        <f t="shared" si="12"/>
        <v>37000.000000000007</v>
      </c>
      <c r="R48" s="152">
        <f t="shared" si="3"/>
        <v>4440.0000000000009</v>
      </c>
      <c r="S48" s="152">
        <f t="shared" si="13"/>
        <v>17760.000000000004</v>
      </c>
      <c r="T48" s="152">
        <f t="shared" si="14"/>
        <v>26640.000000000004</v>
      </c>
      <c r="U48" s="152">
        <f t="shared" si="15"/>
        <v>35520.000000000007</v>
      </c>
      <c r="V48" s="152">
        <f t="shared" si="16"/>
        <v>1463108.0200000003</v>
      </c>
      <c r="W48" s="152">
        <f>IF(OR(Y48=$AA$2,Y48=$AA$3,Y48=$AA$4),HLOOKUP(A48,Datos!$D$99:$K$104,5,0),0)*G48</f>
        <v>55500.000000000007</v>
      </c>
      <c r="X48" s="152">
        <f t="shared" si="4"/>
        <v>13875.000000000002</v>
      </c>
      <c r="Y48" s="152" t="str">
        <f t="shared" si="5"/>
        <v>MES 12</v>
      </c>
      <c r="Z48">
        <f t="shared" si="6"/>
        <v>11</v>
      </c>
    </row>
    <row r="49" spans="1:26">
      <c r="A49" t="str">
        <f t="shared" si="7"/>
        <v>Cajero-2024</v>
      </c>
      <c r="B49">
        <v>2024</v>
      </c>
      <c r="C49" t="s">
        <v>375</v>
      </c>
      <c r="D49" t="s">
        <v>372</v>
      </c>
      <c r="E49" t="s">
        <v>371</v>
      </c>
      <c r="F49" s="151">
        <f t="shared" si="21"/>
        <v>1</v>
      </c>
      <c r="G49" s="151">
        <f t="shared" si="22"/>
        <v>1</v>
      </c>
      <c r="H49" s="152">
        <f>HLOOKUP(A49,Datos!$D$82:$K$86,5,0)</f>
        <v>1287600</v>
      </c>
      <c r="I49" s="152">
        <f>+HLOOKUP(A49,Datos!$D$91:$K$95,5,0)</f>
        <v>156072.66</v>
      </c>
      <c r="J49" s="152">
        <f t="shared" si="0"/>
        <v>1287600</v>
      </c>
      <c r="K49" s="152">
        <f t="shared" si="1"/>
        <v>156072.66</v>
      </c>
      <c r="L49" s="152">
        <f t="shared" si="8"/>
        <v>109446.00000000001</v>
      </c>
      <c r="M49" s="152">
        <f t="shared" si="9"/>
        <v>154512</v>
      </c>
      <c r="N49" s="152">
        <f t="shared" si="10"/>
        <v>6721.2719999999999</v>
      </c>
      <c r="O49" s="152">
        <f t="shared" si="11"/>
        <v>53650</v>
      </c>
      <c r="P49" s="152">
        <f t="shared" si="2"/>
        <v>107300</v>
      </c>
      <c r="Q49" s="152">
        <f t="shared" si="12"/>
        <v>53650</v>
      </c>
      <c r="R49" s="152">
        <f t="shared" si="3"/>
        <v>6438</v>
      </c>
      <c r="S49" s="152">
        <f t="shared" si="13"/>
        <v>25752</v>
      </c>
      <c r="T49" s="152">
        <f t="shared" si="14"/>
        <v>38628</v>
      </c>
      <c r="U49" s="152">
        <f t="shared" si="15"/>
        <v>51504</v>
      </c>
      <c r="V49" s="152">
        <f t="shared" si="16"/>
        <v>2051273.932</v>
      </c>
      <c r="W49" s="152">
        <f>IF(OR(Y49=$AA$2,Y49=$AA$3,Y49=$AA$4),HLOOKUP(A49,Datos!$D$100:$K$104,5,0),0)*G49</f>
        <v>166500.00000000003</v>
      </c>
      <c r="X49" s="152">
        <f t="shared" si="4"/>
        <v>41625.000000000007</v>
      </c>
      <c r="Y49" s="152" t="str">
        <f t="shared" si="5"/>
        <v>MES 12</v>
      </c>
      <c r="Z49">
        <f t="shared" si="6"/>
        <v>11</v>
      </c>
    </row>
    <row r="50" spans="1:26">
      <c r="A50" t="str">
        <f t="shared" ref="A50:A97" si="23">+D50&amp;"-"&amp;B50</f>
        <v>Aux cocina-2024</v>
      </c>
      <c r="B50">
        <v>2024</v>
      </c>
      <c r="C50" t="s">
        <v>376</v>
      </c>
      <c r="D50" t="s">
        <v>368</v>
      </c>
      <c r="E50" t="s">
        <v>369</v>
      </c>
      <c r="F50" s="151">
        <f t="shared" si="21"/>
        <v>4</v>
      </c>
      <c r="G50" s="151">
        <f t="shared" si="22"/>
        <v>4</v>
      </c>
      <c r="H50" s="152">
        <f>+HLOOKUP(A50,Datos!$D$80:$K$84,5,0)</f>
        <v>1287600</v>
      </c>
      <c r="I50" s="152">
        <f>+HLOOKUP(A50,Datos!$D$89:$K$93,5,0)</f>
        <v>156072.66</v>
      </c>
      <c r="J50" s="152">
        <f t="shared" si="0"/>
        <v>5150400</v>
      </c>
      <c r="K50" s="152">
        <f t="shared" si="1"/>
        <v>624290.64</v>
      </c>
      <c r="L50" s="152">
        <f t="shared" si="8"/>
        <v>437784.00000000006</v>
      </c>
      <c r="M50" s="152">
        <f t="shared" si="9"/>
        <v>618048</v>
      </c>
      <c r="N50" s="152">
        <f t="shared" si="10"/>
        <v>26885.088</v>
      </c>
      <c r="O50" s="152">
        <f t="shared" si="11"/>
        <v>214600</v>
      </c>
      <c r="P50" s="152">
        <f t="shared" si="2"/>
        <v>429200</v>
      </c>
      <c r="Q50" s="152">
        <f t="shared" si="12"/>
        <v>214600</v>
      </c>
      <c r="R50" s="152">
        <f t="shared" si="3"/>
        <v>25752</v>
      </c>
      <c r="S50" s="152">
        <f t="shared" si="13"/>
        <v>103008</v>
      </c>
      <c r="T50" s="152">
        <f t="shared" si="14"/>
        <v>154512</v>
      </c>
      <c r="U50" s="152">
        <f t="shared" si="15"/>
        <v>206016</v>
      </c>
      <c r="V50" s="152">
        <f t="shared" si="16"/>
        <v>8205095.7280000001</v>
      </c>
      <c r="W50" s="152">
        <f>IF(OR(Y50=$AA$2,Y50=$AA$3,Y50=$AA$4),HLOOKUP(A50,Datos!$D$98:$K$102,5,0),0)*G50</f>
        <v>0</v>
      </c>
      <c r="X50" s="152">
        <f t="shared" si="4"/>
        <v>133200</v>
      </c>
      <c r="Y50" s="152" t="str">
        <f t="shared" si="5"/>
        <v xml:space="preserve">MES 2 </v>
      </c>
      <c r="Z50">
        <f t="shared" si="6"/>
        <v>10</v>
      </c>
    </row>
    <row r="51" spans="1:26">
      <c r="A51" t="str">
        <f t="shared" si="23"/>
        <v>Administrador-2024</v>
      </c>
      <c r="B51">
        <v>2024</v>
      </c>
      <c r="C51" t="s">
        <v>376</v>
      </c>
      <c r="D51" t="s">
        <v>370</v>
      </c>
      <c r="E51" t="s">
        <v>371</v>
      </c>
      <c r="F51" s="151">
        <f t="shared" si="21"/>
        <v>0.5</v>
      </c>
      <c r="G51" s="151">
        <f t="shared" si="22"/>
        <v>1</v>
      </c>
      <c r="H51" s="152">
        <f>+HLOOKUP(A51,Datos!$D$81:$K$85,5,0)</f>
        <v>1776000.0000000002</v>
      </c>
      <c r="I51" s="152">
        <f>+HLOOKUP(A51,Datos!$D$90:$K$94,5,0)</f>
        <v>156072.66</v>
      </c>
      <c r="J51" s="152">
        <f t="shared" si="0"/>
        <v>888000.00000000012</v>
      </c>
      <c r="K51" s="152">
        <f t="shared" si="1"/>
        <v>156072.66</v>
      </c>
      <c r="L51" s="152">
        <f t="shared" si="8"/>
        <v>75480.000000000015</v>
      </c>
      <c r="M51" s="152">
        <f t="shared" si="9"/>
        <v>106560.00000000001</v>
      </c>
      <c r="N51" s="152">
        <f t="shared" si="10"/>
        <v>4635.3600000000006</v>
      </c>
      <c r="O51" s="152">
        <f t="shared" si="11"/>
        <v>37000.000000000007</v>
      </c>
      <c r="P51" s="152">
        <f t="shared" si="2"/>
        <v>74000.000000000015</v>
      </c>
      <c r="Q51" s="152">
        <f t="shared" si="12"/>
        <v>37000.000000000007</v>
      </c>
      <c r="R51" s="152">
        <f t="shared" si="3"/>
        <v>4440.0000000000009</v>
      </c>
      <c r="S51" s="152">
        <f t="shared" si="13"/>
        <v>17760.000000000004</v>
      </c>
      <c r="T51" s="152">
        <f t="shared" si="14"/>
        <v>26640.000000000004</v>
      </c>
      <c r="U51" s="152">
        <f t="shared" si="15"/>
        <v>35520.000000000007</v>
      </c>
      <c r="V51" s="152">
        <f t="shared" si="16"/>
        <v>1463108.0200000003</v>
      </c>
      <c r="W51" s="152">
        <f>IF(OR(Y51=$AA$2,Y51=$AA$3,Y51=$AA$4),HLOOKUP(A51,Datos!$D$99:$K$104,5,0),0)*G51</f>
        <v>0</v>
      </c>
      <c r="X51" s="152">
        <f t="shared" si="4"/>
        <v>13875.000000000002</v>
      </c>
      <c r="Y51" s="152" t="str">
        <f t="shared" si="5"/>
        <v xml:space="preserve">MES 2 </v>
      </c>
      <c r="Z51">
        <f t="shared" si="6"/>
        <v>10</v>
      </c>
    </row>
    <row r="52" spans="1:26">
      <c r="A52" t="str">
        <f t="shared" si="23"/>
        <v>Cajero-2024</v>
      </c>
      <c r="B52">
        <v>2024</v>
      </c>
      <c r="C52" t="s">
        <v>376</v>
      </c>
      <c r="D52" t="s">
        <v>372</v>
      </c>
      <c r="E52" t="s">
        <v>371</v>
      </c>
      <c r="F52" s="151">
        <f t="shared" si="21"/>
        <v>1</v>
      </c>
      <c r="G52" s="151">
        <f t="shared" si="22"/>
        <v>1</v>
      </c>
      <c r="H52" s="152">
        <f>HLOOKUP(A52,Datos!$D$82:$K$86,5,0)</f>
        <v>1287600</v>
      </c>
      <c r="I52" s="152">
        <f>+HLOOKUP(A52,Datos!$D$91:$K$95,5,0)</f>
        <v>156072.66</v>
      </c>
      <c r="J52" s="152">
        <f t="shared" si="0"/>
        <v>1287600</v>
      </c>
      <c r="K52" s="152">
        <f t="shared" si="1"/>
        <v>156072.66</v>
      </c>
      <c r="L52" s="152">
        <f t="shared" si="8"/>
        <v>109446.00000000001</v>
      </c>
      <c r="M52" s="152">
        <f t="shared" si="9"/>
        <v>154512</v>
      </c>
      <c r="N52" s="152">
        <f t="shared" si="10"/>
        <v>6721.2719999999999</v>
      </c>
      <c r="O52" s="152">
        <f t="shared" si="11"/>
        <v>53650</v>
      </c>
      <c r="P52" s="152">
        <f t="shared" si="2"/>
        <v>107300</v>
      </c>
      <c r="Q52" s="152">
        <f t="shared" si="12"/>
        <v>53650</v>
      </c>
      <c r="R52" s="152">
        <f t="shared" si="3"/>
        <v>6438</v>
      </c>
      <c r="S52" s="152">
        <f t="shared" si="13"/>
        <v>25752</v>
      </c>
      <c r="T52" s="152">
        <f t="shared" si="14"/>
        <v>38628</v>
      </c>
      <c r="U52" s="152">
        <f t="shared" si="15"/>
        <v>51504</v>
      </c>
      <c r="V52" s="152">
        <f t="shared" si="16"/>
        <v>2051273.932</v>
      </c>
      <c r="W52" s="152">
        <f>IF(OR(Y52=$AA$2,Y52=$AA$3,Y52=$AA$4),HLOOKUP(A52,Datos!$D$100:$K$104,5,0),0)*G52</f>
        <v>0</v>
      </c>
      <c r="X52" s="152">
        <f t="shared" si="4"/>
        <v>41625.000000000007</v>
      </c>
      <c r="Y52" s="152" t="str">
        <f t="shared" si="5"/>
        <v xml:space="preserve">MES 2 </v>
      </c>
      <c r="Z52">
        <f t="shared" si="6"/>
        <v>10</v>
      </c>
    </row>
    <row r="53" spans="1:26">
      <c r="A53" t="str">
        <f t="shared" si="23"/>
        <v>Aux cocina-2024</v>
      </c>
      <c r="B53">
        <v>2024</v>
      </c>
      <c r="C53" t="s">
        <v>377</v>
      </c>
      <c r="D53" t="s">
        <v>368</v>
      </c>
      <c r="E53" t="s">
        <v>369</v>
      </c>
      <c r="F53" s="151">
        <f t="shared" si="21"/>
        <v>4</v>
      </c>
      <c r="G53" s="151">
        <f t="shared" si="22"/>
        <v>4</v>
      </c>
      <c r="H53" s="152">
        <f>+HLOOKUP(A53,Datos!$D$80:$K$84,5,0)</f>
        <v>1287600</v>
      </c>
      <c r="I53" s="152">
        <f>+HLOOKUP(A53,Datos!$D$89:$K$93,5,0)</f>
        <v>156072.66</v>
      </c>
      <c r="J53" s="152">
        <f t="shared" si="0"/>
        <v>5150400</v>
      </c>
      <c r="K53" s="152">
        <f t="shared" si="1"/>
        <v>624290.64</v>
      </c>
      <c r="L53" s="152">
        <f t="shared" si="8"/>
        <v>437784.00000000006</v>
      </c>
      <c r="M53" s="152">
        <f t="shared" si="9"/>
        <v>618048</v>
      </c>
      <c r="N53" s="152">
        <f t="shared" si="10"/>
        <v>26885.088</v>
      </c>
      <c r="O53" s="152">
        <f t="shared" si="11"/>
        <v>214600</v>
      </c>
      <c r="P53" s="152">
        <f t="shared" si="2"/>
        <v>429200</v>
      </c>
      <c r="Q53" s="152">
        <f t="shared" si="12"/>
        <v>214600</v>
      </c>
      <c r="R53" s="152">
        <f t="shared" si="3"/>
        <v>25752</v>
      </c>
      <c r="S53" s="152">
        <f t="shared" si="13"/>
        <v>103008</v>
      </c>
      <c r="T53" s="152">
        <f t="shared" si="14"/>
        <v>154512</v>
      </c>
      <c r="U53" s="152">
        <f t="shared" si="15"/>
        <v>206016</v>
      </c>
      <c r="V53" s="152">
        <f t="shared" si="16"/>
        <v>8205095.7280000001</v>
      </c>
      <c r="W53" s="152">
        <f>IF(OR(Y53=$AA$2,Y53=$AA$3,Y53=$AA$4),HLOOKUP(A53,Datos!$D$98:$K$102,5,0),0)*G53</f>
        <v>0</v>
      </c>
      <c r="X53" s="152">
        <f t="shared" si="4"/>
        <v>133200</v>
      </c>
      <c r="Y53" s="152" t="str">
        <f t="shared" si="5"/>
        <v xml:space="preserve">MES 3 </v>
      </c>
      <c r="Z53">
        <f t="shared" si="6"/>
        <v>10</v>
      </c>
    </row>
    <row r="54" spans="1:26">
      <c r="A54" t="str">
        <f t="shared" si="23"/>
        <v>Administrador-2024</v>
      </c>
      <c r="B54">
        <v>2024</v>
      </c>
      <c r="C54" t="s">
        <v>377</v>
      </c>
      <c r="D54" t="s">
        <v>370</v>
      </c>
      <c r="E54" t="s">
        <v>371</v>
      </c>
      <c r="F54" s="151">
        <f t="shared" si="21"/>
        <v>0.5</v>
      </c>
      <c r="G54" s="151">
        <f t="shared" si="22"/>
        <v>1</v>
      </c>
      <c r="H54" s="152">
        <f>+HLOOKUP(A54,Datos!$D$81:$K$85,5,0)</f>
        <v>1776000.0000000002</v>
      </c>
      <c r="I54" s="152">
        <f>+HLOOKUP(A54,Datos!$D$90:$K$94,5,0)</f>
        <v>156072.66</v>
      </c>
      <c r="J54" s="152">
        <f t="shared" si="0"/>
        <v>888000.00000000012</v>
      </c>
      <c r="K54" s="152">
        <f t="shared" si="1"/>
        <v>156072.66</v>
      </c>
      <c r="L54" s="152">
        <f t="shared" si="8"/>
        <v>75480.000000000015</v>
      </c>
      <c r="M54" s="152">
        <f t="shared" si="9"/>
        <v>106560.00000000001</v>
      </c>
      <c r="N54" s="152">
        <f t="shared" si="10"/>
        <v>4635.3600000000006</v>
      </c>
      <c r="O54" s="152">
        <f t="shared" si="11"/>
        <v>37000.000000000007</v>
      </c>
      <c r="P54" s="152">
        <f t="shared" si="2"/>
        <v>74000.000000000015</v>
      </c>
      <c r="Q54" s="152">
        <f t="shared" si="12"/>
        <v>37000.000000000007</v>
      </c>
      <c r="R54" s="152">
        <f t="shared" si="3"/>
        <v>4440.0000000000009</v>
      </c>
      <c r="S54" s="152">
        <f t="shared" si="13"/>
        <v>17760.000000000004</v>
      </c>
      <c r="T54" s="152">
        <f t="shared" si="14"/>
        <v>26640.000000000004</v>
      </c>
      <c r="U54" s="152">
        <f t="shared" si="15"/>
        <v>35520.000000000007</v>
      </c>
      <c r="V54" s="152">
        <f t="shared" si="16"/>
        <v>1463108.0200000003</v>
      </c>
      <c r="W54" s="152">
        <f>IF(OR(Y54=$AA$2,Y54=$AA$3,Y54=$AA$4),HLOOKUP(A54,Datos!$D$99:$K$104,5,0),0)*G54</f>
        <v>0</v>
      </c>
      <c r="X54" s="152">
        <f t="shared" si="4"/>
        <v>13875.000000000002</v>
      </c>
      <c r="Y54" s="152" t="str">
        <f t="shared" si="5"/>
        <v xml:space="preserve">MES 3 </v>
      </c>
      <c r="Z54">
        <f t="shared" si="6"/>
        <v>10</v>
      </c>
    </row>
    <row r="55" spans="1:26">
      <c r="A55" t="str">
        <f t="shared" si="23"/>
        <v>Cajero-2024</v>
      </c>
      <c r="B55">
        <v>2024</v>
      </c>
      <c r="C55" t="s">
        <v>377</v>
      </c>
      <c r="D55" t="s">
        <v>372</v>
      </c>
      <c r="E55" t="s">
        <v>371</v>
      </c>
      <c r="F55" s="151">
        <f t="shared" si="21"/>
        <v>1</v>
      </c>
      <c r="G55" s="151">
        <f t="shared" si="22"/>
        <v>1</v>
      </c>
      <c r="H55" s="152">
        <f>HLOOKUP(A55,Datos!$D$82:$K$86,5,0)</f>
        <v>1287600</v>
      </c>
      <c r="I55" s="152">
        <f>+HLOOKUP(A55,Datos!$D$91:$K$95,5,0)</f>
        <v>156072.66</v>
      </c>
      <c r="J55" s="152">
        <f t="shared" si="0"/>
        <v>1287600</v>
      </c>
      <c r="K55" s="152">
        <f t="shared" si="1"/>
        <v>156072.66</v>
      </c>
      <c r="L55" s="152">
        <f t="shared" si="8"/>
        <v>109446.00000000001</v>
      </c>
      <c r="M55" s="152">
        <f t="shared" si="9"/>
        <v>154512</v>
      </c>
      <c r="N55" s="152">
        <f t="shared" si="10"/>
        <v>6721.2719999999999</v>
      </c>
      <c r="O55" s="152">
        <f t="shared" si="11"/>
        <v>53650</v>
      </c>
      <c r="P55" s="152">
        <f t="shared" si="2"/>
        <v>107300</v>
      </c>
      <c r="Q55" s="152">
        <f t="shared" si="12"/>
        <v>53650</v>
      </c>
      <c r="R55" s="152">
        <f t="shared" si="3"/>
        <v>6438</v>
      </c>
      <c r="S55" s="152">
        <f t="shared" si="13"/>
        <v>25752</v>
      </c>
      <c r="T55" s="152">
        <f t="shared" si="14"/>
        <v>38628</v>
      </c>
      <c r="U55" s="152">
        <f t="shared" si="15"/>
        <v>51504</v>
      </c>
      <c r="V55" s="152">
        <f t="shared" si="16"/>
        <v>2051273.932</v>
      </c>
      <c r="W55" s="152">
        <f>IF(OR(Y55=$AA$2,Y55=$AA$3,Y55=$AA$4),HLOOKUP(A55,Datos!$D$100:$K$104,5,0),0)*G55</f>
        <v>0</v>
      </c>
      <c r="X55" s="152">
        <f t="shared" si="4"/>
        <v>41625.000000000007</v>
      </c>
      <c r="Y55" s="152" t="str">
        <f t="shared" si="5"/>
        <v xml:space="preserve">MES 3 </v>
      </c>
      <c r="Z55">
        <f t="shared" si="6"/>
        <v>10</v>
      </c>
    </row>
    <row r="56" spans="1:26">
      <c r="A56" t="str">
        <f t="shared" si="23"/>
        <v>Aux cocina-2024</v>
      </c>
      <c r="B56">
        <v>2024</v>
      </c>
      <c r="C56" t="s">
        <v>378</v>
      </c>
      <c r="D56" t="s">
        <v>368</v>
      </c>
      <c r="E56" t="s">
        <v>369</v>
      </c>
      <c r="F56" s="151">
        <f t="shared" si="21"/>
        <v>4</v>
      </c>
      <c r="G56" s="151">
        <f t="shared" si="22"/>
        <v>4</v>
      </c>
      <c r="H56" s="152">
        <f>+HLOOKUP(A56,Datos!$D$80:$K$84,5,0)</f>
        <v>1287600</v>
      </c>
      <c r="I56" s="152">
        <f>+HLOOKUP(A56,Datos!$D$89:$K$93,5,0)</f>
        <v>156072.66</v>
      </c>
      <c r="J56" s="152">
        <f t="shared" si="0"/>
        <v>5150400</v>
      </c>
      <c r="K56" s="152">
        <f t="shared" si="1"/>
        <v>624290.64</v>
      </c>
      <c r="L56" s="152">
        <f t="shared" si="8"/>
        <v>437784.00000000006</v>
      </c>
      <c r="M56" s="152">
        <f t="shared" si="9"/>
        <v>618048</v>
      </c>
      <c r="N56" s="152">
        <f t="shared" si="10"/>
        <v>26885.088</v>
      </c>
      <c r="O56" s="152">
        <f t="shared" si="11"/>
        <v>214600</v>
      </c>
      <c r="P56" s="152">
        <f t="shared" si="2"/>
        <v>429200</v>
      </c>
      <c r="Q56" s="152">
        <f t="shared" si="12"/>
        <v>214600</v>
      </c>
      <c r="R56" s="152">
        <f t="shared" si="3"/>
        <v>25752</v>
      </c>
      <c r="S56" s="152">
        <f t="shared" si="13"/>
        <v>103008</v>
      </c>
      <c r="T56" s="152">
        <f t="shared" si="14"/>
        <v>154512</v>
      </c>
      <c r="U56" s="152">
        <f t="shared" si="15"/>
        <v>206016</v>
      </c>
      <c r="V56" s="152">
        <f t="shared" si="16"/>
        <v>8205095.7280000001</v>
      </c>
      <c r="W56" s="152">
        <f>IF(OR(Y56=$AA$2,Y56=$AA$3,Y56=$AA$4),HLOOKUP(A56,Datos!$D$98:$K$102,5,0),0)*G56</f>
        <v>532800</v>
      </c>
      <c r="X56" s="152">
        <f t="shared" si="4"/>
        <v>133200</v>
      </c>
      <c r="Y56" s="152" t="str">
        <f t="shared" si="5"/>
        <v xml:space="preserve">MES 4 </v>
      </c>
      <c r="Z56">
        <f t="shared" si="6"/>
        <v>10</v>
      </c>
    </row>
    <row r="57" spans="1:26">
      <c r="A57" t="str">
        <f t="shared" si="23"/>
        <v>Administrador-2024</v>
      </c>
      <c r="B57">
        <v>2024</v>
      </c>
      <c r="C57" t="s">
        <v>378</v>
      </c>
      <c r="D57" t="s">
        <v>370</v>
      </c>
      <c r="E57" t="s">
        <v>371</v>
      </c>
      <c r="F57" s="151">
        <f t="shared" si="21"/>
        <v>0.5</v>
      </c>
      <c r="G57" s="151">
        <f t="shared" si="22"/>
        <v>1</v>
      </c>
      <c r="H57" s="152">
        <f>+HLOOKUP(A57,Datos!$D$81:$K$85,5,0)</f>
        <v>1776000.0000000002</v>
      </c>
      <c r="I57" s="152">
        <f>+HLOOKUP(A57,Datos!$D$90:$K$94,5,0)</f>
        <v>156072.66</v>
      </c>
      <c r="J57" s="152">
        <f t="shared" si="0"/>
        <v>888000.00000000012</v>
      </c>
      <c r="K57" s="152">
        <f t="shared" si="1"/>
        <v>156072.66</v>
      </c>
      <c r="L57" s="152">
        <f t="shared" si="8"/>
        <v>75480.000000000015</v>
      </c>
      <c r="M57" s="152">
        <f t="shared" si="9"/>
        <v>106560.00000000001</v>
      </c>
      <c r="N57" s="152">
        <f t="shared" si="10"/>
        <v>4635.3600000000006</v>
      </c>
      <c r="O57" s="152">
        <f t="shared" si="11"/>
        <v>37000.000000000007</v>
      </c>
      <c r="P57" s="152">
        <f t="shared" si="2"/>
        <v>74000.000000000015</v>
      </c>
      <c r="Q57" s="152">
        <f t="shared" si="12"/>
        <v>37000.000000000007</v>
      </c>
      <c r="R57" s="152">
        <f t="shared" si="3"/>
        <v>4440.0000000000009</v>
      </c>
      <c r="S57" s="152">
        <f t="shared" si="13"/>
        <v>17760.000000000004</v>
      </c>
      <c r="T57" s="152">
        <f t="shared" si="14"/>
        <v>26640.000000000004</v>
      </c>
      <c r="U57" s="152">
        <f t="shared" si="15"/>
        <v>35520.000000000007</v>
      </c>
      <c r="V57" s="152">
        <f t="shared" si="16"/>
        <v>1463108.0200000003</v>
      </c>
      <c r="W57" s="152">
        <f>IF(OR(Y57=$AA$2,Y57=$AA$3,Y57=$AA$4),HLOOKUP(A57,Datos!$D$99:$K$104,5,0),0)*G57</f>
        <v>55500.000000000007</v>
      </c>
      <c r="X57" s="152">
        <f t="shared" si="4"/>
        <v>13875.000000000002</v>
      </c>
      <c r="Y57" s="152" t="str">
        <f t="shared" si="5"/>
        <v xml:space="preserve">MES 4 </v>
      </c>
      <c r="Z57">
        <f t="shared" si="6"/>
        <v>10</v>
      </c>
    </row>
    <row r="58" spans="1:26">
      <c r="A58" t="str">
        <f t="shared" si="23"/>
        <v>Cajero-2024</v>
      </c>
      <c r="B58">
        <v>2024</v>
      </c>
      <c r="C58" t="s">
        <v>378</v>
      </c>
      <c r="D58" t="s">
        <v>372</v>
      </c>
      <c r="E58" t="s">
        <v>371</v>
      </c>
      <c r="F58" s="151">
        <f t="shared" si="21"/>
        <v>1</v>
      </c>
      <c r="G58" s="151">
        <f t="shared" si="22"/>
        <v>1</v>
      </c>
      <c r="H58" s="152">
        <f>HLOOKUP(A58,Datos!$D$82:$K$86,5,0)</f>
        <v>1287600</v>
      </c>
      <c r="I58" s="152">
        <f>+HLOOKUP(A58,Datos!$D$91:$K$95,5,0)</f>
        <v>156072.66</v>
      </c>
      <c r="J58" s="152">
        <f t="shared" si="0"/>
        <v>1287600</v>
      </c>
      <c r="K58" s="152">
        <f t="shared" si="1"/>
        <v>156072.66</v>
      </c>
      <c r="L58" s="152">
        <f t="shared" si="8"/>
        <v>109446.00000000001</v>
      </c>
      <c r="M58" s="152">
        <f t="shared" si="9"/>
        <v>154512</v>
      </c>
      <c r="N58" s="152">
        <f t="shared" si="10"/>
        <v>6721.2719999999999</v>
      </c>
      <c r="O58" s="152">
        <f t="shared" si="11"/>
        <v>53650</v>
      </c>
      <c r="P58" s="152">
        <f t="shared" si="2"/>
        <v>107300</v>
      </c>
      <c r="Q58" s="152">
        <f t="shared" si="12"/>
        <v>53650</v>
      </c>
      <c r="R58" s="152">
        <f t="shared" si="3"/>
        <v>6438</v>
      </c>
      <c r="S58" s="152">
        <f t="shared" si="13"/>
        <v>25752</v>
      </c>
      <c r="T58" s="152">
        <f t="shared" si="14"/>
        <v>38628</v>
      </c>
      <c r="U58" s="152">
        <f t="shared" si="15"/>
        <v>51504</v>
      </c>
      <c r="V58" s="152">
        <f t="shared" si="16"/>
        <v>2051273.932</v>
      </c>
      <c r="W58" s="152">
        <f>IF(OR(Y58=$AA$2,Y58=$AA$3,Y58=$AA$4),HLOOKUP(A58,Datos!$D$100:$K$104,5,0),0)*G58</f>
        <v>166500.00000000003</v>
      </c>
      <c r="X58" s="152">
        <f t="shared" si="4"/>
        <v>41625.000000000007</v>
      </c>
      <c r="Y58" s="152" t="str">
        <f t="shared" si="5"/>
        <v xml:space="preserve">MES 4 </v>
      </c>
      <c r="Z58">
        <f t="shared" si="6"/>
        <v>10</v>
      </c>
    </row>
    <row r="59" spans="1:26">
      <c r="A59" t="str">
        <f t="shared" si="23"/>
        <v>Aux cocina-2024</v>
      </c>
      <c r="B59">
        <v>2024</v>
      </c>
      <c r="C59" t="s">
        <v>379</v>
      </c>
      <c r="D59" t="s">
        <v>368</v>
      </c>
      <c r="E59" t="s">
        <v>369</v>
      </c>
      <c r="F59" s="151">
        <f t="shared" si="21"/>
        <v>4</v>
      </c>
      <c r="G59" s="151">
        <f t="shared" si="22"/>
        <v>4</v>
      </c>
      <c r="H59" s="152">
        <f>+HLOOKUP(A59,Datos!$D$80:$K$84,5,0)</f>
        <v>1287600</v>
      </c>
      <c r="I59" s="152">
        <f>+HLOOKUP(A59,Datos!$D$89:$K$93,5,0)</f>
        <v>156072.66</v>
      </c>
      <c r="J59" s="152">
        <f t="shared" si="0"/>
        <v>5150400</v>
      </c>
      <c r="K59" s="152">
        <f t="shared" si="1"/>
        <v>624290.64</v>
      </c>
      <c r="L59" s="152">
        <f t="shared" si="8"/>
        <v>437784.00000000006</v>
      </c>
      <c r="M59" s="152">
        <f t="shared" si="9"/>
        <v>618048</v>
      </c>
      <c r="N59" s="152">
        <f t="shared" si="10"/>
        <v>26885.088</v>
      </c>
      <c r="O59" s="152">
        <f t="shared" si="11"/>
        <v>214600</v>
      </c>
      <c r="P59" s="152">
        <f t="shared" si="2"/>
        <v>429200</v>
      </c>
      <c r="Q59" s="152">
        <f t="shared" si="12"/>
        <v>214600</v>
      </c>
      <c r="R59" s="152">
        <f t="shared" si="3"/>
        <v>25752</v>
      </c>
      <c r="S59" s="152">
        <f t="shared" si="13"/>
        <v>103008</v>
      </c>
      <c r="T59" s="152">
        <f t="shared" si="14"/>
        <v>154512</v>
      </c>
      <c r="U59" s="152">
        <f t="shared" si="15"/>
        <v>206016</v>
      </c>
      <c r="V59" s="152">
        <f t="shared" si="16"/>
        <v>8205095.7280000001</v>
      </c>
      <c r="W59" s="152">
        <f>IF(OR(Y59=$AA$2,Y59=$AA$3,Y59=$AA$4),HLOOKUP(A59,Datos!$D$98:$K$102,5,0),0)*G59</f>
        <v>0</v>
      </c>
      <c r="X59" s="152">
        <f t="shared" si="4"/>
        <v>133200</v>
      </c>
      <c r="Y59" s="152" t="str">
        <f t="shared" si="5"/>
        <v xml:space="preserve">MES 5 </v>
      </c>
      <c r="Z59">
        <f t="shared" si="6"/>
        <v>10</v>
      </c>
    </row>
    <row r="60" spans="1:26">
      <c r="A60" t="str">
        <f t="shared" si="23"/>
        <v>Administrador-2024</v>
      </c>
      <c r="B60">
        <v>2024</v>
      </c>
      <c r="C60" t="s">
        <v>379</v>
      </c>
      <c r="D60" t="s">
        <v>370</v>
      </c>
      <c r="E60" t="s">
        <v>371</v>
      </c>
      <c r="F60" s="151">
        <f t="shared" si="21"/>
        <v>0.5</v>
      </c>
      <c r="G60" s="151">
        <f t="shared" si="22"/>
        <v>1</v>
      </c>
      <c r="H60" s="152">
        <f>+HLOOKUP(A60,Datos!$D$81:$K$85,5,0)</f>
        <v>1776000.0000000002</v>
      </c>
      <c r="I60" s="152">
        <f>+HLOOKUP(A60,Datos!$D$90:$K$94,5,0)</f>
        <v>156072.66</v>
      </c>
      <c r="J60" s="152">
        <f t="shared" si="0"/>
        <v>888000.00000000012</v>
      </c>
      <c r="K60" s="152">
        <f t="shared" si="1"/>
        <v>156072.66</v>
      </c>
      <c r="L60" s="152">
        <f t="shared" si="8"/>
        <v>75480.000000000015</v>
      </c>
      <c r="M60" s="152">
        <f t="shared" si="9"/>
        <v>106560.00000000001</v>
      </c>
      <c r="N60" s="152">
        <f t="shared" si="10"/>
        <v>4635.3600000000006</v>
      </c>
      <c r="O60" s="152">
        <f t="shared" si="11"/>
        <v>37000.000000000007</v>
      </c>
      <c r="P60" s="152">
        <f t="shared" si="2"/>
        <v>74000.000000000015</v>
      </c>
      <c r="Q60" s="152">
        <f t="shared" si="12"/>
        <v>37000.000000000007</v>
      </c>
      <c r="R60" s="152">
        <f t="shared" si="3"/>
        <v>4440.0000000000009</v>
      </c>
      <c r="S60" s="152">
        <f t="shared" si="13"/>
        <v>17760.000000000004</v>
      </c>
      <c r="T60" s="152">
        <f t="shared" si="14"/>
        <v>26640.000000000004</v>
      </c>
      <c r="U60" s="152">
        <f t="shared" si="15"/>
        <v>35520.000000000007</v>
      </c>
      <c r="V60" s="152">
        <f t="shared" si="16"/>
        <v>1463108.0200000003</v>
      </c>
      <c r="W60" s="152">
        <f>IF(OR(Y60=$AA$2,Y60=$AA$3,Y60=$AA$4),HLOOKUP(A60,Datos!$D$99:$K$104,5,0),0)*G60</f>
        <v>0</v>
      </c>
      <c r="X60" s="152">
        <f t="shared" si="4"/>
        <v>13875.000000000002</v>
      </c>
      <c r="Y60" s="152" t="str">
        <f t="shared" si="5"/>
        <v xml:space="preserve">MES 5 </v>
      </c>
      <c r="Z60">
        <f t="shared" si="6"/>
        <v>10</v>
      </c>
    </row>
    <row r="61" spans="1:26">
      <c r="A61" t="str">
        <f t="shared" si="23"/>
        <v>Cajero-2024</v>
      </c>
      <c r="B61">
        <v>2024</v>
      </c>
      <c r="C61" t="s">
        <v>379</v>
      </c>
      <c r="D61" t="s">
        <v>372</v>
      </c>
      <c r="E61" t="s">
        <v>371</v>
      </c>
      <c r="F61" s="151">
        <f t="shared" si="21"/>
        <v>1</v>
      </c>
      <c r="G61" s="151">
        <f t="shared" si="22"/>
        <v>1</v>
      </c>
      <c r="H61" s="152">
        <f>HLOOKUP(A61,Datos!$D$82:$K$86,5,0)</f>
        <v>1287600</v>
      </c>
      <c r="I61" s="152">
        <f>+HLOOKUP(A61,Datos!$D$91:$K$95,5,0)</f>
        <v>156072.66</v>
      </c>
      <c r="J61" s="152">
        <f t="shared" si="0"/>
        <v>1287600</v>
      </c>
      <c r="K61" s="152">
        <f t="shared" si="1"/>
        <v>156072.66</v>
      </c>
      <c r="L61" s="152">
        <f t="shared" si="8"/>
        <v>109446.00000000001</v>
      </c>
      <c r="M61" s="152">
        <f t="shared" si="9"/>
        <v>154512</v>
      </c>
      <c r="N61" s="152">
        <f t="shared" si="10"/>
        <v>6721.2719999999999</v>
      </c>
      <c r="O61" s="152">
        <f t="shared" si="11"/>
        <v>53650</v>
      </c>
      <c r="P61" s="152">
        <f t="shared" si="2"/>
        <v>107300</v>
      </c>
      <c r="Q61" s="152">
        <f t="shared" si="12"/>
        <v>53650</v>
      </c>
      <c r="R61" s="152">
        <f t="shared" si="3"/>
        <v>6438</v>
      </c>
      <c r="S61" s="152">
        <f t="shared" si="13"/>
        <v>25752</v>
      </c>
      <c r="T61" s="152">
        <f t="shared" si="14"/>
        <v>38628</v>
      </c>
      <c r="U61" s="152">
        <f t="shared" si="15"/>
        <v>51504</v>
      </c>
      <c r="V61" s="152">
        <f t="shared" si="16"/>
        <v>2051273.932</v>
      </c>
      <c r="W61" s="152">
        <f>IF(OR(Y61=$AA$2,Y61=$AA$3,Y61=$AA$4),HLOOKUP(A61,Datos!$D$100:$K$104,5,0),0)*G61</f>
        <v>0</v>
      </c>
      <c r="X61" s="152">
        <f t="shared" si="4"/>
        <v>41625.000000000007</v>
      </c>
      <c r="Y61" s="152" t="str">
        <f t="shared" si="5"/>
        <v xml:space="preserve">MES 5 </v>
      </c>
      <c r="Z61">
        <f t="shared" si="6"/>
        <v>10</v>
      </c>
    </row>
    <row r="62" spans="1:26">
      <c r="A62" t="str">
        <f t="shared" si="23"/>
        <v>Aux cocina-2024</v>
      </c>
      <c r="B62">
        <v>2024</v>
      </c>
      <c r="C62" t="s">
        <v>380</v>
      </c>
      <c r="D62" t="s">
        <v>368</v>
      </c>
      <c r="E62" t="s">
        <v>369</v>
      </c>
      <c r="F62" s="151">
        <f t="shared" si="21"/>
        <v>4</v>
      </c>
      <c r="G62" s="151">
        <f t="shared" si="22"/>
        <v>4</v>
      </c>
      <c r="H62" s="152">
        <f>+HLOOKUP(A62,Datos!$D$80:$K$84,5,0)</f>
        <v>1287600</v>
      </c>
      <c r="I62" s="152">
        <f>+HLOOKUP(A62,Datos!$D$89:$K$93,5,0)</f>
        <v>156072.66</v>
      </c>
      <c r="J62" s="152">
        <f t="shared" si="0"/>
        <v>5150400</v>
      </c>
      <c r="K62" s="152">
        <f t="shared" si="1"/>
        <v>624290.64</v>
      </c>
      <c r="L62" s="152">
        <f t="shared" si="8"/>
        <v>437784.00000000006</v>
      </c>
      <c r="M62" s="152">
        <f t="shared" si="9"/>
        <v>618048</v>
      </c>
      <c r="N62" s="152">
        <f t="shared" si="10"/>
        <v>26885.088</v>
      </c>
      <c r="O62" s="152">
        <f t="shared" si="11"/>
        <v>214600</v>
      </c>
      <c r="P62" s="152">
        <f t="shared" si="2"/>
        <v>429200</v>
      </c>
      <c r="Q62" s="152">
        <f t="shared" si="12"/>
        <v>214600</v>
      </c>
      <c r="R62" s="152">
        <f t="shared" si="3"/>
        <v>25752</v>
      </c>
      <c r="S62" s="152">
        <f t="shared" si="13"/>
        <v>103008</v>
      </c>
      <c r="T62" s="152">
        <f t="shared" si="14"/>
        <v>154512</v>
      </c>
      <c r="U62" s="152">
        <f t="shared" si="15"/>
        <v>206016</v>
      </c>
      <c r="V62" s="152">
        <f t="shared" si="16"/>
        <v>8205095.7280000001</v>
      </c>
      <c r="W62" s="152">
        <f>IF(OR(Y62=$AA$2,Y62=$AA$3,Y62=$AA$4),HLOOKUP(A62,Datos!$D$98:$K$102,5,0),0)*G62</f>
        <v>0</v>
      </c>
      <c r="X62" s="152">
        <f t="shared" si="4"/>
        <v>133200</v>
      </c>
      <c r="Y62" s="152" t="str">
        <f t="shared" si="5"/>
        <v xml:space="preserve">MES 6 </v>
      </c>
      <c r="Z62">
        <f t="shared" si="6"/>
        <v>10</v>
      </c>
    </row>
    <row r="63" spans="1:26">
      <c r="A63" t="str">
        <f t="shared" si="23"/>
        <v>Administrador-2024</v>
      </c>
      <c r="B63">
        <v>2024</v>
      </c>
      <c r="C63" t="s">
        <v>380</v>
      </c>
      <c r="D63" t="s">
        <v>370</v>
      </c>
      <c r="E63" t="s">
        <v>371</v>
      </c>
      <c r="F63" s="151">
        <f t="shared" si="21"/>
        <v>0.5</v>
      </c>
      <c r="G63" s="151">
        <f t="shared" si="22"/>
        <v>1</v>
      </c>
      <c r="H63" s="152">
        <f>+HLOOKUP(A63,Datos!$D$81:$K$85,5,0)</f>
        <v>1776000.0000000002</v>
      </c>
      <c r="I63" s="152">
        <f>+HLOOKUP(A63,Datos!$D$90:$K$94,5,0)</f>
        <v>156072.66</v>
      </c>
      <c r="J63" s="152">
        <f t="shared" si="0"/>
        <v>888000.00000000012</v>
      </c>
      <c r="K63" s="152">
        <f t="shared" si="1"/>
        <v>156072.66</v>
      </c>
      <c r="L63" s="152">
        <f t="shared" si="8"/>
        <v>75480.000000000015</v>
      </c>
      <c r="M63" s="152">
        <f t="shared" si="9"/>
        <v>106560.00000000001</v>
      </c>
      <c r="N63" s="152">
        <f t="shared" si="10"/>
        <v>4635.3600000000006</v>
      </c>
      <c r="O63" s="152">
        <f t="shared" si="11"/>
        <v>37000.000000000007</v>
      </c>
      <c r="P63" s="152">
        <f t="shared" si="2"/>
        <v>74000.000000000015</v>
      </c>
      <c r="Q63" s="152">
        <f t="shared" si="12"/>
        <v>37000.000000000007</v>
      </c>
      <c r="R63" s="152">
        <f t="shared" si="3"/>
        <v>4440.0000000000009</v>
      </c>
      <c r="S63" s="152">
        <f t="shared" si="13"/>
        <v>17760.000000000004</v>
      </c>
      <c r="T63" s="152">
        <f t="shared" si="14"/>
        <v>26640.000000000004</v>
      </c>
      <c r="U63" s="152">
        <f t="shared" si="15"/>
        <v>35520.000000000007</v>
      </c>
      <c r="V63" s="152">
        <f t="shared" si="16"/>
        <v>1463108.0200000003</v>
      </c>
      <c r="W63" s="152">
        <f>IF(OR(Y63=$AA$2,Y63=$AA$3,Y63=$AA$4),HLOOKUP(A63,Datos!$D$99:$K$104,5,0),0)*G63</f>
        <v>0</v>
      </c>
      <c r="X63" s="152">
        <f t="shared" si="4"/>
        <v>13875.000000000002</v>
      </c>
      <c r="Y63" s="152" t="str">
        <f t="shared" si="5"/>
        <v xml:space="preserve">MES 6 </v>
      </c>
      <c r="Z63">
        <f t="shared" si="6"/>
        <v>10</v>
      </c>
    </row>
    <row r="64" spans="1:26">
      <c r="A64" t="str">
        <f t="shared" si="23"/>
        <v>Cajero-2024</v>
      </c>
      <c r="B64">
        <v>2024</v>
      </c>
      <c r="C64" t="s">
        <v>380</v>
      </c>
      <c r="D64" t="s">
        <v>372</v>
      </c>
      <c r="E64" t="s">
        <v>371</v>
      </c>
      <c r="F64" s="151">
        <f t="shared" si="21"/>
        <v>1</v>
      </c>
      <c r="G64" s="151">
        <f t="shared" si="22"/>
        <v>1</v>
      </c>
      <c r="H64" s="152">
        <f>HLOOKUP(A64,Datos!$D$82:$K$86,5,0)</f>
        <v>1287600</v>
      </c>
      <c r="I64" s="152">
        <f>+HLOOKUP(A64,Datos!$D$91:$K$95,5,0)</f>
        <v>156072.66</v>
      </c>
      <c r="J64" s="152">
        <f t="shared" si="0"/>
        <v>1287600</v>
      </c>
      <c r="K64" s="152">
        <f t="shared" si="1"/>
        <v>156072.66</v>
      </c>
      <c r="L64" s="152">
        <f t="shared" si="8"/>
        <v>109446.00000000001</v>
      </c>
      <c r="M64" s="152">
        <f t="shared" si="9"/>
        <v>154512</v>
      </c>
      <c r="N64" s="152">
        <f t="shared" si="10"/>
        <v>6721.2719999999999</v>
      </c>
      <c r="O64" s="152">
        <f t="shared" si="11"/>
        <v>53650</v>
      </c>
      <c r="P64" s="152">
        <f t="shared" si="2"/>
        <v>107300</v>
      </c>
      <c r="Q64" s="152">
        <f t="shared" si="12"/>
        <v>53650</v>
      </c>
      <c r="R64" s="152">
        <f t="shared" si="3"/>
        <v>6438</v>
      </c>
      <c r="S64" s="152">
        <f t="shared" si="13"/>
        <v>25752</v>
      </c>
      <c r="T64" s="152">
        <f t="shared" si="14"/>
        <v>38628</v>
      </c>
      <c r="U64" s="152">
        <f t="shared" si="15"/>
        <v>51504</v>
      </c>
      <c r="V64" s="152">
        <f t="shared" si="16"/>
        <v>2051273.932</v>
      </c>
      <c r="W64" s="152">
        <f>IF(OR(Y64=$AA$2,Y64=$AA$3,Y64=$AA$4),HLOOKUP(A64,Datos!$D$100:$K$104,5,0),0)*G64</f>
        <v>0</v>
      </c>
      <c r="X64" s="152">
        <f t="shared" si="4"/>
        <v>41625.000000000007</v>
      </c>
      <c r="Y64" s="152" t="str">
        <f t="shared" si="5"/>
        <v xml:space="preserve">MES 6 </v>
      </c>
      <c r="Z64">
        <f t="shared" si="6"/>
        <v>10</v>
      </c>
    </row>
    <row r="65" spans="1:26">
      <c r="A65" t="str">
        <f t="shared" si="23"/>
        <v>Aux cocina-2024</v>
      </c>
      <c r="B65">
        <v>2024</v>
      </c>
      <c r="C65" t="s">
        <v>381</v>
      </c>
      <c r="D65" t="s">
        <v>368</v>
      </c>
      <c r="E65" t="s">
        <v>369</v>
      </c>
      <c r="F65" s="151">
        <f t="shared" si="21"/>
        <v>4</v>
      </c>
      <c r="G65" s="151">
        <f t="shared" si="22"/>
        <v>4</v>
      </c>
      <c r="H65" s="152">
        <f>+HLOOKUP(A65,Datos!$D$80:$K$84,5,0)</f>
        <v>1287600</v>
      </c>
      <c r="I65" s="152">
        <f>+HLOOKUP(A65,Datos!$D$89:$K$93,5,0)</f>
        <v>156072.66</v>
      </c>
      <c r="J65" s="152">
        <f t="shared" si="0"/>
        <v>5150400</v>
      </c>
      <c r="K65" s="152">
        <f t="shared" si="1"/>
        <v>624290.64</v>
      </c>
      <c r="L65" s="152">
        <f t="shared" si="8"/>
        <v>437784.00000000006</v>
      </c>
      <c r="M65" s="152">
        <f t="shared" si="9"/>
        <v>618048</v>
      </c>
      <c r="N65" s="152">
        <f t="shared" si="10"/>
        <v>26885.088</v>
      </c>
      <c r="O65" s="152">
        <f t="shared" si="11"/>
        <v>214600</v>
      </c>
      <c r="P65" s="152">
        <f t="shared" si="2"/>
        <v>429200</v>
      </c>
      <c r="Q65" s="152">
        <f t="shared" si="12"/>
        <v>214600</v>
      </c>
      <c r="R65" s="152">
        <f t="shared" si="3"/>
        <v>25752</v>
      </c>
      <c r="S65" s="152">
        <f t="shared" si="13"/>
        <v>103008</v>
      </c>
      <c r="T65" s="152">
        <f t="shared" si="14"/>
        <v>154512</v>
      </c>
      <c r="U65" s="152">
        <f t="shared" si="15"/>
        <v>206016</v>
      </c>
      <c r="V65" s="152">
        <f t="shared" si="16"/>
        <v>8205095.7280000001</v>
      </c>
      <c r="W65" s="152">
        <f>IF(OR(Y65=$AA$2,Y65=$AA$3,Y65=$AA$4),HLOOKUP(A65,Datos!$D$98:$K$102,5,0),0)*G65</f>
        <v>0</v>
      </c>
      <c r="X65" s="152">
        <f t="shared" si="4"/>
        <v>133200</v>
      </c>
      <c r="Y65" s="152" t="str">
        <f t="shared" si="5"/>
        <v xml:space="preserve">MES 7 </v>
      </c>
      <c r="Z65">
        <f t="shared" si="6"/>
        <v>10</v>
      </c>
    </row>
    <row r="66" spans="1:26">
      <c r="A66" t="str">
        <f t="shared" si="23"/>
        <v>Administrador-2024</v>
      </c>
      <c r="B66">
        <v>2024</v>
      </c>
      <c r="C66" t="s">
        <v>381</v>
      </c>
      <c r="D66" t="s">
        <v>370</v>
      </c>
      <c r="E66" t="s">
        <v>371</v>
      </c>
      <c r="F66" s="151">
        <f t="shared" si="21"/>
        <v>0.5</v>
      </c>
      <c r="G66" s="151">
        <f t="shared" si="22"/>
        <v>1</v>
      </c>
      <c r="H66" s="152">
        <f>+HLOOKUP(A66,Datos!$D$81:$K$85,5,0)</f>
        <v>1776000.0000000002</v>
      </c>
      <c r="I66" s="152">
        <f>+HLOOKUP(A66,Datos!$D$90:$K$94,5,0)</f>
        <v>156072.66</v>
      </c>
      <c r="J66" s="152">
        <f t="shared" ref="J66:J129" si="24">+F66*H66</f>
        <v>888000.00000000012</v>
      </c>
      <c r="K66" s="152">
        <f t="shared" ref="K66:K129" si="25">+G66*I66</f>
        <v>156072.66</v>
      </c>
      <c r="L66" s="152">
        <f t="shared" si="8"/>
        <v>75480.000000000015</v>
      </c>
      <c r="M66" s="152">
        <f t="shared" si="9"/>
        <v>106560.00000000001</v>
      </c>
      <c r="N66" s="152">
        <f t="shared" si="10"/>
        <v>4635.3600000000006</v>
      </c>
      <c r="O66" s="152">
        <f t="shared" si="11"/>
        <v>37000.000000000007</v>
      </c>
      <c r="P66" s="152">
        <f t="shared" ref="P66:P129" si="26">+J66/12</f>
        <v>74000.000000000015</v>
      </c>
      <c r="Q66" s="152">
        <f t="shared" si="12"/>
        <v>37000.000000000007</v>
      </c>
      <c r="R66" s="152">
        <f t="shared" ref="R66:R129" si="27">+Q66*12%</f>
        <v>4440.0000000000009</v>
      </c>
      <c r="S66" s="152">
        <f t="shared" si="13"/>
        <v>17760.000000000004</v>
      </c>
      <c r="T66" s="152">
        <f t="shared" si="14"/>
        <v>26640.000000000004</v>
      </c>
      <c r="U66" s="152">
        <f t="shared" si="15"/>
        <v>35520.000000000007</v>
      </c>
      <c r="V66" s="152">
        <f t="shared" si="16"/>
        <v>1463108.0200000003</v>
      </c>
      <c r="W66" s="152">
        <f>IF(OR(Y66=$AA$2,Y66=$AA$3,Y66=$AA$4),HLOOKUP(A66,Datos!$D$99:$K$104,5,0),0)*G66</f>
        <v>0</v>
      </c>
      <c r="X66" s="152">
        <f t="shared" ref="X66:X129" si="28">+SUMIF(A:A,A66,W:W)/12</f>
        <v>13875.000000000002</v>
      </c>
      <c r="Y66" s="152" t="str">
        <f t="shared" ref="Y66:Y129" si="29">+IF(LEN(Z66)=10,LEFT(C66,5),LEFT(C66,6))</f>
        <v xml:space="preserve">MES 7 </v>
      </c>
      <c r="Z66">
        <f t="shared" ref="Z66:Z129" si="30">+LEN(C66)</f>
        <v>10</v>
      </c>
    </row>
    <row r="67" spans="1:26">
      <c r="A67" t="str">
        <f t="shared" si="23"/>
        <v>Cajero-2024</v>
      </c>
      <c r="B67">
        <v>2024</v>
      </c>
      <c r="C67" t="s">
        <v>381</v>
      </c>
      <c r="D67" t="s">
        <v>372</v>
      </c>
      <c r="E67" t="s">
        <v>371</v>
      </c>
      <c r="F67" s="151">
        <f t="shared" si="21"/>
        <v>1</v>
      </c>
      <c r="G67" s="151">
        <f t="shared" si="22"/>
        <v>1</v>
      </c>
      <c r="H67" s="152">
        <f>HLOOKUP(A67,Datos!$D$82:$K$86,5,0)</f>
        <v>1287600</v>
      </c>
      <c r="I67" s="152">
        <f>+HLOOKUP(A67,Datos!$D$91:$K$95,5,0)</f>
        <v>156072.66</v>
      </c>
      <c r="J67" s="152">
        <f t="shared" si="24"/>
        <v>1287600</v>
      </c>
      <c r="K67" s="152">
        <f t="shared" si="25"/>
        <v>156072.66</v>
      </c>
      <c r="L67" s="152">
        <f t="shared" ref="L67:L130" si="31">+J67*8.5%</f>
        <v>109446.00000000001</v>
      </c>
      <c r="M67" s="152">
        <f t="shared" ref="M67:M130" si="32">+J67*12%</f>
        <v>154512</v>
      </c>
      <c r="N67" s="152">
        <f t="shared" ref="N67:N130" si="33">+J67*0.522%</f>
        <v>6721.2719999999999</v>
      </c>
      <c r="O67" s="152">
        <f t="shared" ref="O67:O130" si="34">+J67/30*1.25</f>
        <v>53650</v>
      </c>
      <c r="P67" s="152">
        <f t="shared" si="26"/>
        <v>107300</v>
      </c>
      <c r="Q67" s="152">
        <f t="shared" ref="Q67:Q130" si="35">+J67/30*1.25</f>
        <v>53650</v>
      </c>
      <c r="R67" s="152">
        <f t="shared" si="27"/>
        <v>6438</v>
      </c>
      <c r="S67" s="152">
        <f t="shared" ref="S67:S130" si="36">+J67*2%</f>
        <v>25752</v>
      </c>
      <c r="T67" s="152">
        <f t="shared" ref="T67:T130" si="37">+J67*3%</f>
        <v>38628</v>
      </c>
      <c r="U67" s="152">
        <f t="shared" ref="U67:U130" si="38">+J67*4%</f>
        <v>51504</v>
      </c>
      <c r="V67" s="152">
        <f t="shared" ref="V67:V130" si="39">+SUM(J67:U67)</f>
        <v>2051273.932</v>
      </c>
      <c r="W67" s="152">
        <f>IF(OR(Y67=$AA$2,Y67=$AA$3,Y67=$AA$4),HLOOKUP(A67,Datos!$D$100:$K$104,5,0),0)*G67</f>
        <v>0</v>
      </c>
      <c r="X67" s="152">
        <f t="shared" si="28"/>
        <v>41625.000000000007</v>
      </c>
      <c r="Y67" s="152" t="str">
        <f t="shared" si="29"/>
        <v xml:space="preserve">MES 7 </v>
      </c>
      <c r="Z67">
        <f t="shared" si="30"/>
        <v>10</v>
      </c>
    </row>
    <row r="68" spans="1:26">
      <c r="A68" t="str">
        <f t="shared" si="23"/>
        <v>Aux cocina-2024</v>
      </c>
      <c r="B68">
        <v>2024</v>
      </c>
      <c r="C68" t="s">
        <v>382</v>
      </c>
      <c r="D68" t="s">
        <v>368</v>
      </c>
      <c r="E68" t="s">
        <v>369</v>
      </c>
      <c r="F68" s="151">
        <f t="shared" si="21"/>
        <v>4</v>
      </c>
      <c r="G68" s="151">
        <f t="shared" si="22"/>
        <v>4</v>
      </c>
      <c r="H68" s="152">
        <f>+HLOOKUP(A68,Datos!$D$80:$K$84,5,0)</f>
        <v>1287600</v>
      </c>
      <c r="I68" s="152">
        <f>+HLOOKUP(A68,Datos!$D$89:$K$93,5,0)</f>
        <v>156072.66</v>
      </c>
      <c r="J68" s="152">
        <f t="shared" si="24"/>
        <v>5150400</v>
      </c>
      <c r="K68" s="152">
        <f t="shared" si="25"/>
        <v>624290.64</v>
      </c>
      <c r="L68" s="152">
        <f t="shared" si="31"/>
        <v>437784.00000000006</v>
      </c>
      <c r="M68" s="152">
        <f t="shared" si="32"/>
        <v>618048</v>
      </c>
      <c r="N68" s="152">
        <f t="shared" si="33"/>
        <v>26885.088</v>
      </c>
      <c r="O68" s="152">
        <f t="shared" si="34"/>
        <v>214600</v>
      </c>
      <c r="P68" s="152">
        <f t="shared" si="26"/>
        <v>429200</v>
      </c>
      <c r="Q68" s="152">
        <f t="shared" si="35"/>
        <v>214600</v>
      </c>
      <c r="R68" s="152">
        <f t="shared" si="27"/>
        <v>25752</v>
      </c>
      <c r="S68" s="152">
        <f t="shared" si="36"/>
        <v>103008</v>
      </c>
      <c r="T68" s="152">
        <f t="shared" si="37"/>
        <v>154512</v>
      </c>
      <c r="U68" s="152">
        <f t="shared" si="38"/>
        <v>206016</v>
      </c>
      <c r="V68" s="152">
        <f t="shared" si="39"/>
        <v>8205095.7280000001</v>
      </c>
      <c r="W68" s="152">
        <f>IF(OR(Y68=$AA$2,Y68=$AA$3,Y68=$AA$4),HLOOKUP(A68,Datos!$D$98:$K$102,5,0),0)*G68</f>
        <v>532800</v>
      </c>
      <c r="X68" s="152">
        <f t="shared" si="28"/>
        <v>133200</v>
      </c>
      <c r="Y68" s="152" t="str">
        <f t="shared" si="29"/>
        <v xml:space="preserve">MES 8 </v>
      </c>
      <c r="Z68">
        <f t="shared" si="30"/>
        <v>10</v>
      </c>
    </row>
    <row r="69" spans="1:26">
      <c r="A69" t="str">
        <f t="shared" si="23"/>
        <v>Administrador-2024</v>
      </c>
      <c r="B69">
        <v>2024</v>
      </c>
      <c r="C69" t="s">
        <v>382</v>
      </c>
      <c r="D69" t="s">
        <v>370</v>
      </c>
      <c r="E69" t="s">
        <v>371</v>
      </c>
      <c r="F69" s="151">
        <f t="shared" si="21"/>
        <v>0.5</v>
      </c>
      <c r="G69" s="151">
        <f t="shared" si="22"/>
        <v>1</v>
      </c>
      <c r="H69" s="152">
        <f>+HLOOKUP(A69,Datos!$D$81:$K$85,5,0)</f>
        <v>1776000.0000000002</v>
      </c>
      <c r="I69" s="152">
        <f>+HLOOKUP(A69,Datos!$D$90:$K$94,5,0)</f>
        <v>156072.66</v>
      </c>
      <c r="J69" s="152">
        <f t="shared" si="24"/>
        <v>888000.00000000012</v>
      </c>
      <c r="K69" s="152">
        <f t="shared" si="25"/>
        <v>156072.66</v>
      </c>
      <c r="L69" s="152">
        <f t="shared" si="31"/>
        <v>75480.000000000015</v>
      </c>
      <c r="M69" s="152">
        <f t="shared" si="32"/>
        <v>106560.00000000001</v>
      </c>
      <c r="N69" s="152">
        <f t="shared" si="33"/>
        <v>4635.3600000000006</v>
      </c>
      <c r="O69" s="152">
        <f t="shared" si="34"/>
        <v>37000.000000000007</v>
      </c>
      <c r="P69" s="152">
        <f t="shared" si="26"/>
        <v>74000.000000000015</v>
      </c>
      <c r="Q69" s="152">
        <f t="shared" si="35"/>
        <v>37000.000000000007</v>
      </c>
      <c r="R69" s="152">
        <f t="shared" si="27"/>
        <v>4440.0000000000009</v>
      </c>
      <c r="S69" s="152">
        <f t="shared" si="36"/>
        <v>17760.000000000004</v>
      </c>
      <c r="T69" s="152">
        <f t="shared" si="37"/>
        <v>26640.000000000004</v>
      </c>
      <c r="U69" s="152">
        <f t="shared" si="38"/>
        <v>35520.000000000007</v>
      </c>
      <c r="V69" s="152">
        <f t="shared" si="39"/>
        <v>1463108.0200000003</v>
      </c>
      <c r="W69" s="152">
        <f>IF(OR(Y69=$AA$2,Y69=$AA$3,Y69=$AA$4),HLOOKUP(A69,Datos!$D$99:$K$104,5,0),0)*G69</f>
        <v>55500.000000000007</v>
      </c>
      <c r="X69" s="152">
        <f t="shared" si="28"/>
        <v>13875.000000000002</v>
      </c>
      <c r="Y69" s="152" t="str">
        <f t="shared" si="29"/>
        <v xml:space="preserve">MES 8 </v>
      </c>
      <c r="Z69">
        <f t="shared" si="30"/>
        <v>10</v>
      </c>
    </row>
    <row r="70" spans="1:26">
      <c r="A70" t="str">
        <f t="shared" si="23"/>
        <v>Cajero-2024</v>
      </c>
      <c r="B70">
        <v>2024</v>
      </c>
      <c r="C70" t="s">
        <v>382</v>
      </c>
      <c r="D70" t="s">
        <v>372</v>
      </c>
      <c r="E70" t="s">
        <v>371</v>
      </c>
      <c r="F70" s="151">
        <f t="shared" si="21"/>
        <v>1</v>
      </c>
      <c r="G70" s="151">
        <f t="shared" si="22"/>
        <v>1</v>
      </c>
      <c r="H70" s="152">
        <f>HLOOKUP(A70,Datos!$D$82:$K$86,5,0)</f>
        <v>1287600</v>
      </c>
      <c r="I70" s="152">
        <f>+HLOOKUP(A70,Datos!$D$91:$K$95,5,0)</f>
        <v>156072.66</v>
      </c>
      <c r="J70" s="152">
        <f t="shared" si="24"/>
        <v>1287600</v>
      </c>
      <c r="K70" s="152">
        <f t="shared" si="25"/>
        <v>156072.66</v>
      </c>
      <c r="L70" s="152">
        <f t="shared" si="31"/>
        <v>109446.00000000001</v>
      </c>
      <c r="M70" s="152">
        <f t="shared" si="32"/>
        <v>154512</v>
      </c>
      <c r="N70" s="152">
        <f t="shared" si="33"/>
        <v>6721.2719999999999</v>
      </c>
      <c r="O70" s="152">
        <f t="shared" si="34"/>
        <v>53650</v>
      </c>
      <c r="P70" s="152">
        <f t="shared" si="26"/>
        <v>107300</v>
      </c>
      <c r="Q70" s="152">
        <f t="shared" si="35"/>
        <v>53650</v>
      </c>
      <c r="R70" s="152">
        <f t="shared" si="27"/>
        <v>6438</v>
      </c>
      <c r="S70" s="152">
        <f t="shared" si="36"/>
        <v>25752</v>
      </c>
      <c r="T70" s="152">
        <f t="shared" si="37"/>
        <v>38628</v>
      </c>
      <c r="U70" s="152">
        <f t="shared" si="38"/>
        <v>51504</v>
      </c>
      <c r="V70" s="152">
        <f t="shared" si="39"/>
        <v>2051273.932</v>
      </c>
      <c r="W70" s="152">
        <f>IF(OR(Y70=$AA$2,Y70=$AA$3,Y70=$AA$4),HLOOKUP(A70,Datos!$D$100:$K$104,5,0),0)*G70</f>
        <v>166500.00000000003</v>
      </c>
      <c r="X70" s="152">
        <f t="shared" si="28"/>
        <v>41625.000000000007</v>
      </c>
      <c r="Y70" s="152" t="str">
        <f t="shared" si="29"/>
        <v xml:space="preserve">MES 8 </v>
      </c>
      <c r="Z70">
        <f t="shared" si="30"/>
        <v>10</v>
      </c>
    </row>
    <row r="71" spans="1:26">
      <c r="A71" t="str">
        <f t="shared" si="23"/>
        <v>Aux cocina-2024</v>
      </c>
      <c r="B71">
        <v>2024</v>
      </c>
      <c r="C71" t="s">
        <v>383</v>
      </c>
      <c r="D71" t="s">
        <v>368</v>
      </c>
      <c r="E71" t="s">
        <v>369</v>
      </c>
      <c r="F71" s="151">
        <f t="shared" si="21"/>
        <v>4</v>
      </c>
      <c r="G71" s="151">
        <f t="shared" si="22"/>
        <v>4</v>
      </c>
      <c r="H71" s="152">
        <f>+HLOOKUP(A71,Datos!$D$80:$K$84,5,0)</f>
        <v>1287600</v>
      </c>
      <c r="I71" s="152">
        <f>+HLOOKUP(A71,Datos!$D$89:$K$93,5,0)</f>
        <v>156072.66</v>
      </c>
      <c r="J71" s="152">
        <f t="shared" si="24"/>
        <v>5150400</v>
      </c>
      <c r="K71" s="152">
        <f t="shared" si="25"/>
        <v>624290.64</v>
      </c>
      <c r="L71" s="152">
        <f t="shared" si="31"/>
        <v>437784.00000000006</v>
      </c>
      <c r="M71" s="152">
        <f t="shared" si="32"/>
        <v>618048</v>
      </c>
      <c r="N71" s="152">
        <f t="shared" si="33"/>
        <v>26885.088</v>
      </c>
      <c r="O71" s="152">
        <f t="shared" si="34"/>
        <v>214600</v>
      </c>
      <c r="P71" s="152">
        <f t="shared" si="26"/>
        <v>429200</v>
      </c>
      <c r="Q71" s="152">
        <f t="shared" si="35"/>
        <v>214600</v>
      </c>
      <c r="R71" s="152">
        <f t="shared" si="27"/>
        <v>25752</v>
      </c>
      <c r="S71" s="152">
        <f t="shared" si="36"/>
        <v>103008</v>
      </c>
      <c r="T71" s="152">
        <f t="shared" si="37"/>
        <v>154512</v>
      </c>
      <c r="U71" s="152">
        <f t="shared" si="38"/>
        <v>206016</v>
      </c>
      <c r="V71" s="152">
        <f t="shared" si="39"/>
        <v>8205095.7280000001</v>
      </c>
      <c r="W71" s="152">
        <f>IF(OR(Y71=$AA$2,Y71=$AA$3,Y71=$AA$4),HLOOKUP(A71,Datos!$D$98:$K$102,5,0),0)*G71</f>
        <v>0</v>
      </c>
      <c r="X71" s="152">
        <f t="shared" si="28"/>
        <v>133200</v>
      </c>
      <c r="Y71" s="152" t="str">
        <f t="shared" si="29"/>
        <v xml:space="preserve">MES 9 </v>
      </c>
      <c r="Z71">
        <f t="shared" si="30"/>
        <v>10</v>
      </c>
    </row>
    <row r="72" spans="1:26">
      <c r="A72" t="str">
        <f t="shared" si="23"/>
        <v>Administrador-2024</v>
      </c>
      <c r="B72">
        <v>2024</v>
      </c>
      <c r="C72" t="s">
        <v>383</v>
      </c>
      <c r="D72" t="s">
        <v>370</v>
      </c>
      <c r="E72" t="s">
        <v>371</v>
      </c>
      <c r="F72" s="151">
        <f t="shared" ref="F72:F73" si="40">+F69</f>
        <v>0.5</v>
      </c>
      <c r="G72" s="151">
        <f t="shared" si="22"/>
        <v>1</v>
      </c>
      <c r="H72" s="152">
        <f>+HLOOKUP(A72,Datos!$D$81:$K$85,5,0)</f>
        <v>1776000.0000000002</v>
      </c>
      <c r="I72" s="152">
        <f>+HLOOKUP(A72,Datos!$D$90:$K$94,5,0)</f>
        <v>156072.66</v>
      </c>
      <c r="J72" s="152">
        <f t="shared" si="24"/>
        <v>888000.00000000012</v>
      </c>
      <c r="K72" s="152">
        <f t="shared" si="25"/>
        <v>156072.66</v>
      </c>
      <c r="L72" s="152">
        <f t="shared" si="31"/>
        <v>75480.000000000015</v>
      </c>
      <c r="M72" s="152">
        <f t="shared" si="32"/>
        <v>106560.00000000001</v>
      </c>
      <c r="N72" s="152">
        <f t="shared" si="33"/>
        <v>4635.3600000000006</v>
      </c>
      <c r="O72" s="152">
        <f t="shared" si="34"/>
        <v>37000.000000000007</v>
      </c>
      <c r="P72" s="152">
        <f t="shared" si="26"/>
        <v>74000.000000000015</v>
      </c>
      <c r="Q72" s="152">
        <f t="shared" si="35"/>
        <v>37000.000000000007</v>
      </c>
      <c r="R72" s="152">
        <f t="shared" si="27"/>
        <v>4440.0000000000009</v>
      </c>
      <c r="S72" s="152">
        <f t="shared" si="36"/>
        <v>17760.000000000004</v>
      </c>
      <c r="T72" s="152">
        <f t="shared" si="37"/>
        <v>26640.000000000004</v>
      </c>
      <c r="U72" s="152">
        <f t="shared" si="38"/>
        <v>35520.000000000007</v>
      </c>
      <c r="V72" s="152">
        <f t="shared" si="39"/>
        <v>1463108.0200000003</v>
      </c>
      <c r="W72" s="152">
        <f>IF(OR(Y72=$AA$2,Y72=$AA$3,Y72=$AA$4),HLOOKUP(A72,Datos!$D$99:$K$104,5,0),0)*G72</f>
        <v>0</v>
      </c>
      <c r="X72" s="152">
        <f t="shared" si="28"/>
        <v>13875.000000000002</v>
      </c>
      <c r="Y72" s="152" t="str">
        <f t="shared" si="29"/>
        <v xml:space="preserve">MES 9 </v>
      </c>
      <c r="Z72">
        <f t="shared" si="30"/>
        <v>10</v>
      </c>
    </row>
    <row r="73" spans="1:26">
      <c r="A73" t="str">
        <f t="shared" si="23"/>
        <v>Cajero-2024</v>
      </c>
      <c r="B73">
        <v>2024</v>
      </c>
      <c r="C73" t="s">
        <v>383</v>
      </c>
      <c r="D73" t="s">
        <v>372</v>
      </c>
      <c r="E73" t="s">
        <v>371</v>
      </c>
      <c r="F73" s="151">
        <f t="shared" si="40"/>
        <v>1</v>
      </c>
      <c r="G73" s="151">
        <f t="shared" si="22"/>
        <v>1</v>
      </c>
      <c r="H73" s="152">
        <f>HLOOKUP(A73,Datos!$D$82:$K$86,5,0)</f>
        <v>1287600</v>
      </c>
      <c r="I73" s="152">
        <f>+HLOOKUP(A73,Datos!$D$91:$K$95,5,0)</f>
        <v>156072.66</v>
      </c>
      <c r="J73" s="152">
        <f t="shared" si="24"/>
        <v>1287600</v>
      </c>
      <c r="K73" s="152">
        <f t="shared" si="25"/>
        <v>156072.66</v>
      </c>
      <c r="L73" s="152">
        <f t="shared" si="31"/>
        <v>109446.00000000001</v>
      </c>
      <c r="M73" s="152">
        <f t="shared" si="32"/>
        <v>154512</v>
      </c>
      <c r="N73" s="152">
        <f t="shared" si="33"/>
        <v>6721.2719999999999</v>
      </c>
      <c r="O73" s="152">
        <f t="shared" si="34"/>
        <v>53650</v>
      </c>
      <c r="P73" s="152">
        <f t="shared" si="26"/>
        <v>107300</v>
      </c>
      <c r="Q73" s="152">
        <f t="shared" si="35"/>
        <v>53650</v>
      </c>
      <c r="R73" s="152">
        <f t="shared" si="27"/>
        <v>6438</v>
      </c>
      <c r="S73" s="152">
        <f t="shared" si="36"/>
        <v>25752</v>
      </c>
      <c r="T73" s="152">
        <f t="shared" si="37"/>
        <v>38628</v>
      </c>
      <c r="U73" s="152">
        <f t="shared" si="38"/>
        <v>51504</v>
      </c>
      <c r="V73" s="152">
        <f t="shared" si="39"/>
        <v>2051273.932</v>
      </c>
      <c r="W73" s="152">
        <f>IF(OR(Y73=$AA$2,Y73=$AA$3,Y73=$AA$4),HLOOKUP(A73,Datos!$D$100:$K$104,5,0),0)*G73</f>
        <v>0</v>
      </c>
      <c r="X73" s="152">
        <f t="shared" si="28"/>
        <v>41625.000000000007</v>
      </c>
      <c r="Y73" s="152" t="str">
        <f t="shared" si="29"/>
        <v xml:space="preserve">MES 9 </v>
      </c>
      <c r="Z73">
        <f t="shared" si="30"/>
        <v>10</v>
      </c>
    </row>
    <row r="74" spans="1:26">
      <c r="A74" t="str">
        <f t="shared" si="23"/>
        <v>Aux cocina-2025</v>
      </c>
      <c r="B74">
        <v>2025</v>
      </c>
      <c r="C74" t="s">
        <v>384</v>
      </c>
      <c r="D74" t="s">
        <v>368</v>
      </c>
      <c r="E74" t="s">
        <v>369</v>
      </c>
      <c r="F74" s="151">
        <v>5</v>
      </c>
      <c r="G74" s="151">
        <v>5</v>
      </c>
      <c r="H74" s="152">
        <f>+HLOOKUP(A74,Datos!$D$80:$K$84,5,0)</f>
        <v>1416360</v>
      </c>
      <c r="I74" s="152">
        <f>+HLOOKUP(A74,Datos!$D$89:$K$93,5,0)</f>
        <v>171679.92600000001</v>
      </c>
      <c r="J74" s="152">
        <f t="shared" si="24"/>
        <v>7081800</v>
      </c>
      <c r="K74" s="152">
        <f t="shared" si="25"/>
        <v>858399.63</v>
      </c>
      <c r="L74" s="152">
        <f t="shared" si="31"/>
        <v>601953</v>
      </c>
      <c r="M74" s="152">
        <f t="shared" si="32"/>
        <v>849816</v>
      </c>
      <c r="N74" s="152">
        <f t="shared" si="33"/>
        <v>36966.995999999999</v>
      </c>
      <c r="O74" s="152">
        <f t="shared" si="34"/>
        <v>295075</v>
      </c>
      <c r="P74" s="152">
        <f t="shared" si="26"/>
        <v>590150</v>
      </c>
      <c r="Q74" s="152">
        <f t="shared" si="35"/>
        <v>295075</v>
      </c>
      <c r="R74" s="152">
        <f t="shared" si="27"/>
        <v>35409</v>
      </c>
      <c r="S74" s="152">
        <f t="shared" si="36"/>
        <v>141636</v>
      </c>
      <c r="T74" s="152">
        <f t="shared" si="37"/>
        <v>212454</v>
      </c>
      <c r="U74" s="152">
        <f t="shared" si="38"/>
        <v>283272</v>
      </c>
      <c r="V74" s="152">
        <f t="shared" si="39"/>
        <v>11282006.625999998</v>
      </c>
      <c r="W74" s="152">
        <f>IF(OR(Y74=$AA$2,Y74=$AA$3,Y74=$AA$4),HLOOKUP(A74,Datos!$D$98:$K$102,5,0),0)*G74</f>
        <v>0</v>
      </c>
      <c r="X74" s="152">
        <f t="shared" si="28"/>
        <v>183150</v>
      </c>
      <c r="Y74" s="152" t="str">
        <f t="shared" si="29"/>
        <v xml:space="preserve">MES 1 </v>
      </c>
      <c r="Z74">
        <f t="shared" si="30"/>
        <v>10</v>
      </c>
    </row>
    <row r="75" spans="1:26">
      <c r="A75" t="str">
        <f t="shared" si="23"/>
        <v>Administrador-2025</v>
      </c>
      <c r="B75">
        <v>2025</v>
      </c>
      <c r="C75" t="s">
        <v>384</v>
      </c>
      <c r="D75" t="s">
        <v>370</v>
      </c>
      <c r="E75" t="s">
        <v>371</v>
      </c>
      <c r="F75" s="151">
        <f t="shared" ref="F75:G94" si="41">+F72</f>
        <v>0.5</v>
      </c>
      <c r="G75" s="151">
        <f t="shared" si="41"/>
        <v>1</v>
      </c>
      <c r="H75" s="152">
        <f>+HLOOKUP(A75,Datos!$D$81:$K$85,5,0)</f>
        <v>1953600.0000000005</v>
      </c>
      <c r="I75" s="152">
        <f>+HLOOKUP(A75,Datos!$D$90:$K$94,5,0)</f>
        <v>171679.92600000001</v>
      </c>
      <c r="J75" s="152">
        <f t="shared" si="24"/>
        <v>976800.00000000023</v>
      </c>
      <c r="K75" s="152">
        <f t="shared" si="25"/>
        <v>171679.92600000001</v>
      </c>
      <c r="L75" s="152">
        <f t="shared" si="31"/>
        <v>83028.000000000029</v>
      </c>
      <c r="M75" s="152">
        <f t="shared" si="32"/>
        <v>117216.00000000003</v>
      </c>
      <c r="N75" s="152">
        <f t="shared" si="33"/>
        <v>5098.8960000000006</v>
      </c>
      <c r="O75" s="152">
        <f t="shared" si="34"/>
        <v>40700.000000000007</v>
      </c>
      <c r="P75" s="152">
        <f t="shared" si="26"/>
        <v>81400.000000000015</v>
      </c>
      <c r="Q75" s="152">
        <f t="shared" si="35"/>
        <v>40700.000000000007</v>
      </c>
      <c r="R75" s="152">
        <f t="shared" si="27"/>
        <v>4884.0000000000009</v>
      </c>
      <c r="S75" s="152">
        <f t="shared" si="36"/>
        <v>19536.000000000004</v>
      </c>
      <c r="T75" s="152">
        <f t="shared" si="37"/>
        <v>29304.000000000007</v>
      </c>
      <c r="U75" s="152">
        <f t="shared" si="38"/>
        <v>39072.000000000007</v>
      </c>
      <c r="V75" s="152">
        <f t="shared" si="39"/>
        <v>1609418.8220000002</v>
      </c>
      <c r="W75" s="152">
        <f>IF(OR(Y75=$AA$2,Y75=$AA$3,Y75=$AA$4),HLOOKUP(A75,Datos!$D$99:$K$104,5,0),0)*G75</f>
        <v>0</v>
      </c>
      <c r="X75" s="152">
        <f t="shared" si="28"/>
        <v>15262.500000000005</v>
      </c>
      <c r="Y75" s="152" t="str">
        <f t="shared" si="29"/>
        <v xml:space="preserve">MES 1 </v>
      </c>
      <c r="Z75">
        <f t="shared" si="30"/>
        <v>10</v>
      </c>
    </row>
    <row r="76" spans="1:26">
      <c r="A76" t="str">
        <f t="shared" si="23"/>
        <v>Cajero-2025</v>
      </c>
      <c r="B76">
        <v>2025</v>
      </c>
      <c r="C76" t="s">
        <v>384</v>
      </c>
      <c r="D76" t="s">
        <v>372</v>
      </c>
      <c r="E76" t="s">
        <v>371</v>
      </c>
      <c r="F76" s="151">
        <f t="shared" si="41"/>
        <v>1</v>
      </c>
      <c r="G76" s="151">
        <f t="shared" si="41"/>
        <v>1</v>
      </c>
      <c r="H76" s="152">
        <f>HLOOKUP(A76,Datos!$D$82:$K$86,5,0)</f>
        <v>1416360</v>
      </c>
      <c r="I76" s="152">
        <f>+HLOOKUP(A76,Datos!$D$91:$K$95,5,0)</f>
        <v>171679.92600000001</v>
      </c>
      <c r="J76" s="152">
        <f t="shared" si="24"/>
        <v>1416360</v>
      </c>
      <c r="K76" s="152">
        <f t="shared" si="25"/>
        <v>171679.92600000001</v>
      </c>
      <c r="L76" s="152">
        <f t="shared" si="31"/>
        <v>120390.6</v>
      </c>
      <c r="M76" s="152">
        <f t="shared" si="32"/>
        <v>169963.19999999998</v>
      </c>
      <c r="N76" s="152">
        <f t="shared" si="33"/>
        <v>7393.3991999999998</v>
      </c>
      <c r="O76" s="152">
        <f t="shared" si="34"/>
        <v>59015</v>
      </c>
      <c r="P76" s="152">
        <f t="shared" si="26"/>
        <v>118030</v>
      </c>
      <c r="Q76" s="152">
        <f t="shared" si="35"/>
        <v>59015</v>
      </c>
      <c r="R76" s="152">
        <f t="shared" si="27"/>
        <v>7081.8</v>
      </c>
      <c r="S76" s="152">
        <f t="shared" si="36"/>
        <v>28327.200000000001</v>
      </c>
      <c r="T76" s="152">
        <f t="shared" si="37"/>
        <v>42490.799999999996</v>
      </c>
      <c r="U76" s="152">
        <f t="shared" si="38"/>
        <v>56654.400000000001</v>
      </c>
      <c r="V76" s="152">
        <f t="shared" si="39"/>
        <v>2256401.3251999998</v>
      </c>
      <c r="W76" s="152">
        <f>IF(OR(Y76=$AA$2,Y76=$AA$3,Y76=$AA$4),HLOOKUP(A76,Datos!$D$100:$K$104,5,0),0)*G76</f>
        <v>0</v>
      </c>
      <c r="X76" s="152">
        <f t="shared" si="28"/>
        <v>45787.500000000022</v>
      </c>
      <c r="Y76" s="152" t="str">
        <f t="shared" si="29"/>
        <v xml:space="preserve">MES 1 </v>
      </c>
      <c r="Z76">
        <f t="shared" si="30"/>
        <v>10</v>
      </c>
    </row>
    <row r="77" spans="1:26">
      <c r="A77" t="str">
        <f t="shared" si="23"/>
        <v>Aux cocina-2025</v>
      </c>
      <c r="B77">
        <v>2025</v>
      </c>
      <c r="C77" t="s">
        <v>385</v>
      </c>
      <c r="D77" t="s">
        <v>368</v>
      </c>
      <c r="E77" t="s">
        <v>369</v>
      </c>
      <c r="F77" s="151">
        <f t="shared" si="41"/>
        <v>5</v>
      </c>
      <c r="G77" s="151">
        <f t="shared" si="41"/>
        <v>5</v>
      </c>
      <c r="H77" s="152">
        <f>+HLOOKUP(A77,Datos!$D$80:$K$84,5,0)</f>
        <v>1416360</v>
      </c>
      <c r="I77" s="152">
        <f>+HLOOKUP(A77,Datos!$D$89:$K$93,5,0)</f>
        <v>171679.92600000001</v>
      </c>
      <c r="J77" s="152">
        <f t="shared" si="24"/>
        <v>7081800</v>
      </c>
      <c r="K77" s="152">
        <f t="shared" si="25"/>
        <v>858399.63</v>
      </c>
      <c r="L77" s="152">
        <f t="shared" si="31"/>
        <v>601953</v>
      </c>
      <c r="M77" s="152">
        <f t="shared" si="32"/>
        <v>849816</v>
      </c>
      <c r="N77" s="152">
        <f t="shared" si="33"/>
        <v>36966.995999999999</v>
      </c>
      <c r="O77" s="152">
        <f t="shared" si="34"/>
        <v>295075</v>
      </c>
      <c r="P77" s="152">
        <f t="shared" si="26"/>
        <v>590150</v>
      </c>
      <c r="Q77" s="152">
        <f t="shared" si="35"/>
        <v>295075</v>
      </c>
      <c r="R77" s="152">
        <f t="shared" si="27"/>
        <v>35409</v>
      </c>
      <c r="S77" s="152">
        <f t="shared" si="36"/>
        <v>141636</v>
      </c>
      <c r="T77" s="152">
        <f t="shared" si="37"/>
        <v>212454</v>
      </c>
      <c r="U77" s="152">
        <f t="shared" si="38"/>
        <v>283272</v>
      </c>
      <c r="V77" s="152">
        <f t="shared" si="39"/>
        <v>11282006.625999998</v>
      </c>
      <c r="W77" s="152">
        <f>IF(OR(Y77=$AA$2,Y77=$AA$3,Y77=$AA$4),HLOOKUP(A77,Datos!$D$98:$K$102,5,0),0)*G77</f>
        <v>0</v>
      </c>
      <c r="X77" s="152">
        <f t="shared" si="28"/>
        <v>183150</v>
      </c>
      <c r="Y77" s="152" t="str">
        <f t="shared" si="29"/>
        <v>MES 10</v>
      </c>
      <c r="Z77">
        <f t="shared" si="30"/>
        <v>11</v>
      </c>
    </row>
    <row r="78" spans="1:26">
      <c r="A78" t="str">
        <f t="shared" si="23"/>
        <v>Administrador-2025</v>
      </c>
      <c r="B78">
        <v>2025</v>
      </c>
      <c r="C78" t="s">
        <v>385</v>
      </c>
      <c r="D78" t="s">
        <v>370</v>
      </c>
      <c r="E78" t="s">
        <v>371</v>
      </c>
      <c r="F78" s="151">
        <f t="shared" si="41"/>
        <v>0.5</v>
      </c>
      <c r="G78" s="151">
        <f t="shared" si="41"/>
        <v>1</v>
      </c>
      <c r="H78" s="152">
        <f>+HLOOKUP(A78,Datos!$D$81:$K$85,5,0)</f>
        <v>1953600.0000000005</v>
      </c>
      <c r="I78" s="152">
        <f>+HLOOKUP(A78,Datos!$D$90:$K$94,5,0)</f>
        <v>171679.92600000001</v>
      </c>
      <c r="J78" s="152">
        <f t="shared" si="24"/>
        <v>976800.00000000023</v>
      </c>
      <c r="K78" s="152">
        <f t="shared" si="25"/>
        <v>171679.92600000001</v>
      </c>
      <c r="L78" s="152">
        <f t="shared" si="31"/>
        <v>83028.000000000029</v>
      </c>
      <c r="M78" s="152">
        <f t="shared" si="32"/>
        <v>117216.00000000003</v>
      </c>
      <c r="N78" s="152">
        <f t="shared" si="33"/>
        <v>5098.8960000000006</v>
      </c>
      <c r="O78" s="152">
        <f t="shared" si="34"/>
        <v>40700.000000000007</v>
      </c>
      <c r="P78" s="152">
        <f t="shared" si="26"/>
        <v>81400.000000000015</v>
      </c>
      <c r="Q78" s="152">
        <f t="shared" si="35"/>
        <v>40700.000000000007</v>
      </c>
      <c r="R78" s="152">
        <f t="shared" si="27"/>
        <v>4884.0000000000009</v>
      </c>
      <c r="S78" s="152">
        <f t="shared" si="36"/>
        <v>19536.000000000004</v>
      </c>
      <c r="T78" s="152">
        <f t="shared" si="37"/>
        <v>29304.000000000007</v>
      </c>
      <c r="U78" s="152">
        <f t="shared" si="38"/>
        <v>39072.000000000007</v>
      </c>
      <c r="V78" s="152">
        <f t="shared" si="39"/>
        <v>1609418.8220000002</v>
      </c>
      <c r="W78" s="152">
        <f>IF(OR(Y78=$AA$2,Y78=$AA$3,Y78=$AA$4),HLOOKUP(A78,Datos!$D$99:$K$104,5,0),0)*G78</f>
        <v>0</v>
      </c>
      <c r="X78" s="152">
        <f t="shared" si="28"/>
        <v>15262.500000000005</v>
      </c>
      <c r="Y78" s="152" t="str">
        <f t="shared" si="29"/>
        <v>MES 10</v>
      </c>
      <c r="Z78">
        <f t="shared" si="30"/>
        <v>11</v>
      </c>
    </row>
    <row r="79" spans="1:26">
      <c r="A79" t="str">
        <f t="shared" si="23"/>
        <v>Cajero-2025</v>
      </c>
      <c r="B79">
        <v>2025</v>
      </c>
      <c r="C79" t="s">
        <v>385</v>
      </c>
      <c r="D79" t="s">
        <v>372</v>
      </c>
      <c r="E79" t="s">
        <v>371</v>
      </c>
      <c r="F79" s="151">
        <f t="shared" si="41"/>
        <v>1</v>
      </c>
      <c r="G79" s="151">
        <f t="shared" si="41"/>
        <v>1</v>
      </c>
      <c r="H79" s="152">
        <f>HLOOKUP(A79,Datos!$D$82:$K$86,5,0)</f>
        <v>1416360</v>
      </c>
      <c r="I79" s="152">
        <f>+HLOOKUP(A79,Datos!$D$91:$K$95,5,0)</f>
        <v>171679.92600000001</v>
      </c>
      <c r="J79" s="152">
        <f t="shared" si="24"/>
        <v>1416360</v>
      </c>
      <c r="K79" s="152">
        <f t="shared" si="25"/>
        <v>171679.92600000001</v>
      </c>
      <c r="L79" s="152">
        <f t="shared" si="31"/>
        <v>120390.6</v>
      </c>
      <c r="M79" s="152">
        <f t="shared" si="32"/>
        <v>169963.19999999998</v>
      </c>
      <c r="N79" s="152">
        <f t="shared" si="33"/>
        <v>7393.3991999999998</v>
      </c>
      <c r="O79" s="152">
        <f t="shared" si="34"/>
        <v>59015</v>
      </c>
      <c r="P79" s="152">
        <f t="shared" si="26"/>
        <v>118030</v>
      </c>
      <c r="Q79" s="152">
        <f t="shared" si="35"/>
        <v>59015</v>
      </c>
      <c r="R79" s="152">
        <f t="shared" si="27"/>
        <v>7081.8</v>
      </c>
      <c r="S79" s="152">
        <f t="shared" si="36"/>
        <v>28327.200000000001</v>
      </c>
      <c r="T79" s="152">
        <f t="shared" si="37"/>
        <v>42490.799999999996</v>
      </c>
      <c r="U79" s="152">
        <f t="shared" si="38"/>
        <v>56654.400000000001</v>
      </c>
      <c r="V79" s="152">
        <f t="shared" si="39"/>
        <v>2256401.3251999998</v>
      </c>
      <c r="W79" s="152">
        <f>IF(OR(Y79=$AA$2,Y79=$AA$3,Y79=$AA$4),HLOOKUP(A79,Datos!$D$100:$K$104,5,0),0)*G79</f>
        <v>0</v>
      </c>
      <c r="X79" s="152">
        <f t="shared" si="28"/>
        <v>45787.500000000022</v>
      </c>
      <c r="Y79" s="152" t="str">
        <f t="shared" si="29"/>
        <v>MES 10</v>
      </c>
      <c r="Z79">
        <f t="shared" si="30"/>
        <v>11</v>
      </c>
    </row>
    <row r="80" spans="1:26">
      <c r="A80" t="str">
        <f t="shared" si="23"/>
        <v>Aux cocina-2025</v>
      </c>
      <c r="B80">
        <v>2025</v>
      </c>
      <c r="C80" t="s">
        <v>386</v>
      </c>
      <c r="D80" t="s">
        <v>368</v>
      </c>
      <c r="E80" t="s">
        <v>369</v>
      </c>
      <c r="F80" s="151">
        <f t="shared" si="41"/>
        <v>5</v>
      </c>
      <c r="G80" s="151">
        <f t="shared" si="41"/>
        <v>5</v>
      </c>
      <c r="H80" s="152">
        <f>+HLOOKUP(A80,Datos!$D$80:$K$84,5,0)</f>
        <v>1416360</v>
      </c>
      <c r="I80" s="152">
        <f>+HLOOKUP(A80,Datos!$D$89:$K$93,5,0)</f>
        <v>171679.92600000001</v>
      </c>
      <c r="J80" s="152">
        <f t="shared" si="24"/>
        <v>7081800</v>
      </c>
      <c r="K80" s="152">
        <f t="shared" si="25"/>
        <v>858399.63</v>
      </c>
      <c r="L80" s="152">
        <f t="shared" si="31"/>
        <v>601953</v>
      </c>
      <c r="M80" s="152">
        <f t="shared" si="32"/>
        <v>849816</v>
      </c>
      <c r="N80" s="152">
        <f t="shared" si="33"/>
        <v>36966.995999999999</v>
      </c>
      <c r="O80" s="152">
        <f t="shared" si="34"/>
        <v>295075</v>
      </c>
      <c r="P80" s="152">
        <f t="shared" si="26"/>
        <v>590150</v>
      </c>
      <c r="Q80" s="152">
        <f t="shared" si="35"/>
        <v>295075</v>
      </c>
      <c r="R80" s="152">
        <f t="shared" si="27"/>
        <v>35409</v>
      </c>
      <c r="S80" s="152">
        <f t="shared" si="36"/>
        <v>141636</v>
      </c>
      <c r="T80" s="152">
        <f t="shared" si="37"/>
        <v>212454</v>
      </c>
      <c r="U80" s="152">
        <f t="shared" si="38"/>
        <v>283272</v>
      </c>
      <c r="V80" s="152">
        <f t="shared" si="39"/>
        <v>11282006.625999998</v>
      </c>
      <c r="W80" s="152">
        <f>IF(OR(Y80=$AA$2,Y80=$AA$3,Y80=$AA$4),HLOOKUP(A80,Datos!$D$98:$K$102,5,0),0)*G80</f>
        <v>0</v>
      </c>
      <c r="X80" s="152">
        <f t="shared" si="28"/>
        <v>183150</v>
      </c>
      <c r="Y80" s="152" t="str">
        <f t="shared" si="29"/>
        <v>MES 11</v>
      </c>
      <c r="Z80">
        <f t="shared" si="30"/>
        <v>11</v>
      </c>
    </row>
    <row r="81" spans="1:26">
      <c r="A81" t="str">
        <f t="shared" si="23"/>
        <v>Administrador-2025</v>
      </c>
      <c r="B81">
        <v>2025</v>
      </c>
      <c r="C81" t="s">
        <v>386</v>
      </c>
      <c r="D81" t="s">
        <v>370</v>
      </c>
      <c r="E81" t="s">
        <v>371</v>
      </c>
      <c r="F81" s="151">
        <f t="shared" si="41"/>
        <v>0.5</v>
      </c>
      <c r="G81" s="151">
        <f t="shared" si="41"/>
        <v>1</v>
      </c>
      <c r="H81" s="152">
        <f>+HLOOKUP(A81,Datos!$D$81:$K$85,5,0)</f>
        <v>1953600.0000000005</v>
      </c>
      <c r="I81" s="152">
        <f>+HLOOKUP(A81,Datos!$D$90:$K$94,5,0)</f>
        <v>171679.92600000001</v>
      </c>
      <c r="J81" s="152">
        <f t="shared" si="24"/>
        <v>976800.00000000023</v>
      </c>
      <c r="K81" s="152">
        <f t="shared" si="25"/>
        <v>171679.92600000001</v>
      </c>
      <c r="L81" s="152">
        <f t="shared" si="31"/>
        <v>83028.000000000029</v>
      </c>
      <c r="M81" s="152">
        <f t="shared" si="32"/>
        <v>117216.00000000003</v>
      </c>
      <c r="N81" s="152">
        <f t="shared" si="33"/>
        <v>5098.8960000000006</v>
      </c>
      <c r="O81" s="152">
        <f t="shared" si="34"/>
        <v>40700.000000000007</v>
      </c>
      <c r="P81" s="152">
        <f t="shared" si="26"/>
        <v>81400.000000000015</v>
      </c>
      <c r="Q81" s="152">
        <f t="shared" si="35"/>
        <v>40700.000000000007</v>
      </c>
      <c r="R81" s="152">
        <f t="shared" si="27"/>
        <v>4884.0000000000009</v>
      </c>
      <c r="S81" s="152">
        <f t="shared" si="36"/>
        <v>19536.000000000004</v>
      </c>
      <c r="T81" s="152">
        <f t="shared" si="37"/>
        <v>29304.000000000007</v>
      </c>
      <c r="U81" s="152">
        <f t="shared" si="38"/>
        <v>39072.000000000007</v>
      </c>
      <c r="V81" s="152">
        <f t="shared" si="39"/>
        <v>1609418.8220000002</v>
      </c>
      <c r="W81" s="152">
        <f>IF(OR(Y81=$AA$2,Y81=$AA$3,Y81=$AA$4),HLOOKUP(A81,Datos!$D$99:$K$104,5,0),0)*G81</f>
        <v>0</v>
      </c>
      <c r="X81" s="152">
        <f t="shared" si="28"/>
        <v>15262.500000000005</v>
      </c>
      <c r="Y81" s="152" t="str">
        <f t="shared" si="29"/>
        <v>MES 11</v>
      </c>
      <c r="Z81">
        <f t="shared" si="30"/>
        <v>11</v>
      </c>
    </row>
    <row r="82" spans="1:26">
      <c r="A82" t="str">
        <f t="shared" si="23"/>
        <v>Cajero-2025</v>
      </c>
      <c r="B82">
        <v>2025</v>
      </c>
      <c r="C82" t="s">
        <v>386</v>
      </c>
      <c r="D82" t="s">
        <v>372</v>
      </c>
      <c r="E82" t="s">
        <v>371</v>
      </c>
      <c r="F82" s="151">
        <f t="shared" si="41"/>
        <v>1</v>
      </c>
      <c r="G82" s="151">
        <f t="shared" si="41"/>
        <v>1</v>
      </c>
      <c r="H82" s="152">
        <f>HLOOKUP(A82,Datos!$D$82:$K$86,5,0)</f>
        <v>1416360</v>
      </c>
      <c r="I82" s="152">
        <f>+HLOOKUP(A82,Datos!$D$91:$K$95,5,0)</f>
        <v>171679.92600000001</v>
      </c>
      <c r="J82" s="152">
        <f t="shared" si="24"/>
        <v>1416360</v>
      </c>
      <c r="K82" s="152">
        <f t="shared" si="25"/>
        <v>171679.92600000001</v>
      </c>
      <c r="L82" s="152">
        <f t="shared" si="31"/>
        <v>120390.6</v>
      </c>
      <c r="M82" s="152">
        <f t="shared" si="32"/>
        <v>169963.19999999998</v>
      </c>
      <c r="N82" s="152">
        <f t="shared" si="33"/>
        <v>7393.3991999999998</v>
      </c>
      <c r="O82" s="152">
        <f t="shared" si="34"/>
        <v>59015</v>
      </c>
      <c r="P82" s="152">
        <f t="shared" si="26"/>
        <v>118030</v>
      </c>
      <c r="Q82" s="152">
        <f t="shared" si="35"/>
        <v>59015</v>
      </c>
      <c r="R82" s="152">
        <f t="shared" si="27"/>
        <v>7081.8</v>
      </c>
      <c r="S82" s="152">
        <f t="shared" si="36"/>
        <v>28327.200000000001</v>
      </c>
      <c r="T82" s="152">
        <f t="shared" si="37"/>
        <v>42490.799999999996</v>
      </c>
      <c r="U82" s="152">
        <f t="shared" si="38"/>
        <v>56654.400000000001</v>
      </c>
      <c r="V82" s="152">
        <f t="shared" si="39"/>
        <v>2256401.3251999998</v>
      </c>
      <c r="W82" s="152">
        <f>IF(OR(Y82=$AA$2,Y82=$AA$3,Y82=$AA$4),HLOOKUP(A82,Datos!$D$100:$K$104,5,0),0)*G82</f>
        <v>0</v>
      </c>
      <c r="X82" s="152">
        <f t="shared" si="28"/>
        <v>45787.500000000022</v>
      </c>
      <c r="Y82" s="152" t="str">
        <f t="shared" si="29"/>
        <v>MES 11</v>
      </c>
      <c r="Z82">
        <f t="shared" si="30"/>
        <v>11</v>
      </c>
    </row>
    <row r="83" spans="1:26">
      <c r="A83" t="str">
        <f t="shared" si="23"/>
        <v>Aux cocina-2025</v>
      </c>
      <c r="B83">
        <v>2025</v>
      </c>
      <c r="C83" t="s">
        <v>387</v>
      </c>
      <c r="D83" t="s">
        <v>368</v>
      </c>
      <c r="E83" t="s">
        <v>369</v>
      </c>
      <c r="F83" s="151">
        <f t="shared" si="41"/>
        <v>5</v>
      </c>
      <c r="G83" s="151">
        <f t="shared" si="41"/>
        <v>5</v>
      </c>
      <c r="H83" s="152">
        <f>+HLOOKUP(A83,Datos!$D$80:$K$84,5,0)</f>
        <v>1416360</v>
      </c>
      <c r="I83" s="152">
        <f>+HLOOKUP(A83,Datos!$D$89:$K$93,5,0)</f>
        <v>171679.92600000001</v>
      </c>
      <c r="J83" s="152">
        <f t="shared" si="24"/>
        <v>7081800</v>
      </c>
      <c r="K83" s="152">
        <f t="shared" si="25"/>
        <v>858399.63</v>
      </c>
      <c r="L83" s="152">
        <f t="shared" si="31"/>
        <v>601953</v>
      </c>
      <c r="M83" s="152">
        <f t="shared" si="32"/>
        <v>849816</v>
      </c>
      <c r="N83" s="152">
        <f t="shared" si="33"/>
        <v>36966.995999999999</v>
      </c>
      <c r="O83" s="152">
        <f t="shared" si="34"/>
        <v>295075</v>
      </c>
      <c r="P83" s="152">
        <f t="shared" si="26"/>
        <v>590150</v>
      </c>
      <c r="Q83" s="152">
        <f t="shared" si="35"/>
        <v>295075</v>
      </c>
      <c r="R83" s="152">
        <f t="shared" si="27"/>
        <v>35409</v>
      </c>
      <c r="S83" s="152">
        <f t="shared" si="36"/>
        <v>141636</v>
      </c>
      <c r="T83" s="152">
        <f t="shared" si="37"/>
        <v>212454</v>
      </c>
      <c r="U83" s="152">
        <f t="shared" si="38"/>
        <v>283272</v>
      </c>
      <c r="V83" s="152">
        <f t="shared" si="39"/>
        <v>11282006.625999998</v>
      </c>
      <c r="W83" s="152">
        <f>IF(OR(Y83=$AA$2,Y83=$AA$3,Y83=$AA$4),HLOOKUP(A83,Datos!$D$98:$K$102,5,0),0)*G83</f>
        <v>732600</v>
      </c>
      <c r="X83" s="152">
        <f t="shared" si="28"/>
        <v>183150</v>
      </c>
      <c r="Y83" s="152" t="str">
        <f t="shared" si="29"/>
        <v>MES 12</v>
      </c>
      <c r="Z83">
        <f t="shared" si="30"/>
        <v>11</v>
      </c>
    </row>
    <row r="84" spans="1:26">
      <c r="A84" t="str">
        <f t="shared" si="23"/>
        <v>Administrador-2025</v>
      </c>
      <c r="B84">
        <v>2025</v>
      </c>
      <c r="C84" t="s">
        <v>387</v>
      </c>
      <c r="D84" t="s">
        <v>370</v>
      </c>
      <c r="E84" t="s">
        <v>371</v>
      </c>
      <c r="F84" s="151">
        <f t="shared" si="41"/>
        <v>0.5</v>
      </c>
      <c r="G84" s="151">
        <f t="shared" si="41"/>
        <v>1</v>
      </c>
      <c r="H84" s="152">
        <f>+HLOOKUP(A84,Datos!$D$81:$K$85,5,0)</f>
        <v>1953600.0000000005</v>
      </c>
      <c r="I84" s="152">
        <f>+HLOOKUP(A84,Datos!$D$90:$K$94,5,0)</f>
        <v>171679.92600000001</v>
      </c>
      <c r="J84" s="152">
        <f t="shared" si="24"/>
        <v>976800.00000000023</v>
      </c>
      <c r="K84" s="152">
        <f t="shared" si="25"/>
        <v>171679.92600000001</v>
      </c>
      <c r="L84" s="152">
        <f t="shared" si="31"/>
        <v>83028.000000000029</v>
      </c>
      <c r="M84" s="152">
        <f t="shared" si="32"/>
        <v>117216.00000000003</v>
      </c>
      <c r="N84" s="152">
        <f t="shared" si="33"/>
        <v>5098.8960000000006</v>
      </c>
      <c r="O84" s="152">
        <f t="shared" si="34"/>
        <v>40700.000000000007</v>
      </c>
      <c r="P84" s="152">
        <f t="shared" si="26"/>
        <v>81400.000000000015</v>
      </c>
      <c r="Q84" s="152">
        <f t="shared" si="35"/>
        <v>40700.000000000007</v>
      </c>
      <c r="R84" s="152">
        <f t="shared" si="27"/>
        <v>4884.0000000000009</v>
      </c>
      <c r="S84" s="152">
        <f t="shared" si="36"/>
        <v>19536.000000000004</v>
      </c>
      <c r="T84" s="152">
        <f t="shared" si="37"/>
        <v>29304.000000000007</v>
      </c>
      <c r="U84" s="152">
        <f t="shared" si="38"/>
        <v>39072.000000000007</v>
      </c>
      <c r="V84" s="152">
        <f t="shared" si="39"/>
        <v>1609418.8220000002</v>
      </c>
      <c r="W84" s="152">
        <f>IF(OR(Y84=$AA$2,Y84=$AA$3,Y84=$AA$4),HLOOKUP(A84,Datos!$D$99:$K$104,5,0),0)*G84</f>
        <v>61050.000000000015</v>
      </c>
      <c r="X84" s="152">
        <f t="shared" si="28"/>
        <v>15262.500000000005</v>
      </c>
      <c r="Y84" s="152" t="str">
        <f t="shared" si="29"/>
        <v>MES 12</v>
      </c>
      <c r="Z84">
        <f t="shared" si="30"/>
        <v>11</v>
      </c>
    </row>
    <row r="85" spans="1:26">
      <c r="A85" t="str">
        <f t="shared" si="23"/>
        <v>Cajero-2025</v>
      </c>
      <c r="B85">
        <v>2025</v>
      </c>
      <c r="C85" t="s">
        <v>387</v>
      </c>
      <c r="D85" t="s">
        <v>372</v>
      </c>
      <c r="E85" t="s">
        <v>371</v>
      </c>
      <c r="F85" s="151">
        <f t="shared" si="41"/>
        <v>1</v>
      </c>
      <c r="G85" s="151">
        <f t="shared" si="41"/>
        <v>1</v>
      </c>
      <c r="H85" s="152">
        <f>HLOOKUP(A85,Datos!$D$82:$K$86,5,0)</f>
        <v>1416360</v>
      </c>
      <c r="I85" s="152">
        <f>+HLOOKUP(A85,Datos!$D$91:$K$95,5,0)</f>
        <v>171679.92600000001</v>
      </c>
      <c r="J85" s="152">
        <f t="shared" si="24"/>
        <v>1416360</v>
      </c>
      <c r="K85" s="152">
        <f t="shared" si="25"/>
        <v>171679.92600000001</v>
      </c>
      <c r="L85" s="152">
        <f t="shared" si="31"/>
        <v>120390.6</v>
      </c>
      <c r="M85" s="152">
        <f t="shared" si="32"/>
        <v>169963.19999999998</v>
      </c>
      <c r="N85" s="152">
        <f t="shared" si="33"/>
        <v>7393.3991999999998</v>
      </c>
      <c r="O85" s="152">
        <f t="shared" si="34"/>
        <v>59015</v>
      </c>
      <c r="P85" s="152">
        <f t="shared" si="26"/>
        <v>118030</v>
      </c>
      <c r="Q85" s="152">
        <f t="shared" si="35"/>
        <v>59015</v>
      </c>
      <c r="R85" s="152">
        <f t="shared" si="27"/>
        <v>7081.8</v>
      </c>
      <c r="S85" s="152">
        <f t="shared" si="36"/>
        <v>28327.200000000001</v>
      </c>
      <c r="T85" s="152">
        <f t="shared" si="37"/>
        <v>42490.799999999996</v>
      </c>
      <c r="U85" s="152">
        <f t="shared" si="38"/>
        <v>56654.400000000001</v>
      </c>
      <c r="V85" s="152">
        <f t="shared" si="39"/>
        <v>2256401.3251999998</v>
      </c>
      <c r="W85" s="152">
        <f>IF(OR(Y85=$AA$2,Y85=$AA$3,Y85=$AA$4),HLOOKUP(A85,Datos!$D$100:$K$104,5,0),0)*G85</f>
        <v>183150.00000000006</v>
      </c>
      <c r="X85" s="152">
        <f t="shared" si="28"/>
        <v>45787.500000000022</v>
      </c>
      <c r="Y85" s="152" t="str">
        <f t="shared" si="29"/>
        <v>MES 12</v>
      </c>
      <c r="Z85">
        <f t="shared" si="30"/>
        <v>11</v>
      </c>
    </row>
    <row r="86" spans="1:26">
      <c r="A86" t="str">
        <f t="shared" si="23"/>
        <v>Aux cocina-2025</v>
      </c>
      <c r="B86">
        <v>2025</v>
      </c>
      <c r="C86" t="s">
        <v>388</v>
      </c>
      <c r="D86" t="s">
        <v>368</v>
      </c>
      <c r="E86" t="s">
        <v>369</v>
      </c>
      <c r="F86" s="151">
        <f t="shared" si="41"/>
        <v>5</v>
      </c>
      <c r="G86" s="151">
        <f t="shared" si="41"/>
        <v>5</v>
      </c>
      <c r="H86" s="152">
        <f>+HLOOKUP(A86,Datos!$D$80:$K$84,5,0)</f>
        <v>1416360</v>
      </c>
      <c r="I86" s="152">
        <f>+HLOOKUP(A86,Datos!$D$89:$K$93,5,0)</f>
        <v>171679.92600000001</v>
      </c>
      <c r="J86" s="152">
        <f t="shared" si="24"/>
        <v>7081800</v>
      </c>
      <c r="K86" s="152">
        <f t="shared" si="25"/>
        <v>858399.63</v>
      </c>
      <c r="L86" s="152">
        <f t="shared" si="31"/>
        <v>601953</v>
      </c>
      <c r="M86" s="152">
        <f t="shared" si="32"/>
        <v>849816</v>
      </c>
      <c r="N86" s="152">
        <f t="shared" si="33"/>
        <v>36966.995999999999</v>
      </c>
      <c r="O86" s="152">
        <f t="shared" si="34"/>
        <v>295075</v>
      </c>
      <c r="P86" s="152">
        <f t="shared" si="26"/>
        <v>590150</v>
      </c>
      <c r="Q86" s="152">
        <f t="shared" si="35"/>
        <v>295075</v>
      </c>
      <c r="R86" s="152">
        <f t="shared" si="27"/>
        <v>35409</v>
      </c>
      <c r="S86" s="152">
        <f t="shared" si="36"/>
        <v>141636</v>
      </c>
      <c r="T86" s="152">
        <f t="shared" si="37"/>
        <v>212454</v>
      </c>
      <c r="U86" s="152">
        <f t="shared" si="38"/>
        <v>283272</v>
      </c>
      <c r="V86" s="152">
        <f t="shared" si="39"/>
        <v>11282006.625999998</v>
      </c>
      <c r="W86" s="152">
        <f>IF(OR(Y86=$AA$2,Y86=$AA$3,Y86=$AA$4),HLOOKUP(A86,Datos!$D$98:$K$102,5,0),0)*G86</f>
        <v>0</v>
      </c>
      <c r="X86" s="152">
        <f t="shared" si="28"/>
        <v>183150</v>
      </c>
      <c r="Y86" s="152" t="str">
        <f t="shared" si="29"/>
        <v xml:space="preserve">MES 2 </v>
      </c>
      <c r="Z86">
        <f t="shared" si="30"/>
        <v>10</v>
      </c>
    </row>
    <row r="87" spans="1:26">
      <c r="A87" t="str">
        <f t="shared" si="23"/>
        <v>Administrador-2025</v>
      </c>
      <c r="B87">
        <v>2025</v>
      </c>
      <c r="C87" t="s">
        <v>388</v>
      </c>
      <c r="D87" t="s">
        <v>370</v>
      </c>
      <c r="E87" t="s">
        <v>371</v>
      </c>
      <c r="F87" s="151">
        <f t="shared" si="41"/>
        <v>0.5</v>
      </c>
      <c r="G87" s="151">
        <f t="shared" si="41"/>
        <v>1</v>
      </c>
      <c r="H87" s="152">
        <f>+HLOOKUP(A87,Datos!$D$81:$K$85,5,0)</f>
        <v>1953600.0000000005</v>
      </c>
      <c r="I87" s="152">
        <f>+HLOOKUP(A87,Datos!$D$90:$K$94,5,0)</f>
        <v>171679.92600000001</v>
      </c>
      <c r="J87" s="152">
        <f t="shared" si="24"/>
        <v>976800.00000000023</v>
      </c>
      <c r="K87" s="152">
        <f t="shared" si="25"/>
        <v>171679.92600000001</v>
      </c>
      <c r="L87" s="152">
        <f t="shared" si="31"/>
        <v>83028.000000000029</v>
      </c>
      <c r="M87" s="152">
        <f t="shared" si="32"/>
        <v>117216.00000000003</v>
      </c>
      <c r="N87" s="152">
        <f t="shared" si="33"/>
        <v>5098.8960000000006</v>
      </c>
      <c r="O87" s="152">
        <f t="shared" si="34"/>
        <v>40700.000000000007</v>
      </c>
      <c r="P87" s="152">
        <f t="shared" si="26"/>
        <v>81400.000000000015</v>
      </c>
      <c r="Q87" s="152">
        <f t="shared" si="35"/>
        <v>40700.000000000007</v>
      </c>
      <c r="R87" s="152">
        <f t="shared" si="27"/>
        <v>4884.0000000000009</v>
      </c>
      <c r="S87" s="152">
        <f t="shared" si="36"/>
        <v>19536.000000000004</v>
      </c>
      <c r="T87" s="152">
        <f t="shared" si="37"/>
        <v>29304.000000000007</v>
      </c>
      <c r="U87" s="152">
        <f t="shared" si="38"/>
        <v>39072.000000000007</v>
      </c>
      <c r="V87" s="152">
        <f t="shared" si="39"/>
        <v>1609418.8220000002</v>
      </c>
      <c r="W87" s="152">
        <f>IF(OR(Y87=$AA$2,Y87=$AA$3,Y87=$AA$4),HLOOKUP(A87,Datos!$D$99:$K$104,5,0),0)*G87</f>
        <v>0</v>
      </c>
      <c r="X87" s="152">
        <f t="shared" si="28"/>
        <v>15262.500000000005</v>
      </c>
      <c r="Y87" s="152" t="str">
        <f t="shared" si="29"/>
        <v xml:space="preserve">MES 2 </v>
      </c>
      <c r="Z87">
        <f t="shared" si="30"/>
        <v>10</v>
      </c>
    </row>
    <row r="88" spans="1:26">
      <c r="A88" t="str">
        <f t="shared" si="23"/>
        <v>Cajero-2025</v>
      </c>
      <c r="B88">
        <v>2025</v>
      </c>
      <c r="C88" t="s">
        <v>388</v>
      </c>
      <c r="D88" t="s">
        <v>372</v>
      </c>
      <c r="E88" t="s">
        <v>371</v>
      </c>
      <c r="F88" s="151">
        <f t="shared" si="41"/>
        <v>1</v>
      </c>
      <c r="G88" s="151">
        <f t="shared" si="41"/>
        <v>1</v>
      </c>
      <c r="H88" s="152">
        <f>HLOOKUP(A88,Datos!$D$82:$K$86,5,0)</f>
        <v>1416360</v>
      </c>
      <c r="I88" s="152">
        <f>+HLOOKUP(A88,Datos!$D$91:$K$95,5,0)</f>
        <v>171679.92600000001</v>
      </c>
      <c r="J88" s="152">
        <f t="shared" si="24"/>
        <v>1416360</v>
      </c>
      <c r="K88" s="152">
        <f t="shared" si="25"/>
        <v>171679.92600000001</v>
      </c>
      <c r="L88" s="152">
        <f t="shared" si="31"/>
        <v>120390.6</v>
      </c>
      <c r="M88" s="152">
        <f t="shared" si="32"/>
        <v>169963.19999999998</v>
      </c>
      <c r="N88" s="152">
        <f t="shared" si="33"/>
        <v>7393.3991999999998</v>
      </c>
      <c r="O88" s="152">
        <f t="shared" si="34"/>
        <v>59015</v>
      </c>
      <c r="P88" s="152">
        <f t="shared" si="26"/>
        <v>118030</v>
      </c>
      <c r="Q88" s="152">
        <f t="shared" si="35"/>
        <v>59015</v>
      </c>
      <c r="R88" s="152">
        <f t="shared" si="27"/>
        <v>7081.8</v>
      </c>
      <c r="S88" s="152">
        <f t="shared" si="36"/>
        <v>28327.200000000001</v>
      </c>
      <c r="T88" s="152">
        <f t="shared" si="37"/>
        <v>42490.799999999996</v>
      </c>
      <c r="U88" s="152">
        <f t="shared" si="38"/>
        <v>56654.400000000001</v>
      </c>
      <c r="V88" s="152">
        <f t="shared" si="39"/>
        <v>2256401.3251999998</v>
      </c>
      <c r="W88" s="152">
        <f>IF(OR(Y88=$AA$2,Y88=$AA$3,Y88=$AA$4),HLOOKUP(A88,Datos!$D$100:$K$104,5,0),0)*G88</f>
        <v>0</v>
      </c>
      <c r="X88" s="152">
        <f t="shared" si="28"/>
        <v>45787.500000000022</v>
      </c>
      <c r="Y88" s="152" t="str">
        <f t="shared" si="29"/>
        <v xml:space="preserve">MES 2 </v>
      </c>
      <c r="Z88">
        <f t="shared" si="30"/>
        <v>10</v>
      </c>
    </row>
    <row r="89" spans="1:26">
      <c r="A89" t="str">
        <f t="shared" si="23"/>
        <v>Aux cocina-2025</v>
      </c>
      <c r="B89">
        <v>2025</v>
      </c>
      <c r="C89" t="s">
        <v>389</v>
      </c>
      <c r="D89" t="s">
        <v>368</v>
      </c>
      <c r="E89" t="s">
        <v>369</v>
      </c>
      <c r="F89" s="151">
        <f t="shared" si="41"/>
        <v>5</v>
      </c>
      <c r="G89" s="151">
        <f t="shared" si="41"/>
        <v>5</v>
      </c>
      <c r="H89" s="152">
        <f>+HLOOKUP(A89,Datos!$D$80:$K$84,5,0)</f>
        <v>1416360</v>
      </c>
      <c r="I89" s="152">
        <f>+HLOOKUP(A89,Datos!$D$89:$K$93,5,0)</f>
        <v>171679.92600000001</v>
      </c>
      <c r="J89" s="152">
        <f t="shared" si="24"/>
        <v>7081800</v>
      </c>
      <c r="K89" s="152">
        <f t="shared" si="25"/>
        <v>858399.63</v>
      </c>
      <c r="L89" s="152">
        <f t="shared" si="31"/>
        <v>601953</v>
      </c>
      <c r="M89" s="152">
        <f t="shared" si="32"/>
        <v>849816</v>
      </c>
      <c r="N89" s="152">
        <f t="shared" si="33"/>
        <v>36966.995999999999</v>
      </c>
      <c r="O89" s="152">
        <f t="shared" si="34"/>
        <v>295075</v>
      </c>
      <c r="P89" s="152">
        <f t="shared" si="26"/>
        <v>590150</v>
      </c>
      <c r="Q89" s="152">
        <f t="shared" si="35"/>
        <v>295075</v>
      </c>
      <c r="R89" s="152">
        <f t="shared" si="27"/>
        <v>35409</v>
      </c>
      <c r="S89" s="152">
        <f t="shared" si="36"/>
        <v>141636</v>
      </c>
      <c r="T89" s="152">
        <f t="shared" si="37"/>
        <v>212454</v>
      </c>
      <c r="U89" s="152">
        <f t="shared" si="38"/>
        <v>283272</v>
      </c>
      <c r="V89" s="152">
        <f t="shared" si="39"/>
        <v>11282006.625999998</v>
      </c>
      <c r="W89" s="152">
        <f>IF(OR(Y89=$AA$2,Y89=$AA$3,Y89=$AA$4),HLOOKUP(A89,Datos!$D$98:$K$102,5,0),0)*G89</f>
        <v>0</v>
      </c>
      <c r="X89" s="152">
        <f t="shared" si="28"/>
        <v>183150</v>
      </c>
      <c r="Y89" s="152" t="str">
        <f t="shared" si="29"/>
        <v xml:space="preserve">MES 3 </v>
      </c>
      <c r="Z89">
        <f t="shared" si="30"/>
        <v>10</v>
      </c>
    </row>
    <row r="90" spans="1:26">
      <c r="A90" t="str">
        <f t="shared" si="23"/>
        <v>Administrador-2025</v>
      </c>
      <c r="B90">
        <v>2025</v>
      </c>
      <c r="C90" t="s">
        <v>389</v>
      </c>
      <c r="D90" t="s">
        <v>370</v>
      </c>
      <c r="E90" t="s">
        <v>371</v>
      </c>
      <c r="F90" s="151">
        <f t="shared" si="41"/>
        <v>0.5</v>
      </c>
      <c r="G90" s="151">
        <f t="shared" si="41"/>
        <v>1</v>
      </c>
      <c r="H90" s="152">
        <f>+HLOOKUP(A90,Datos!$D$81:$K$85,5,0)</f>
        <v>1953600.0000000005</v>
      </c>
      <c r="I90" s="152">
        <f>+HLOOKUP(A90,Datos!$D$90:$K$94,5,0)</f>
        <v>171679.92600000001</v>
      </c>
      <c r="J90" s="152">
        <f t="shared" si="24"/>
        <v>976800.00000000023</v>
      </c>
      <c r="K90" s="152">
        <f t="shared" si="25"/>
        <v>171679.92600000001</v>
      </c>
      <c r="L90" s="152">
        <f t="shared" si="31"/>
        <v>83028.000000000029</v>
      </c>
      <c r="M90" s="152">
        <f t="shared" si="32"/>
        <v>117216.00000000003</v>
      </c>
      <c r="N90" s="152">
        <f t="shared" si="33"/>
        <v>5098.8960000000006</v>
      </c>
      <c r="O90" s="152">
        <f t="shared" si="34"/>
        <v>40700.000000000007</v>
      </c>
      <c r="P90" s="152">
        <f t="shared" si="26"/>
        <v>81400.000000000015</v>
      </c>
      <c r="Q90" s="152">
        <f t="shared" si="35"/>
        <v>40700.000000000007</v>
      </c>
      <c r="R90" s="152">
        <f t="shared" si="27"/>
        <v>4884.0000000000009</v>
      </c>
      <c r="S90" s="152">
        <f t="shared" si="36"/>
        <v>19536.000000000004</v>
      </c>
      <c r="T90" s="152">
        <f t="shared" si="37"/>
        <v>29304.000000000007</v>
      </c>
      <c r="U90" s="152">
        <f t="shared" si="38"/>
        <v>39072.000000000007</v>
      </c>
      <c r="V90" s="152">
        <f t="shared" si="39"/>
        <v>1609418.8220000002</v>
      </c>
      <c r="W90" s="152">
        <f>IF(OR(Y90=$AA$2,Y90=$AA$3,Y90=$AA$4),HLOOKUP(A90,Datos!$D$99:$K$104,5,0),0)*G90</f>
        <v>0</v>
      </c>
      <c r="X90" s="152">
        <f t="shared" si="28"/>
        <v>15262.500000000005</v>
      </c>
      <c r="Y90" s="152" t="str">
        <f t="shared" si="29"/>
        <v xml:space="preserve">MES 3 </v>
      </c>
      <c r="Z90">
        <f t="shared" si="30"/>
        <v>10</v>
      </c>
    </row>
    <row r="91" spans="1:26">
      <c r="A91" t="str">
        <f t="shared" si="23"/>
        <v>Cajero-2025</v>
      </c>
      <c r="B91">
        <v>2025</v>
      </c>
      <c r="C91" t="s">
        <v>389</v>
      </c>
      <c r="D91" t="s">
        <v>372</v>
      </c>
      <c r="E91" t="s">
        <v>371</v>
      </c>
      <c r="F91" s="151">
        <f t="shared" si="41"/>
        <v>1</v>
      </c>
      <c r="G91" s="151">
        <f t="shared" si="41"/>
        <v>1</v>
      </c>
      <c r="H91" s="152">
        <f>HLOOKUP(A91,Datos!$D$82:$K$86,5,0)</f>
        <v>1416360</v>
      </c>
      <c r="I91" s="152">
        <f>+HLOOKUP(A91,Datos!$D$91:$K$95,5,0)</f>
        <v>171679.92600000001</v>
      </c>
      <c r="J91" s="152">
        <f t="shared" si="24"/>
        <v>1416360</v>
      </c>
      <c r="K91" s="152">
        <f t="shared" si="25"/>
        <v>171679.92600000001</v>
      </c>
      <c r="L91" s="152">
        <f t="shared" si="31"/>
        <v>120390.6</v>
      </c>
      <c r="M91" s="152">
        <f t="shared" si="32"/>
        <v>169963.19999999998</v>
      </c>
      <c r="N91" s="152">
        <f t="shared" si="33"/>
        <v>7393.3991999999998</v>
      </c>
      <c r="O91" s="152">
        <f t="shared" si="34"/>
        <v>59015</v>
      </c>
      <c r="P91" s="152">
        <f t="shared" si="26"/>
        <v>118030</v>
      </c>
      <c r="Q91" s="152">
        <f t="shared" si="35"/>
        <v>59015</v>
      </c>
      <c r="R91" s="152">
        <f t="shared" si="27"/>
        <v>7081.8</v>
      </c>
      <c r="S91" s="152">
        <f t="shared" si="36"/>
        <v>28327.200000000001</v>
      </c>
      <c r="T91" s="152">
        <f t="shared" si="37"/>
        <v>42490.799999999996</v>
      </c>
      <c r="U91" s="152">
        <f t="shared" si="38"/>
        <v>56654.400000000001</v>
      </c>
      <c r="V91" s="152">
        <f t="shared" si="39"/>
        <v>2256401.3251999998</v>
      </c>
      <c r="W91" s="152">
        <f>IF(OR(Y91=$AA$2,Y91=$AA$3,Y91=$AA$4),HLOOKUP(A91,Datos!$D$100:$K$104,5,0),0)*G91</f>
        <v>0</v>
      </c>
      <c r="X91" s="152">
        <f t="shared" si="28"/>
        <v>45787.500000000022</v>
      </c>
      <c r="Y91" s="152" t="str">
        <f t="shared" si="29"/>
        <v xml:space="preserve">MES 3 </v>
      </c>
      <c r="Z91">
        <f t="shared" si="30"/>
        <v>10</v>
      </c>
    </row>
    <row r="92" spans="1:26">
      <c r="A92" t="str">
        <f t="shared" si="23"/>
        <v>Aux cocina-2025</v>
      </c>
      <c r="B92">
        <v>2025</v>
      </c>
      <c r="C92" t="s">
        <v>390</v>
      </c>
      <c r="D92" t="s">
        <v>368</v>
      </c>
      <c r="E92" t="s">
        <v>369</v>
      </c>
      <c r="F92" s="151">
        <f t="shared" si="41"/>
        <v>5</v>
      </c>
      <c r="G92" s="151">
        <f t="shared" si="41"/>
        <v>5</v>
      </c>
      <c r="H92" s="152">
        <f>+HLOOKUP(A92,Datos!$D$80:$K$84,5,0)</f>
        <v>1416360</v>
      </c>
      <c r="I92" s="152">
        <f>+HLOOKUP(A92,Datos!$D$89:$K$93,5,0)</f>
        <v>171679.92600000001</v>
      </c>
      <c r="J92" s="152">
        <f t="shared" si="24"/>
        <v>7081800</v>
      </c>
      <c r="K92" s="152">
        <f t="shared" si="25"/>
        <v>858399.63</v>
      </c>
      <c r="L92" s="152">
        <f t="shared" si="31"/>
        <v>601953</v>
      </c>
      <c r="M92" s="152">
        <f t="shared" si="32"/>
        <v>849816</v>
      </c>
      <c r="N92" s="152">
        <f t="shared" si="33"/>
        <v>36966.995999999999</v>
      </c>
      <c r="O92" s="152">
        <f t="shared" si="34"/>
        <v>295075</v>
      </c>
      <c r="P92" s="152">
        <f t="shared" si="26"/>
        <v>590150</v>
      </c>
      <c r="Q92" s="152">
        <f t="shared" si="35"/>
        <v>295075</v>
      </c>
      <c r="R92" s="152">
        <f t="shared" si="27"/>
        <v>35409</v>
      </c>
      <c r="S92" s="152">
        <f t="shared" si="36"/>
        <v>141636</v>
      </c>
      <c r="T92" s="152">
        <f t="shared" si="37"/>
        <v>212454</v>
      </c>
      <c r="U92" s="152">
        <f t="shared" si="38"/>
        <v>283272</v>
      </c>
      <c r="V92" s="152">
        <f t="shared" si="39"/>
        <v>11282006.625999998</v>
      </c>
      <c r="W92" s="152">
        <f>IF(OR(Y92=$AA$2,Y92=$AA$3,Y92=$AA$4),HLOOKUP(A92,Datos!$D$98:$K$102,5,0),0)*G92</f>
        <v>732600</v>
      </c>
      <c r="X92" s="152">
        <f t="shared" si="28"/>
        <v>183150</v>
      </c>
      <c r="Y92" s="152" t="str">
        <f t="shared" si="29"/>
        <v xml:space="preserve">MES 4 </v>
      </c>
      <c r="Z92">
        <f t="shared" si="30"/>
        <v>10</v>
      </c>
    </row>
    <row r="93" spans="1:26">
      <c r="A93" t="str">
        <f t="shared" si="23"/>
        <v>Administrador-2025</v>
      </c>
      <c r="B93">
        <v>2025</v>
      </c>
      <c r="C93" t="s">
        <v>390</v>
      </c>
      <c r="D93" t="s">
        <v>370</v>
      </c>
      <c r="E93" t="s">
        <v>371</v>
      </c>
      <c r="F93" s="151">
        <f t="shared" si="41"/>
        <v>0.5</v>
      </c>
      <c r="G93" s="151">
        <f t="shared" si="41"/>
        <v>1</v>
      </c>
      <c r="H93" s="152">
        <f>+HLOOKUP(A93,Datos!$D$81:$K$85,5,0)</f>
        <v>1953600.0000000005</v>
      </c>
      <c r="I93" s="152">
        <f>+HLOOKUP(A93,Datos!$D$90:$K$94,5,0)</f>
        <v>171679.92600000001</v>
      </c>
      <c r="J93" s="152">
        <f t="shared" si="24"/>
        <v>976800.00000000023</v>
      </c>
      <c r="K93" s="152">
        <f t="shared" si="25"/>
        <v>171679.92600000001</v>
      </c>
      <c r="L93" s="152">
        <f t="shared" si="31"/>
        <v>83028.000000000029</v>
      </c>
      <c r="M93" s="152">
        <f t="shared" si="32"/>
        <v>117216.00000000003</v>
      </c>
      <c r="N93" s="152">
        <f t="shared" si="33"/>
        <v>5098.8960000000006</v>
      </c>
      <c r="O93" s="152">
        <f t="shared" si="34"/>
        <v>40700.000000000007</v>
      </c>
      <c r="P93" s="152">
        <f t="shared" si="26"/>
        <v>81400.000000000015</v>
      </c>
      <c r="Q93" s="152">
        <f t="shared" si="35"/>
        <v>40700.000000000007</v>
      </c>
      <c r="R93" s="152">
        <f t="shared" si="27"/>
        <v>4884.0000000000009</v>
      </c>
      <c r="S93" s="152">
        <f t="shared" si="36"/>
        <v>19536.000000000004</v>
      </c>
      <c r="T93" s="152">
        <f t="shared" si="37"/>
        <v>29304.000000000007</v>
      </c>
      <c r="U93" s="152">
        <f t="shared" si="38"/>
        <v>39072.000000000007</v>
      </c>
      <c r="V93" s="152">
        <f t="shared" si="39"/>
        <v>1609418.8220000002</v>
      </c>
      <c r="W93" s="152">
        <f>IF(OR(Y93=$AA$2,Y93=$AA$3,Y93=$AA$4),HLOOKUP(A93,Datos!$D$99:$K$104,5,0),0)*G93</f>
        <v>61050.000000000015</v>
      </c>
      <c r="X93" s="152">
        <f t="shared" si="28"/>
        <v>15262.500000000005</v>
      </c>
      <c r="Y93" s="152" t="str">
        <f t="shared" si="29"/>
        <v xml:space="preserve">MES 4 </v>
      </c>
      <c r="Z93">
        <f t="shared" si="30"/>
        <v>10</v>
      </c>
    </row>
    <row r="94" spans="1:26">
      <c r="A94" t="str">
        <f t="shared" si="23"/>
        <v>Cajero-2025</v>
      </c>
      <c r="B94">
        <v>2025</v>
      </c>
      <c r="C94" t="s">
        <v>390</v>
      </c>
      <c r="D94" t="s">
        <v>372</v>
      </c>
      <c r="E94" t="s">
        <v>371</v>
      </c>
      <c r="F94" s="151">
        <f t="shared" si="41"/>
        <v>1</v>
      </c>
      <c r="G94" s="151">
        <f t="shared" si="41"/>
        <v>1</v>
      </c>
      <c r="H94" s="152">
        <f>HLOOKUP(A94,Datos!$D$82:$K$86,5,0)</f>
        <v>1416360</v>
      </c>
      <c r="I94" s="152">
        <f>+HLOOKUP(A94,Datos!$D$91:$K$95,5,0)</f>
        <v>171679.92600000001</v>
      </c>
      <c r="J94" s="152">
        <f t="shared" si="24"/>
        <v>1416360</v>
      </c>
      <c r="K94" s="152">
        <f t="shared" si="25"/>
        <v>171679.92600000001</v>
      </c>
      <c r="L94" s="152">
        <f t="shared" si="31"/>
        <v>120390.6</v>
      </c>
      <c r="M94" s="152">
        <f t="shared" si="32"/>
        <v>169963.19999999998</v>
      </c>
      <c r="N94" s="152">
        <f t="shared" si="33"/>
        <v>7393.3991999999998</v>
      </c>
      <c r="O94" s="152">
        <f t="shared" si="34"/>
        <v>59015</v>
      </c>
      <c r="P94" s="152">
        <f t="shared" si="26"/>
        <v>118030</v>
      </c>
      <c r="Q94" s="152">
        <f t="shared" si="35"/>
        <v>59015</v>
      </c>
      <c r="R94" s="152">
        <f t="shared" si="27"/>
        <v>7081.8</v>
      </c>
      <c r="S94" s="152">
        <f t="shared" si="36"/>
        <v>28327.200000000001</v>
      </c>
      <c r="T94" s="152">
        <f t="shared" si="37"/>
        <v>42490.799999999996</v>
      </c>
      <c r="U94" s="152">
        <f t="shared" si="38"/>
        <v>56654.400000000001</v>
      </c>
      <c r="V94" s="152">
        <f t="shared" si="39"/>
        <v>2256401.3251999998</v>
      </c>
      <c r="W94" s="152">
        <f>IF(OR(Y94=$AA$2,Y94=$AA$3,Y94=$AA$4),HLOOKUP(A94,Datos!$D$100:$K$104,5,0),0)*G94</f>
        <v>183150.00000000006</v>
      </c>
      <c r="X94" s="152">
        <f t="shared" si="28"/>
        <v>45787.500000000022</v>
      </c>
      <c r="Y94" s="152" t="str">
        <f t="shared" si="29"/>
        <v xml:space="preserve">MES 4 </v>
      </c>
      <c r="Z94">
        <f t="shared" si="30"/>
        <v>10</v>
      </c>
    </row>
    <row r="95" spans="1:26">
      <c r="A95" t="str">
        <f t="shared" si="23"/>
        <v>Aux cocina-2025</v>
      </c>
      <c r="B95">
        <v>2025</v>
      </c>
      <c r="C95" t="s">
        <v>391</v>
      </c>
      <c r="D95" t="s">
        <v>368</v>
      </c>
      <c r="E95" t="s">
        <v>369</v>
      </c>
      <c r="F95" s="151">
        <f t="shared" ref="F95:G114" si="42">+F92</f>
        <v>5</v>
      </c>
      <c r="G95" s="151">
        <f t="shared" si="42"/>
        <v>5</v>
      </c>
      <c r="H95" s="152">
        <f>+HLOOKUP(A95,Datos!$D$80:$K$84,5,0)</f>
        <v>1416360</v>
      </c>
      <c r="I95" s="152">
        <f>+HLOOKUP(A95,Datos!$D$89:$K$93,5,0)</f>
        <v>171679.92600000001</v>
      </c>
      <c r="J95" s="152">
        <f t="shared" si="24"/>
        <v>7081800</v>
      </c>
      <c r="K95" s="152">
        <f t="shared" si="25"/>
        <v>858399.63</v>
      </c>
      <c r="L95" s="152">
        <f t="shared" si="31"/>
        <v>601953</v>
      </c>
      <c r="M95" s="152">
        <f t="shared" si="32"/>
        <v>849816</v>
      </c>
      <c r="N95" s="152">
        <f t="shared" si="33"/>
        <v>36966.995999999999</v>
      </c>
      <c r="O95" s="152">
        <f t="shared" si="34"/>
        <v>295075</v>
      </c>
      <c r="P95" s="152">
        <f t="shared" si="26"/>
        <v>590150</v>
      </c>
      <c r="Q95" s="152">
        <f t="shared" si="35"/>
        <v>295075</v>
      </c>
      <c r="R95" s="152">
        <f t="shared" si="27"/>
        <v>35409</v>
      </c>
      <c r="S95" s="152">
        <f t="shared" si="36"/>
        <v>141636</v>
      </c>
      <c r="T95" s="152">
        <f t="shared" si="37"/>
        <v>212454</v>
      </c>
      <c r="U95" s="152">
        <f t="shared" si="38"/>
        <v>283272</v>
      </c>
      <c r="V95" s="152">
        <f t="shared" si="39"/>
        <v>11282006.625999998</v>
      </c>
      <c r="W95" s="152">
        <f>IF(OR(Y95=$AA$2,Y95=$AA$3,Y95=$AA$4),HLOOKUP(A95,Datos!$D$98:$K$102,5,0),0)*G95</f>
        <v>0</v>
      </c>
      <c r="X95" s="152">
        <f t="shared" si="28"/>
        <v>183150</v>
      </c>
      <c r="Y95" s="152" t="str">
        <f t="shared" si="29"/>
        <v xml:space="preserve">MES 5 </v>
      </c>
      <c r="Z95">
        <f t="shared" si="30"/>
        <v>10</v>
      </c>
    </row>
    <row r="96" spans="1:26">
      <c r="A96" t="str">
        <f t="shared" si="23"/>
        <v>Administrador-2025</v>
      </c>
      <c r="B96">
        <v>2025</v>
      </c>
      <c r="C96" t="s">
        <v>391</v>
      </c>
      <c r="D96" t="s">
        <v>370</v>
      </c>
      <c r="E96" t="s">
        <v>371</v>
      </c>
      <c r="F96" s="151">
        <f t="shared" si="42"/>
        <v>0.5</v>
      </c>
      <c r="G96" s="151">
        <f t="shared" si="42"/>
        <v>1</v>
      </c>
      <c r="H96" s="152">
        <f>+HLOOKUP(A96,Datos!$D$81:$K$85,5,0)</f>
        <v>1953600.0000000005</v>
      </c>
      <c r="I96" s="152">
        <f>+HLOOKUP(A96,Datos!$D$90:$K$94,5,0)</f>
        <v>171679.92600000001</v>
      </c>
      <c r="J96" s="152">
        <f t="shared" si="24"/>
        <v>976800.00000000023</v>
      </c>
      <c r="K96" s="152">
        <f t="shared" si="25"/>
        <v>171679.92600000001</v>
      </c>
      <c r="L96" s="152">
        <f t="shared" si="31"/>
        <v>83028.000000000029</v>
      </c>
      <c r="M96" s="152">
        <f t="shared" si="32"/>
        <v>117216.00000000003</v>
      </c>
      <c r="N96" s="152">
        <f t="shared" si="33"/>
        <v>5098.8960000000006</v>
      </c>
      <c r="O96" s="152">
        <f t="shared" si="34"/>
        <v>40700.000000000007</v>
      </c>
      <c r="P96" s="152">
        <f t="shared" si="26"/>
        <v>81400.000000000015</v>
      </c>
      <c r="Q96" s="152">
        <f t="shared" si="35"/>
        <v>40700.000000000007</v>
      </c>
      <c r="R96" s="152">
        <f t="shared" si="27"/>
        <v>4884.0000000000009</v>
      </c>
      <c r="S96" s="152">
        <f t="shared" si="36"/>
        <v>19536.000000000004</v>
      </c>
      <c r="T96" s="152">
        <f t="shared" si="37"/>
        <v>29304.000000000007</v>
      </c>
      <c r="U96" s="152">
        <f t="shared" si="38"/>
        <v>39072.000000000007</v>
      </c>
      <c r="V96" s="152">
        <f t="shared" si="39"/>
        <v>1609418.8220000002</v>
      </c>
      <c r="W96" s="152">
        <f>IF(OR(Y96=$AA$2,Y96=$AA$3,Y96=$AA$4),HLOOKUP(A96,Datos!$D$99:$K$104,5,0),0)*G96</f>
        <v>0</v>
      </c>
      <c r="X96" s="152">
        <f t="shared" si="28"/>
        <v>15262.500000000005</v>
      </c>
      <c r="Y96" s="152" t="str">
        <f t="shared" si="29"/>
        <v xml:space="preserve">MES 5 </v>
      </c>
      <c r="Z96">
        <f t="shared" si="30"/>
        <v>10</v>
      </c>
    </row>
    <row r="97" spans="1:26">
      <c r="A97" t="str">
        <f t="shared" si="23"/>
        <v>Cajero-2025</v>
      </c>
      <c r="B97">
        <v>2025</v>
      </c>
      <c r="C97" t="s">
        <v>391</v>
      </c>
      <c r="D97" t="s">
        <v>372</v>
      </c>
      <c r="E97" t="s">
        <v>371</v>
      </c>
      <c r="F97" s="151">
        <f t="shared" si="42"/>
        <v>1</v>
      </c>
      <c r="G97" s="151">
        <f t="shared" si="42"/>
        <v>1</v>
      </c>
      <c r="H97" s="152">
        <f>HLOOKUP(A97,Datos!$D$82:$K$86,5,0)</f>
        <v>1416360</v>
      </c>
      <c r="I97" s="152">
        <f>+HLOOKUP(A97,Datos!$D$91:$K$95,5,0)</f>
        <v>171679.92600000001</v>
      </c>
      <c r="J97" s="152">
        <f t="shared" si="24"/>
        <v>1416360</v>
      </c>
      <c r="K97" s="152">
        <f t="shared" si="25"/>
        <v>171679.92600000001</v>
      </c>
      <c r="L97" s="152">
        <f t="shared" si="31"/>
        <v>120390.6</v>
      </c>
      <c r="M97" s="152">
        <f t="shared" si="32"/>
        <v>169963.19999999998</v>
      </c>
      <c r="N97" s="152">
        <f t="shared" si="33"/>
        <v>7393.3991999999998</v>
      </c>
      <c r="O97" s="152">
        <f t="shared" si="34"/>
        <v>59015</v>
      </c>
      <c r="P97" s="152">
        <f t="shared" si="26"/>
        <v>118030</v>
      </c>
      <c r="Q97" s="152">
        <f t="shared" si="35"/>
        <v>59015</v>
      </c>
      <c r="R97" s="152">
        <f t="shared" si="27"/>
        <v>7081.8</v>
      </c>
      <c r="S97" s="152">
        <f t="shared" si="36"/>
        <v>28327.200000000001</v>
      </c>
      <c r="T97" s="152">
        <f t="shared" si="37"/>
        <v>42490.799999999996</v>
      </c>
      <c r="U97" s="152">
        <f t="shared" si="38"/>
        <v>56654.400000000001</v>
      </c>
      <c r="V97" s="152">
        <f t="shared" si="39"/>
        <v>2256401.3251999998</v>
      </c>
      <c r="W97" s="152">
        <f>IF(OR(Y97=$AA$2,Y97=$AA$3,Y97=$AA$4),HLOOKUP(A97,Datos!$D$100:$K$104,5,0),0)*G97</f>
        <v>0</v>
      </c>
      <c r="X97" s="152">
        <f t="shared" si="28"/>
        <v>45787.500000000022</v>
      </c>
      <c r="Y97" s="152" t="str">
        <f t="shared" si="29"/>
        <v xml:space="preserve">MES 5 </v>
      </c>
      <c r="Z97">
        <f t="shared" si="30"/>
        <v>10</v>
      </c>
    </row>
    <row r="98" spans="1:26">
      <c r="A98" t="str">
        <f t="shared" ref="A98:A145" si="43">+D98&amp;"-"&amp;B98</f>
        <v>Aux cocina-2025</v>
      </c>
      <c r="B98">
        <v>2025</v>
      </c>
      <c r="C98" t="s">
        <v>392</v>
      </c>
      <c r="D98" t="s">
        <v>368</v>
      </c>
      <c r="E98" t="s">
        <v>369</v>
      </c>
      <c r="F98" s="151">
        <f t="shared" si="42"/>
        <v>5</v>
      </c>
      <c r="G98" s="151">
        <f t="shared" si="42"/>
        <v>5</v>
      </c>
      <c r="H98" s="152">
        <f>+HLOOKUP(A98,Datos!$D$80:$K$84,5,0)</f>
        <v>1416360</v>
      </c>
      <c r="I98" s="152">
        <f>+HLOOKUP(A98,Datos!$D$89:$K$93,5,0)</f>
        <v>171679.92600000001</v>
      </c>
      <c r="J98" s="152">
        <f t="shared" si="24"/>
        <v>7081800</v>
      </c>
      <c r="K98" s="152">
        <f t="shared" si="25"/>
        <v>858399.63</v>
      </c>
      <c r="L98" s="152">
        <f t="shared" si="31"/>
        <v>601953</v>
      </c>
      <c r="M98" s="152">
        <f t="shared" si="32"/>
        <v>849816</v>
      </c>
      <c r="N98" s="152">
        <f t="shared" si="33"/>
        <v>36966.995999999999</v>
      </c>
      <c r="O98" s="152">
        <f t="shared" si="34"/>
        <v>295075</v>
      </c>
      <c r="P98" s="152">
        <f t="shared" si="26"/>
        <v>590150</v>
      </c>
      <c r="Q98" s="152">
        <f t="shared" si="35"/>
        <v>295075</v>
      </c>
      <c r="R98" s="152">
        <f t="shared" si="27"/>
        <v>35409</v>
      </c>
      <c r="S98" s="152">
        <f t="shared" si="36"/>
        <v>141636</v>
      </c>
      <c r="T98" s="152">
        <f t="shared" si="37"/>
        <v>212454</v>
      </c>
      <c r="U98" s="152">
        <f t="shared" si="38"/>
        <v>283272</v>
      </c>
      <c r="V98" s="152">
        <f t="shared" si="39"/>
        <v>11282006.625999998</v>
      </c>
      <c r="W98" s="152">
        <f>IF(OR(Y98=$AA$2,Y98=$AA$3,Y98=$AA$4),HLOOKUP(A98,Datos!$D$98:$K$102,5,0),0)*G98</f>
        <v>0</v>
      </c>
      <c r="X98" s="152">
        <f t="shared" si="28"/>
        <v>183150</v>
      </c>
      <c r="Y98" s="152" t="str">
        <f t="shared" si="29"/>
        <v xml:space="preserve">MES 6 </v>
      </c>
      <c r="Z98">
        <f t="shared" si="30"/>
        <v>10</v>
      </c>
    </row>
    <row r="99" spans="1:26">
      <c r="A99" t="str">
        <f t="shared" si="43"/>
        <v>Administrador-2025</v>
      </c>
      <c r="B99">
        <v>2025</v>
      </c>
      <c r="C99" t="s">
        <v>392</v>
      </c>
      <c r="D99" t="s">
        <v>370</v>
      </c>
      <c r="E99" t="s">
        <v>371</v>
      </c>
      <c r="F99" s="151">
        <f t="shared" si="42"/>
        <v>0.5</v>
      </c>
      <c r="G99" s="151">
        <f t="shared" si="42"/>
        <v>1</v>
      </c>
      <c r="H99" s="152">
        <f>+HLOOKUP(A99,Datos!$D$81:$K$85,5,0)</f>
        <v>1953600.0000000005</v>
      </c>
      <c r="I99" s="152">
        <f>+HLOOKUP(A99,Datos!$D$90:$K$94,5,0)</f>
        <v>171679.92600000001</v>
      </c>
      <c r="J99" s="152">
        <f t="shared" si="24"/>
        <v>976800.00000000023</v>
      </c>
      <c r="K99" s="152">
        <f t="shared" si="25"/>
        <v>171679.92600000001</v>
      </c>
      <c r="L99" s="152">
        <f t="shared" si="31"/>
        <v>83028.000000000029</v>
      </c>
      <c r="M99" s="152">
        <f t="shared" si="32"/>
        <v>117216.00000000003</v>
      </c>
      <c r="N99" s="152">
        <f t="shared" si="33"/>
        <v>5098.8960000000006</v>
      </c>
      <c r="O99" s="152">
        <f t="shared" si="34"/>
        <v>40700.000000000007</v>
      </c>
      <c r="P99" s="152">
        <f t="shared" si="26"/>
        <v>81400.000000000015</v>
      </c>
      <c r="Q99" s="152">
        <f t="shared" si="35"/>
        <v>40700.000000000007</v>
      </c>
      <c r="R99" s="152">
        <f t="shared" si="27"/>
        <v>4884.0000000000009</v>
      </c>
      <c r="S99" s="152">
        <f t="shared" si="36"/>
        <v>19536.000000000004</v>
      </c>
      <c r="T99" s="152">
        <f t="shared" si="37"/>
        <v>29304.000000000007</v>
      </c>
      <c r="U99" s="152">
        <f t="shared" si="38"/>
        <v>39072.000000000007</v>
      </c>
      <c r="V99" s="152">
        <f t="shared" si="39"/>
        <v>1609418.8220000002</v>
      </c>
      <c r="W99" s="152">
        <f>IF(OR(Y99=$AA$2,Y99=$AA$3,Y99=$AA$4),HLOOKUP(A99,Datos!$D$99:$K$104,5,0),0)*G99</f>
        <v>0</v>
      </c>
      <c r="X99" s="152">
        <f t="shared" si="28"/>
        <v>15262.500000000005</v>
      </c>
      <c r="Y99" s="152" t="str">
        <f t="shared" si="29"/>
        <v xml:space="preserve">MES 6 </v>
      </c>
      <c r="Z99">
        <f t="shared" si="30"/>
        <v>10</v>
      </c>
    </row>
    <row r="100" spans="1:26">
      <c r="A100" t="str">
        <f t="shared" si="43"/>
        <v>Cajero-2025</v>
      </c>
      <c r="B100">
        <v>2025</v>
      </c>
      <c r="C100" t="s">
        <v>392</v>
      </c>
      <c r="D100" t="s">
        <v>372</v>
      </c>
      <c r="E100" t="s">
        <v>371</v>
      </c>
      <c r="F100" s="151">
        <f t="shared" si="42"/>
        <v>1</v>
      </c>
      <c r="G100" s="151">
        <f t="shared" si="42"/>
        <v>1</v>
      </c>
      <c r="H100" s="152">
        <f>HLOOKUP(A100,Datos!$D$82:$K$86,5,0)</f>
        <v>1416360</v>
      </c>
      <c r="I100" s="152">
        <f>+HLOOKUP(A100,Datos!$D$91:$K$95,5,0)</f>
        <v>171679.92600000001</v>
      </c>
      <c r="J100" s="152">
        <f t="shared" si="24"/>
        <v>1416360</v>
      </c>
      <c r="K100" s="152">
        <f t="shared" si="25"/>
        <v>171679.92600000001</v>
      </c>
      <c r="L100" s="152">
        <f t="shared" si="31"/>
        <v>120390.6</v>
      </c>
      <c r="M100" s="152">
        <f t="shared" si="32"/>
        <v>169963.19999999998</v>
      </c>
      <c r="N100" s="152">
        <f t="shared" si="33"/>
        <v>7393.3991999999998</v>
      </c>
      <c r="O100" s="152">
        <f t="shared" si="34"/>
        <v>59015</v>
      </c>
      <c r="P100" s="152">
        <f t="shared" si="26"/>
        <v>118030</v>
      </c>
      <c r="Q100" s="152">
        <f t="shared" si="35"/>
        <v>59015</v>
      </c>
      <c r="R100" s="152">
        <f t="shared" si="27"/>
        <v>7081.8</v>
      </c>
      <c r="S100" s="152">
        <f t="shared" si="36"/>
        <v>28327.200000000001</v>
      </c>
      <c r="T100" s="152">
        <f t="shared" si="37"/>
        <v>42490.799999999996</v>
      </c>
      <c r="U100" s="152">
        <f t="shared" si="38"/>
        <v>56654.400000000001</v>
      </c>
      <c r="V100" s="152">
        <f t="shared" si="39"/>
        <v>2256401.3251999998</v>
      </c>
      <c r="W100" s="152">
        <f>IF(OR(Y100=$AA$2,Y100=$AA$3,Y100=$AA$4),HLOOKUP(A100,Datos!$D$100:$K$104,5,0),0)*G100</f>
        <v>0</v>
      </c>
      <c r="X100" s="152">
        <f t="shared" si="28"/>
        <v>45787.500000000022</v>
      </c>
      <c r="Y100" s="152" t="str">
        <f t="shared" si="29"/>
        <v xml:space="preserve">MES 6 </v>
      </c>
      <c r="Z100">
        <f t="shared" si="30"/>
        <v>10</v>
      </c>
    </row>
    <row r="101" spans="1:26">
      <c r="A101" t="str">
        <f t="shared" si="43"/>
        <v>Aux cocina-2025</v>
      </c>
      <c r="B101">
        <v>2025</v>
      </c>
      <c r="C101" t="s">
        <v>393</v>
      </c>
      <c r="D101" t="s">
        <v>368</v>
      </c>
      <c r="E101" t="s">
        <v>369</v>
      </c>
      <c r="F101" s="151">
        <f t="shared" si="42"/>
        <v>5</v>
      </c>
      <c r="G101" s="151">
        <f t="shared" si="42"/>
        <v>5</v>
      </c>
      <c r="H101" s="152">
        <f>+HLOOKUP(A101,Datos!$D$80:$K$84,5,0)</f>
        <v>1416360</v>
      </c>
      <c r="I101" s="152">
        <f>+HLOOKUP(A101,Datos!$D$89:$K$93,5,0)</f>
        <v>171679.92600000001</v>
      </c>
      <c r="J101" s="152">
        <f t="shared" si="24"/>
        <v>7081800</v>
      </c>
      <c r="K101" s="152">
        <f t="shared" si="25"/>
        <v>858399.63</v>
      </c>
      <c r="L101" s="152">
        <f t="shared" si="31"/>
        <v>601953</v>
      </c>
      <c r="M101" s="152">
        <f t="shared" si="32"/>
        <v>849816</v>
      </c>
      <c r="N101" s="152">
        <f t="shared" si="33"/>
        <v>36966.995999999999</v>
      </c>
      <c r="O101" s="152">
        <f t="shared" si="34"/>
        <v>295075</v>
      </c>
      <c r="P101" s="152">
        <f t="shared" si="26"/>
        <v>590150</v>
      </c>
      <c r="Q101" s="152">
        <f t="shared" si="35"/>
        <v>295075</v>
      </c>
      <c r="R101" s="152">
        <f t="shared" si="27"/>
        <v>35409</v>
      </c>
      <c r="S101" s="152">
        <f t="shared" si="36"/>
        <v>141636</v>
      </c>
      <c r="T101" s="152">
        <f t="shared" si="37"/>
        <v>212454</v>
      </c>
      <c r="U101" s="152">
        <f t="shared" si="38"/>
        <v>283272</v>
      </c>
      <c r="V101" s="152">
        <f t="shared" si="39"/>
        <v>11282006.625999998</v>
      </c>
      <c r="W101" s="152">
        <f>IF(OR(Y101=$AA$2,Y101=$AA$3,Y101=$AA$4),HLOOKUP(A101,Datos!$D$98:$K$102,5,0),0)*G101</f>
        <v>0</v>
      </c>
      <c r="X101" s="152">
        <f t="shared" si="28"/>
        <v>183150</v>
      </c>
      <c r="Y101" s="152" t="str">
        <f t="shared" si="29"/>
        <v xml:space="preserve">MES 7 </v>
      </c>
      <c r="Z101">
        <f t="shared" si="30"/>
        <v>10</v>
      </c>
    </row>
    <row r="102" spans="1:26">
      <c r="A102" t="str">
        <f t="shared" si="43"/>
        <v>Administrador-2025</v>
      </c>
      <c r="B102">
        <v>2025</v>
      </c>
      <c r="C102" t="s">
        <v>393</v>
      </c>
      <c r="D102" t="s">
        <v>370</v>
      </c>
      <c r="E102" t="s">
        <v>371</v>
      </c>
      <c r="F102" s="151">
        <f t="shared" si="42"/>
        <v>0.5</v>
      </c>
      <c r="G102" s="151">
        <f t="shared" si="42"/>
        <v>1</v>
      </c>
      <c r="H102" s="152">
        <f>+HLOOKUP(A102,Datos!$D$81:$K$85,5,0)</f>
        <v>1953600.0000000005</v>
      </c>
      <c r="I102" s="152">
        <f>+HLOOKUP(A102,Datos!$D$90:$K$94,5,0)</f>
        <v>171679.92600000001</v>
      </c>
      <c r="J102" s="152">
        <f t="shared" si="24"/>
        <v>976800.00000000023</v>
      </c>
      <c r="K102" s="152">
        <f t="shared" si="25"/>
        <v>171679.92600000001</v>
      </c>
      <c r="L102" s="152">
        <f t="shared" si="31"/>
        <v>83028.000000000029</v>
      </c>
      <c r="M102" s="152">
        <f t="shared" si="32"/>
        <v>117216.00000000003</v>
      </c>
      <c r="N102" s="152">
        <f t="shared" si="33"/>
        <v>5098.8960000000006</v>
      </c>
      <c r="O102" s="152">
        <f t="shared" si="34"/>
        <v>40700.000000000007</v>
      </c>
      <c r="P102" s="152">
        <f t="shared" si="26"/>
        <v>81400.000000000015</v>
      </c>
      <c r="Q102" s="152">
        <f t="shared" si="35"/>
        <v>40700.000000000007</v>
      </c>
      <c r="R102" s="152">
        <f t="shared" si="27"/>
        <v>4884.0000000000009</v>
      </c>
      <c r="S102" s="152">
        <f t="shared" si="36"/>
        <v>19536.000000000004</v>
      </c>
      <c r="T102" s="152">
        <f t="shared" si="37"/>
        <v>29304.000000000007</v>
      </c>
      <c r="U102" s="152">
        <f t="shared" si="38"/>
        <v>39072.000000000007</v>
      </c>
      <c r="V102" s="152">
        <f t="shared" si="39"/>
        <v>1609418.8220000002</v>
      </c>
      <c r="W102" s="152">
        <f>IF(OR(Y102=$AA$2,Y102=$AA$3,Y102=$AA$4),HLOOKUP(A102,Datos!$D$99:$K$104,5,0),0)*G102</f>
        <v>0</v>
      </c>
      <c r="X102" s="152">
        <f t="shared" si="28"/>
        <v>15262.500000000005</v>
      </c>
      <c r="Y102" s="152" t="str">
        <f t="shared" si="29"/>
        <v xml:space="preserve">MES 7 </v>
      </c>
      <c r="Z102">
        <f t="shared" si="30"/>
        <v>10</v>
      </c>
    </row>
    <row r="103" spans="1:26">
      <c r="A103" t="str">
        <f t="shared" si="43"/>
        <v>Cajero-2025</v>
      </c>
      <c r="B103">
        <v>2025</v>
      </c>
      <c r="C103" t="s">
        <v>393</v>
      </c>
      <c r="D103" t="s">
        <v>372</v>
      </c>
      <c r="E103" t="s">
        <v>371</v>
      </c>
      <c r="F103" s="151">
        <f t="shared" si="42"/>
        <v>1</v>
      </c>
      <c r="G103" s="151">
        <f t="shared" si="42"/>
        <v>1</v>
      </c>
      <c r="H103" s="152">
        <f>HLOOKUP(A103,Datos!$D$82:$K$86,5,0)</f>
        <v>1416360</v>
      </c>
      <c r="I103" s="152">
        <f>+HLOOKUP(A103,Datos!$D$91:$K$95,5,0)</f>
        <v>171679.92600000001</v>
      </c>
      <c r="J103" s="152">
        <f t="shared" si="24"/>
        <v>1416360</v>
      </c>
      <c r="K103" s="152">
        <f t="shared" si="25"/>
        <v>171679.92600000001</v>
      </c>
      <c r="L103" s="152">
        <f t="shared" si="31"/>
        <v>120390.6</v>
      </c>
      <c r="M103" s="152">
        <f t="shared" si="32"/>
        <v>169963.19999999998</v>
      </c>
      <c r="N103" s="152">
        <f t="shared" si="33"/>
        <v>7393.3991999999998</v>
      </c>
      <c r="O103" s="152">
        <f t="shared" si="34"/>
        <v>59015</v>
      </c>
      <c r="P103" s="152">
        <f t="shared" si="26"/>
        <v>118030</v>
      </c>
      <c r="Q103" s="152">
        <f t="shared" si="35"/>
        <v>59015</v>
      </c>
      <c r="R103" s="152">
        <f t="shared" si="27"/>
        <v>7081.8</v>
      </c>
      <c r="S103" s="152">
        <f t="shared" si="36"/>
        <v>28327.200000000001</v>
      </c>
      <c r="T103" s="152">
        <f t="shared" si="37"/>
        <v>42490.799999999996</v>
      </c>
      <c r="U103" s="152">
        <f t="shared" si="38"/>
        <v>56654.400000000001</v>
      </c>
      <c r="V103" s="152">
        <f t="shared" si="39"/>
        <v>2256401.3251999998</v>
      </c>
      <c r="W103" s="152">
        <f>IF(OR(Y103=$AA$2,Y103=$AA$3,Y103=$AA$4),HLOOKUP(A103,Datos!$D$100:$K$104,5,0),0)*G103</f>
        <v>0</v>
      </c>
      <c r="X103" s="152">
        <f t="shared" si="28"/>
        <v>45787.500000000022</v>
      </c>
      <c r="Y103" s="152" t="str">
        <f t="shared" si="29"/>
        <v xml:space="preserve">MES 7 </v>
      </c>
      <c r="Z103">
        <f t="shared" si="30"/>
        <v>10</v>
      </c>
    </row>
    <row r="104" spans="1:26">
      <c r="A104" t="str">
        <f t="shared" si="43"/>
        <v>Aux cocina-2025</v>
      </c>
      <c r="B104">
        <v>2025</v>
      </c>
      <c r="C104" t="s">
        <v>394</v>
      </c>
      <c r="D104" t="s">
        <v>368</v>
      </c>
      <c r="E104" t="s">
        <v>369</v>
      </c>
      <c r="F104" s="151">
        <f t="shared" si="42"/>
        <v>5</v>
      </c>
      <c r="G104" s="151">
        <f t="shared" si="42"/>
        <v>5</v>
      </c>
      <c r="H104" s="152">
        <f>+HLOOKUP(A104,Datos!$D$80:$K$84,5,0)</f>
        <v>1416360</v>
      </c>
      <c r="I104" s="152">
        <f>+HLOOKUP(A104,Datos!$D$89:$K$93,5,0)</f>
        <v>171679.92600000001</v>
      </c>
      <c r="J104" s="152">
        <f t="shared" si="24"/>
        <v>7081800</v>
      </c>
      <c r="K104" s="152">
        <f t="shared" si="25"/>
        <v>858399.63</v>
      </c>
      <c r="L104" s="152">
        <f t="shared" si="31"/>
        <v>601953</v>
      </c>
      <c r="M104" s="152">
        <f t="shared" si="32"/>
        <v>849816</v>
      </c>
      <c r="N104" s="152">
        <f t="shared" si="33"/>
        <v>36966.995999999999</v>
      </c>
      <c r="O104" s="152">
        <f t="shared" si="34"/>
        <v>295075</v>
      </c>
      <c r="P104" s="152">
        <f t="shared" si="26"/>
        <v>590150</v>
      </c>
      <c r="Q104" s="152">
        <f t="shared" si="35"/>
        <v>295075</v>
      </c>
      <c r="R104" s="152">
        <f t="shared" si="27"/>
        <v>35409</v>
      </c>
      <c r="S104" s="152">
        <f t="shared" si="36"/>
        <v>141636</v>
      </c>
      <c r="T104" s="152">
        <f t="shared" si="37"/>
        <v>212454</v>
      </c>
      <c r="U104" s="152">
        <f t="shared" si="38"/>
        <v>283272</v>
      </c>
      <c r="V104" s="152">
        <f t="shared" si="39"/>
        <v>11282006.625999998</v>
      </c>
      <c r="W104" s="152">
        <f>IF(OR(Y104=$AA$2,Y104=$AA$3,Y104=$AA$4),HLOOKUP(A104,Datos!$D$98:$K$102,5,0),0)*G104</f>
        <v>732600</v>
      </c>
      <c r="X104" s="152">
        <f t="shared" si="28"/>
        <v>183150</v>
      </c>
      <c r="Y104" s="152" t="str">
        <f t="shared" si="29"/>
        <v xml:space="preserve">MES 8 </v>
      </c>
      <c r="Z104">
        <f t="shared" si="30"/>
        <v>10</v>
      </c>
    </row>
    <row r="105" spans="1:26">
      <c r="A105" t="str">
        <f t="shared" si="43"/>
        <v>Administrador-2025</v>
      </c>
      <c r="B105">
        <v>2025</v>
      </c>
      <c r="C105" t="s">
        <v>394</v>
      </c>
      <c r="D105" t="s">
        <v>370</v>
      </c>
      <c r="E105" t="s">
        <v>371</v>
      </c>
      <c r="F105" s="151">
        <f t="shared" si="42"/>
        <v>0.5</v>
      </c>
      <c r="G105" s="151">
        <f t="shared" si="42"/>
        <v>1</v>
      </c>
      <c r="H105" s="152">
        <f>+HLOOKUP(A105,Datos!$D$81:$K$85,5,0)</f>
        <v>1953600.0000000005</v>
      </c>
      <c r="I105" s="152">
        <f>+HLOOKUP(A105,Datos!$D$90:$K$94,5,0)</f>
        <v>171679.92600000001</v>
      </c>
      <c r="J105" s="152">
        <f t="shared" si="24"/>
        <v>976800.00000000023</v>
      </c>
      <c r="K105" s="152">
        <f t="shared" si="25"/>
        <v>171679.92600000001</v>
      </c>
      <c r="L105" s="152">
        <f t="shared" si="31"/>
        <v>83028.000000000029</v>
      </c>
      <c r="M105" s="152">
        <f t="shared" si="32"/>
        <v>117216.00000000003</v>
      </c>
      <c r="N105" s="152">
        <f t="shared" si="33"/>
        <v>5098.8960000000006</v>
      </c>
      <c r="O105" s="152">
        <f t="shared" si="34"/>
        <v>40700.000000000007</v>
      </c>
      <c r="P105" s="152">
        <f t="shared" si="26"/>
        <v>81400.000000000015</v>
      </c>
      <c r="Q105" s="152">
        <f t="shared" si="35"/>
        <v>40700.000000000007</v>
      </c>
      <c r="R105" s="152">
        <f t="shared" si="27"/>
        <v>4884.0000000000009</v>
      </c>
      <c r="S105" s="152">
        <f t="shared" si="36"/>
        <v>19536.000000000004</v>
      </c>
      <c r="T105" s="152">
        <f t="shared" si="37"/>
        <v>29304.000000000007</v>
      </c>
      <c r="U105" s="152">
        <f t="shared" si="38"/>
        <v>39072.000000000007</v>
      </c>
      <c r="V105" s="152">
        <f t="shared" si="39"/>
        <v>1609418.8220000002</v>
      </c>
      <c r="W105" s="152">
        <f>IF(OR(Y105=$AA$2,Y105=$AA$3,Y105=$AA$4),HLOOKUP(A105,Datos!$D$99:$K$104,5,0),0)*G105</f>
        <v>61050.000000000015</v>
      </c>
      <c r="X105" s="152">
        <f t="shared" si="28"/>
        <v>15262.500000000005</v>
      </c>
      <c r="Y105" s="152" t="str">
        <f t="shared" si="29"/>
        <v xml:space="preserve">MES 8 </v>
      </c>
      <c r="Z105">
        <f t="shared" si="30"/>
        <v>10</v>
      </c>
    </row>
    <row r="106" spans="1:26">
      <c r="A106" t="str">
        <f t="shared" si="43"/>
        <v>Cajero-2025</v>
      </c>
      <c r="B106">
        <v>2025</v>
      </c>
      <c r="C106" t="s">
        <v>394</v>
      </c>
      <c r="D106" t="s">
        <v>372</v>
      </c>
      <c r="E106" t="s">
        <v>371</v>
      </c>
      <c r="F106" s="151">
        <f t="shared" si="42"/>
        <v>1</v>
      </c>
      <c r="G106" s="151">
        <f t="shared" si="42"/>
        <v>1</v>
      </c>
      <c r="H106" s="152">
        <f>HLOOKUP(A106,Datos!$D$82:$K$86,5,0)</f>
        <v>1416360</v>
      </c>
      <c r="I106" s="152">
        <f>+HLOOKUP(A106,Datos!$D$91:$K$95,5,0)</f>
        <v>171679.92600000001</v>
      </c>
      <c r="J106" s="152">
        <f t="shared" si="24"/>
        <v>1416360</v>
      </c>
      <c r="K106" s="152">
        <f t="shared" si="25"/>
        <v>171679.92600000001</v>
      </c>
      <c r="L106" s="152">
        <f t="shared" si="31"/>
        <v>120390.6</v>
      </c>
      <c r="M106" s="152">
        <f t="shared" si="32"/>
        <v>169963.19999999998</v>
      </c>
      <c r="N106" s="152">
        <f t="shared" si="33"/>
        <v>7393.3991999999998</v>
      </c>
      <c r="O106" s="152">
        <f t="shared" si="34"/>
        <v>59015</v>
      </c>
      <c r="P106" s="152">
        <f t="shared" si="26"/>
        <v>118030</v>
      </c>
      <c r="Q106" s="152">
        <f t="shared" si="35"/>
        <v>59015</v>
      </c>
      <c r="R106" s="152">
        <f t="shared" si="27"/>
        <v>7081.8</v>
      </c>
      <c r="S106" s="152">
        <f t="shared" si="36"/>
        <v>28327.200000000001</v>
      </c>
      <c r="T106" s="152">
        <f t="shared" si="37"/>
        <v>42490.799999999996</v>
      </c>
      <c r="U106" s="152">
        <f t="shared" si="38"/>
        <v>56654.400000000001</v>
      </c>
      <c r="V106" s="152">
        <f t="shared" si="39"/>
        <v>2256401.3251999998</v>
      </c>
      <c r="W106" s="152">
        <f>IF(OR(Y106=$AA$2,Y106=$AA$3,Y106=$AA$4),HLOOKUP(A106,Datos!$D$100:$K$104,5,0),0)*G106</f>
        <v>183150.00000000006</v>
      </c>
      <c r="X106" s="152">
        <f t="shared" si="28"/>
        <v>45787.500000000022</v>
      </c>
      <c r="Y106" s="152" t="str">
        <f t="shared" si="29"/>
        <v xml:space="preserve">MES 8 </v>
      </c>
      <c r="Z106">
        <f t="shared" si="30"/>
        <v>10</v>
      </c>
    </row>
    <row r="107" spans="1:26">
      <c r="A107" t="str">
        <f t="shared" si="43"/>
        <v>Aux cocina-2025</v>
      </c>
      <c r="B107">
        <v>2025</v>
      </c>
      <c r="C107" t="s">
        <v>395</v>
      </c>
      <c r="D107" t="s">
        <v>368</v>
      </c>
      <c r="E107" t="s">
        <v>369</v>
      </c>
      <c r="F107" s="151">
        <f t="shared" si="42"/>
        <v>5</v>
      </c>
      <c r="G107" s="151">
        <f t="shared" si="42"/>
        <v>5</v>
      </c>
      <c r="H107" s="152">
        <f>+HLOOKUP(A107,Datos!$D$80:$K$84,5,0)</f>
        <v>1416360</v>
      </c>
      <c r="I107" s="152">
        <f>+HLOOKUP(A107,Datos!$D$89:$K$93,5,0)</f>
        <v>171679.92600000001</v>
      </c>
      <c r="J107" s="152">
        <f t="shared" si="24"/>
        <v>7081800</v>
      </c>
      <c r="K107" s="152">
        <f t="shared" si="25"/>
        <v>858399.63</v>
      </c>
      <c r="L107" s="152">
        <f t="shared" si="31"/>
        <v>601953</v>
      </c>
      <c r="M107" s="152">
        <f t="shared" si="32"/>
        <v>849816</v>
      </c>
      <c r="N107" s="152">
        <f t="shared" si="33"/>
        <v>36966.995999999999</v>
      </c>
      <c r="O107" s="152">
        <f t="shared" si="34"/>
        <v>295075</v>
      </c>
      <c r="P107" s="152">
        <f t="shared" si="26"/>
        <v>590150</v>
      </c>
      <c r="Q107" s="152">
        <f t="shared" si="35"/>
        <v>295075</v>
      </c>
      <c r="R107" s="152">
        <f t="shared" si="27"/>
        <v>35409</v>
      </c>
      <c r="S107" s="152">
        <f t="shared" si="36"/>
        <v>141636</v>
      </c>
      <c r="T107" s="152">
        <f t="shared" si="37"/>
        <v>212454</v>
      </c>
      <c r="U107" s="152">
        <f t="shared" si="38"/>
        <v>283272</v>
      </c>
      <c r="V107" s="152">
        <f t="shared" si="39"/>
        <v>11282006.625999998</v>
      </c>
      <c r="W107" s="152">
        <f>IF(OR(Y107=$AA$2,Y107=$AA$3,Y107=$AA$4),HLOOKUP(A107,Datos!$D$98:$K$102,5,0),0)*G107</f>
        <v>0</v>
      </c>
      <c r="X107" s="152">
        <f t="shared" si="28"/>
        <v>183150</v>
      </c>
      <c r="Y107" s="152" t="str">
        <f t="shared" si="29"/>
        <v xml:space="preserve">MES 9 </v>
      </c>
      <c r="Z107">
        <f t="shared" si="30"/>
        <v>10</v>
      </c>
    </row>
    <row r="108" spans="1:26">
      <c r="A108" t="str">
        <f t="shared" si="43"/>
        <v>Administrador-2025</v>
      </c>
      <c r="B108">
        <v>2025</v>
      </c>
      <c r="C108" t="s">
        <v>395</v>
      </c>
      <c r="D108" t="s">
        <v>370</v>
      </c>
      <c r="E108" t="s">
        <v>371</v>
      </c>
      <c r="F108" s="151">
        <f t="shared" si="42"/>
        <v>0.5</v>
      </c>
      <c r="G108" s="151">
        <f t="shared" si="42"/>
        <v>1</v>
      </c>
      <c r="H108" s="152">
        <f>+HLOOKUP(A108,Datos!$D$81:$K$85,5,0)</f>
        <v>1953600.0000000005</v>
      </c>
      <c r="I108" s="152">
        <f>+HLOOKUP(A108,Datos!$D$90:$K$94,5,0)</f>
        <v>171679.92600000001</v>
      </c>
      <c r="J108" s="152">
        <f t="shared" si="24"/>
        <v>976800.00000000023</v>
      </c>
      <c r="K108" s="152">
        <f t="shared" si="25"/>
        <v>171679.92600000001</v>
      </c>
      <c r="L108" s="152">
        <f t="shared" si="31"/>
        <v>83028.000000000029</v>
      </c>
      <c r="M108" s="152">
        <f t="shared" si="32"/>
        <v>117216.00000000003</v>
      </c>
      <c r="N108" s="152">
        <f t="shared" si="33"/>
        <v>5098.8960000000006</v>
      </c>
      <c r="O108" s="152">
        <f t="shared" si="34"/>
        <v>40700.000000000007</v>
      </c>
      <c r="P108" s="152">
        <f t="shared" si="26"/>
        <v>81400.000000000015</v>
      </c>
      <c r="Q108" s="152">
        <f t="shared" si="35"/>
        <v>40700.000000000007</v>
      </c>
      <c r="R108" s="152">
        <f t="shared" si="27"/>
        <v>4884.0000000000009</v>
      </c>
      <c r="S108" s="152">
        <f t="shared" si="36"/>
        <v>19536.000000000004</v>
      </c>
      <c r="T108" s="152">
        <f t="shared" si="37"/>
        <v>29304.000000000007</v>
      </c>
      <c r="U108" s="152">
        <f t="shared" si="38"/>
        <v>39072.000000000007</v>
      </c>
      <c r="V108" s="152">
        <f t="shared" si="39"/>
        <v>1609418.8220000002</v>
      </c>
      <c r="W108" s="152">
        <f>IF(OR(Y108=$AA$2,Y108=$AA$3,Y108=$AA$4),HLOOKUP(A108,Datos!$D$99:$K$104,5,0),0)*G108</f>
        <v>0</v>
      </c>
      <c r="X108" s="152">
        <f t="shared" si="28"/>
        <v>15262.500000000005</v>
      </c>
      <c r="Y108" s="152" t="str">
        <f t="shared" si="29"/>
        <v xml:space="preserve">MES 9 </v>
      </c>
      <c r="Z108">
        <f t="shared" si="30"/>
        <v>10</v>
      </c>
    </row>
    <row r="109" spans="1:26">
      <c r="A109" t="str">
        <f t="shared" si="43"/>
        <v>Cajero-2025</v>
      </c>
      <c r="B109">
        <v>2025</v>
      </c>
      <c r="C109" t="s">
        <v>395</v>
      </c>
      <c r="D109" t="s">
        <v>372</v>
      </c>
      <c r="E109" t="s">
        <v>371</v>
      </c>
      <c r="F109" s="151">
        <f t="shared" si="42"/>
        <v>1</v>
      </c>
      <c r="G109" s="151">
        <f t="shared" si="42"/>
        <v>1</v>
      </c>
      <c r="H109" s="152">
        <f>HLOOKUP(A109,Datos!$D$82:$K$86,5,0)</f>
        <v>1416360</v>
      </c>
      <c r="I109" s="152">
        <f>+HLOOKUP(A109,Datos!$D$91:$K$95,5,0)</f>
        <v>171679.92600000001</v>
      </c>
      <c r="J109" s="152">
        <f t="shared" si="24"/>
        <v>1416360</v>
      </c>
      <c r="K109" s="152">
        <f t="shared" si="25"/>
        <v>171679.92600000001</v>
      </c>
      <c r="L109" s="152">
        <f t="shared" si="31"/>
        <v>120390.6</v>
      </c>
      <c r="M109" s="152">
        <f t="shared" si="32"/>
        <v>169963.19999999998</v>
      </c>
      <c r="N109" s="152">
        <f t="shared" si="33"/>
        <v>7393.3991999999998</v>
      </c>
      <c r="O109" s="152">
        <f t="shared" si="34"/>
        <v>59015</v>
      </c>
      <c r="P109" s="152">
        <f t="shared" si="26"/>
        <v>118030</v>
      </c>
      <c r="Q109" s="152">
        <f t="shared" si="35"/>
        <v>59015</v>
      </c>
      <c r="R109" s="152">
        <f t="shared" si="27"/>
        <v>7081.8</v>
      </c>
      <c r="S109" s="152">
        <f t="shared" si="36"/>
        <v>28327.200000000001</v>
      </c>
      <c r="T109" s="152">
        <f t="shared" si="37"/>
        <v>42490.799999999996</v>
      </c>
      <c r="U109" s="152">
        <f t="shared" si="38"/>
        <v>56654.400000000001</v>
      </c>
      <c r="V109" s="152">
        <f t="shared" si="39"/>
        <v>2256401.3251999998</v>
      </c>
      <c r="W109" s="152">
        <f>IF(OR(Y109=$AA$2,Y109=$AA$3,Y109=$AA$4),HLOOKUP(A109,Datos!$D$100:$K$104,5,0),0)*G109</f>
        <v>0</v>
      </c>
      <c r="X109" s="152">
        <f t="shared" si="28"/>
        <v>45787.500000000022</v>
      </c>
      <c r="Y109" s="152" t="str">
        <f t="shared" si="29"/>
        <v xml:space="preserve">MES 9 </v>
      </c>
      <c r="Z109">
        <f t="shared" si="30"/>
        <v>10</v>
      </c>
    </row>
    <row r="110" spans="1:26">
      <c r="A110" t="str">
        <f t="shared" si="43"/>
        <v>Aux cocina-2026</v>
      </c>
      <c r="B110">
        <v>2026</v>
      </c>
      <c r="C110" t="s">
        <v>396</v>
      </c>
      <c r="D110" t="s">
        <v>368</v>
      </c>
      <c r="E110" t="s">
        <v>369</v>
      </c>
      <c r="F110" s="151">
        <f t="shared" si="42"/>
        <v>5</v>
      </c>
      <c r="G110" s="151">
        <f t="shared" si="42"/>
        <v>5</v>
      </c>
      <c r="H110" s="152">
        <f>+HLOOKUP(A110,Datos!$D$80:$K$84,5,0)</f>
        <v>1543832.4000000001</v>
      </c>
      <c r="I110" s="152">
        <f>+HLOOKUP(A110,Datos!$D$89:$K$93,5,0)</f>
        <v>187131.11934000003</v>
      </c>
      <c r="J110" s="152">
        <f t="shared" si="24"/>
        <v>7719162.0000000009</v>
      </c>
      <c r="K110" s="152">
        <f t="shared" si="25"/>
        <v>935655.59670000011</v>
      </c>
      <c r="L110" s="152">
        <f t="shared" si="31"/>
        <v>656128.77000000014</v>
      </c>
      <c r="M110" s="152">
        <f t="shared" si="32"/>
        <v>926299.44000000006</v>
      </c>
      <c r="N110" s="152">
        <f t="shared" si="33"/>
        <v>40294.02564</v>
      </c>
      <c r="O110" s="152">
        <f t="shared" si="34"/>
        <v>321631.75</v>
      </c>
      <c r="P110" s="152">
        <f t="shared" si="26"/>
        <v>643263.50000000012</v>
      </c>
      <c r="Q110" s="152">
        <f t="shared" si="35"/>
        <v>321631.75</v>
      </c>
      <c r="R110" s="152">
        <f t="shared" si="27"/>
        <v>38595.81</v>
      </c>
      <c r="S110" s="152">
        <f t="shared" si="36"/>
        <v>154383.24000000002</v>
      </c>
      <c r="T110" s="152">
        <f t="shared" si="37"/>
        <v>231574.86000000002</v>
      </c>
      <c r="U110" s="152">
        <f t="shared" si="38"/>
        <v>308766.48000000004</v>
      </c>
      <c r="V110" s="152">
        <f t="shared" si="39"/>
        <v>12297387.222340001</v>
      </c>
      <c r="W110" s="152">
        <f>IF(OR(Y110=$AA$2,Y110=$AA$3,Y110=$AA$4),HLOOKUP(A110,Datos!$D$98:$K$102,5,0),0)*G110</f>
        <v>0</v>
      </c>
      <c r="X110" s="152">
        <f t="shared" si="28"/>
        <v>199633.50000000003</v>
      </c>
      <c r="Y110" s="152" t="str">
        <f t="shared" si="29"/>
        <v xml:space="preserve">MES 1 </v>
      </c>
      <c r="Z110">
        <f t="shared" si="30"/>
        <v>10</v>
      </c>
    </row>
    <row r="111" spans="1:26">
      <c r="A111" t="str">
        <f t="shared" si="43"/>
        <v>Administrador-2026</v>
      </c>
      <c r="B111">
        <v>2026</v>
      </c>
      <c r="C111" t="s">
        <v>396</v>
      </c>
      <c r="D111" t="s">
        <v>370</v>
      </c>
      <c r="E111" t="s">
        <v>371</v>
      </c>
      <c r="F111" s="151">
        <f t="shared" si="42"/>
        <v>0.5</v>
      </c>
      <c r="G111" s="151">
        <f t="shared" si="42"/>
        <v>1</v>
      </c>
      <c r="H111" s="152">
        <f>+HLOOKUP(A111,Datos!$D$81:$K$85,5,0)</f>
        <v>2129424.0000000005</v>
      </c>
      <c r="I111" s="152">
        <f>+HLOOKUP(A111,Datos!$D$90:$K$94,5,0)</f>
        <v>187131.11934000003</v>
      </c>
      <c r="J111" s="152">
        <f t="shared" si="24"/>
        <v>1064712.0000000002</v>
      </c>
      <c r="K111" s="152">
        <f t="shared" si="25"/>
        <v>187131.11934000003</v>
      </c>
      <c r="L111" s="152">
        <f t="shared" si="31"/>
        <v>90500.520000000033</v>
      </c>
      <c r="M111" s="152">
        <f t="shared" si="32"/>
        <v>127765.44000000002</v>
      </c>
      <c r="N111" s="152">
        <f t="shared" si="33"/>
        <v>5557.7966400000014</v>
      </c>
      <c r="O111" s="152">
        <f t="shared" si="34"/>
        <v>44363.000000000015</v>
      </c>
      <c r="P111" s="152">
        <f t="shared" si="26"/>
        <v>88726.000000000015</v>
      </c>
      <c r="Q111" s="152">
        <f t="shared" si="35"/>
        <v>44363.000000000015</v>
      </c>
      <c r="R111" s="152">
        <f t="shared" si="27"/>
        <v>5323.5600000000013</v>
      </c>
      <c r="S111" s="152">
        <f t="shared" si="36"/>
        <v>21294.240000000005</v>
      </c>
      <c r="T111" s="152">
        <f t="shared" si="37"/>
        <v>31941.360000000004</v>
      </c>
      <c r="U111" s="152">
        <f t="shared" si="38"/>
        <v>42588.48000000001</v>
      </c>
      <c r="V111" s="152">
        <f t="shared" si="39"/>
        <v>1754266.5159800004</v>
      </c>
      <c r="W111" s="152">
        <f>IF(OR(Y111=$AA$2,Y111=$AA$3,Y111=$AA$4),HLOOKUP(A111,Datos!$D$99:$K$104,5,0),0)*G111</f>
        <v>0</v>
      </c>
      <c r="X111" s="152">
        <f t="shared" si="28"/>
        <v>16636.125000000004</v>
      </c>
      <c r="Y111" s="152" t="str">
        <f t="shared" si="29"/>
        <v xml:space="preserve">MES 1 </v>
      </c>
      <c r="Z111">
        <f t="shared" si="30"/>
        <v>10</v>
      </c>
    </row>
    <row r="112" spans="1:26">
      <c r="A112" t="str">
        <f t="shared" si="43"/>
        <v>Cajero-2026</v>
      </c>
      <c r="B112">
        <v>2026</v>
      </c>
      <c r="C112" t="s">
        <v>396</v>
      </c>
      <c r="D112" t="s">
        <v>372</v>
      </c>
      <c r="E112" t="s">
        <v>371</v>
      </c>
      <c r="F112" s="151">
        <f t="shared" si="42"/>
        <v>1</v>
      </c>
      <c r="G112" s="151">
        <f t="shared" si="42"/>
        <v>1</v>
      </c>
      <c r="H112" s="152">
        <f>HLOOKUP(A112,Datos!$D$82:$K$86,5,0)</f>
        <v>1543832.4000000001</v>
      </c>
      <c r="I112" s="152">
        <f>+HLOOKUP(A112,Datos!$D$91:$K$95,5,0)</f>
        <v>187131.11934000003</v>
      </c>
      <c r="J112" s="152">
        <f t="shared" si="24"/>
        <v>1543832.4000000001</v>
      </c>
      <c r="K112" s="152">
        <f t="shared" si="25"/>
        <v>187131.11934000003</v>
      </c>
      <c r="L112" s="152">
        <f t="shared" si="31"/>
        <v>131225.75400000002</v>
      </c>
      <c r="M112" s="152">
        <f t="shared" si="32"/>
        <v>185259.88800000001</v>
      </c>
      <c r="N112" s="152">
        <f t="shared" si="33"/>
        <v>8058.8051280000009</v>
      </c>
      <c r="O112" s="152">
        <f t="shared" si="34"/>
        <v>64326.350000000006</v>
      </c>
      <c r="P112" s="152">
        <f t="shared" si="26"/>
        <v>128652.70000000001</v>
      </c>
      <c r="Q112" s="152">
        <f t="shared" si="35"/>
        <v>64326.350000000006</v>
      </c>
      <c r="R112" s="152">
        <f t="shared" si="27"/>
        <v>7719.1620000000003</v>
      </c>
      <c r="S112" s="152">
        <f t="shared" si="36"/>
        <v>30876.648000000005</v>
      </c>
      <c r="T112" s="152">
        <f t="shared" si="37"/>
        <v>46314.972000000002</v>
      </c>
      <c r="U112" s="152">
        <f t="shared" si="38"/>
        <v>61753.296000000009</v>
      </c>
      <c r="V112" s="152">
        <f t="shared" si="39"/>
        <v>2459477.4444680004</v>
      </c>
      <c r="W112" s="152">
        <f>IF(OR(Y112=$AA$2,Y112=$AA$3,Y112=$AA$4),HLOOKUP(A112,Datos!$D$100:$K$104,5,0),0)*G112</f>
        <v>0</v>
      </c>
      <c r="X112" s="152">
        <f t="shared" si="28"/>
        <v>49908.375000000022</v>
      </c>
      <c r="Y112" s="152" t="str">
        <f t="shared" si="29"/>
        <v xml:space="preserve">MES 1 </v>
      </c>
      <c r="Z112">
        <f t="shared" si="30"/>
        <v>10</v>
      </c>
    </row>
    <row r="113" spans="1:26">
      <c r="A113" t="str">
        <f t="shared" si="43"/>
        <v>Aux cocina-2026</v>
      </c>
      <c r="B113">
        <v>2026</v>
      </c>
      <c r="C113" t="s">
        <v>397</v>
      </c>
      <c r="D113" t="s">
        <v>368</v>
      </c>
      <c r="E113" t="s">
        <v>369</v>
      </c>
      <c r="F113" s="151">
        <f t="shared" si="42"/>
        <v>5</v>
      </c>
      <c r="G113" s="151">
        <f t="shared" si="42"/>
        <v>5</v>
      </c>
      <c r="H113" s="152">
        <f>+HLOOKUP(A113,Datos!$D$80:$K$84,5,0)</f>
        <v>1543832.4000000001</v>
      </c>
      <c r="I113" s="152">
        <f>+HLOOKUP(A113,Datos!$D$89:$K$93,5,0)</f>
        <v>187131.11934000003</v>
      </c>
      <c r="J113" s="152">
        <f t="shared" si="24"/>
        <v>7719162.0000000009</v>
      </c>
      <c r="K113" s="152">
        <f t="shared" si="25"/>
        <v>935655.59670000011</v>
      </c>
      <c r="L113" s="152">
        <f t="shared" si="31"/>
        <v>656128.77000000014</v>
      </c>
      <c r="M113" s="152">
        <f t="shared" si="32"/>
        <v>926299.44000000006</v>
      </c>
      <c r="N113" s="152">
        <f t="shared" si="33"/>
        <v>40294.02564</v>
      </c>
      <c r="O113" s="152">
        <f t="shared" si="34"/>
        <v>321631.75</v>
      </c>
      <c r="P113" s="152">
        <f t="shared" si="26"/>
        <v>643263.50000000012</v>
      </c>
      <c r="Q113" s="152">
        <f t="shared" si="35"/>
        <v>321631.75</v>
      </c>
      <c r="R113" s="152">
        <f t="shared" si="27"/>
        <v>38595.81</v>
      </c>
      <c r="S113" s="152">
        <f t="shared" si="36"/>
        <v>154383.24000000002</v>
      </c>
      <c r="T113" s="152">
        <f t="shared" si="37"/>
        <v>231574.86000000002</v>
      </c>
      <c r="U113" s="152">
        <f t="shared" si="38"/>
        <v>308766.48000000004</v>
      </c>
      <c r="V113" s="152">
        <f t="shared" si="39"/>
        <v>12297387.222340001</v>
      </c>
      <c r="W113" s="152">
        <f>IF(OR(Y113=$AA$2,Y113=$AA$3,Y113=$AA$4),HLOOKUP(A113,Datos!$D$98:$K$102,5,0),0)*G113</f>
        <v>0</v>
      </c>
      <c r="X113" s="152">
        <f t="shared" si="28"/>
        <v>199633.50000000003</v>
      </c>
      <c r="Y113" s="152" t="str">
        <f t="shared" si="29"/>
        <v>MES 10</v>
      </c>
      <c r="Z113">
        <f t="shared" si="30"/>
        <v>11</v>
      </c>
    </row>
    <row r="114" spans="1:26">
      <c r="A114" t="str">
        <f t="shared" si="43"/>
        <v>Administrador-2026</v>
      </c>
      <c r="B114">
        <v>2026</v>
      </c>
      <c r="C114" t="s">
        <v>397</v>
      </c>
      <c r="D114" t="s">
        <v>370</v>
      </c>
      <c r="E114" t="s">
        <v>371</v>
      </c>
      <c r="F114" s="151">
        <f t="shared" si="42"/>
        <v>0.5</v>
      </c>
      <c r="G114" s="151">
        <f t="shared" si="42"/>
        <v>1</v>
      </c>
      <c r="H114" s="152">
        <f>+HLOOKUP(A114,Datos!$D$81:$K$85,5,0)</f>
        <v>2129424.0000000005</v>
      </c>
      <c r="I114" s="152">
        <f>+HLOOKUP(A114,Datos!$D$90:$K$94,5,0)</f>
        <v>187131.11934000003</v>
      </c>
      <c r="J114" s="152">
        <f t="shared" si="24"/>
        <v>1064712.0000000002</v>
      </c>
      <c r="K114" s="152">
        <f t="shared" si="25"/>
        <v>187131.11934000003</v>
      </c>
      <c r="L114" s="152">
        <f t="shared" si="31"/>
        <v>90500.520000000033</v>
      </c>
      <c r="M114" s="152">
        <f t="shared" si="32"/>
        <v>127765.44000000002</v>
      </c>
      <c r="N114" s="152">
        <f t="shared" si="33"/>
        <v>5557.7966400000014</v>
      </c>
      <c r="O114" s="152">
        <f t="shared" si="34"/>
        <v>44363.000000000015</v>
      </c>
      <c r="P114" s="152">
        <f t="shared" si="26"/>
        <v>88726.000000000015</v>
      </c>
      <c r="Q114" s="152">
        <f t="shared" si="35"/>
        <v>44363.000000000015</v>
      </c>
      <c r="R114" s="152">
        <f t="shared" si="27"/>
        <v>5323.5600000000013</v>
      </c>
      <c r="S114" s="152">
        <f t="shared" si="36"/>
        <v>21294.240000000005</v>
      </c>
      <c r="T114" s="152">
        <f t="shared" si="37"/>
        <v>31941.360000000004</v>
      </c>
      <c r="U114" s="152">
        <f t="shared" si="38"/>
        <v>42588.48000000001</v>
      </c>
      <c r="V114" s="152">
        <f t="shared" si="39"/>
        <v>1754266.5159800004</v>
      </c>
      <c r="W114" s="152">
        <f>IF(OR(Y114=$AA$2,Y114=$AA$3,Y114=$AA$4),HLOOKUP(A114,Datos!$D$99:$K$104,5,0),0)*G114</f>
        <v>0</v>
      </c>
      <c r="X114" s="152">
        <f t="shared" si="28"/>
        <v>16636.125000000004</v>
      </c>
      <c r="Y114" s="152" t="str">
        <f t="shared" si="29"/>
        <v>MES 10</v>
      </c>
      <c r="Z114">
        <f t="shared" si="30"/>
        <v>11</v>
      </c>
    </row>
    <row r="115" spans="1:26">
      <c r="A115" t="str">
        <f t="shared" si="43"/>
        <v>Cajero-2026</v>
      </c>
      <c r="B115">
        <v>2026</v>
      </c>
      <c r="C115" t="s">
        <v>397</v>
      </c>
      <c r="D115" t="s">
        <v>372</v>
      </c>
      <c r="E115" t="s">
        <v>371</v>
      </c>
      <c r="F115" s="151">
        <f t="shared" ref="F115:G134" si="44">+F112</f>
        <v>1</v>
      </c>
      <c r="G115" s="151">
        <f t="shared" si="44"/>
        <v>1</v>
      </c>
      <c r="H115" s="152">
        <f>HLOOKUP(A115,Datos!$D$82:$K$86,5,0)</f>
        <v>1543832.4000000001</v>
      </c>
      <c r="I115" s="152">
        <f>+HLOOKUP(A115,Datos!$D$91:$K$95,5,0)</f>
        <v>187131.11934000003</v>
      </c>
      <c r="J115" s="152">
        <f t="shared" si="24"/>
        <v>1543832.4000000001</v>
      </c>
      <c r="K115" s="152">
        <f t="shared" si="25"/>
        <v>187131.11934000003</v>
      </c>
      <c r="L115" s="152">
        <f t="shared" si="31"/>
        <v>131225.75400000002</v>
      </c>
      <c r="M115" s="152">
        <f t="shared" si="32"/>
        <v>185259.88800000001</v>
      </c>
      <c r="N115" s="152">
        <f t="shared" si="33"/>
        <v>8058.8051280000009</v>
      </c>
      <c r="O115" s="152">
        <f t="shared" si="34"/>
        <v>64326.350000000006</v>
      </c>
      <c r="P115" s="152">
        <f t="shared" si="26"/>
        <v>128652.70000000001</v>
      </c>
      <c r="Q115" s="152">
        <f t="shared" si="35"/>
        <v>64326.350000000006</v>
      </c>
      <c r="R115" s="152">
        <f t="shared" si="27"/>
        <v>7719.1620000000003</v>
      </c>
      <c r="S115" s="152">
        <f t="shared" si="36"/>
        <v>30876.648000000005</v>
      </c>
      <c r="T115" s="152">
        <f t="shared" si="37"/>
        <v>46314.972000000002</v>
      </c>
      <c r="U115" s="152">
        <f t="shared" si="38"/>
        <v>61753.296000000009</v>
      </c>
      <c r="V115" s="152">
        <f t="shared" si="39"/>
        <v>2459477.4444680004</v>
      </c>
      <c r="W115" s="152">
        <f>IF(OR(Y115=$AA$2,Y115=$AA$3,Y115=$AA$4),HLOOKUP(A115,Datos!$D$100:$K$104,5,0),0)*G115</f>
        <v>0</v>
      </c>
      <c r="X115" s="152">
        <f t="shared" si="28"/>
        <v>49908.375000000022</v>
      </c>
      <c r="Y115" s="152" t="str">
        <f t="shared" si="29"/>
        <v>MES 10</v>
      </c>
      <c r="Z115">
        <f t="shared" si="30"/>
        <v>11</v>
      </c>
    </row>
    <row r="116" spans="1:26">
      <c r="A116" t="str">
        <f t="shared" si="43"/>
        <v>Aux cocina-2026</v>
      </c>
      <c r="B116">
        <v>2026</v>
      </c>
      <c r="C116" t="s">
        <v>398</v>
      </c>
      <c r="D116" t="s">
        <v>368</v>
      </c>
      <c r="E116" t="s">
        <v>369</v>
      </c>
      <c r="F116" s="151">
        <f t="shared" si="44"/>
        <v>5</v>
      </c>
      <c r="G116" s="151">
        <f t="shared" si="44"/>
        <v>5</v>
      </c>
      <c r="H116" s="152">
        <f>+HLOOKUP(A116,Datos!$D$80:$K$84,5,0)</f>
        <v>1543832.4000000001</v>
      </c>
      <c r="I116" s="152">
        <f>+HLOOKUP(A116,Datos!$D$89:$K$93,5,0)</f>
        <v>187131.11934000003</v>
      </c>
      <c r="J116" s="152">
        <f t="shared" si="24"/>
        <v>7719162.0000000009</v>
      </c>
      <c r="K116" s="152">
        <f t="shared" si="25"/>
        <v>935655.59670000011</v>
      </c>
      <c r="L116" s="152">
        <f t="shared" si="31"/>
        <v>656128.77000000014</v>
      </c>
      <c r="M116" s="152">
        <f t="shared" si="32"/>
        <v>926299.44000000006</v>
      </c>
      <c r="N116" s="152">
        <f t="shared" si="33"/>
        <v>40294.02564</v>
      </c>
      <c r="O116" s="152">
        <f t="shared" si="34"/>
        <v>321631.75</v>
      </c>
      <c r="P116" s="152">
        <f t="shared" si="26"/>
        <v>643263.50000000012</v>
      </c>
      <c r="Q116" s="152">
        <f t="shared" si="35"/>
        <v>321631.75</v>
      </c>
      <c r="R116" s="152">
        <f t="shared" si="27"/>
        <v>38595.81</v>
      </c>
      <c r="S116" s="152">
        <f t="shared" si="36"/>
        <v>154383.24000000002</v>
      </c>
      <c r="T116" s="152">
        <f t="shared" si="37"/>
        <v>231574.86000000002</v>
      </c>
      <c r="U116" s="152">
        <f t="shared" si="38"/>
        <v>308766.48000000004</v>
      </c>
      <c r="V116" s="152">
        <f t="shared" si="39"/>
        <v>12297387.222340001</v>
      </c>
      <c r="W116" s="152">
        <f>IF(OR(Y116=$AA$2,Y116=$AA$3,Y116=$AA$4),HLOOKUP(A116,Datos!$D$98:$K$102,5,0),0)*G116</f>
        <v>0</v>
      </c>
      <c r="X116" s="152">
        <f t="shared" si="28"/>
        <v>199633.50000000003</v>
      </c>
      <c r="Y116" s="152" t="str">
        <f t="shared" si="29"/>
        <v>MES 11</v>
      </c>
      <c r="Z116">
        <f t="shared" si="30"/>
        <v>11</v>
      </c>
    </row>
    <row r="117" spans="1:26">
      <c r="A117" t="str">
        <f t="shared" si="43"/>
        <v>Administrador-2026</v>
      </c>
      <c r="B117">
        <v>2026</v>
      </c>
      <c r="C117" t="s">
        <v>398</v>
      </c>
      <c r="D117" t="s">
        <v>370</v>
      </c>
      <c r="E117" t="s">
        <v>371</v>
      </c>
      <c r="F117" s="151">
        <f t="shared" si="44"/>
        <v>0.5</v>
      </c>
      <c r="G117" s="151">
        <f t="shared" si="44"/>
        <v>1</v>
      </c>
      <c r="H117" s="152">
        <f>+HLOOKUP(A117,Datos!$D$81:$K$85,5,0)</f>
        <v>2129424.0000000005</v>
      </c>
      <c r="I117" s="152">
        <f>+HLOOKUP(A117,Datos!$D$90:$K$94,5,0)</f>
        <v>187131.11934000003</v>
      </c>
      <c r="J117" s="152">
        <f t="shared" si="24"/>
        <v>1064712.0000000002</v>
      </c>
      <c r="K117" s="152">
        <f t="shared" si="25"/>
        <v>187131.11934000003</v>
      </c>
      <c r="L117" s="152">
        <f t="shared" si="31"/>
        <v>90500.520000000033</v>
      </c>
      <c r="M117" s="152">
        <f t="shared" si="32"/>
        <v>127765.44000000002</v>
      </c>
      <c r="N117" s="152">
        <f t="shared" si="33"/>
        <v>5557.7966400000014</v>
      </c>
      <c r="O117" s="152">
        <f t="shared" si="34"/>
        <v>44363.000000000015</v>
      </c>
      <c r="P117" s="152">
        <f t="shared" si="26"/>
        <v>88726.000000000015</v>
      </c>
      <c r="Q117" s="152">
        <f t="shared" si="35"/>
        <v>44363.000000000015</v>
      </c>
      <c r="R117" s="152">
        <f t="shared" si="27"/>
        <v>5323.5600000000013</v>
      </c>
      <c r="S117" s="152">
        <f t="shared" si="36"/>
        <v>21294.240000000005</v>
      </c>
      <c r="T117" s="152">
        <f t="shared" si="37"/>
        <v>31941.360000000004</v>
      </c>
      <c r="U117" s="152">
        <f t="shared" si="38"/>
        <v>42588.48000000001</v>
      </c>
      <c r="V117" s="152">
        <f t="shared" si="39"/>
        <v>1754266.5159800004</v>
      </c>
      <c r="W117" s="152">
        <f>IF(OR(Y117=$AA$2,Y117=$AA$3,Y117=$AA$4),HLOOKUP(A117,Datos!$D$99:$K$104,5,0),0)*G117</f>
        <v>0</v>
      </c>
      <c r="X117" s="152">
        <f t="shared" si="28"/>
        <v>16636.125000000004</v>
      </c>
      <c r="Y117" s="152" t="str">
        <f t="shared" si="29"/>
        <v>MES 11</v>
      </c>
      <c r="Z117">
        <f t="shared" si="30"/>
        <v>11</v>
      </c>
    </row>
    <row r="118" spans="1:26">
      <c r="A118" t="str">
        <f t="shared" si="43"/>
        <v>Cajero-2026</v>
      </c>
      <c r="B118">
        <v>2026</v>
      </c>
      <c r="C118" t="s">
        <v>398</v>
      </c>
      <c r="D118" t="s">
        <v>372</v>
      </c>
      <c r="E118" t="s">
        <v>371</v>
      </c>
      <c r="F118" s="151">
        <f t="shared" si="44"/>
        <v>1</v>
      </c>
      <c r="G118" s="151">
        <f t="shared" si="44"/>
        <v>1</v>
      </c>
      <c r="H118" s="152">
        <f>HLOOKUP(A118,Datos!$D$82:$K$86,5,0)</f>
        <v>1543832.4000000001</v>
      </c>
      <c r="I118" s="152">
        <f>+HLOOKUP(A118,Datos!$D$91:$K$95,5,0)</f>
        <v>187131.11934000003</v>
      </c>
      <c r="J118" s="152">
        <f t="shared" si="24"/>
        <v>1543832.4000000001</v>
      </c>
      <c r="K118" s="152">
        <f t="shared" si="25"/>
        <v>187131.11934000003</v>
      </c>
      <c r="L118" s="152">
        <f t="shared" si="31"/>
        <v>131225.75400000002</v>
      </c>
      <c r="M118" s="152">
        <f t="shared" si="32"/>
        <v>185259.88800000001</v>
      </c>
      <c r="N118" s="152">
        <f t="shared" si="33"/>
        <v>8058.8051280000009</v>
      </c>
      <c r="O118" s="152">
        <f t="shared" si="34"/>
        <v>64326.350000000006</v>
      </c>
      <c r="P118" s="152">
        <f t="shared" si="26"/>
        <v>128652.70000000001</v>
      </c>
      <c r="Q118" s="152">
        <f t="shared" si="35"/>
        <v>64326.350000000006</v>
      </c>
      <c r="R118" s="152">
        <f t="shared" si="27"/>
        <v>7719.1620000000003</v>
      </c>
      <c r="S118" s="152">
        <f t="shared" si="36"/>
        <v>30876.648000000005</v>
      </c>
      <c r="T118" s="152">
        <f t="shared" si="37"/>
        <v>46314.972000000002</v>
      </c>
      <c r="U118" s="152">
        <f t="shared" si="38"/>
        <v>61753.296000000009</v>
      </c>
      <c r="V118" s="152">
        <f t="shared" si="39"/>
        <v>2459477.4444680004</v>
      </c>
      <c r="W118" s="152">
        <f>IF(OR(Y118=$AA$2,Y118=$AA$3,Y118=$AA$4),HLOOKUP(A118,Datos!$D$100:$K$104,5,0),0)*G118</f>
        <v>0</v>
      </c>
      <c r="X118" s="152">
        <f t="shared" si="28"/>
        <v>49908.375000000022</v>
      </c>
      <c r="Y118" s="152" t="str">
        <f t="shared" si="29"/>
        <v>MES 11</v>
      </c>
      <c r="Z118">
        <f t="shared" si="30"/>
        <v>11</v>
      </c>
    </row>
    <row r="119" spans="1:26">
      <c r="A119" t="str">
        <f t="shared" si="43"/>
        <v>Aux cocina-2026</v>
      </c>
      <c r="B119">
        <v>2026</v>
      </c>
      <c r="C119" t="s">
        <v>399</v>
      </c>
      <c r="D119" t="s">
        <v>368</v>
      </c>
      <c r="E119" t="s">
        <v>369</v>
      </c>
      <c r="F119" s="151">
        <f t="shared" si="44"/>
        <v>5</v>
      </c>
      <c r="G119" s="151">
        <f t="shared" si="44"/>
        <v>5</v>
      </c>
      <c r="H119" s="152">
        <f>+HLOOKUP(A119,Datos!$D$80:$K$84,5,0)</f>
        <v>1543832.4000000001</v>
      </c>
      <c r="I119" s="152">
        <f>+HLOOKUP(A119,Datos!$D$89:$K$93,5,0)</f>
        <v>187131.11934000003</v>
      </c>
      <c r="J119" s="152">
        <f t="shared" si="24"/>
        <v>7719162.0000000009</v>
      </c>
      <c r="K119" s="152">
        <f t="shared" si="25"/>
        <v>935655.59670000011</v>
      </c>
      <c r="L119" s="152">
        <f t="shared" si="31"/>
        <v>656128.77000000014</v>
      </c>
      <c r="M119" s="152">
        <f t="shared" si="32"/>
        <v>926299.44000000006</v>
      </c>
      <c r="N119" s="152">
        <f t="shared" si="33"/>
        <v>40294.02564</v>
      </c>
      <c r="O119" s="152">
        <f t="shared" si="34"/>
        <v>321631.75</v>
      </c>
      <c r="P119" s="152">
        <f t="shared" si="26"/>
        <v>643263.50000000012</v>
      </c>
      <c r="Q119" s="152">
        <f t="shared" si="35"/>
        <v>321631.75</v>
      </c>
      <c r="R119" s="152">
        <f t="shared" si="27"/>
        <v>38595.81</v>
      </c>
      <c r="S119" s="152">
        <f t="shared" si="36"/>
        <v>154383.24000000002</v>
      </c>
      <c r="T119" s="152">
        <f t="shared" si="37"/>
        <v>231574.86000000002</v>
      </c>
      <c r="U119" s="152">
        <f t="shared" si="38"/>
        <v>308766.48000000004</v>
      </c>
      <c r="V119" s="152">
        <f t="shared" si="39"/>
        <v>12297387.222340001</v>
      </c>
      <c r="W119" s="152">
        <f>IF(OR(Y119=$AA$2,Y119=$AA$3,Y119=$AA$4),HLOOKUP(A119,Datos!$D$98:$K$102,5,0),0)*G119</f>
        <v>798534.00000000012</v>
      </c>
      <c r="X119" s="152">
        <f t="shared" si="28"/>
        <v>199633.50000000003</v>
      </c>
      <c r="Y119" s="152" t="str">
        <f t="shared" si="29"/>
        <v>MES 12</v>
      </c>
      <c r="Z119">
        <f t="shared" si="30"/>
        <v>11</v>
      </c>
    </row>
    <row r="120" spans="1:26">
      <c r="A120" t="str">
        <f t="shared" si="43"/>
        <v>Administrador-2026</v>
      </c>
      <c r="B120">
        <v>2026</v>
      </c>
      <c r="C120" t="s">
        <v>399</v>
      </c>
      <c r="D120" t="s">
        <v>370</v>
      </c>
      <c r="E120" t="s">
        <v>371</v>
      </c>
      <c r="F120" s="151">
        <f t="shared" si="44"/>
        <v>0.5</v>
      </c>
      <c r="G120" s="151">
        <f t="shared" si="44"/>
        <v>1</v>
      </c>
      <c r="H120" s="152">
        <f>+HLOOKUP(A120,Datos!$D$81:$K$85,5,0)</f>
        <v>2129424.0000000005</v>
      </c>
      <c r="I120" s="152">
        <f>+HLOOKUP(A120,Datos!$D$90:$K$94,5,0)</f>
        <v>187131.11934000003</v>
      </c>
      <c r="J120" s="152">
        <f t="shared" si="24"/>
        <v>1064712.0000000002</v>
      </c>
      <c r="K120" s="152">
        <f t="shared" si="25"/>
        <v>187131.11934000003</v>
      </c>
      <c r="L120" s="152">
        <f t="shared" si="31"/>
        <v>90500.520000000033</v>
      </c>
      <c r="M120" s="152">
        <f t="shared" si="32"/>
        <v>127765.44000000002</v>
      </c>
      <c r="N120" s="152">
        <f t="shared" si="33"/>
        <v>5557.7966400000014</v>
      </c>
      <c r="O120" s="152">
        <f t="shared" si="34"/>
        <v>44363.000000000015</v>
      </c>
      <c r="P120" s="152">
        <f t="shared" si="26"/>
        <v>88726.000000000015</v>
      </c>
      <c r="Q120" s="152">
        <f t="shared" si="35"/>
        <v>44363.000000000015</v>
      </c>
      <c r="R120" s="152">
        <f t="shared" si="27"/>
        <v>5323.5600000000013</v>
      </c>
      <c r="S120" s="152">
        <f t="shared" si="36"/>
        <v>21294.240000000005</v>
      </c>
      <c r="T120" s="152">
        <f t="shared" si="37"/>
        <v>31941.360000000004</v>
      </c>
      <c r="U120" s="152">
        <f t="shared" si="38"/>
        <v>42588.48000000001</v>
      </c>
      <c r="V120" s="152">
        <f t="shared" si="39"/>
        <v>1754266.5159800004</v>
      </c>
      <c r="W120" s="152">
        <f>IF(OR(Y120=$AA$2,Y120=$AA$3,Y120=$AA$4),HLOOKUP(A120,Datos!$D$99:$K$104,5,0),0)*G120</f>
        <v>66544.500000000015</v>
      </c>
      <c r="X120" s="152">
        <f t="shared" si="28"/>
        <v>16636.125000000004</v>
      </c>
      <c r="Y120" s="152" t="str">
        <f t="shared" si="29"/>
        <v>MES 12</v>
      </c>
      <c r="Z120">
        <f t="shared" si="30"/>
        <v>11</v>
      </c>
    </row>
    <row r="121" spans="1:26">
      <c r="A121" t="str">
        <f t="shared" si="43"/>
        <v>Cajero-2026</v>
      </c>
      <c r="B121">
        <v>2026</v>
      </c>
      <c r="C121" t="s">
        <v>399</v>
      </c>
      <c r="D121" t="s">
        <v>372</v>
      </c>
      <c r="E121" t="s">
        <v>371</v>
      </c>
      <c r="F121" s="151">
        <f t="shared" si="44"/>
        <v>1</v>
      </c>
      <c r="G121" s="151">
        <f t="shared" si="44"/>
        <v>1</v>
      </c>
      <c r="H121" s="152">
        <f>HLOOKUP(A121,Datos!$D$82:$K$86,5,0)</f>
        <v>1543832.4000000001</v>
      </c>
      <c r="I121" s="152">
        <f>+HLOOKUP(A121,Datos!$D$91:$K$95,5,0)</f>
        <v>187131.11934000003</v>
      </c>
      <c r="J121" s="152">
        <f t="shared" si="24"/>
        <v>1543832.4000000001</v>
      </c>
      <c r="K121" s="152">
        <f t="shared" si="25"/>
        <v>187131.11934000003</v>
      </c>
      <c r="L121" s="152">
        <f t="shared" si="31"/>
        <v>131225.75400000002</v>
      </c>
      <c r="M121" s="152">
        <f t="shared" si="32"/>
        <v>185259.88800000001</v>
      </c>
      <c r="N121" s="152">
        <f t="shared" si="33"/>
        <v>8058.8051280000009</v>
      </c>
      <c r="O121" s="152">
        <f t="shared" si="34"/>
        <v>64326.350000000006</v>
      </c>
      <c r="P121" s="152">
        <f t="shared" si="26"/>
        <v>128652.70000000001</v>
      </c>
      <c r="Q121" s="152">
        <f t="shared" si="35"/>
        <v>64326.350000000006</v>
      </c>
      <c r="R121" s="152">
        <f t="shared" si="27"/>
        <v>7719.1620000000003</v>
      </c>
      <c r="S121" s="152">
        <f t="shared" si="36"/>
        <v>30876.648000000005</v>
      </c>
      <c r="T121" s="152">
        <f t="shared" si="37"/>
        <v>46314.972000000002</v>
      </c>
      <c r="U121" s="152">
        <f t="shared" si="38"/>
        <v>61753.296000000009</v>
      </c>
      <c r="V121" s="152">
        <f t="shared" si="39"/>
        <v>2459477.4444680004</v>
      </c>
      <c r="W121" s="152">
        <f>IF(OR(Y121=$AA$2,Y121=$AA$3,Y121=$AA$4),HLOOKUP(A121,Datos!$D$100:$K$104,5,0),0)*G121</f>
        <v>199633.50000000009</v>
      </c>
      <c r="X121" s="152">
        <f t="shared" si="28"/>
        <v>49908.375000000022</v>
      </c>
      <c r="Y121" s="152" t="str">
        <f t="shared" si="29"/>
        <v>MES 12</v>
      </c>
      <c r="Z121">
        <f t="shared" si="30"/>
        <v>11</v>
      </c>
    </row>
    <row r="122" spans="1:26">
      <c r="A122" t="str">
        <f t="shared" si="43"/>
        <v>Aux cocina-2026</v>
      </c>
      <c r="B122">
        <v>2026</v>
      </c>
      <c r="C122" t="s">
        <v>400</v>
      </c>
      <c r="D122" t="s">
        <v>368</v>
      </c>
      <c r="E122" t="s">
        <v>369</v>
      </c>
      <c r="F122" s="151">
        <f t="shared" si="44"/>
        <v>5</v>
      </c>
      <c r="G122" s="151">
        <f t="shared" si="44"/>
        <v>5</v>
      </c>
      <c r="H122" s="152">
        <f>+HLOOKUP(A122,Datos!$D$80:$K$84,5,0)</f>
        <v>1543832.4000000001</v>
      </c>
      <c r="I122" s="152">
        <f>+HLOOKUP(A122,Datos!$D$89:$K$93,5,0)</f>
        <v>187131.11934000003</v>
      </c>
      <c r="J122" s="152">
        <f t="shared" si="24"/>
        <v>7719162.0000000009</v>
      </c>
      <c r="K122" s="152">
        <f t="shared" si="25"/>
        <v>935655.59670000011</v>
      </c>
      <c r="L122" s="152">
        <f t="shared" si="31"/>
        <v>656128.77000000014</v>
      </c>
      <c r="M122" s="152">
        <f t="shared" si="32"/>
        <v>926299.44000000006</v>
      </c>
      <c r="N122" s="152">
        <f t="shared" si="33"/>
        <v>40294.02564</v>
      </c>
      <c r="O122" s="152">
        <f t="shared" si="34"/>
        <v>321631.75</v>
      </c>
      <c r="P122" s="152">
        <f t="shared" si="26"/>
        <v>643263.50000000012</v>
      </c>
      <c r="Q122" s="152">
        <f t="shared" si="35"/>
        <v>321631.75</v>
      </c>
      <c r="R122" s="152">
        <f t="shared" si="27"/>
        <v>38595.81</v>
      </c>
      <c r="S122" s="152">
        <f t="shared" si="36"/>
        <v>154383.24000000002</v>
      </c>
      <c r="T122" s="152">
        <f t="shared" si="37"/>
        <v>231574.86000000002</v>
      </c>
      <c r="U122" s="152">
        <f t="shared" si="38"/>
        <v>308766.48000000004</v>
      </c>
      <c r="V122" s="152">
        <f t="shared" si="39"/>
        <v>12297387.222340001</v>
      </c>
      <c r="W122" s="152">
        <f>IF(OR(Y122=$AA$2,Y122=$AA$3,Y122=$AA$4),HLOOKUP(A122,Datos!$D$98:$K$102,5,0),0)*G122</f>
        <v>0</v>
      </c>
      <c r="X122" s="152">
        <f t="shared" si="28"/>
        <v>199633.50000000003</v>
      </c>
      <c r="Y122" s="152" t="str">
        <f t="shared" si="29"/>
        <v xml:space="preserve">MES 2 </v>
      </c>
      <c r="Z122">
        <f t="shared" si="30"/>
        <v>10</v>
      </c>
    </row>
    <row r="123" spans="1:26">
      <c r="A123" t="str">
        <f t="shared" si="43"/>
        <v>Administrador-2026</v>
      </c>
      <c r="B123">
        <v>2026</v>
      </c>
      <c r="C123" t="s">
        <v>400</v>
      </c>
      <c r="D123" t="s">
        <v>370</v>
      </c>
      <c r="E123" t="s">
        <v>371</v>
      </c>
      <c r="F123" s="151">
        <f t="shared" si="44"/>
        <v>0.5</v>
      </c>
      <c r="G123" s="151">
        <f t="shared" si="44"/>
        <v>1</v>
      </c>
      <c r="H123" s="152">
        <f>+HLOOKUP(A123,Datos!$D$81:$K$85,5,0)</f>
        <v>2129424.0000000005</v>
      </c>
      <c r="I123" s="152">
        <f>+HLOOKUP(A123,Datos!$D$90:$K$94,5,0)</f>
        <v>187131.11934000003</v>
      </c>
      <c r="J123" s="152">
        <f t="shared" si="24"/>
        <v>1064712.0000000002</v>
      </c>
      <c r="K123" s="152">
        <f t="shared" si="25"/>
        <v>187131.11934000003</v>
      </c>
      <c r="L123" s="152">
        <f t="shared" si="31"/>
        <v>90500.520000000033</v>
      </c>
      <c r="M123" s="152">
        <f t="shared" si="32"/>
        <v>127765.44000000002</v>
      </c>
      <c r="N123" s="152">
        <f t="shared" si="33"/>
        <v>5557.7966400000014</v>
      </c>
      <c r="O123" s="152">
        <f t="shared" si="34"/>
        <v>44363.000000000015</v>
      </c>
      <c r="P123" s="152">
        <f t="shared" si="26"/>
        <v>88726.000000000015</v>
      </c>
      <c r="Q123" s="152">
        <f t="shared" si="35"/>
        <v>44363.000000000015</v>
      </c>
      <c r="R123" s="152">
        <f t="shared" si="27"/>
        <v>5323.5600000000013</v>
      </c>
      <c r="S123" s="152">
        <f t="shared" si="36"/>
        <v>21294.240000000005</v>
      </c>
      <c r="T123" s="152">
        <f t="shared" si="37"/>
        <v>31941.360000000004</v>
      </c>
      <c r="U123" s="152">
        <f t="shared" si="38"/>
        <v>42588.48000000001</v>
      </c>
      <c r="V123" s="152">
        <f t="shared" si="39"/>
        <v>1754266.5159800004</v>
      </c>
      <c r="W123" s="152">
        <f>IF(OR(Y123=$AA$2,Y123=$AA$3,Y123=$AA$4),HLOOKUP(A123,Datos!$D$99:$K$104,5,0),0)*G123</f>
        <v>0</v>
      </c>
      <c r="X123" s="152">
        <f t="shared" si="28"/>
        <v>16636.125000000004</v>
      </c>
      <c r="Y123" s="152" t="str">
        <f t="shared" si="29"/>
        <v xml:space="preserve">MES 2 </v>
      </c>
      <c r="Z123">
        <f t="shared" si="30"/>
        <v>10</v>
      </c>
    </row>
    <row r="124" spans="1:26">
      <c r="A124" t="str">
        <f t="shared" si="43"/>
        <v>Cajero-2026</v>
      </c>
      <c r="B124">
        <v>2026</v>
      </c>
      <c r="C124" t="s">
        <v>400</v>
      </c>
      <c r="D124" t="s">
        <v>372</v>
      </c>
      <c r="E124" t="s">
        <v>371</v>
      </c>
      <c r="F124" s="151">
        <f t="shared" si="44"/>
        <v>1</v>
      </c>
      <c r="G124" s="151">
        <f t="shared" si="44"/>
        <v>1</v>
      </c>
      <c r="H124" s="152">
        <f>HLOOKUP(A124,Datos!$D$82:$K$86,5,0)</f>
        <v>1543832.4000000001</v>
      </c>
      <c r="I124" s="152">
        <f>+HLOOKUP(A124,Datos!$D$91:$K$95,5,0)</f>
        <v>187131.11934000003</v>
      </c>
      <c r="J124" s="152">
        <f t="shared" si="24"/>
        <v>1543832.4000000001</v>
      </c>
      <c r="K124" s="152">
        <f t="shared" si="25"/>
        <v>187131.11934000003</v>
      </c>
      <c r="L124" s="152">
        <f t="shared" si="31"/>
        <v>131225.75400000002</v>
      </c>
      <c r="M124" s="152">
        <f t="shared" si="32"/>
        <v>185259.88800000001</v>
      </c>
      <c r="N124" s="152">
        <f t="shared" si="33"/>
        <v>8058.8051280000009</v>
      </c>
      <c r="O124" s="152">
        <f t="shared" si="34"/>
        <v>64326.350000000006</v>
      </c>
      <c r="P124" s="152">
        <f t="shared" si="26"/>
        <v>128652.70000000001</v>
      </c>
      <c r="Q124" s="152">
        <f t="shared" si="35"/>
        <v>64326.350000000006</v>
      </c>
      <c r="R124" s="152">
        <f t="shared" si="27"/>
        <v>7719.1620000000003</v>
      </c>
      <c r="S124" s="152">
        <f t="shared" si="36"/>
        <v>30876.648000000005</v>
      </c>
      <c r="T124" s="152">
        <f t="shared" si="37"/>
        <v>46314.972000000002</v>
      </c>
      <c r="U124" s="152">
        <f t="shared" si="38"/>
        <v>61753.296000000009</v>
      </c>
      <c r="V124" s="152">
        <f t="shared" si="39"/>
        <v>2459477.4444680004</v>
      </c>
      <c r="W124" s="152">
        <f>IF(OR(Y124=$AA$2,Y124=$AA$3,Y124=$AA$4),HLOOKUP(A124,Datos!$D$100:$K$104,5,0),0)*G124</f>
        <v>0</v>
      </c>
      <c r="X124" s="152">
        <f t="shared" si="28"/>
        <v>49908.375000000022</v>
      </c>
      <c r="Y124" s="152" t="str">
        <f t="shared" si="29"/>
        <v xml:space="preserve">MES 2 </v>
      </c>
      <c r="Z124">
        <f t="shared" si="30"/>
        <v>10</v>
      </c>
    </row>
    <row r="125" spans="1:26">
      <c r="A125" t="str">
        <f t="shared" si="43"/>
        <v>Aux cocina-2026</v>
      </c>
      <c r="B125">
        <v>2026</v>
      </c>
      <c r="C125" t="s">
        <v>401</v>
      </c>
      <c r="D125" t="s">
        <v>368</v>
      </c>
      <c r="E125" t="s">
        <v>369</v>
      </c>
      <c r="F125" s="151">
        <f t="shared" si="44"/>
        <v>5</v>
      </c>
      <c r="G125" s="151">
        <f t="shared" si="44"/>
        <v>5</v>
      </c>
      <c r="H125" s="152">
        <f>+HLOOKUP(A125,Datos!$D$80:$K$84,5,0)</f>
        <v>1543832.4000000001</v>
      </c>
      <c r="I125" s="152">
        <f>+HLOOKUP(A125,Datos!$D$89:$K$93,5,0)</f>
        <v>187131.11934000003</v>
      </c>
      <c r="J125" s="152">
        <f t="shared" si="24"/>
        <v>7719162.0000000009</v>
      </c>
      <c r="K125" s="152">
        <f t="shared" si="25"/>
        <v>935655.59670000011</v>
      </c>
      <c r="L125" s="152">
        <f t="shared" si="31"/>
        <v>656128.77000000014</v>
      </c>
      <c r="M125" s="152">
        <f t="shared" si="32"/>
        <v>926299.44000000006</v>
      </c>
      <c r="N125" s="152">
        <f t="shared" si="33"/>
        <v>40294.02564</v>
      </c>
      <c r="O125" s="152">
        <f t="shared" si="34"/>
        <v>321631.75</v>
      </c>
      <c r="P125" s="152">
        <f t="shared" si="26"/>
        <v>643263.50000000012</v>
      </c>
      <c r="Q125" s="152">
        <f t="shared" si="35"/>
        <v>321631.75</v>
      </c>
      <c r="R125" s="152">
        <f t="shared" si="27"/>
        <v>38595.81</v>
      </c>
      <c r="S125" s="152">
        <f t="shared" si="36"/>
        <v>154383.24000000002</v>
      </c>
      <c r="T125" s="152">
        <f t="shared" si="37"/>
        <v>231574.86000000002</v>
      </c>
      <c r="U125" s="152">
        <f t="shared" si="38"/>
        <v>308766.48000000004</v>
      </c>
      <c r="V125" s="152">
        <f t="shared" si="39"/>
        <v>12297387.222340001</v>
      </c>
      <c r="W125" s="152">
        <f>IF(OR(Y125=$AA$2,Y125=$AA$3,Y125=$AA$4),HLOOKUP(A125,Datos!$D$98:$K$102,5,0),0)*G125</f>
        <v>0</v>
      </c>
      <c r="X125" s="152">
        <f t="shared" si="28"/>
        <v>199633.50000000003</v>
      </c>
      <c r="Y125" s="152" t="str">
        <f t="shared" si="29"/>
        <v xml:space="preserve">MES 3 </v>
      </c>
      <c r="Z125">
        <f t="shared" si="30"/>
        <v>10</v>
      </c>
    </row>
    <row r="126" spans="1:26">
      <c r="A126" t="str">
        <f t="shared" si="43"/>
        <v>Administrador-2026</v>
      </c>
      <c r="B126">
        <v>2026</v>
      </c>
      <c r="C126" t="s">
        <v>401</v>
      </c>
      <c r="D126" t="s">
        <v>370</v>
      </c>
      <c r="E126" t="s">
        <v>371</v>
      </c>
      <c r="F126" s="151">
        <f t="shared" si="44"/>
        <v>0.5</v>
      </c>
      <c r="G126" s="151">
        <f t="shared" si="44"/>
        <v>1</v>
      </c>
      <c r="H126" s="152">
        <f>+HLOOKUP(A126,Datos!$D$81:$K$85,5,0)</f>
        <v>2129424.0000000005</v>
      </c>
      <c r="I126" s="152">
        <f>+HLOOKUP(A126,Datos!$D$90:$K$94,5,0)</f>
        <v>187131.11934000003</v>
      </c>
      <c r="J126" s="152">
        <f t="shared" si="24"/>
        <v>1064712.0000000002</v>
      </c>
      <c r="K126" s="152">
        <f t="shared" si="25"/>
        <v>187131.11934000003</v>
      </c>
      <c r="L126" s="152">
        <f t="shared" si="31"/>
        <v>90500.520000000033</v>
      </c>
      <c r="M126" s="152">
        <f t="shared" si="32"/>
        <v>127765.44000000002</v>
      </c>
      <c r="N126" s="152">
        <f t="shared" si="33"/>
        <v>5557.7966400000014</v>
      </c>
      <c r="O126" s="152">
        <f t="shared" si="34"/>
        <v>44363.000000000015</v>
      </c>
      <c r="P126" s="152">
        <f t="shared" si="26"/>
        <v>88726.000000000015</v>
      </c>
      <c r="Q126" s="152">
        <f t="shared" si="35"/>
        <v>44363.000000000015</v>
      </c>
      <c r="R126" s="152">
        <f t="shared" si="27"/>
        <v>5323.5600000000013</v>
      </c>
      <c r="S126" s="152">
        <f t="shared" si="36"/>
        <v>21294.240000000005</v>
      </c>
      <c r="T126" s="152">
        <f t="shared" si="37"/>
        <v>31941.360000000004</v>
      </c>
      <c r="U126" s="152">
        <f t="shared" si="38"/>
        <v>42588.48000000001</v>
      </c>
      <c r="V126" s="152">
        <f t="shared" si="39"/>
        <v>1754266.5159800004</v>
      </c>
      <c r="W126" s="152">
        <f>IF(OR(Y126=$AA$2,Y126=$AA$3,Y126=$AA$4),HLOOKUP(A126,Datos!$D$99:$K$104,5,0),0)*G126</f>
        <v>0</v>
      </c>
      <c r="X126" s="152">
        <f t="shared" si="28"/>
        <v>16636.125000000004</v>
      </c>
      <c r="Y126" s="152" t="str">
        <f t="shared" si="29"/>
        <v xml:space="preserve">MES 3 </v>
      </c>
      <c r="Z126">
        <f t="shared" si="30"/>
        <v>10</v>
      </c>
    </row>
    <row r="127" spans="1:26">
      <c r="A127" t="str">
        <f t="shared" si="43"/>
        <v>Cajero-2026</v>
      </c>
      <c r="B127">
        <v>2026</v>
      </c>
      <c r="C127" t="s">
        <v>401</v>
      </c>
      <c r="D127" t="s">
        <v>372</v>
      </c>
      <c r="E127" t="s">
        <v>371</v>
      </c>
      <c r="F127" s="151">
        <f t="shared" si="44"/>
        <v>1</v>
      </c>
      <c r="G127" s="151">
        <f t="shared" si="44"/>
        <v>1</v>
      </c>
      <c r="H127" s="152">
        <f>HLOOKUP(A127,Datos!$D$82:$K$86,5,0)</f>
        <v>1543832.4000000001</v>
      </c>
      <c r="I127" s="152">
        <f>+HLOOKUP(A127,Datos!$D$91:$K$95,5,0)</f>
        <v>187131.11934000003</v>
      </c>
      <c r="J127" s="152">
        <f t="shared" si="24"/>
        <v>1543832.4000000001</v>
      </c>
      <c r="K127" s="152">
        <f t="shared" si="25"/>
        <v>187131.11934000003</v>
      </c>
      <c r="L127" s="152">
        <f t="shared" si="31"/>
        <v>131225.75400000002</v>
      </c>
      <c r="M127" s="152">
        <f t="shared" si="32"/>
        <v>185259.88800000001</v>
      </c>
      <c r="N127" s="152">
        <f t="shared" si="33"/>
        <v>8058.8051280000009</v>
      </c>
      <c r="O127" s="152">
        <f t="shared" si="34"/>
        <v>64326.350000000006</v>
      </c>
      <c r="P127" s="152">
        <f t="shared" si="26"/>
        <v>128652.70000000001</v>
      </c>
      <c r="Q127" s="152">
        <f t="shared" si="35"/>
        <v>64326.350000000006</v>
      </c>
      <c r="R127" s="152">
        <f t="shared" si="27"/>
        <v>7719.1620000000003</v>
      </c>
      <c r="S127" s="152">
        <f t="shared" si="36"/>
        <v>30876.648000000005</v>
      </c>
      <c r="T127" s="152">
        <f t="shared" si="37"/>
        <v>46314.972000000002</v>
      </c>
      <c r="U127" s="152">
        <f t="shared" si="38"/>
        <v>61753.296000000009</v>
      </c>
      <c r="V127" s="152">
        <f t="shared" si="39"/>
        <v>2459477.4444680004</v>
      </c>
      <c r="W127" s="152">
        <f>IF(OR(Y127=$AA$2,Y127=$AA$3,Y127=$AA$4),HLOOKUP(A127,Datos!$D$100:$K$104,5,0),0)*G127</f>
        <v>0</v>
      </c>
      <c r="X127" s="152">
        <f t="shared" si="28"/>
        <v>49908.375000000022</v>
      </c>
      <c r="Y127" s="152" t="str">
        <f t="shared" si="29"/>
        <v xml:space="preserve">MES 3 </v>
      </c>
      <c r="Z127">
        <f t="shared" si="30"/>
        <v>10</v>
      </c>
    </row>
    <row r="128" spans="1:26">
      <c r="A128" t="str">
        <f t="shared" si="43"/>
        <v>Aux cocina-2026</v>
      </c>
      <c r="B128">
        <v>2026</v>
      </c>
      <c r="C128" t="s">
        <v>402</v>
      </c>
      <c r="D128" t="s">
        <v>368</v>
      </c>
      <c r="E128" t="s">
        <v>369</v>
      </c>
      <c r="F128" s="151">
        <f t="shared" si="44"/>
        <v>5</v>
      </c>
      <c r="G128" s="151">
        <f t="shared" si="44"/>
        <v>5</v>
      </c>
      <c r="H128" s="152">
        <f>+HLOOKUP(A128,Datos!$D$80:$K$84,5,0)</f>
        <v>1543832.4000000001</v>
      </c>
      <c r="I128" s="152">
        <f>+HLOOKUP(A128,Datos!$D$89:$K$93,5,0)</f>
        <v>187131.11934000003</v>
      </c>
      <c r="J128" s="152">
        <f t="shared" si="24"/>
        <v>7719162.0000000009</v>
      </c>
      <c r="K128" s="152">
        <f t="shared" si="25"/>
        <v>935655.59670000011</v>
      </c>
      <c r="L128" s="152">
        <f t="shared" si="31"/>
        <v>656128.77000000014</v>
      </c>
      <c r="M128" s="152">
        <f t="shared" si="32"/>
        <v>926299.44000000006</v>
      </c>
      <c r="N128" s="152">
        <f t="shared" si="33"/>
        <v>40294.02564</v>
      </c>
      <c r="O128" s="152">
        <f t="shared" si="34"/>
        <v>321631.75</v>
      </c>
      <c r="P128" s="152">
        <f t="shared" si="26"/>
        <v>643263.50000000012</v>
      </c>
      <c r="Q128" s="152">
        <f t="shared" si="35"/>
        <v>321631.75</v>
      </c>
      <c r="R128" s="152">
        <f t="shared" si="27"/>
        <v>38595.81</v>
      </c>
      <c r="S128" s="152">
        <f t="shared" si="36"/>
        <v>154383.24000000002</v>
      </c>
      <c r="T128" s="152">
        <f t="shared" si="37"/>
        <v>231574.86000000002</v>
      </c>
      <c r="U128" s="152">
        <f t="shared" si="38"/>
        <v>308766.48000000004</v>
      </c>
      <c r="V128" s="152">
        <f t="shared" si="39"/>
        <v>12297387.222340001</v>
      </c>
      <c r="W128" s="152">
        <f>IF(OR(Y128=$AA$2,Y128=$AA$3,Y128=$AA$4),HLOOKUP(A128,Datos!$D$98:$K$102,5,0),0)*G128</f>
        <v>798534.00000000012</v>
      </c>
      <c r="X128" s="152">
        <f t="shared" si="28"/>
        <v>199633.50000000003</v>
      </c>
      <c r="Y128" s="152" t="str">
        <f t="shared" si="29"/>
        <v xml:space="preserve">MES 4 </v>
      </c>
      <c r="Z128">
        <f t="shared" si="30"/>
        <v>10</v>
      </c>
    </row>
    <row r="129" spans="1:26">
      <c r="A129" t="str">
        <f t="shared" si="43"/>
        <v>Administrador-2026</v>
      </c>
      <c r="B129">
        <v>2026</v>
      </c>
      <c r="C129" t="s">
        <v>402</v>
      </c>
      <c r="D129" t="s">
        <v>370</v>
      </c>
      <c r="E129" t="s">
        <v>371</v>
      </c>
      <c r="F129" s="151">
        <f t="shared" si="44"/>
        <v>0.5</v>
      </c>
      <c r="G129" s="151">
        <f t="shared" si="44"/>
        <v>1</v>
      </c>
      <c r="H129" s="152">
        <f>+HLOOKUP(A129,Datos!$D$81:$K$85,5,0)</f>
        <v>2129424.0000000005</v>
      </c>
      <c r="I129" s="152">
        <f>+HLOOKUP(A129,Datos!$D$90:$K$94,5,0)</f>
        <v>187131.11934000003</v>
      </c>
      <c r="J129" s="152">
        <f t="shared" si="24"/>
        <v>1064712.0000000002</v>
      </c>
      <c r="K129" s="152">
        <f t="shared" si="25"/>
        <v>187131.11934000003</v>
      </c>
      <c r="L129" s="152">
        <f t="shared" si="31"/>
        <v>90500.520000000033</v>
      </c>
      <c r="M129" s="152">
        <f t="shared" si="32"/>
        <v>127765.44000000002</v>
      </c>
      <c r="N129" s="152">
        <f t="shared" si="33"/>
        <v>5557.7966400000014</v>
      </c>
      <c r="O129" s="152">
        <f t="shared" si="34"/>
        <v>44363.000000000015</v>
      </c>
      <c r="P129" s="152">
        <f t="shared" si="26"/>
        <v>88726.000000000015</v>
      </c>
      <c r="Q129" s="152">
        <f t="shared" si="35"/>
        <v>44363.000000000015</v>
      </c>
      <c r="R129" s="152">
        <f t="shared" si="27"/>
        <v>5323.5600000000013</v>
      </c>
      <c r="S129" s="152">
        <f t="shared" si="36"/>
        <v>21294.240000000005</v>
      </c>
      <c r="T129" s="152">
        <f t="shared" si="37"/>
        <v>31941.360000000004</v>
      </c>
      <c r="U129" s="152">
        <f t="shared" si="38"/>
        <v>42588.48000000001</v>
      </c>
      <c r="V129" s="152">
        <f t="shared" si="39"/>
        <v>1754266.5159800004</v>
      </c>
      <c r="W129" s="152">
        <f>IF(OR(Y129=$AA$2,Y129=$AA$3,Y129=$AA$4),HLOOKUP(A129,Datos!$D$99:$K$104,5,0),0)*G129</f>
        <v>66544.500000000015</v>
      </c>
      <c r="X129" s="152">
        <f t="shared" si="28"/>
        <v>16636.125000000004</v>
      </c>
      <c r="Y129" s="152" t="str">
        <f t="shared" si="29"/>
        <v xml:space="preserve">MES 4 </v>
      </c>
      <c r="Z129">
        <f t="shared" si="30"/>
        <v>10</v>
      </c>
    </row>
    <row r="130" spans="1:26">
      <c r="A130" t="str">
        <f t="shared" si="43"/>
        <v>Cajero-2026</v>
      </c>
      <c r="B130">
        <v>2026</v>
      </c>
      <c r="C130" t="s">
        <v>402</v>
      </c>
      <c r="D130" t="s">
        <v>372</v>
      </c>
      <c r="E130" t="s">
        <v>371</v>
      </c>
      <c r="F130" s="151">
        <f t="shared" si="44"/>
        <v>1</v>
      </c>
      <c r="G130" s="151">
        <f t="shared" si="44"/>
        <v>1</v>
      </c>
      <c r="H130" s="152">
        <f>HLOOKUP(A130,Datos!$D$82:$K$86,5,0)</f>
        <v>1543832.4000000001</v>
      </c>
      <c r="I130" s="152">
        <f>+HLOOKUP(A130,Datos!$D$91:$K$95,5,0)</f>
        <v>187131.11934000003</v>
      </c>
      <c r="J130" s="152">
        <f t="shared" ref="J130:J193" si="45">+F130*H130</f>
        <v>1543832.4000000001</v>
      </c>
      <c r="K130" s="152">
        <f t="shared" ref="K130:K193" si="46">+G130*I130</f>
        <v>187131.11934000003</v>
      </c>
      <c r="L130" s="152">
        <f t="shared" si="31"/>
        <v>131225.75400000002</v>
      </c>
      <c r="M130" s="152">
        <f t="shared" si="32"/>
        <v>185259.88800000001</v>
      </c>
      <c r="N130" s="152">
        <f t="shared" si="33"/>
        <v>8058.8051280000009</v>
      </c>
      <c r="O130" s="152">
        <f t="shared" si="34"/>
        <v>64326.350000000006</v>
      </c>
      <c r="P130" s="152">
        <f t="shared" ref="P130:P193" si="47">+J130/12</f>
        <v>128652.70000000001</v>
      </c>
      <c r="Q130" s="152">
        <f t="shared" si="35"/>
        <v>64326.350000000006</v>
      </c>
      <c r="R130" s="152">
        <f t="shared" ref="R130:R193" si="48">+Q130*12%</f>
        <v>7719.1620000000003</v>
      </c>
      <c r="S130" s="152">
        <f t="shared" si="36"/>
        <v>30876.648000000005</v>
      </c>
      <c r="T130" s="152">
        <f t="shared" si="37"/>
        <v>46314.972000000002</v>
      </c>
      <c r="U130" s="152">
        <f t="shared" si="38"/>
        <v>61753.296000000009</v>
      </c>
      <c r="V130" s="152">
        <f t="shared" si="39"/>
        <v>2459477.4444680004</v>
      </c>
      <c r="W130" s="152">
        <f>IF(OR(Y130=$AA$2,Y130=$AA$3,Y130=$AA$4),HLOOKUP(A130,Datos!$D$100:$K$104,5,0),0)*G130</f>
        <v>199633.50000000009</v>
      </c>
      <c r="X130" s="152">
        <f t="shared" ref="X130:X193" si="49">+SUMIF(A:A,A130,W:W)/12</f>
        <v>49908.375000000022</v>
      </c>
      <c r="Y130" s="152" t="str">
        <f t="shared" ref="Y130:Y193" si="50">+IF(LEN(Z130)=10,LEFT(C130,5),LEFT(C130,6))</f>
        <v xml:space="preserve">MES 4 </v>
      </c>
      <c r="Z130">
        <f t="shared" ref="Z130:Z193" si="51">+LEN(C130)</f>
        <v>10</v>
      </c>
    </row>
    <row r="131" spans="1:26">
      <c r="A131" t="str">
        <f t="shared" si="43"/>
        <v>Aux cocina-2026</v>
      </c>
      <c r="B131">
        <v>2026</v>
      </c>
      <c r="C131" t="s">
        <v>403</v>
      </c>
      <c r="D131" t="s">
        <v>368</v>
      </c>
      <c r="E131" t="s">
        <v>369</v>
      </c>
      <c r="F131" s="151">
        <f t="shared" si="44"/>
        <v>5</v>
      </c>
      <c r="G131" s="151">
        <f t="shared" si="44"/>
        <v>5</v>
      </c>
      <c r="H131" s="152">
        <f>+HLOOKUP(A131,Datos!$D$80:$K$84,5,0)</f>
        <v>1543832.4000000001</v>
      </c>
      <c r="I131" s="152">
        <f>+HLOOKUP(A131,Datos!$D$89:$K$93,5,0)</f>
        <v>187131.11934000003</v>
      </c>
      <c r="J131" s="152">
        <f t="shared" si="45"/>
        <v>7719162.0000000009</v>
      </c>
      <c r="K131" s="152">
        <f t="shared" si="46"/>
        <v>935655.59670000011</v>
      </c>
      <c r="L131" s="152">
        <f t="shared" ref="L131:L194" si="52">+J131*8.5%</f>
        <v>656128.77000000014</v>
      </c>
      <c r="M131" s="152">
        <f t="shared" ref="M131:M194" si="53">+J131*12%</f>
        <v>926299.44000000006</v>
      </c>
      <c r="N131" s="152">
        <f t="shared" ref="N131:N194" si="54">+J131*0.522%</f>
        <v>40294.02564</v>
      </c>
      <c r="O131" s="152">
        <f t="shared" ref="O131:O194" si="55">+J131/30*1.25</f>
        <v>321631.75</v>
      </c>
      <c r="P131" s="152">
        <f t="shared" si="47"/>
        <v>643263.50000000012</v>
      </c>
      <c r="Q131" s="152">
        <f t="shared" ref="Q131:Q194" si="56">+J131/30*1.25</f>
        <v>321631.75</v>
      </c>
      <c r="R131" s="152">
        <f t="shared" si="48"/>
        <v>38595.81</v>
      </c>
      <c r="S131" s="152">
        <f t="shared" ref="S131:S194" si="57">+J131*2%</f>
        <v>154383.24000000002</v>
      </c>
      <c r="T131" s="152">
        <f t="shared" ref="T131:T194" si="58">+J131*3%</f>
        <v>231574.86000000002</v>
      </c>
      <c r="U131" s="152">
        <f t="shared" ref="U131:U194" si="59">+J131*4%</f>
        <v>308766.48000000004</v>
      </c>
      <c r="V131" s="152">
        <f t="shared" ref="V131:V194" si="60">+SUM(J131:U131)</f>
        <v>12297387.222340001</v>
      </c>
      <c r="W131" s="152">
        <f>IF(OR(Y131=$AA$2,Y131=$AA$3,Y131=$AA$4),HLOOKUP(A131,Datos!$D$98:$K$102,5,0),0)*G131</f>
        <v>0</v>
      </c>
      <c r="X131" s="152">
        <f t="shared" si="49"/>
        <v>199633.50000000003</v>
      </c>
      <c r="Y131" s="152" t="str">
        <f t="shared" si="50"/>
        <v xml:space="preserve">MES 5 </v>
      </c>
      <c r="Z131">
        <f t="shared" si="51"/>
        <v>10</v>
      </c>
    </row>
    <row r="132" spans="1:26">
      <c r="A132" t="str">
        <f t="shared" si="43"/>
        <v>Administrador-2026</v>
      </c>
      <c r="B132">
        <v>2026</v>
      </c>
      <c r="C132" t="s">
        <v>403</v>
      </c>
      <c r="D132" t="s">
        <v>370</v>
      </c>
      <c r="E132" t="s">
        <v>371</v>
      </c>
      <c r="F132" s="151">
        <f t="shared" si="44"/>
        <v>0.5</v>
      </c>
      <c r="G132" s="151">
        <f t="shared" si="44"/>
        <v>1</v>
      </c>
      <c r="H132" s="152">
        <f>+HLOOKUP(A132,Datos!$D$81:$K$85,5,0)</f>
        <v>2129424.0000000005</v>
      </c>
      <c r="I132" s="152">
        <f>+HLOOKUP(A132,Datos!$D$90:$K$94,5,0)</f>
        <v>187131.11934000003</v>
      </c>
      <c r="J132" s="152">
        <f t="shared" si="45"/>
        <v>1064712.0000000002</v>
      </c>
      <c r="K132" s="152">
        <f t="shared" si="46"/>
        <v>187131.11934000003</v>
      </c>
      <c r="L132" s="152">
        <f t="shared" si="52"/>
        <v>90500.520000000033</v>
      </c>
      <c r="M132" s="152">
        <f t="shared" si="53"/>
        <v>127765.44000000002</v>
      </c>
      <c r="N132" s="152">
        <f t="shared" si="54"/>
        <v>5557.7966400000014</v>
      </c>
      <c r="O132" s="152">
        <f t="shared" si="55"/>
        <v>44363.000000000015</v>
      </c>
      <c r="P132" s="152">
        <f t="shared" si="47"/>
        <v>88726.000000000015</v>
      </c>
      <c r="Q132" s="152">
        <f t="shared" si="56"/>
        <v>44363.000000000015</v>
      </c>
      <c r="R132" s="152">
        <f t="shared" si="48"/>
        <v>5323.5600000000013</v>
      </c>
      <c r="S132" s="152">
        <f t="shared" si="57"/>
        <v>21294.240000000005</v>
      </c>
      <c r="T132" s="152">
        <f t="shared" si="58"/>
        <v>31941.360000000004</v>
      </c>
      <c r="U132" s="152">
        <f t="shared" si="59"/>
        <v>42588.48000000001</v>
      </c>
      <c r="V132" s="152">
        <f t="shared" si="60"/>
        <v>1754266.5159800004</v>
      </c>
      <c r="W132" s="152">
        <f>IF(OR(Y132=$AA$2,Y132=$AA$3,Y132=$AA$4),HLOOKUP(A132,Datos!$D$99:$K$104,5,0),0)*G132</f>
        <v>0</v>
      </c>
      <c r="X132" s="152">
        <f t="shared" si="49"/>
        <v>16636.125000000004</v>
      </c>
      <c r="Y132" s="152" t="str">
        <f t="shared" si="50"/>
        <v xml:space="preserve">MES 5 </v>
      </c>
      <c r="Z132">
        <f t="shared" si="51"/>
        <v>10</v>
      </c>
    </row>
    <row r="133" spans="1:26">
      <c r="A133" t="str">
        <f t="shared" si="43"/>
        <v>Cajero-2026</v>
      </c>
      <c r="B133">
        <v>2026</v>
      </c>
      <c r="C133" t="s">
        <v>403</v>
      </c>
      <c r="D133" t="s">
        <v>372</v>
      </c>
      <c r="E133" t="s">
        <v>371</v>
      </c>
      <c r="F133" s="151">
        <f t="shared" si="44"/>
        <v>1</v>
      </c>
      <c r="G133" s="151">
        <f t="shared" si="44"/>
        <v>1</v>
      </c>
      <c r="H133" s="152">
        <f>HLOOKUP(A133,Datos!$D$82:$K$86,5,0)</f>
        <v>1543832.4000000001</v>
      </c>
      <c r="I133" s="152">
        <f>+HLOOKUP(A133,Datos!$D$91:$K$95,5,0)</f>
        <v>187131.11934000003</v>
      </c>
      <c r="J133" s="152">
        <f t="shared" si="45"/>
        <v>1543832.4000000001</v>
      </c>
      <c r="K133" s="152">
        <f t="shared" si="46"/>
        <v>187131.11934000003</v>
      </c>
      <c r="L133" s="152">
        <f t="shared" si="52"/>
        <v>131225.75400000002</v>
      </c>
      <c r="M133" s="152">
        <f t="shared" si="53"/>
        <v>185259.88800000001</v>
      </c>
      <c r="N133" s="152">
        <f t="shared" si="54"/>
        <v>8058.8051280000009</v>
      </c>
      <c r="O133" s="152">
        <f t="shared" si="55"/>
        <v>64326.350000000006</v>
      </c>
      <c r="P133" s="152">
        <f t="shared" si="47"/>
        <v>128652.70000000001</v>
      </c>
      <c r="Q133" s="152">
        <f t="shared" si="56"/>
        <v>64326.350000000006</v>
      </c>
      <c r="R133" s="152">
        <f t="shared" si="48"/>
        <v>7719.1620000000003</v>
      </c>
      <c r="S133" s="152">
        <f t="shared" si="57"/>
        <v>30876.648000000005</v>
      </c>
      <c r="T133" s="152">
        <f t="shared" si="58"/>
        <v>46314.972000000002</v>
      </c>
      <c r="U133" s="152">
        <f t="shared" si="59"/>
        <v>61753.296000000009</v>
      </c>
      <c r="V133" s="152">
        <f t="shared" si="60"/>
        <v>2459477.4444680004</v>
      </c>
      <c r="W133" s="152">
        <f>IF(OR(Y133=$AA$2,Y133=$AA$3,Y133=$AA$4),HLOOKUP(A133,Datos!$D$100:$K$104,5,0),0)*G133</f>
        <v>0</v>
      </c>
      <c r="X133" s="152">
        <f t="shared" si="49"/>
        <v>49908.375000000022</v>
      </c>
      <c r="Y133" s="152" t="str">
        <f t="shared" si="50"/>
        <v xml:space="preserve">MES 5 </v>
      </c>
      <c r="Z133">
        <f t="shared" si="51"/>
        <v>10</v>
      </c>
    </row>
    <row r="134" spans="1:26">
      <c r="A134" t="str">
        <f t="shared" si="43"/>
        <v>Aux cocina-2026</v>
      </c>
      <c r="B134">
        <v>2026</v>
      </c>
      <c r="C134" t="s">
        <v>404</v>
      </c>
      <c r="D134" t="s">
        <v>368</v>
      </c>
      <c r="E134" t="s">
        <v>369</v>
      </c>
      <c r="F134" s="151">
        <f t="shared" si="44"/>
        <v>5</v>
      </c>
      <c r="G134" s="151">
        <f t="shared" si="44"/>
        <v>5</v>
      </c>
      <c r="H134" s="152">
        <f>+HLOOKUP(A134,Datos!$D$80:$K$84,5,0)</f>
        <v>1543832.4000000001</v>
      </c>
      <c r="I134" s="152">
        <f>+HLOOKUP(A134,Datos!$D$89:$K$93,5,0)</f>
        <v>187131.11934000003</v>
      </c>
      <c r="J134" s="152">
        <f t="shared" si="45"/>
        <v>7719162.0000000009</v>
      </c>
      <c r="K134" s="152">
        <f t="shared" si="46"/>
        <v>935655.59670000011</v>
      </c>
      <c r="L134" s="152">
        <f t="shared" si="52"/>
        <v>656128.77000000014</v>
      </c>
      <c r="M134" s="152">
        <f t="shared" si="53"/>
        <v>926299.44000000006</v>
      </c>
      <c r="N134" s="152">
        <f t="shared" si="54"/>
        <v>40294.02564</v>
      </c>
      <c r="O134" s="152">
        <f t="shared" si="55"/>
        <v>321631.75</v>
      </c>
      <c r="P134" s="152">
        <f t="shared" si="47"/>
        <v>643263.50000000012</v>
      </c>
      <c r="Q134" s="152">
        <f t="shared" si="56"/>
        <v>321631.75</v>
      </c>
      <c r="R134" s="152">
        <f t="shared" si="48"/>
        <v>38595.81</v>
      </c>
      <c r="S134" s="152">
        <f t="shared" si="57"/>
        <v>154383.24000000002</v>
      </c>
      <c r="T134" s="152">
        <f t="shared" si="58"/>
        <v>231574.86000000002</v>
      </c>
      <c r="U134" s="152">
        <f t="shared" si="59"/>
        <v>308766.48000000004</v>
      </c>
      <c r="V134" s="152">
        <f t="shared" si="60"/>
        <v>12297387.222340001</v>
      </c>
      <c r="W134" s="152">
        <f>IF(OR(Y134=$AA$2,Y134=$AA$3,Y134=$AA$4),HLOOKUP(A134,Datos!$D$98:$K$102,5,0),0)*G134</f>
        <v>0</v>
      </c>
      <c r="X134" s="152">
        <f t="shared" si="49"/>
        <v>199633.50000000003</v>
      </c>
      <c r="Y134" s="152" t="str">
        <f t="shared" si="50"/>
        <v xml:space="preserve">MES 6 </v>
      </c>
      <c r="Z134">
        <f t="shared" si="51"/>
        <v>10</v>
      </c>
    </row>
    <row r="135" spans="1:26">
      <c r="A135" t="str">
        <f t="shared" si="43"/>
        <v>Administrador-2026</v>
      </c>
      <c r="B135">
        <v>2026</v>
      </c>
      <c r="C135" t="s">
        <v>404</v>
      </c>
      <c r="D135" t="s">
        <v>370</v>
      </c>
      <c r="E135" t="s">
        <v>371</v>
      </c>
      <c r="F135" s="151">
        <f t="shared" ref="F135:G145" si="61">+F132</f>
        <v>0.5</v>
      </c>
      <c r="G135" s="151">
        <f t="shared" si="61"/>
        <v>1</v>
      </c>
      <c r="H135" s="152">
        <f>+HLOOKUP(A135,Datos!$D$81:$K$85,5,0)</f>
        <v>2129424.0000000005</v>
      </c>
      <c r="I135" s="152">
        <f>+HLOOKUP(A135,Datos!$D$90:$K$94,5,0)</f>
        <v>187131.11934000003</v>
      </c>
      <c r="J135" s="152">
        <f t="shared" si="45"/>
        <v>1064712.0000000002</v>
      </c>
      <c r="K135" s="152">
        <f t="shared" si="46"/>
        <v>187131.11934000003</v>
      </c>
      <c r="L135" s="152">
        <f t="shared" si="52"/>
        <v>90500.520000000033</v>
      </c>
      <c r="M135" s="152">
        <f t="shared" si="53"/>
        <v>127765.44000000002</v>
      </c>
      <c r="N135" s="152">
        <f t="shared" si="54"/>
        <v>5557.7966400000014</v>
      </c>
      <c r="O135" s="152">
        <f t="shared" si="55"/>
        <v>44363.000000000015</v>
      </c>
      <c r="P135" s="152">
        <f t="shared" si="47"/>
        <v>88726.000000000015</v>
      </c>
      <c r="Q135" s="152">
        <f t="shared" si="56"/>
        <v>44363.000000000015</v>
      </c>
      <c r="R135" s="152">
        <f t="shared" si="48"/>
        <v>5323.5600000000013</v>
      </c>
      <c r="S135" s="152">
        <f t="shared" si="57"/>
        <v>21294.240000000005</v>
      </c>
      <c r="T135" s="152">
        <f t="shared" si="58"/>
        <v>31941.360000000004</v>
      </c>
      <c r="U135" s="152">
        <f t="shared" si="59"/>
        <v>42588.48000000001</v>
      </c>
      <c r="V135" s="152">
        <f t="shared" si="60"/>
        <v>1754266.5159800004</v>
      </c>
      <c r="W135" s="152">
        <f>IF(OR(Y135=$AA$2,Y135=$AA$3,Y135=$AA$4),HLOOKUP(A135,Datos!$D$99:$K$104,5,0),0)*G135</f>
        <v>0</v>
      </c>
      <c r="X135" s="152">
        <f t="shared" si="49"/>
        <v>16636.125000000004</v>
      </c>
      <c r="Y135" s="152" t="str">
        <f t="shared" si="50"/>
        <v xml:space="preserve">MES 6 </v>
      </c>
      <c r="Z135">
        <f t="shared" si="51"/>
        <v>10</v>
      </c>
    </row>
    <row r="136" spans="1:26">
      <c r="A136" t="str">
        <f t="shared" si="43"/>
        <v>Cajero-2026</v>
      </c>
      <c r="B136">
        <v>2026</v>
      </c>
      <c r="C136" t="s">
        <v>404</v>
      </c>
      <c r="D136" t="s">
        <v>372</v>
      </c>
      <c r="E136" t="s">
        <v>371</v>
      </c>
      <c r="F136" s="151">
        <f t="shared" si="61"/>
        <v>1</v>
      </c>
      <c r="G136" s="151">
        <f t="shared" si="61"/>
        <v>1</v>
      </c>
      <c r="H136" s="152">
        <f>HLOOKUP(A136,Datos!$D$82:$K$86,5,0)</f>
        <v>1543832.4000000001</v>
      </c>
      <c r="I136" s="152">
        <f>+HLOOKUP(A136,Datos!$D$91:$K$95,5,0)</f>
        <v>187131.11934000003</v>
      </c>
      <c r="J136" s="152">
        <f t="shared" si="45"/>
        <v>1543832.4000000001</v>
      </c>
      <c r="K136" s="152">
        <f t="shared" si="46"/>
        <v>187131.11934000003</v>
      </c>
      <c r="L136" s="152">
        <f t="shared" si="52"/>
        <v>131225.75400000002</v>
      </c>
      <c r="M136" s="152">
        <f t="shared" si="53"/>
        <v>185259.88800000001</v>
      </c>
      <c r="N136" s="152">
        <f t="shared" si="54"/>
        <v>8058.8051280000009</v>
      </c>
      <c r="O136" s="152">
        <f t="shared" si="55"/>
        <v>64326.350000000006</v>
      </c>
      <c r="P136" s="152">
        <f t="shared" si="47"/>
        <v>128652.70000000001</v>
      </c>
      <c r="Q136" s="152">
        <f t="shared" si="56"/>
        <v>64326.350000000006</v>
      </c>
      <c r="R136" s="152">
        <f t="shared" si="48"/>
        <v>7719.1620000000003</v>
      </c>
      <c r="S136" s="152">
        <f t="shared" si="57"/>
        <v>30876.648000000005</v>
      </c>
      <c r="T136" s="152">
        <f t="shared" si="58"/>
        <v>46314.972000000002</v>
      </c>
      <c r="U136" s="152">
        <f t="shared" si="59"/>
        <v>61753.296000000009</v>
      </c>
      <c r="V136" s="152">
        <f t="shared" si="60"/>
        <v>2459477.4444680004</v>
      </c>
      <c r="W136" s="152">
        <f>IF(OR(Y136=$AA$2,Y136=$AA$3,Y136=$AA$4),HLOOKUP(A136,Datos!$D$100:$K$104,5,0),0)*G136</f>
        <v>0</v>
      </c>
      <c r="X136" s="152">
        <f t="shared" si="49"/>
        <v>49908.375000000022</v>
      </c>
      <c r="Y136" s="152" t="str">
        <f t="shared" si="50"/>
        <v xml:space="preserve">MES 6 </v>
      </c>
      <c r="Z136">
        <f t="shared" si="51"/>
        <v>10</v>
      </c>
    </row>
    <row r="137" spans="1:26">
      <c r="A137" t="str">
        <f t="shared" si="43"/>
        <v>Aux cocina-2026</v>
      </c>
      <c r="B137">
        <v>2026</v>
      </c>
      <c r="C137" t="s">
        <v>405</v>
      </c>
      <c r="D137" t="s">
        <v>368</v>
      </c>
      <c r="E137" t="s">
        <v>369</v>
      </c>
      <c r="F137" s="151">
        <f t="shared" si="61"/>
        <v>5</v>
      </c>
      <c r="G137" s="151">
        <f t="shared" si="61"/>
        <v>5</v>
      </c>
      <c r="H137" s="152">
        <f>+HLOOKUP(A137,Datos!$D$80:$K$84,5,0)</f>
        <v>1543832.4000000001</v>
      </c>
      <c r="I137" s="152">
        <f>+HLOOKUP(A137,Datos!$D$89:$K$93,5,0)</f>
        <v>187131.11934000003</v>
      </c>
      <c r="J137" s="152">
        <f t="shared" si="45"/>
        <v>7719162.0000000009</v>
      </c>
      <c r="K137" s="152">
        <f t="shared" si="46"/>
        <v>935655.59670000011</v>
      </c>
      <c r="L137" s="152">
        <f t="shared" si="52"/>
        <v>656128.77000000014</v>
      </c>
      <c r="M137" s="152">
        <f t="shared" si="53"/>
        <v>926299.44000000006</v>
      </c>
      <c r="N137" s="152">
        <f t="shared" si="54"/>
        <v>40294.02564</v>
      </c>
      <c r="O137" s="152">
        <f t="shared" si="55"/>
        <v>321631.75</v>
      </c>
      <c r="P137" s="152">
        <f t="shared" si="47"/>
        <v>643263.50000000012</v>
      </c>
      <c r="Q137" s="152">
        <f t="shared" si="56"/>
        <v>321631.75</v>
      </c>
      <c r="R137" s="152">
        <f t="shared" si="48"/>
        <v>38595.81</v>
      </c>
      <c r="S137" s="152">
        <f t="shared" si="57"/>
        <v>154383.24000000002</v>
      </c>
      <c r="T137" s="152">
        <f t="shared" si="58"/>
        <v>231574.86000000002</v>
      </c>
      <c r="U137" s="152">
        <f t="shared" si="59"/>
        <v>308766.48000000004</v>
      </c>
      <c r="V137" s="152">
        <f t="shared" si="60"/>
        <v>12297387.222340001</v>
      </c>
      <c r="W137" s="152">
        <f>IF(OR(Y137=$AA$2,Y137=$AA$3,Y137=$AA$4),HLOOKUP(A137,Datos!$D$98:$K$102,5,0),0)*G137</f>
        <v>0</v>
      </c>
      <c r="X137" s="152">
        <f t="shared" si="49"/>
        <v>199633.50000000003</v>
      </c>
      <c r="Y137" s="152" t="str">
        <f t="shared" si="50"/>
        <v xml:space="preserve">MES 7 </v>
      </c>
      <c r="Z137">
        <f t="shared" si="51"/>
        <v>10</v>
      </c>
    </row>
    <row r="138" spans="1:26">
      <c r="A138" t="str">
        <f t="shared" si="43"/>
        <v>Administrador-2026</v>
      </c>
      <c r="B138">
        <v>2026</v>
      </c>
      <c r="C138" t="s">
        <v>405</v>
      </c>
      <c r="D138" t="s">
        <v>370</v>
      </c>
      <c r="E138" t="s">
        <v>371</v>
      </c>
      <c r="F138" s="151">
        <f t="shared" si="61"/>
        <v>0.5</v>
      </c>
      <c r="G138" s="151">
        <f t="shared" si="61"/>
        <v>1</v>
      </c>
      <c r="H138" s="152">
        <f>+HLOOKUP(A138,Datos!$D$81:$K$85,5,0)</f>
        <v>2129424.0000000005</v>
      </c>
      <c r="I138" s="152">
        <f>+HLOOKUP(A138,Datos!$D$90:$K$94,5,0)</f>
        <v>187131.11934000003</v>
      </c>
      <c r="J138" s="152">
        <f t="shared" si="45"/>
        <v>1064712.0000000002</v>
      </c>
      <c r="K138" s="152">
        <f t="shared" si="46"/>
        <v>187131.11934000003</v>
      </c>
      <c r="L138" s="152">
        <f t="shared" si="52"/>
        <v>90500.520000000033</v>
      </c>
      <c r="M138" s="152">
        <f t="shared" si="53"/>
        <v>127765.44000000002</v>
      </c>
      <c r="N138" s="152">
        <f t="shared" si="54"/>
        <v>5557.7966400000014</v>
      </c>
      <c r="O138" s="152">
        <f t="shared" si="55"/>
        <v>44363.000000000015</v>
      </c>
      <c r="P138" s="152">
        <f t="shared" si="47"/>
        <v>88726.000000000015</v>
      </c>
      <c r="Q138" s="152">
        <f t="shared" si="56"/>
        <v>44363.000000000015</v>
      </c>
      <c r="R138" s="152">
        <f t="shared" si="48"/>
        <v>5323.5600000000013</v>
      </c>
      <c r="S138" s="152">
        <f t="shared" si="57"/>
        <v>21294.240000000005</v>
      </c>
      <c r="T138" s="152">
        <f t="shared" si="58"/>
        <v>31941.360000000004</v>
      </c>
      <c r="U138" s="152">
        <f t="shared" si="59"/>
        <v>42588.48000000001</v>
      </c>
      <c r="V138" s="152">
        <f t="shared" si="60"/>
        <v>1754266.5159800004</v>
      </c>
      <c r="W138" s="152">
        <f>IF(OR(Y138=$AA$2,Y138=$AA$3,Y138=$AA$4),HLOOKUP(A138,Datos!$D$99:$K$104,5,0),0)*G138</f>
        <v>0</v>
      </c>
      <c r="X138" s="152">
        <f t="shared" si="49"/>
        <v>16636.125000000004</v>
      </c>
      <c r="Y138" s="152" t="str">
        <f t="shared" si="50"/>
        <v xml:space="preserve">MES 7 </v>
      </c>
      <c r="Z138">
        <f t="shared" si="51"/>
        <v>10</v>
      </c>
    </row>
    <row r="139" spans="1:26">
      <c r="A139" t="str">
        <f t="shared" si="43"/>
        <v>Cajero-2026</v>
      </c>
      <c r="B139">
        <v>2026</v>
      </c>
      <c r="C139" t="s">
        <v>405</v>
      </c>
      <c r="D139" t="s">
        <v>372</v>
      </c>
      <c r="E139" t="s">
        <v>371</v>
      </c>
      <c r="F139" s="151">
        <f t="shared" si="61"/>
        <v>1</v>
      </c>
      <c r="G139" s="151">
        <f t="shared" si="61"/>
        <v>1</v>
      </c>
      <c r="H139" s="152">
        <f>HLOOKUP(A139,Datos!$D$82:$K$86,5,0)</f>
        <v>1543832.4000000001</v>
      </c>
      <c r="I139" s="152">
        <f>+HLOOKUP(A139,Datos!$D$91:$K$95,5,0)</f>
        <v>187131.11934000003</v>
      </c>
      <c r="J139" s="152">
        <f t="shared" si="45"/>
        <v>1543832.4000000001</v>
      </c>
      <c r="K139" s="152">
        <f t="shared" si="46"/>
        <v>187131.11934000003</v>
      </c>
      <c r="L139" s="152">
        <f t="shared" si="52"/>
        <v>131225.75400000002</v>
      </c>
      <c r="M139" s="152">
        <f t="shared" si="53"/>
        <v>185259.88800000001</v>
      </c>
      <c r="N139" s="152">
        <f t="shared" si="54"/>
        <v>8058.8051280000009</v>
      </c>
      <c r="O139" s="152">
        <f t="shared" si="55"/>
        <v>64326.350000000006</v>
      </c>
      <c r="P139" s="152">
        <f t="shared" si="47"/>
        <v>128652.70000000001</v>
      </c>
      <c r="Q139" s="152">
        <f t="shared" si="56"/>
        <v>64326.350000000006</v>
      </c>
      <c r="R139" s="152">
        <f t="shared" si="48"/>
        <v>7719.1620000000003</v>
      </c>
      <c r="S139" s="152">
        <f t="shared" si="57"/>
        <v>30876.648000000005</v>
      </c>
      <c r="T139" s="152">
        <f t="shared" si="58"/>
        <v>46314.972000000002</v>
      </c>
      <c r="U139" s="152">
        <f t="shared" si="59"/>
        <v>61753.296000000009</v>
      </c>
      <c r="V139" s="152">
        <f t="shared" si="60"/>
        <v>2459477.4444680004</v>
      </c>
      <c r="W139" s="152">
        <f>IF(OR(Y139=$AA$2,Y139=$AA$3,Y139=$AA$4),HLOOKUP(A139,Datos!$D$100:$K$104,5,0),0)*G139</f>
        <v>0</v>
      </c>
      <c r="X139" s="152">
        <f t="shared" si="49"/>
        <v>49908.375000000022</v>
      </c>
      <c r="Y139" s="152" t="str">
        <f t="shared" si="50"/>
        <v xml:space="preserve">MES 7 </v>
      </c>
      <c r="Z139">
        <f t="shared" si="51"/>
        <v>10</v>
      </c>
    </row>
    <row r="140" spans="1:26">
      <c r="A140" t="str">
        <f t="shared" si="43"/>
        <v>Aux cocina-2026</v>
      </c>
      <c r="B140">
        <v>2026</v>
      </c>
      <c r="C140" t="s">
        <v>406</v>
      </c>
      <c r="D140" t="s">
        <v>368</v>
      </c>
      <c r="E140" t="s">
        <v>369</v>
      </c>
      <c r="F140" s="151">
        <f t="shared" si="61"/>
        <v>5</v>
      </c>
      <c r="G140" s="151">
        <f t="shared" si="61"/>
        <v>5</v>
      </c>
      <c r="H140" s="152">
        <f>+HLOOKUP(A140,Datos!$D$80:$K$84,5,0)</f>
        <v>1543832.4000000001</v>
      </c>
      <c r="I140" s="152">
        <f>+HLOOKUP(A140,Datos!$D$89:$K$93,5,0)</f>
        <v>187131.11934000003</v>
      </c>
      <c r="J140" s="152">
        <f t="shared" si="45"/>
        <v>7719162.0000000009</v>
      </c>
      <c r="K140" s="152">
        <f t="shared" si="46"/>
        <v>935655.59670000011</v>
      </c>
      <c r="L140" s="152">
        <f t="shared" si="52"/>
        <v>656128.77000000014</v>
      </c>
      <c r="M140" s="152">
        <f t="shared" si="53"/>
        <v>926299.44000000006</v>
      </c>
      <c r="N140" s="152">
        <f t="shared" si="54"/>
        <v>40294.02564</v>
      </c>
      <c r="O140" s="152">
        <f t="shared" si="55"/>
        <v>321631.75</v>
      </c>
      <c r="P140" s="152">
        <f t="shared" si="47"/>
        <v>643263.50000000012</v>
      </c>
      <c r="Q140" s="152">
        <f t="shared" si="56"/>
        <v>321631.75</v>
      </c>
      <c r="R140" s="152">
        <f t="shared" si="48"/>
        <v>38595.81</v>
      </c>
      <c r="S140" s="152">
        <f t="shared" si="57"/>
        <v>154383.24000000002</v>
      </c>
      <c r="T140" s="152">
        <f t="shared" si="58"/>
        <v>231574.86000000002</v>
      </c>
      <c r="U140" s="152">
        <f t="shared" si="59"/>
        <v>308766.48000000004</v>
      </c>
      <c r="V140" s="152">
        <f t="shared" si="60"/>
        <v>12297387.222340001</v>
      </c>
      <c r="W140" s="152">
        <f>IF(OR(Y140=$AA$2,Y140=$AA$3,Y140=$AA$4),HLOOKUP(A140,Datos!$D$98:$K$102,5,0),0)*G140</f>
        <v>798534.00000000012</v>
      </c>
      <c r="X140" s="152">
        <f t="shared" si="49"/>
        <v>199633.50000000003</v>
      </c>
      <c r="Y140" s="152" t="str">
        <f t="shared" si="50"/>
        <v xml:space="preserve">MES 8 </v>
      </c>
      <c r="Z140">
        <f t="shared" si="51"/>
        <v>10</v>
      </c>
    </row>
    <row r="141" spans="1:26">
      <c r="A141" t="str">
        <f t="shared" si="43"/>
        <v>Administrador-2026</v>
      </c>
      <c r="B141">
        <v>2026</v>
      </c>
      <c r="C141" t="s">
        <v>406</v>
      </c>
      <c r="D141" t="s">
        <v>370</v>
      </c>
      <c r="E141" t="s">
        <v>371</v>
      </c>
      <c r="F141" s="151">
        <f t="shared" si="61"/>
        <v>0.5</v>
      </c>
      <c r="G141" s="151">
        <f t="shared" si="61"/>
        <v>1</v>
      </c>
      <c r="H141" s="152">
        <f>+HLOOKUP(A141,Datos!$D$81:$K$85,5,0)</f>
        <v>2129424.0000000005</v>
      </c>
      <c r="I141" s="152">
        <f>+HLOOKUP(A141,Datos!$D$90:$K$94,5,0)</f>
        <v>187131.11934000003</v>
      </c>
      <c r="J141" s="152">
        <f t="shared" si="45"/>
        <v>1064712.0000000002</v>
      </c>
      <c r="K141" s="152">
        <f t="shared" si="46"/>
        <v>187131.11934000003</v>
      </c>
      <c r="L141" s="152">
        <f t="shared" si="52"/>
        <v>90500.520000000033</v>
      </c>
      <c r="M141" s="152">
        <f t="shared" si="53"/>
        <v>127765.44000000002</v>
      </c>
      <c r="N141" s="152">
        <f t="shared" si="54"/>
        <v>5557.7966400000014</v>
      </c>
      <c r="O141" s="152">
        <f t="shared" si="55"/>
        <v>44363.000000000015</v>
      </c>
      <c r="P141" s="152">
        <f t="shared" si="47"/>
        <v>88726.000000000015</v>
      </c>
      <c r="Q141" s="152">
        <f t="shared" si="56"/>
        <v>44363.000000000015</v>
      </c>
      <c r="R141" s="152">
        <f t="shared" si="48"/>
        <v>5323.5600000000013</v>
      </c>
      <c r="S141" s="152">
        <f t="shared" si="57"/>
        <v>21294.240000000005</v>
      </c>
      <c r="T141" s="152">
        <f t="shared" si="58"/>
        <v>31941.360000000004</v>
      </c>
      <c r="U141" s="152">
        <f t="shared" si="59"/>
        <v>42588.48000000001</v>
      </c>
      <c r="V141" s="152">
        <f t="shared" si="60"/>
        <v>1754266.5159800004</v>
      </c>
      <c r="W141" s="152">
        <f>IF(OR(Y141=$AA$2,Y141=$AA$3,Y141=$AA$4),HLOOKUP(A141,Datos!$D$99:$K$104,5,0),0)*G141</f>
        <v>66544.500000000015</v>
      </c>
      <c r="X141" s="152">
        <f t="shared" si="49"/>
        <v>16636.125000000004</v>
      </c>
      <c r="Y141" s="152" t="str">
        <f t="shared" si="50"/>
        <v xml:space="preserve">MES 8 </v>
      </c>
      <c r="Z141">
        <f t="shared" si="51"/>
        <v>10</v>
      </c>
    </row>
    <row r="142" spans="1:26">
      <c r="A142" t="str">
        <f t="shared" si="43"/>
        <v>Cajero-2026</v>
      </c>
      <c r="B142">
        <v>2026</v>
      </c>
      <c r="C142" t="s">
        <v>406</v>
      </c>
      <c r="D142" t="s">
        <v>372</v>
      </c>
      <c r="E142" t="s">
        <v>371</v>
      </c>
      <c r="F142" s="151">
        <f t="shared" si="61"/>
        <v>1</v>
      </c>
      <c r="G142" s="151">
        <f t="shared" si="61"/>
        <v>1</v>
      </c>
      <c r="H142" s="152">
        <f>HLOOKUP(A142,Datos!$D$82:$K$86,5,0)</f>
        <v>1543832.4000000001</v>
      </c>
      <c r="I142" s="152">
        <f>+HLOOKUP(A142,Datos!$D$91:$K$95,5,0)</f>
        <v>187131.11934000003</v>
      </c>
      <c r="J142" s="152">
        <f t="shared" si="45"/>
        <v>1543832.4000000001</v>
      </c>
      <c r="K142" s="152">
        <f t="shared" si="46"/>
        <v>187131.11934000003</v>
      </c>
      <c r="L142" s="152">
        <f t="shared" si="52"/>
        <v>131225.75400000002</v>
      </c>
      <c r="M142" s="152">
        <f t="shared" si="53"/>
        <v>185259.88800000001</v>
      </c>
      <c r="N142" s="152">
        <f t="shared" si="54"/>
        <v>8058.8051280000009</v>
      </c>
      <c r="O142" s="152">
        <f t="shared" si="55"/>
        <v>64326.350000000006</v>
      </c>
      <c r="P142" s="152">
        <f t="shared" si="47"/>
        <v>128652.70000000001</v>
      </c>
      <c r="Q142" s="152">
        <f t="shared" si="56"/>
        <v>64326.350000000006</v>
      </c>
      <c r="R142" s="152">
        <f t="shared" si="48"/>
        <v>7719.1620000000003</v>
      </c>
      <c r="S142" s="152">
        <f t="shared" si="57"/>
        <v>30876.648000000005</v>
      </c>
      <c r="T142" s="152">
        <f t="shared" si="58"/>
        <v>46314.972000000002</v>
      </c>
      <c r="U142" s="152">
        <f t="shared" si="59"/>
        <v>61753.296000000009</v>
      </c>
      <c r="V142" s="152">
        <f t="shared" si="60"/>
        <v>2459477.4444680004</v>
      </c>
      <c r="W142" s="152">
        <f>IF(OR(Y142=$AA$2,Y142=$AA$3,Y142=$AA$4),HLOOKUP(A142,Datos!$D$100:$K$104,5,0),0)*G142</f>
        <v>199633.50000000009</v>
      </c>
      <c r="X142" s="152">
        <f t="shared" si="49"/>
        <v>49908.375000000022</v>
      </c>
      <c r="Y142" s="152" t="str">
        <f t="shared" si="50"/>
        <v xml:space="preserve">MES 8 </v>
      </c>
      <c r="Z142">
        <f t="shared" si="51"/>
        <v>10</v>
      </c>
    </row>
    <row r="143" spans="1:26">
      <c r="A143" t="str">
        <f t="shared" si="43"/>
        <v>Aux cocina-2026</v>
      </c>
      <c r="B143">
        <v>2026</v>
      </c>
      <c r="C143" t="s">
        <v>407</v>
      </c>
      <c r="D143" t="s">
        <v>368</v>
      </c>
      <c r="E143" t="s">
        <v>369</v>
      </c>
      <c r="F143" s="151">
        <f t="shared" si="61"/>
        <v>5</v>
      </c>
      <c r="G143" s="151">
        <f t="shared" si="61"/>
        <v>5</v>
      </c>
      <c r="H143" s="152">
        <f>+HLOOKUP(A143,Datos!$D$80:$K$84,5,0)</f>
        <v>1543832.4000000001</v>
      </c>
      <c r="I143" s="152">
        <f>+HLOOKUP(A143,Datos!$D$89:$K$93,5,0)</f>
        <v>187131.11934000003</v>
      </c>
      <c r="J143" s="152">
        <f t="shared" si="45"/>
        <v>7719162.0000000009</v>
      </c>
      <c r="K143" s="152">
        <f t="shared" si="46"/>
        <v>935655.59670000011</v>
      </c>
      <c r="L143" s="152">
        <f t="shared" si="52"/>
        <v>656128.77000000014</v>
      </c>
      <c r="M143" s="152">
        <f t="shared" si="53"/>
        <v>926299.44000000006</v>
      </c>
      <c r="N143" s="152">
        <f t="shared" si="54"/>
        <v>40294.02564</v>
      </c>
      <c r="O143" s="152">
        <f t="shared" si="55"/>
        <v>321631.75</v>
      </c>
      <c r="P143" s="152">
        <f t="shared" si="47"/>
        <v>643263.50000000012</v>
      </c>
      <c r="Q143" s="152">
        <f t="shared" si="56"/>
        <v>321631.75</v>
      </c>
      <c r="R143" s="152">
        <f t="shared" si="48"/>
        <v>38595.81</v>
      </c>
      <c r="S143" s="152">
        <f t="shared" si="57"/>
        <v>154383.24000000002</v>
      </c>
      <c r="T143" s="152">
        <f t="shared" si="58"/>
        <v>231574.86000000002</v>
      </c>
      <c r="U143" s="152">
        <f t="shared" si="59"/>
        <v>308766.48000000004</v>
      </c>
      <c r="V143" s="152">
        <f t="shared" si="60"/>
        <v>12297387.222340001</v>
      </c>
      <c r="W143" s="152">
        <f>IF(OR(Y143=$AA$2,Y143=$AA$3,Y143=$AA$4),HLOOKUP(A143,Datos!$D$98:$K$102,5,0),0)*G143</f>
        <v>0</v>
      </c>
      <c r="X143" s="152">
        <f t="shared" si="49"/>
        <v>199633.50000000003</v>
      </c>
      <c r="Y143" s="152" t="str">
        <f t="shared" si="50"/>
        <v xml:space="preserve">MES 9 </v>
      </c>
      <c r="Z143">
        <f t="shared" si="51"/>
        <v>10</v>
      </c>
    </row>
    <row r="144" spans="1:26">
      <c r="A144" t="str">
        <f t="shared" si="43"/>
        <v>Administrador-2026</v>
      </c>
      <c r="B144">
        <v>2026</v>
      </c>
      <c r="C144" t="s">
        <v>407</v>
      </c>
      <c r="D144" t="s">
        <v>370</v>
      </c>
      <c r="E144" t="s">
        <v>371</v>
      </c>
      <c r="F144" s="151">
        <f t="shared" si="61"/>
        <v>0.5</v>
      </c>
      <c r="G144" s="151">
        <f t="shared" si="61"/>
        <v>1</v>
      </c>
      <c r="H144" s="152">
        <f>+HLOOKUP(A144,Datos!$D$81:$K$85,5,0)</f>
        <v>2129424.0000000005</v>
      </c>
      <c r="I144" s="152">
        <f>+HLOOKUP(A144,Datos!$D$90:$K$94,5,0)</f>
        <v>187131.11934000003</v>
      </c>
      <c r="J144" s="152">
        <f t="shared" si="45"/>
        <v>1064712.0000000002</v>
      </c>
      <c r="K144" s="152">
        <f t="shared" si="46"/>
        <v>187131.11934000003</v>
      </c>
      <c r="L144" s="152">
        <f t="shared" si="52"/>
        <v>90500.520000000033</v>
      </c>
      <c r="M144" s="152">
        <f t="shared" si="53"/>
        <v>127765.44000000002</v>
      </c>
      <c r="N144" s="152">
        <f t="shared" si="54"/>
        <v>5557.7966400000014</v>
      </c>
      <c r="O144" s="152">
        <f t="shared" si="55"/>
        <v>44363.000000000015</v>
      </c>
      <c r="P144" s="152">
        <f t="shared" si="47"/>
        <v>88726.000000000015</v>
      </c>
      <c r="Q144" s="152">
        <f t="shared" si="56"/>
        <v>44363.000000000015</v>
      </c>
      <c r="R144" s="152">
        <f t="shared" si="48"/>
        <v>5323.5600000000013</v>
      </c>
      <c r="S144" s="152">
        <f t="shared" si="57"/>
        <v>21294.240000000005</v>
      </c>
      <c r="T144" s="152">
        <f t="shared" si="58"/>
        <v>31941.360000000004</v>
      </c>
      <c r="U144" s="152">
        <f t="shared" si="59"/>
        <v>42588.48000000001</v>
      </c>
      <c r="V144" s="152">
        <f t="shared" si="60"/>
        <v>1754266.5159800004</v>
      </c>
      <c r="W144" s="152">
        <f>IF(OR(Y144=$AA$2,Y144=$AA$3,Y144=$AA$4),HLOOKUP(A144,Datos!$D$99:$K$104,5,0),0)*G144</f>
        <v>0</v>
      </c>
      <c r="X144" s="152">
        <f t="shared" si="49"/>
        <v>16636.125000000004</v>
      </c>
      <c r="Y144" s="152" t="str">
        <f t="shared" si="50"/>
        <v xml:space="preserve">MES 9 </v>
      </c>
      <c r="Z144">
        <f t="shared" si="51"/>
        <v>10</v>
      </c>
    </row>
    <row r="145" spans="1:26">
      <c r="A145" t="str">
        <f t="shared" si="43"/>
        <v>Cajero-2026</v>
      </c>
      <c r="B145">
        <v>2026</v>
      </c>
      <c r="C145" t="s">
        <v>407</v>
      </c>
      <c r="D145" t="s">
        <v>372</v>
      </c>
      <c r="E145" t="s">
        <v>371</v>
      </c>
      <c r="F145" s="151">
        <f t="shared" si="61"/>
        <v>1</v>
      </c>
      <c r="G145" s="151">
        <f t="shared" si="61"/>
        <v>1</v>
      </c>
      <c r="H145" s="152">
        <f>HLOOKUP(A145,Datos!$D$82:$K$86,5,0)</f>
        <v>1543832.4000000001</v>
      </c>
      <c r="I145" s="152">
        <f>+HLOOKUP(A145,Datos!$D$91:$K$95,5,0)</f>
        <v>187131.11934000003</v>
      </c>
      <c r="J145" s="152">
        <f t="shared" si="45"/>
        <v>1543832.4000000001</v>
      </c>
      <c r="K145" s="152">
        <f t="shared" si="46"/>
        <v>187131.11934000003</v>
      </c>
      <c r="L145" s="152">
        <f t="shared" si="52"/>
        <v>131225.75400000002</v>
      </c>
      <c r="M145" s="152">
        <f t="shared" si="53"/>
        <v>185259.88800000001</v>
      </c>
      <c r="N145" s="152">
        <f t="shared" si="54"/>
        <v>8058.8051280000009</v>
      </c>
      <c r="O145" s="152">
        <f t="shared" si="55"/>
        <v>64326.350000000006</v>
      </c>
      <c r="P145" s="152">
        <f t="shared" si="47"/>
        <v>128652.70000000001</v>
      </c>
      <c r="Q145" s="152">
        <f t="shared" si="56"/>
        <v>64326.350000000006</v>
      </c>
      <c r="R145" s="152">
        <f t="shared" si="48"/>
        <v>7719.1620000000003</v>
      </c>
      <c r="S145" s="152">
        <f t="shared" si="57"/>
        <v>30876.648000000005</v>
      </c>
      <c r="T145" s="152">
        <f t="shared" si="58"/>
        <v>46314.972000000002</v>
      </c>
      <c r="U145" s="152">
        <f t="shared" si="59"/>
        <v>61753.296000000009</v>
      </c>
      <c r="V145" s="152">
        <f t="shared" si="60"/>
        <v>2459477.4444680004</v>
      </c>
      <c r="W145" s="152">
        <f>IF(OR(Y145=$AA$2,Y145=$AA$3,Y145=$AA$4),HLOOKUP(A145,Datos!$D$100:$K$104,5,0),0)*G145</f>
        <v>0</v>
      </c>
      <c r="X145" s="152">
        <f t="shared" si="49"/>
        <v>49908.375000000022</v>
      </c>
      <c r="Y145" s="152" t="str">
        <f t="shared" si="50"/>
        <v xml:space="preserve">MES 9 </v>
      </c>
      <c r="Z145">
        <f t="shared" si="51"/>
        <v>10</v>
      </c>
    </row>
    <row r="146" spans="1:26">
      <c r="A146" t="str">
        <f t="shared" ref="A146:A193" si="62">+D146&amp;"-"&amp;B146</f>
        <v>Aux cocina-2027</v>
      </c>
      <c r="B146">
        <v>2027</v>
      </c>
      <c r="C146" t="s">
        <v>408</v>
      </c>
      <c r="D146" t="s">
        <v>368</v>
      </c>
      <c r="E146" t="s">
        <v>369</v>
      </c>
      <c r="F146" s="151">
        <v>10</v>
      </c>
      <c r="G146" s="151">
        <v>10</v>
      </c>
      <c r="H146" s="152">
        <f>+HLOOKUP(A146,Datos!$D$80:$K$84,5,0)</f>
        <v>1698215.6400000004</v>
      </c>
      <c r="I146" s="152">
        <f>+HLOOKUP(A146,Datos!$D$89:$K$93,5,0)</f>
        <v>205844.23127400005</v>
      </c>
      <c r="J146" s="152">
        <f t="shared" si="45"/>
        <v>16982156.400000002</v>
      </c>
      <c r="K146" s="152">
        <f t="shared" si="46"/>
        <v>2058442.3127400004</v>
      </c>
      <c r="L146" s="152">
        <f t="shared" si="52"/>
        <v>1443483.2940000002</v>
      </c>
      <c r="M146" s="152">
        <f t="shared" si="53"/>
        <v>2037858.7680000002</v>
      </c>
      <c r="N146" s="152">
        <f t="shared" si="54"/>
        <v>88646.856408000007</v>
      </c>
      <c r="O146" s="152">
        <f t="shared" si="55"/>
        <v>707589.85000000009</v>
      </c>
      <c r="P146" s="152">
        <f t="shared" si="47"/>
        <v>1415179.7000000002</v>
      </c>
      <c r="Q146" s="152">
        <f t="shared" si="56"/>
        <v>707589.85000000009</v>
      </c>
      <c r="R146" s="152">
        <f t="shared" si="48"/>
        <v>84910.782000000007</v>
      </c>
      <c r="S146" s="152">
        <f t="shared" si="57"/>
        <v>339643.12800000003</v>
      </c>
      <c r="T146" s="152">
        <f t="shared" si="58"/>
        <v>509464.69200000004</v>
      </c>
      <c r="U146" s="152">
        <f t="shared" si="59"/>
        <v>679286.25600000005</v>
      </c>
      <c r="V146" s="152">
        <f t="shared" si="60"/>
        <v>27054251.889148008</v>
      </c>
      <c r="W146" s="152">
        <f>IF(OR(Y146=$AA$2,Y146=$AA$3,Y146=$AA$4),HLOOKUP(A146,Datos!$D$98:$K$102,5,0),0)*G146</f>
        <v>0</v>
      </c>
      <c r="X146" s="152">
        <f t="shared" si="49"/>
        <v>439193.7</v>
      </c>
      <c r="Y146" s="152" t="str">
        <f t="shared" si="50"/>
        <v xml:space="preserve">MES 1 </v>
      </c>
      <c r="Z146">
        <f t="shared" si="51"/>
        <v>10</v>
      </c>
    </row>
    <row r="147" spans="1:26">
      <c r="A147" t="str">
        <f t="shared" si="62"/>
        <v>Administrador-2027</v>
      </c>
      <c r="B147">
        <v>2027</v>
      </c>
      <c r="C147" t="s">
        <v>408</v>
      </c>
      <c r="D147" t="s">
        <v>370</v>
      </c>
      <c r="E147" t="s">
        <v>371</v>
      </c>
      <c r="F147" s="151">
        <v>1</v>
      </c>
      <c r="G147" s="151">
        <v>2</v>
      </c>
      <c r="H147" s="152">
        <f>+HLOOKUP(A147,Datos!$D$81:$K$85,5,0)</f>
        <v>2342366.4000000008</v>
      </c>
      <c r="I147" s="152">
        <f>+HLOOKUP(A147,Datos!$D$90:$K$94,5,0)</f>
        <v>205844.23127400005</v>
      </c>
      <c r="J147" s="152">
        <f t="shared" si="45"/>
        <v>2342366.4000000008</v>
      </c>
      <c r="K147" s="152">
        <f t="shared" si="46"/>
        <v>411688.4625480001</v>
      </c>
      <c r="L147" s="152">
        <f t="shared" si="52"/>
        <v>199101.14400000009</v>
      </c>
      <c r="M147" s="152">
        <f t="shared" si="53"/>
        <v>281083.96800000011</v>
      </c>
      <c r="N147" s="152">
        <f t="shared" si="54"/>
        <v>12227.152608000004</v>
      </c>
      <c r="O147" s="152">
        <f t="shared" si="55"/>
        <v>97598.600000000035</v>
      </c>
      <c r="P147" s="152">
        <f t="shared" si="47"/>
        <v>195197.20000000007</v>
      </c>
      <c r="Q147" s="152">
        <f t="shared" si="56"/>
        <v>97598.600000000035</v>
      </c>
      <c r="R147" s="152">
        <f t="shared" si="48"/>
        <v>11711.832000000004</v>
      </c>
      <c r="S147" s="152">
        <f t="shared" si="57"/>
        <v>46847.328000000016</v>
      </c>
      <c r="T147" s="152">
        <f t="shared" si="58"/>
        <v>70270.992000000027</v>
      </c>
      <c r="U147" s="152">
        <f t="shared" si="59"/>
        <v>93694.656000000032</v>
      </c>
      <c r="V147" s="152">
        <f t="shared" si="60"/>
        <v>3859386.3351560025</v>
      </c>
      <c r="W147" s="152">
        <f>IF(OR(Y147=$AA$2,Y147=$AA$3,Y147=$AA$4),HLOOKUP(A147,Datos!$D$99:$K$104,5,0),0)*G147</f>
        <v>0</v>
      </c>
      <c r="X147" s="152">
        <f t="shared" si="49"/>
        <v>36599.475000000013</v>
      </c>
      <c r="Y147" s="152" t="str">
        <f t="shared" si="50"/>
        <v xml:space="preserve">MES 1 </v>
      </c>
      <c r="Z147">
        <f t="shared" si="51"/>
        <v>10</v>
      </c>
    </row>
    <row r="148" spans="1:26">
      <c r="A148" t="str">
        <f t="shared" si="62"/>
        <v>Cajero-2027</v>
      </c>
      <c r="B148">
        <v>2027</v>
      </c>
      <c r="C148" t="s">
        <v>408</v>
      </c>
      <c r="D148" t="s">
        <v>372</v>
      </c>
      <c r="E148" t="s">
        <v>371</v>
      </c>
      <c r="F148" s="151">
        <v>2</v>
      </c>
      <c r="G148" s="151">
        <v>2</v>
      </c>
      <c r="H148" s="152">
        <f>HLOOKUP(A148,Datos!$D$82:$K$86,5,0)</f>
        <v>1698215.6400000004</v>
      </c>
      <c r="I148" s="152">
        <f>+HLOOKUP(A148,Datos!$D$91:$K$95,5,0)</f>
        <v>205844.23127400005</v>
      </c>
      <c r="J148" s="152">
        <f t="shared" si="45"/>
        <v>3396431.2800000007</v>
      </c>
      <c r="K148" s="152">
        <f t="shared" si="46"/>
        <v>411688.4625480001</v>
      </c>
      <c r="L148" s="152">
        <f t="shared" si="52"/>
        <v>288696.65880000009</v>
      </c>
      <c r="M148" s="152">
        <f t="shared" si="53"/>
        <v>407571.75360000005</v>
      </c>
      <c r="N148" s="152">
        <f t="shared" si="54"/>
        <v>17729.371281600004</v>
      </c>
      <c r="O148" s="152">
        <f t="shared" si="55"/>
        <v>141517.97000000003</v>
      </c>
      <c r="P148" s="152">
        <f t="shared" si="47"/>
        <v>283035.94000000006</v>
      </c>
      <c r="Q148" s="152">
        <f t="shared" si="56"/>
        <v>141517.97000000003</v>
      </c>
      <c r="R148" s="152">
        <f t="shared" si="48"/>
        <v>16982.156400000003</v>
      </c>
      <c r="S148" s="152">
        <f t="shared" si="57"/>
        <v>67928.625600000014</v>
      </c>
      <c r="T148" s="152">
        <f t="shared" si="58"/>
        <v>101892.93840000001</v>
      </c>
      <c r="U148" s="152">
        <f t="shared" si="59"/>
        <v>135857.25120000003</v>
      </c>
      <c r="V148" s="152">
        <f t="shared" si="60"/>
        <v>5410850.3778296011</v>
      </c>
      <c r="W148" s="152">
        <f>IF(OR(Y148=$AA$2,Y148=$AA$3,Y148=$AA$4),HLOOKUP(A148,Datos!$D$100:$K$104,5,0),0)*G148</f>
        <v>0</v>
      </c>
      <c r="X148" s="152">
        <f t="shared" si="49"/>
        <v>109798.42500000006</v>
      </c>
      <c r="Y148" s="152" t="str">
        <f t="shared" si="50"/>
        <v xml:space="preserve">MES 1 </v>
      </c>
      <c r="Z148">
        <f t="shared" si="51"/>
        <v>10</v>
      </c>
    </row>
    <row r="149" spans="1:26">
      <c r="A149" t="str">
        <f t="shared" si="62"/>
        <v>Aux cocina-2027</v>
      </c>
      <c r="B149">
        <v>2027</v>
      </c>
      <c r="C149" t="s">
        <v>409</v>
      </c>
      <c r="D149" t="s">
        <v>368</v>
      </c>
      <c r="E149" t="s">
        <v>369</v>
      </c>
      <c r="F149" s="151">
        <f t="shared" ref="F149:G166" si="63">+F146</f>
        <v>10</v>
      </c>
      <c r="G149" s="151">
        <f t="shared" si="63"/>
        <v>10</v>
      </c>
      <c r="H149" s="152">
        <f>+HLOOKUP(A149,Datos!$D$80:$K$84,5,0)</f>
        <v>1698215.6400000004</v>
      </c>
      <c r="I149" s="152">
        <f>+HLOOKUP(A149,Datos!$D$89:$K$93,5,0)</f>
        <v>205844.23127400005</v>
      </c>
      <c r="J149" s="152">
        <f t="shared" si="45"/>
        <v>16982156.400000002</v>
      </c>
      <c r="K149" s="152">
        <f t="shared" si="46"/>
        <v>2058442.3127400004</v>
      </c>
      <c r="L149" s="152">
        <f t="shared" si="52"/>
        <v>1443483.2940000002</v>
      </c>
      <c r="M149" s="152">
        <f t="shared" si="53"/>
        <v>2037858.7680000002</v>
      </c>
      <c r="N149" s="152">
        <f t="shared" si="54"/>
        <v>88646.856408000007</v>
      </c>
      <c r="O149" s="152">
        <f t="shared" si="55"/>
        <v>707589.85000000009</v>
      </c>
      <c r="P149" s="152">
        <f t="shared" si="47"/>
        <v>1415179.7000000002</v>
      </c>
      <c r="Q149" s="152">
        <f t="shared" si="56"/>
        <v>707589.85000000009</v>
      </c>
      <c r="R149" s="152">
        <f t="shared" si="48"/>
        <v>84910.782000000007</v>
      </c>
      <c r="S149" s="152">
        <f t="shared" si="57"/>
        <v>339643.12800000003</v>
      </c>
      <c r="T149" s="152">
        <f t="shared" si="58"/>
        <v>509464.69200000004</v>
      </c>
      <c r="U149" s="152">
        <f t="shared" si="59"/>
        <v>679286.25600000005</v>
      </c>
      <c r="V149" s="152">
        <f t="shared" si="60"/>
        <v>27054251.889148008</v>
      </c>
      <c r="W149" s="152">
        <f>IF(OR(Y149=$AA$2,Y149=$AA$3,Y149=$AA$4),HLOOKUP(A149,Datos!$D$98:$K$102,5,0),0)*G149</f>
        <v>0</v>
      </c>
      <c r="X149" s="152">
        <f t="shared" si="49"/>
        <v>439193.7</v>
      </c>
      <c r="Y149" s="152" t="str">
        <f t="shared" si="50"/>
        <v>MES 10</v>
      </c>
      <c r="Z149">
        <f t="shared" si="51"/>
        <v>11</v>
      </c>
    </row>
    <row r="150" spans="1:26">
      <c r="A150" t="str">
        <f t="shared" si="62"/>
        <v>Administrador-2027</v>
      </c>
      <c r="B150">
        <v>2027</v>
      </c>
      <c r="C150" t="s">
        <v>409</v>
      </c>
      <c r="D150" t="s">
        <v>370</v>
      </c>
      <c r="E150" t="s">
        <v>371</v>
      </c>
      <c r="F150" s="151">
        <f t="shared" si="63"/>
        <v>1</v>
      </c>
      <c r="G150" s="151">
        <f t="shared" si="63"/>
        <v>2</v>
      </c>
      <c r="H150" s="152">
        <f>+HLOOKUP(A150,Datos!$D$81:$K$85,5,0)</f>
        <v>2342366.4000000008</v>
      </c>
      <c r="I150" s="152">
        <f>+HLOOKUP(A150,Datos!$D$90:$K$94,5,0)</f>
        <v>205844.23127400005</v>
      </c>
      <c r="J150" s="152">
        <f t="shared" si="45"/>
        <v>2342366.4000000008</v>
      </c>
      <c r="K150" s="152">
        <f t="shared" si="46"/>
        <v>411688.4625480001</v>
      </c>
      <c r="L150" s="152">
        <f t="shared" si="52"/>
        <v>199101.14400000009</v>
      </c>
      <c r="M150" s="152">
        <f t="shared" si="53"/>
        <v>281083.96800000011</v>
      </c>
      <c r="N150" s="152">
        <f t="shared" si="54"/>
        <v>12227.152608000004</v>
      </c>
      <c r="O150" s="152">
        <f t="shared" si="55"/>
        <v>97598.600000000035</v>
      </c>
      <c r="P150" s="152">
        <f t="shared" si="47"/>
        <v>195197.20000000007</v>
      </c>
      <c r="Q150" s="152">
        <f t="shared" si="56"/>
        <v>97598.600000000035</v>
      </c>
      <c r="R150" s="152">
        <f t="shared" si="48"/>
        <v>11711.832000000004</v>
      </c>
      <c r="S150" s="152">
        <f t="shared" si="57"/>
        <v>46847.328000000016</v>
      </c>
      <c r="T150" s="152">
        <f t="shared" si="58"/>
        <v>70270.992000000027</v>
      </c>
      <c r="U150" s="152">
        <f t="shared" si="59"/>
        <v>93694.656000000032</v>
      </c>
      <c r="V150" s="152">
        <f t="shared" si="60"/>
        <v>3859386.3351560025</v>
      </c>
      <c r="W150" s="152">
        <f>IF(OR(Y150=$AA$2,Y150=$AA$3,Y150=$AA$4),HLOOKUP(A150,Datos!$D$99:$K$104,5,0),0)*G150</f>
        <v>0</v>
      </c>
      <c r="X150" s="152">
        <f t="shared" si="49"/>
        <v>36599.475000000013</v>
      </c>
      <c r="Y150" s="152" t="str">
        <f t="shared" si="50"/>
        <v>MES 10</v>
      </c>
      <c r="Z150">
        <f t="shared" si="51"/>
        <v>11</v>
      </c>
    </row>
    <row r="151" spans="1:26">
      <c r="A151" t="str">
        <f t="shared" si="62"/>
        <v>Cajero-2027</v>
      </c>
      <c r="B151">
        <v>2027</v>
      </c>
      <c r="C151" t="s">
        <v>409</v>
      </c>
      <c r="D151" t="s">
        <v>372</v>
      </c>
      <c r="E151" t="s">
        <v>371</v>
      </c>
      <c r="F151" s="151">
        <f t="shared" si="63"/>
        <v>2</v>
      </c>
      <c r="G151" s="151">
        <f t="shared" si="63"/>
        <v>2</v>
      </c>
      <c r="H151" s="152">
        <f>HLOOKUP(A151,Datos!$D$82:$K$86,5,0)</f>
        <v>1698215.6400000004</v>
      </c>
      <c r="I151" s="152">
        <f>+HLOOKUP(A151,Datos!$D$91:$K$95,5,0)</f>
        <v>205844.23127400005</v>
      </c>
      <c r="J151" s="152">
        <f t="shared" si="45"/>
        <v>3396431.2800000007</v>
      </c>
      <c r="K151" s="152">
        <f t="shared" si="46"/>
        <v>411688.4625480001</v>
      </c>
      <c r="L151" s="152">
        <f t="shared" si="52"/>
        <v>288696.65880000009</v>
      </c>
      <c r="M151" s="152">
        <f t="shared" si="53"/>
        <v>407571.75360000005</v>
      </c>
      <c r="N151" s="152">
        <f t="shared" si="54"/>
        <v>17729.371281600004</v>
      </c>
      <c r="O151" s="152">
        <f t="shared" si="55"/>
        <v>141517.97000000003</v>
      </c>
      <c r="P151" s="152">
        <f t="shared" si="47"/>
        <v>283035.94000000006</v>
      </c>
      <c r="Q151" s="152">
        <f t="shared" si="56"/>
        <v>141517.97000000003</v>
      </c>
      <c r="R151" s="152">
        <f t="shared" si="48"/>
        <v>16982.156400000003</v>
      </c>
      <c r="S151" s="152">
        <f t="shared" si="57"/>
        <v>67928.625600000014</v>
      </c>
      <c r="T151" s="152">
        <f t="shared" si="58"/>
        <v>101892.93840000001</v>
      </c>
      <c r="U151" s="152">
        <f t="shared" si="59"/>
        <v>135857.25120000003</v>
      </c>
      <c r="V151" s="152">
        <f t="shared" si="60"/>
        <v>5410850.3778296011</v>
      </c>
      <c r="W151" s="152">
        <f>IF(OR(Y151=$AA$2,Y151=$AA$3,Y151=$AA$4),HLOOKUP(A151,Datos!$D$100:$K$104,5,0),0)*G151</f>
        <v>0</v>
      </c>
      <c r="X151" s="152">
        <f t="shared" si="49"/>
        <v>109798.42500000006</v>
      </c>
      <c r="Y151" s="152" t="str">
        <f t="shared" si="50"/>
        <v>MES 10</v>
      </c>
      <c r="Z151">
        <f t="shared" si="51"/>
        <v>11</v>
      </c>
    </row>
    <row r="152" spans="1:26">
      <c r="A152" t="str">
        <f t="shared" si="62"/>
        <v>Aux cocina-2027</v>
      </c>
      <c r="B152">
        <v>2027</v>
      </c>
      <c r="C152" t="s">
        <v>410</v>
      </c>
      <c r="D152" t="s">
        <v>368</v>
      </c>
      <c r="E152" t="s">
        <v>369</v>
      </c>
      <c r="F152" s="151">
        <f t="shared" si="63"/>
        <v>10</v>
      </c>
      <c r="G152" s="151">
        <f t="shared" si="63"/>
        <v>10</v>
      </c>
      <c r="H152" s="152">
        <f>+HLOOKUP(A152,Datos!$D$80:$K$84,5,0)</f>
        <v>1698215.6400000004</v>
      </c>
      <c r="I152" s="152">
        <f>+HLOOKUP(A152,Datos!$D$89:$K$93,5,0)</f>
        <v>205844.23127400005</v>
      </c>
      <c r="J152" s="152">
        <f t="shared" si="45"/>
        <v>16982156.400000002</v>
      </c>
      <c r="K152" s="152">
        <f t="shared" si="46"/>
        <v>2058442.3127400004</v>
      </c>
      <c r="L152" s="152">
        <f t="shared" si="52"/>
        <v>1443483.2940000002</v>
      </c>
      <c r="M152" s="152">
        <f t="shared" si="53"/>
        <v>2037858.7680000002</v>
      </c>
      <c r="N152" s="152">
        <f t="shared" si="54"/>
        <v>88646.856408000007</v>
      </c>
      <c r="O152" s="152">
        <f t="shared" si="55"/>
        <v>707589.85000000009</v>
      </c>
      <c r="P152" s="152">
        <f t="shared" si="47"/>
        <v>1415179.7000000002</v>
      </c>
      <c r="Q152" s="152">
        <f t="shared" si="56"/>
        <v>707589.85000000009</v>
      </c>
      <c r="R152" s="152">
        <f t="shared" si="48"/>
        <v>84910.782000000007</v>
      </c>
      <c r="S152" s="152">
        <f t="shared" si="57"/>
        <v>339643.12800000003</v>
      </c>
      <c r="T152" s="152">
        <f t="shared" si="58"/>
        <v>509464.69200000004</v>
      </c>
      <c r="U152" s="152">
        <f t="shared" si="59"/>
        <v>679286.25600000005</v>
      </c>
      <c r="V152" s="152">
        <f t="shared" si="60"/>
        <v>27054251.889148008</v>
      </c>
      <c r="W152" s="152">
        <f>IF(OR(Y152=$AA$2,Y152=$AA$3,Y152=$AA$4),HLOOKUP(A152,Datos!$D$98:$K$102,5,0),0)*G152</f>
        <v>0</v>
      </c>
      <c r="X152" s="152">
        <f t="shared" si="49"/>
        <v>439193.7</v>
      </c>
      <c r="Y152" s="152" t="str">
        <f t="shared" si="50"/>
        <v>MES 11</v>
      </c>
      <c r="Z152">
        <f t="shared" si="51"/>
        <v>11</v>
      </c>
    </row>
    <row r="153" spans="1:26">
      <c r="A153" t="str">
        <f t="shared" si="62"/>
        <v>Administrador-2027</v>
      </c>
      <c r="B153">
        <v>2027</v>
      </c>
      <c r="C153" t="s">
        <v>410</v>
      </c>
      <c r="D153" t="s">
        <v>370</v>
      </c>
      <c r="E153" t="s">
        <v>371</v>
      </c>
      <c r="F153" s="151">
        <f t="shared" si="63"/>
        <v>1</v>
      </c>
      <c r="G153" s="151">
        <f t="shared" si="63"/>
        <v>2</v>
      </c>
      <c r="H153" s="152">
        <f>+HLOOKUP(A153,Datos!$D$81:$K$85,5,0)</f>
        <v>2342366.4000000008</v>
      </c>
      <c r="I153" s="152">
        <f>+HLOOKUP(A153,Datos!$D$90:$K$94,5,0)</f>
        <v>205844.23127400005</v>
      </c>
      <c r="J153" s="152">
        <f t="shared" si="45"/>
        <v>2342366.4000000008</v>
      </c>
      <c r="K153" s="152">
        <f t="shared" si="46"/>
        <v>411688.4625480001</v>
      </c>
      <c r="L153" s="152">
        <f t="shared" si="52"/>
        <v>199101.14400000009</v>
      </c>
      <c r="M153" s="152">
        <f t="shared" si="53"/>
        <v>281083.96800000011</v>
      </c>
      <c r="N153" s="152">
        <f t="shared" si="54"/>
        <v>12227.152608000004</v>
      </c>
      <c r="O153" s="152">
        <f t="shared" si="55"/>
        <v>97598.600000000035</v>
      </c>
      <c r="P153" s="152">
        <f t="shared" si="47"/>
        <v>195197.20000000007</v>
      </c>
      <c r="Q153" s="152">
        <f t="shared" si="56"/>
        <v>97598.600000000035</v>
      </c>
      <c r="R153" s="152">
        <f t="shared" si="48"/>
        <v>11711.832000000004</v>
      </c>
      <c r="S153" s="152">
        <f t="shared" si="57"/>
        <v>46847.328000000016</v>
      </c>
      <c r="T153" s="152">
        <f t="shared" si="58"/>
        <v>70270.992000000027</v>
      </c>
      <c r="U153" s="152">
        <f t="shared" si="59"/>
        <v>93694.656000000032</v>
      </c>
      <c r="V153" s="152">
        <f t="shared" si="60"/>
        <v>3859386.3351560025</v>
      </c>
      <c r="W153" s="152">
        <f>IF(OR(Y153=$AA$2,Y153=$AA$3,Y153=$AA$4),HLOOKUP(A153,Datos!$D$99:$K$104,5,0),0)*G153</f>
        <v>0</v>
      </c>
      <c r="X153" s="152">
        <f t="shared" si="49"/>
        <v>36599.475000000013</v>
      </c>
      <c r="Y153" s="152" t="str">
        <f t="shared" si="50"/>
        <v>MES 11</v>
      </c>
      <c r="Z153">
        <f t="shared" si="51"/>
        <v>11</v>
      </c>
    </row>
    <row r="154" spans="1:26">
      <c r="A154" t="str">
        <f t="shared" si="62"/>
        <v>Cajero-2027</v>
      </c>
      <c r="B154">
        <v>2027</v>
      </c>
      <c r="C154" t="s">
        <v>410</v>
      </c>
      <c r="D154" t="s">
        <v>372</v>
      </c>
      <c r="E154" t="s">
        <v>371</v>
      </c>
      <c r="F154" s="151">
        <f t="shared" si="63"/>
        <v>2</v>
      </c>
      <c r="G154" s="151">
        <f t="shared" si="63"/>
        <v>2</v>
      </c>
      <c r="H154" s="152">
        <f>HLOOKUP(A154,Datos!$D$82:$K$86,5,0)</f>
        <v>1698215.6400000004</v>
      </c>
      <c r="I154" s="152">
        <f>+HLOOKUP(A154,Datos!$D$91:$K$95,5,0)</f>
        <v>205844.23127400005</v>
      </c>
      <c r="J154" s="152">
        <f t="shared" si="45"/>
        <v>3396431.2800000007</v>
      </c>
      <c r="K154" s="152">
        <f t="shared" si="46"/>
        <v>411688.4625480001</v>
      </c>
      <c r="L154" s="152">
        <f t="shared" si="52"/>
        <v>288696.65880000009</v>
      </c>
      <c r="M154" s="152">
        <f t="shared" si="53"/>
        <v>407571.75360000005</v>
      </c>
      <c r="N154" s="152">
        <f t="shared" si="54"/>
        <v>17729.371281600004</v>
      </c>
      <c r="O154" s="152">
        <f t="shared" si="55"/>
        <v>141517.97000000003</v>
      </c>
      <c r="P154" s="152">
        <f t="shared" si="47"/>
        <v>283035.94000000006</v>
      </c>
      <c r="Q154" s="152">
        <f t="shared" si="56"/>
        <v>141517.97000000003</v>
      </c>
      <c r="R154" s="152">
        <f t="shared" si="48"/>
        <v>16982.156400000003</v>
      </c>
      <c r="S154" s="152">
        <f t="shared" si="57"/>
        <v>67928.625600000014</v>
      </c>
      <c r="T154" s="152">
        <f t="shared" si="58"/>
        <v>101892.93840000001</v>
      </c>
      <c r="U154" s="152">
        <f t="shared" si="59"/>
        <v>135857.25120000003</v>
      </c>
      <c r="V154" s="152">
        <f t="shared" si="60"/>
        <v>5410850.3778296011</v>
      </c>
      <c r="W154" s="152">
        <f>IF(OR(Y154=$AA$2,Y154=$AA$3,Y154=$AA$4),HLOOKUP(A154,Datos!$D$100:$K$104,5,0),0)*G154</f>
        <v>0</v>
      </c>
      <c r="X154" s="152">
        <f t="shared" si="49"/>
        <v>109798.42500000006</v>
      </c>
      <c r="Y154" s="152" t="str">
        <f t="shared" si="50"/>
        <v>MES 11</v>
      </c>
      <c r="Z154">
        <f t="shared" si="51"/>
        <v>11</v>
      </c>
    </row>
    <row r="155" spans="1:26">
      <c r="A155" t="str">
        <f t="shared" si="62"/>
        <v>Aux cocina-2027</v>
      </c>
      <c r="B155">
        <v>2027</v>
      </c>
      <c r="C155" t="s">
        <v>411</v>
      </c>
      <c r="D155" t="s">
        <v>368</v>
      </c>
      <c r="E155" t="s">
        <v>369</v>
      </c>
      <c r="F155" s="151">
        <f t="shared" si="63"/>
        <v>10</v>
      </c>
      <c r="G155" s="151">
        <f t="shared" si="63"/>
        <v>10</v>
      </c>
      <c r="H155" s="152">
        <f>+HLOOKUP(A155,Datos!$D$80:$K$84,5,0)</f>
        <v>1698215.6400000004</v>
      </c>
      <c r="I155" s="152">
        <f>+HLOOKUP(A155,Datos!$D$89:$K$93,5,0)</f>
        <v>205844.23127400005</v>
      </c>
      <c r="J155" s="152">
        <f t="shared" si="45"/>
        <v>16982156.400000002</v>
      </c>
      <c r="K155" s="152">
        <f t="shared" si="46"/>
        <v>2058442.3127400004</v>
      </c>
      <c r="L155" s="152">
        <f t="shared" si="52"/>
        <v>1443483.2940000002</v>
      </c>
      <c r="M155" s="152">
        <f t="shared" si="53"/>
        <v>2037858.7680000002</v>
      </c>
      <c r="N155" s="152">
        <f t="shared" si="54"/>
        <v>88646.856408000007</v>
      </c>
      <c r="O155" s="152">
        <f t="shared" si="55"/>
        <v>707589.85000000009</v>
      </c>
      <c r="P155" s="152">
        <f t="shared" si="47"/>
        <v>1415179.7000000002</v>
      </c>
      <c r="Q155" s="152">
        <f t="shared" si="56"/>
        <v>707589.85000000009</v>
      </c>
      <c r="R155" s="152">
        <f t="shared" si="48"/>
        <v>84910.782000000007</v>
      </c>
      <c r="S155" s="152">
        <f t="shared" si="57"/>
        <v>339643.12800000003</v>
      </c>
      <c r="T155" s="152">
        <f t="shared" si="58"/>
        <v>509464.69200000004</v>
      </c>
      <c r="U155" s="152">
        <f t="shared" si="59"/>
        <v>679286.25600000005</v>
      </c>
      <c r="V155" s="152">
        <f t="shared" si="60"/>
        <v>27054251.889148008</v>
      </c>
      <c r="W155" s="152">
        <f>IF(OR(Y155=$AA$2,Y155=$AA$3,Y155=$AA$4),HLOOKUP(A155,Datos!$D$98:$K$102,5,0),0)*G155</f>
        <v>1756774.8000000003</v>
      </c>
      <c r="X155" s="152">
        <f t="shared" si="49"/>
        <v>439193.7</v>
      </c>
      <c r="Y155" s="152" t="str">
        <f t="shared" si="50"/>
        <v>MES 12</v>
      </c>
      <c r="Z155">
        <f t="shared" si="51"/>
        <v>11</v>
      </c>
    </row>
    <row r="156" spans="1:26">
      <c r="A156" t="str">
        <f t="shared" si="62"/>
        <v>Administrador-2027</v>
      </c>
      <c r="B156">
        <v>2027</v>
      </c>
      <c r="C156" t="s">
        <v>411</v>
      </c>
      <c r="D156" t="s">
        <v>370</v>
      </c>
      <c r="E156" t="s">
        <v>371</v>
      </c>
      <c r="F156" s="151">
        <f t="shared" si="63"/>
        <v>1</v>
      </c>
      <c r="G156" s="151">
        <f t="shared" si="63"/>
        <v>2</v>
      </c>
      <c r="H156" s="152">
        <f>+HLOOKUP(A156,Datos!$D$81:$K$85,5,0)</f>
        <v>2342366.4000000008</v>
      </c>
      <c r="I156" s="152">
        <f>+HLOOKUP(A156,Datos!$D$90:$K$94,5,0)</f>
        <v>205844.23127400005</v>
      </c>
      <c r="J156" s="152">
        <f t="shared" si="45"/>
        <v>2342366.4000000008</v>
      </c>
      <c r="K156" s="152">
        <f t="shared" si="46"/>
        <v>411688.4625480001</v>
      </c>
      <c r="L156" s="152">
        <f t="shared" si="52"/>
        <v>199101.14400000009</v>
      </c>
      <c r="M156" s="152">
        <f t="shared" si="53"/>
        <v>281083.96800000011</v>
      </c>
      <c r="N156" s="152">
        <f t="shared" si="54"/>
        <v>12227.152608000004</v>
      </c>
      <c r="O156" s="152">
        <f t="shared" si="55"/>
        <v>97598.600000000035</v>
      </c>
      <c r="P156" s="152">
        <f t="shared" si="47"/>
        <v>195197.20000000007</v>
      </c>
      <c r="Q156" s="152">
        <f t="shared" si="56"/>
        <v>97598.600000000035</v>
      </c>
      <c r="R156" s="152">
        <f t="shared" si="48"/>
        <v>11711.832000000004</v>
      </c>
      <c r="S156" s="152">
        <f t="shared" si="57"/>
        <v>46847.328000000016</v>
      </c>
      <c r="T156" s="152">
        <f t="shared" si="58"/>
        <v>70270.992000000027</v>
      </c>
      <c r="U156" s="152">
        <f t="shared" si="59"/>
        <v>93694.656000000032</v>
      </c>
      <c r="V156" s="152">
        <f t="shared" si="60"/>
        <v>3859386.3351560025</v>
      </c>
      <c r="W156" s="152">
        <f>IF(OR(Y156=$AA$2,Y156=$AA$3,Y156=$AA$4),HLOOKUP(A156,Datos!$D$99:$K$104,5,0),0)*G156</f>
        <v>146397.90000000005</v>
      </c>
      <c r="X156" s="152">
        <f t="shared" si="49"/>
        <v>36599.475000000013</v>
      </c>
      <c r="Y156" s="152" t="str">
        <f t="shared" si="50"/>
        <v>MES 12</v>
      </c>
      <c r="Z156">
        <f t="shared" si="51"/>
        <v>11</v>
      </c>
    </row>
    <row r="157" spans="1:26">
      <c r="A157" t="str">
        <f t="shared" si="62"/>
        <v>Cajero-2027</v>
      </c>
      <c r="B157">
        <v>2027</v>
      </c>
      <c r="C157" t="s">
        <v>411</v>
      </c>
      <c r="D157" t="s">
        <v>372</v>
      </c>
      <c r="E157" t="s">
        <v>371</v>
      </c>
      <c r="F157" s="151">
        <f t="shared" si="63"/>
        <v>2</v>
      </c>
      <c r="G157" s="151">
        <f t="shared" si="63"/>
        <v>2</v>
      </c>
      <c r="H157" s="152">
        <f>HLOOKUP(A157,Datos!$D$82:$K$86,5,0)</f>
        <v>1698215.6400000004</v>
      </c>
      <c r="I157" s="152">
        <f>+HLOOKUP(A157,Datos!$D$91:$K$95,5,0)</f>
        <v>205844.23127400005</v>
      </c>
      <c r="J157" s="152">
        <f t="shared" si="45"/>
        <v>3396431.2800000007</v>
      </c>
      <c r="K157" s="152">
        <f t="shared" si="46"/>
        <v>411688.4625480001</v>
      </c>
      <c r="L157" s="152">
        <f t="shared" si="52"/>
        <v>288696.65880000009</v>
      </c>
      <c r="M157" s="152">
        <f t="shared" si="53"/>
        <v>407571.75360000005</v>
      </c>
      <c r="N157" s="152">
        <f t="shared" si="54"/>
        <v>17729.371281600004</v>
      </c>
      <c r="O157" s="152">
        <f t="shared" si="55"/>
        <v>141517.97000000003</v>
      </c>
      <c r="P157" s="152">
        <f t="shared" si="47"/>
        <v>283035.94000000006</v>
      </c>
      <c r="Q157" s="152">
        <f t="shared" si="56"/>
        <v>141517.97000000003</v>
      </c>
      <c r="R157" s="152">
        <f t="shared" si="48"/>
        <v>16982.156400000003</v>
      </c>
      <c r="S157" s="152">
        <f t="shared" si="57"/>
        <v>67928.625600000014</v>
      </c>
      <c r="T157" s="152">
        <f t="shared" si="58"/>
        <v>101892.93840000001</v>
      </c>
      <c r="U157" s="152">
        <f t="shared" si="59"/>
        <v>135857.25120000003</v>
      </c>
      <c r="V157" s="152">
        <f t="shared" si="60"/>
        <v>5410850.3778296011</v>
      </c>
      <c r="W157" s="152">
        <f>IF(OR(Y157=$AA$2,Y157=$AA$3,Y157=$AA$4),HLOOKUP(A157,Datos!$D$100:$K$104,5,0),0)*G157</f>
        <v>439193.70000000024</v>
      </c>
      <c r="X157" s="152">
        <f t="shared" si="49"/>
        <v>109798.42500000006</v>
      </c>
      <c r="Y157" s="152" t="str">
        <f t="shared" si="50"/>
        <v>MES 12</v>
      </c>
      <c r="Z157">
        <f t="shared" si="51"/>
        <v>11</v>
      </c>
    </row>
    <row r="158" spans="1:26">
      <c r="A158" t="str">
        <f t="shared" si="62"/>
        <v>Aux cocina-2027</v>
      </c>
      <c r="B158">
        <v>2027</v>
      </c>
      <c r="C158" t="s">
        <v>412</v>
      </c>
      <c r="D158" t="s">
        <v>368</v>
      </c>
      <c r="E158" t="s">
        <v>369</v>
      </c>
      <c r="F158" s="151">
        <f t="shared" si="63"/>
        <v>10</v>
      </c>
      <c r="G158" s="151">
        <f t="shared" si="63"/>
        <v>10</v>
      </c>
      <c r="H158" s="152">
        <f>+HLOOKUP(A158,Datos!$D$80:$K$84,5,0)</f>
        <v>1698215.6400000004</v>
      </c>
      <c r="I158" s="152">
        <f>+HLOOKUP(A158,Datos!$D$89:$K$93,5,0)</f>
        <v>205844.23127400005</v>
      </c>
      <c r="J158" s="152">
        <f t="shared" si="45"/>
        <v>16982156.400000002</v>
      </c>
      <c r="K158" s="152">
        <f t="shared" si="46"/>
        <v>2058442.3127400004</v>
      </c>
      <c r="L158" s="152">
        <f t="shared" si="52"/>
        <v>1443483.2940000002</v>
      </c>
      <c r="M158" s="152">
        <f t="shared" si="53"/>
        <v>2037858.7680000002</v>
      </c>
      <c r="N158" s="152">
        <f t="shared" si="54"/>
        <v>88646.856408000007</v>
      </c>
      <c r="O158" s="152">
        <f t="shared" si="55"/>
        <v>707589.85000000009</v>
      </c>
      <c r="P158" s="152">
        <f t="shared" si="47"/>
        <v>1415179.7000000002</v>
      </c>
      <c r="Q158" s="152">
        <f t="shared" si="56"/>
        <v>707589.85000000009</v>
      </c>
      <c r="R158" s="152">
        <f t="shared" si="48"/>
        <v>84910.782000000007</v>
      </c>
      <c r="S158" s="152">
        <f t="shared" si="57"/>
        <v>339643.12800000003</v>
      </c>
      <c r="T158" s="152">
        <f t="shared" si="58"/>
        <v>509464.69200000004</v>
      </c>
      <c r="U158" s="152">
        <f t="shared" si="59"/>
        <v>679286.25600000005</v>
      </c>
      <c r="V158" s="152">
        <f t="shared" si="60"/>
        <v>27054251.889148008</v>
      </c>
      <c r="W158" s="152">
        <f>IF(OR(Y158=$AA$2,Y158=$AA$3,Y158=$AA$4),HLOOKUP(A158,Datos!$D$98:$K$102,5,0),0)*G158</f>
        <v>0</v>
      </c>
      <c r="X158" s="152">
        <f t="shared" si="49"/>
        <v>439193.7</v>
      </c>
      <c r="Y158" s="152" t="str">
        <f t="shared" si="50"/>
        <v xml:space="preserve">MES 2 </v>
      </c>
      <c r="Z158">
        <f t="shared" si="51"/>
        <v>10</v>
      </c>
    </row>
    <row r="159" spans="1:26">
      <c r="A159" t="str">
        <f t="shared" si="62"/>
        <v>Administrador-2027</v>
      </c>
      <c r="B159">
        <v>2027</v>
      </c>
      <c r="C159" t="s">
        <v>412</v>
      </c>
      <c r="D159" t="s">
        <v>370</v>
      </c>
      <c r="E159" t="s">
        <v>371</v>
      </c>
      <c r="F159" s="151">
        <f t="shared" si="63"/>
        <v>1</v>
      </c>
      <c r="G159" s="151">
        <f t="shared" si="63"/>
        <v>2</v>
      </c>
      <c r="H159" s="152">
        <f>+HLOOKUP(A159,Datos!$D$81:$K$85,5,0)</f>
        <v>2342366.4000000008</v>
      </c>
      <c r="I159" s="152">
        <f>+HLOOKUP(A159,Datos!$D$90:$K$94,5,0)</f>
        <v>205844.23127400005</v>
      </c>
      <c r="J159" s="152">
        <f t="shared" si="45"/>
        <v>2342366.4000000008</v>
      </c>
      <c r="K159" s="152">
        <f t="shared" si="46"/>
        <v>411688.4625480001</v>
      </c>
      <c r="L159" s="152">
        <f t="shared" si="52"/>
        <v>199101.14400000009</v>
      </c>
      <c r="M159" s="152">
        <f t="shared" si="53"/>
        <v>281083.96800000011</v>
      </c>
      <c r="N159" s="152">
        <f t="shared" si="54"/>
        <v>12227.152608000004</v>
      </c>
      <c r="O159" s="152">
        <f t="shared" si="55"/>
        <v>97598.600000000035</v>
      </c>
      <c r="P159" s="152">
        <f t="shared" si="47"/>
        <v>195197.20000000007</v>
      </c>
      <c r="Q159" s="152">
        <f t="shared" si="56"/>
        <v>97598.600000000035</v>
      </c>
      <c r="R159" s="152">
        <f t="shared" si="48"/>
        <v>11711.832000000004</v>
      </c>
      <c r="S159" s="152">
        <f t="shared" si="57"/>
        <v>46847.328000000016</v>
      </c>
      <c r="T159" s="152">
        <f t="shared" si="58"/>
        <v>70270.992000000027</v>
      </c>
      <c r="U159" s="152">
        <f t="shared" si="59"/>
        <v>93694.656000000032</v>
      </c>
      <c r="V159" s="152">
        <f t="shared" si="60"/>
        <v>3859386.3351560025</v>
      </c>
      <c r="W159" s="152">
        <f>IF(OR(Y159=$AA$2,Y159=$AA$3,Y159=$AA$4),HLOOKUP(A159,Datos!$D$99:$K$104,5,0),0)*G159</f>
        <v>0</v>
      </c>
      <c r="X159" s="152">
        <f t="shared" si="49"/>
        <v>36599.475000000013</v>
      </c>
      <c r="Y159" s="152" t="str">
        <f t="shared" si="50"/>
        <v xml:space="preserve">MES 2 </v>
      </c>
      <c r="Z159">
        <f t="shared" si="51"/>
        <v>10</v>
      </c>
    </row>
    <row r="160" spans="1:26">
      <c r="A160" t="str">
        <f t="shared" si="62"/>
        <v>Cajero-2027</v>
      </c>
      <c r="B160">
        <v>2027</v>
      </c>
      <c r="C160" t="s">
        <v>412</v>
      </c>
      <c r="D160" t="s">
        <v>372</v>
      </c>
      <c r="E160" t="s">
        <v>371</v>
      </c>
      <c r="F160" s="151">
        <f t="shared" si="63"/>
        <v>2</v>
      </c>
      <c r="G160" s="151">
        <f t="shared" si="63"/>
        <v>2</v>
      </c>
      <c r="H160" s="152">
        <f>HLOOKUP(A160,Datos!$D$82:$K$86,5,0)</f>
        <v>1698215.6400000004</v>
      </c>
      <c r="I160" s="152">
        <f>+HLOOKUP(A160,Datos!$D$91:$K$95,5,0)</f>
        <v>205844.23127400005</v>
      </c>
      <c r="J160" s="152">
        <f t="shared" si="45"/>
        <v>3396431.2800000007</v>
      </c>
      <c r="K160" s="152">
        <f t="shared" si="46"/>
        <v>411688.4625480001</v>
      </c>
      <c r="L160" s="152">
        <f t="shared" si="52"/>
        <v>288696.65880000009</v>
      </c>
      <c r="M160" s="152">
        <f t="shared" si="53"/>
        <v>407571.75360000005</v>
      </c>
      <c r="N160" s="152">
        <f t="shared" si="54"/>
        <v>17729.371281600004</v>
      </c>
      <c r="O160" s="152">
        <f t="shared" si="55"/>
        <v>141517.97000000003</v>
      </c>
      <c r="P160" s="152">
        <f t="shared" si="47"/>
        <v>283035.94000000006</v>
      </c>
      <c r="Q160" s="152">
        <f t="shared" si="56"/>
        <v>141517.97000000003</v>
      </c>
      <c r="R160" s="152">
        <f t="shared" si="48"/>
        <v>16982.156400000003</v>
      </c>
      <c r="S160" s="152">
        <f t="shared" si="57"/>
        <v>67928.625600000014</v>
      </c>
      <c r="T160" s="152">
        <f t="shared" si="58"/>
        <v>101892.93840000001</v>
      </c>
      <c r="U160" s="152">
        <f t="shared" si="59"/>
        <v>135857.25120000003</v>
      </c>
      <c r="V160" s="152">
        <f t="shared" si="60"/>
        <v>5410850.3778296011</v>
      </c>
      <c r="W160" s="152">
        <f>IF(OR(Y160=$AA$2,Y160=$AA$3,Y160=$AA$4),HLOOKUP(A160,Datos!$D$100:$K$104,5,0),0)*G160</f>
        <v>0</v>
      </c>
      <c r="X160" s="152">
        <f t="shared" si="49"/>
        <v>109798.42500000006</v>
      </c>
      <c r="Y160" s="152" t="str">
        <f t="shared" si="50"/>
        <v xml:space="preserve">MES 2 </v>
      </c>
      <c r="Z160">
        <f t="shared" si="51"/>
        <v>10</v>
      </c>
    </row>
    <row r="161" spans="1:26">
      <c r="A161" t="str">
        <f t="shared" si="62"/>
        <v>Aux cocina-2027</v>
      </c>
      <c r="B161">
        <v>2027</v>
      </c>
      <c r="C161" t="s">
        <v>413</v>
      </c>
      <c r="D161" t="s">
        <v>368</v>
      </c>
      <c r="E161" t="s">
        <v>369</v>
      </c>
      <c r="F161" s="151">
        <f t="shared" si="63"/>
        <v>10</v>
      </c>
      <c r="G161" s="151">
        <f t="shared" si="63"/>
        <v>10</v>
      </c>
      <c r="H161" s="152">
        <f>+HLOOKUP(A161,Datos!$D$80:$K$84,5,0)</f>
        <v>1698215.6400000004</v>
      </c>
      <c r="I161" s="152">
        <f>+HLOOKUP(A161,Datos!$D$89:$K$93,5,0)</f>
        <v>205844.23127400005</v>
      </c>
      <c r="J161" s="152">
        <f t="shared" si="45"/>
        <v>16982156.400000002</v>
      </c>
      <c r="K161" s="152">
        <f t="shared" si="46"/>
        <v>2058442.3127400004</v>
      </c>
      <c r="L161" s="152">
        <f t="shared" si="52"/>
        <v>1443483.2940000002</v>
      </c>
      <c r="M161" s="152">
        <f t="shared" si="53"/>
        <v>2037858.7680000002</v>
      </c>
      <c r="N161" s="152">
        <f t="shared" si="54"/>
        <v>88646.856408000007</v>
      </c>
      <c r="O161" s="152">
        <f t="shared" si="55"/>
        <v>707589.85000000009</v>
      </c>
      <c r="P161" s="152">
        <f t="shared" si="47"/>
        <v>1415179.7000000002</v>
      </c>
      <c r="Q161" s="152">
        <f t="shared" si="56"/>
        <v>707589.85000000009</v>
      </c>
      <c r="R161" s="152">
        <f t="shared" si="48"/>
        <v>84910.782000000007</v>
      </c>
      <c r="S161" s="152">
        <f t="shared" si="57"/>
        <v>339643.12800000003</v>
      </c>
      <c r="T161" s="152">
        <f t="shared" si="58"/>
        <v>509464.69200000004</v>
      </c>
      <c r="U161" s="152">
        <f t="shared" si="59"/>
        <v>679286.25600000005</v>
      </c>
      <c r="V161" s="152">
        <f t="shared" si="60"/>
        <v>27054251.889148008</v>
      </c>
      <c r="W161" s="152">
        <f>IF(OR(Y161=$AA$2,Y161=$AA$3,Y161=$AA$4),HLOOKUP(A161,Datos!$D$98:$K$102,5,0),0)*G161</f>
        <v>0</v>
      </c>
      <c r="X161" s="152">
        <f t="shared" si="49"/>
        <v>439193.7</v>
      </c>
      <c r="Y161" s="152" t="str">
        <f t="shared" si="50"/>
        <v xml:space="preserve">MES 3 </v>
      </c>
      <c r="Z161">
        <f t="shared" si="51"/>
        <v>10</v>
      </c>
    </row>
    <row r="162" spans="1:26">
      <c r="A162" t="str">
        <f t="shared" si="62"/>
        <v>Administrador-2027</v>
      </c>
      <c r="B162">
        <v>2027</v>
      </c>
      <c r="C162" t="s">
        <v>413</v>
      </c>
      <c r="D162" t="s">
        <v>370</v>
      </c>
      <c r="E162" t="s">
        <v>371</v>
      </c>
      <c r="F162" s="151">
        <f t="shared" si="63"/>
        <v>1</v>
      </c>
      <c r="G162" s="151">
        <f t="shared" si="63"/>
        <v>2</v>
      </c>
      <c r="H162" s="152">
        <f>+HLOOKUP(A162,Datos!$D$81:$K$85,5,0)</f>
        <v>2342366.4000000008</v>
      </c>
      <c r="I162" s="152">
        <f>+HLOOKUP(A162,Datos!$D$90:$K$94,5,0)</f>
        <v>205844.23127400005</v>
      </c>
      <c r="J162" s="152">
        <f t="shared" si="45"/>
        <v>2342366.4000000008</v>
      </c>
      <c r="K162" s="152">
        <f t="shared" si="46"/>
        <v>411688.4625480001</v>
      </c>
      <c r="L162" s="152">
        <f t="shared" si="52"/>
        <v>199101.14400000009</v>
      </c>
      <c r="M162" s="152">
        <f t="shared" si="53"/>
        <v>281083.96800000011</v>
      </c>
      <c r="N162" s="152">
        <f t="shared" si="54"/>
        <v>12227.152608000004</v>
      </c>
      <c r="O162" s="152">
        <f t="shared" si="55"/>
        <v>97598.600000000035</v>
      </c>
      <c r="P162" s="152">
        <f t="shared" si="47"/>
        <v>195197.20000000007</v>
      </c>
      <c r="Q162" s="152">
        <f t="shared" si="56"/>
        <v>97598.600000000035</v>
      </c>
      <c r="R162" s="152">
        <f t="shared" si="48"/>
        <v>11711.832000000004</v>
      </c>
      <c r="S162" s="152">
        <f t="shared" si="57"/>
        <v>46847.328000000016</v>
      </c>
      <c r="T162" s="152">
        <f t="shared" si="58"/>
        <v>70270.992000000027</v>
      </c>
      <c r="U162" s="152">
        <f t="shared" si="59"/>
        <v>93694.656000000032</v>
      </c>
      <c r="V162" s="152">
        <f t="shared" si="60"/>
        <v>3859386.3351560025</v>
      </c>
      <c r="W162" s="152">
        <f>IF(OR(Y162=$AA$2,Y162=$AA$3,Y162=$AA$4),HLOOKUP(A162,Datos!$D$99:$K$104,5,0),0)*G162</f>
        <v>0</v>
      </c>
      <c r="X162" s="152">
        <f t="shared" si="49"/>
        <v>36599.475000000013</v>
      </c>
      <c r="Y162" s="152" t="str">
        <f t="shared" si="50"/>
        <v xml:space="preserve">MES 3 </v>
      </c>
      <c r="Z162">
        <f t="shared" si="51"/>
        <v>10</v>
      </c>
    </row>
    <row r="163" spans="1:26">
      <c r="A163" t="str">
        <f t="shared" si="62"/>
        <v>Cajero-2027</v>
      </c>
      <c r="B163">
        <v>2027</v>
      </c>
      <c r="C163" t="s">
        <v>413</v>
      </c>
      <c r="D163" t="s">
        <v>372</v>
      </c>
      <c r="E163" t="s">
        <v>371</v>
      </c>
      <c r="F163" s="151">
        <f t="shared" si="63"/>
        <v>2</v>
      </c>
      <c r="G163" s="151">
        <f t="shared" si="63"/>
        <v>2</v>
      </c>
      <c r="H163" s="152">
        <f>HLOOKUP(A163,Datos!$D$82:$K$86,5,0)</f>
        <v>1698215.6400000004</v>
      </c>
      <c r="I163" s="152">
        <f>+HLOOKUP(A163,Datos!$D$91:$K$95,5,0)</f>
        <v>205844.23127400005</v>
      </c>
      <c r="J163" s="152">
        <f t="shared" si="45"/>
        <v>3396431.2800000007</v>
      </c>
      <c r="K163" s="152">
        <f t="shared" si="46"/>
        <v>411688.4625480001</v>
      </c>
      <c r="L163" s="152">
        <f t="shared" si="52"/>
        <v>288696.65880000009</v>
      </c>
      <c r="M163" s="152">
        <f t="shared" si="53"/>
        <v>407571.75360000005</v>
      </c>
      <c r="N163" s="152">
        <f t="shared" si="54"/>
        <v>17729.371281600004</v>
      </c>
      <c r="O163" s="152">
        <f t="shared" si="55"/>
        <v>141517.97000000003</v>
      </c>
      <c r="P163" s="152">
        <f t="shared" si="47"/>
        <v>283035.94000000006</v>
      </c>
      <c r="Q163" s="152">
        <f t="shared" si="56"/>
        <v>141517.97000000003</v>
      </c>
      <c r="R163" s="152">
        <f t="shared" si="48"/>
        <v>16982.156400000003</v>
      </c>
      <c r="S163" s="152">
        <f t="shared" si="57"/>
        <v>67928.625600000014</v>
      </c>
      <c r="T163" s="152">
        <f t="shared" si="58"/>
        <v>101892.93840000001</v>
      </c>
      <c r="U163" s="152">
        <f t="shared" si="59"/>
        <v>135857.25120000003</v>
      </c>
      <c r="V163" s="152">
        <f t="shared" si="60"/>
        <v>5410850.3778296011</v>
      </c>
      <c r="W163" s="152">
        <f>IF(OR(Y163=$AA$2,Y163=$AA$3,Y163=$AA$4),HLOOKUP(A163,Datos!$D$100:$K$104,5,0),0)*G163</f>
        <v>0</v>
      </c>
      <c r="X163" s="152">
        <f t="shared" si="49"/>
        <v>109798.42500000006</v>
      </c>
      <c r="Y163" s="152" t="str">
        <f t="shared" si="50"/>
        <v xml:space="preserve">MES 3 </v>
      </c>
      <c r="Z163">
        <f t="shared" si="51"/>
        <v>10</v>
      </c>
    </row>
    <row r="164" spans="1:26">
      <c r="A164" t="str">
        <f t="shared" si="62"/>
        <v>Aux cocina-2027</v>
      </c>
      <c r="B164">
        <v>2027</v>
      </c>
      <c r="C164" t="s">
        <v>414</v>
      </c>
      <c r="D164" t="s">
        <v>368</v>
      </c>
      <c r="E164" t="s">
        <v>369</v>
      </c>
      <c r="F164" s="151">
        <f t="shared" si="63"/>
        <v>10</v>
      </c>
      <c r="G164" s="151">
        <f t="shared" si="63"/>
        <v>10</v>
      </c>
      <c r="H164" s="152">
        <f>+HLOOKUP(A164,Datos!$D$80:$K$84,5,0)</f>
        <v>1698215.6400000004</v>
      </c>
      <c r="I164" s="152">
        <f>+HLOOKUP(A164,Datos!$D$89:$K$93,5,0)</f>
        <v>205844.23127400005</v>
      </c>
      <c r="J164" s="152">
        <f t="shared" si="45"/>
        <v>16982156.400000002</v>
      </c>
      <c r="K164" s="152">
        <f t="shared" si="46"/>
        <v>2058442.3127400004</v>
      </c>
      <c r="L164" s="152">
        <f t="shared" si="52"/>
        <v>1443483.2940000002</v>
      </c>
      <c r="M164" s="152">
        <f t="shared" si="53"/>
        <v>2037858.7680000002</v>
      </c>
      <c r="N164" s="152">
        <f t="shared" si="54"/>
        <v>88646.856408000007</v>
      </c>
      <c r="O164" s="152">
        <f t="shared" si="55"/>
        <v>707589.85000000009</v>
      </c>
      <c r="P164" s="152">
        <f t="shared" si="47"/>
        <v>1415179.7000000002</v>
      </c>
      <c r="Q164" s="152">
        <f t="shared" si="56"/>
        <v>707589.85000000009</v>
      </c>
      <c r="R164" s="152">
        <f t="shared" si="48"/>
        <v>84910.782000000007</v>
      </c>
      <c r="S164" s="152">
        <f t="shared" si="57"/>
        <v>339643.12800000003</v>
      </c>
      <c r="T164" s="152">
        <f t="shared" si="58"/>
        <v>509464.69200000004</v>
      </c>
      <c r="U164" s="152">
        <f t="shared" si="59"/>
        <v>679286.25600000005</v>
      </c>
      <c r="V164" s="152">
        <f t="shared" si="60"/>
        <v>27054251.889148008</v>
      </c>
      <c r="W164" s="152">
        <f>IF(OR(Y164=$AA$2,Y164=$AA$3,Y164=$AA$4),HLOOKUP(A164,Datos!$D$98:$K$102,5,0),0)*G164</f>
        <v>1756774.8000000003</v>
      </c>
      <c r="X164" s="152">
        <f t="shared" si="49"/>
        <v>439193.7</v>
      </c>
      <c r="Y164" s="152" t="str">
        <f t="shared" si="50"/>
        <v xml:space="preserve">MES 4 </v>
      </c>
      <c r="Z164">
        <f t="shared" si="51"/>
        <v>10</v>
      </c>
    </row>
    <row r="165" spans="1:26">
      <c r="A165" t="str">
        <f t="shared" si="62"/>
        <v>Administrador-2027</v>
      </c>
      <c r="B165">
        <v>2027</v>
      </c>
      <c r="C165" t="s">
        <v>414</v>
      </c>
      <c r="D165" t="s">
        <v>370</v>
      </c>
      <c r="E165" t="s">
        <v>371</v>
      </c>
      <c r="F165" s="151">
        <f t="shared" si="63"/>
        <v>1</v>
      </c>
      <c r="G165" s="151">
        <f t="shared" si="63"/>
        <v>2</v>
      </c>
      <c r="H165" s="152">
        <f>+HLOOKUP(A165,Datos!$D$81:$K$85,5,0)</f>
        <v>2342366.4000000008</v>
      </c>
      <c r="I165" s="152">
        <f>+HLOOKUP(A165,Datos!$D$90:$K$94,5,0)</f>
        <v>205844.23127400005</v>
      </c>
      <c r="J165" s="152">
        <f t="shared" si="45"/>
        <v>2342366.4000000008</v>
      </c>
      <c r="K165" s="152">
        <f t="shared" si="46"/>
        <v>411688.4625480001</v>
      </c>
      <c r="L165" s="152">
        <f t="shared" si="52"/>
        <v>199101.14400000009</v>
      </c>
      <c r="M165" s="152">
        <f t="shared" si="53"/>
        <v>281083.96800000011</v>
      </c>
      <c r="N165" s="152">
        <f t="shared" si="54"/>
        <v>12227.152608000004</v>
      </c>
      <c r="O165" s="152">
        <f t="shared" si="55"/>
        <v>97598.600000000035</v>
      </c>
      <c r="P165" s="152">
        <f t="shared" si="47"/>
        <v>195197.20000000007</v>
      </c>
      <c r="Q165" s="152">
        <f t="shared" si="56"/>
        <v>97598.600000000035</v>
      </c>
      <c r="R165" s="152">
        <f t="shared" si="48"/>
        <v>11711.832000000004</v>
      </c>
      <c r="S165" s="152">
        <f t="shared" si="57"/>
        <v>46847.328000000016</v>
      </c>
      <c r="T165" s="152">
        <f t="shared" si="58"/>
        <v>70270.992000000027</v>
      </c>
      <c r="U165" s="152">
        <f t="shared" si="59"/>
        <v>93694.656000000032</v>
      </c>
      <c r="V165" s="152">
        <f t="shared" si="60"/>
        <v>3859386.3351560025</v>
      </c>
      <c r="W165" s="152">
        <f>IF(OR(Y165=$AA$2,Y165=$AA$3,Y165=$AA$4),HLOOKUP(A165,Datos!$D$99:$K$104,5,0),0)*G165</f>
        <v>146397.90000000005</v>
      </c>
      <c r="X165" s="152">
        <f t="shared" si="49"/>
        <v>36599.475000000013</v>
      </c>
      <c r="Y165" s="152" t="str">
        <f t="shared" si="50"/>
        <v xml:space="preserve">MES 4 </v>
      </c>
      <c r="Z165">
        <f t="shared" si="51"/>
        <v>10</v>
      </c>
    </row>
    <row r="166" spans="1:26">
      <c r="A166" t="str">
        <f t="shared" si="62"/>
        <v>Cajero-2027</v>
      </c>
      <c r="B166">
        <v>2027</v>
      </c>
      <c r="C166" t="s">
        <v>414</v>
      </c>
      <c r="D166" t="s">
        <v>372</v>
      </c>
      <c r="E166" t="s">
        <v>371</v>
      </c>
      <c r="F166" s="151">
        <f t="shared" si="63"/>
        <v>2</v>
      </c>
      <c r="G166" s="151">
        <f t="shared" si="63"/>
        <v>2</v>
      </c>
      <c r="H166" s="152">
        <f>HLOOKUP(A166,Datos!$D$82:$K$86,5,0)</f>
        <v>1698215.6400000004</v>
      </c>
      <c r="I166" s="152">
        <f>+HLOOKUP(A166,Datos!$D$91:$K$95,5,0)</f>
        <v>205844.23127400005</v>
      </c>
      <c r="J166" s="152">
        <f t="shared" si="45"/>
        <v>3396431.2800000007</v>
      </c>
      <c r="K166" s="152">
        <f t="shared" si="46"/>
        <v>411688.4625480001</v>
      </c>
      <c r="L166" s="152">
        <f t="shared" si="52"/>
        <v>288696.65880000009</v>
      </c>
      <c r="M166" s="152">
        <f t="shared" si="53"/>
        <v>407571.75360000005</v>
      </c>
      <c r="N166" s="152">
        <f t="shared" si="54"/>
        <v>17729.371281600004</v>
      </c>
      <c r="O166" s="152">
        <f t="shared" si="55"/>
        <v>141517.97000000003</v>
      </c>
      <c r="P166" s="152">
        <f t="shared" si="47"/>
        <v>283035.94000000006</v>
      </c>
      <c r="Q166" s="152">
        <f t="shared" si="56"/>
        <v>141517.97000000003</v>
      </c>
      <c r="R166" s="152">
        <f t="shared" si="48"/>
        <v>16982.156400000003</v>
      </c>
      <c r="S166" s="152">
        <f t="shared" si="57"/>
        <v>67928.625600000014</v>
      </c>
      <c r="T166" s="152">
        <f t="shared" si="58"/>
        <v>101892.93840000001</v>
      </c>
      <c r="U166" s="152">
        <f t="shared" si="59"/>
        <v>135857.25120000003</v>
      </c>
      <c r="V166" s="152">
        <f t="shared" si="60"/>
        <v>5410850.3778296011</v>
      </c>
      <c r="W166" s="152">
        <f>IF(OR(Y166=$AA$2,Y166=$AA$3,Y166=$AA$4),HLOOKUP(A166,Datos!$D$100:$K$104,5,0),0)*G166</f>
        <v>439193.70000000024</v>
      </c>
      <c r="X166" s="152">
        <f t="shared" si="49"/>
        <v>109798.42500000006</v>
      </c>
      <c r="Y166" s="152" t="str">
        <f t="shared" si="50"/>
        <v xml:space="preserve">MES 4 </v>
      </c>
      <c r="Z166">
        <f t="shared" si="51"/>
        <v>10</v>
      </c>
    </row>
    <row r="167" spans="1:26">
      <c r="A167" t="str">
        <f t="shared" si="62"/>
        <v>Aux cocina-2027</v>
      </c>
      <c r="B167">
        <v>2027</v>
      </c>
      <c r="C167" t="s">
        <v>415</v>
      </c>
      <c r="D167" t="s">
        <v>368</v>
      </c>
      <c r="E167" t="s">
        <v>369</v>
      </c>
      <c r="F167" s="151">
        <f t="shared" ref="F167:G186" si="64">+F164</f>
        <v>10</v>
      </c>
      <c r="G167" s="151">
        <f t="shared" si="64"/>
        <v>10</v>
      </c>
      <c r="H167" s="152">
        <f>+HLOOKUP(A167,Datos!$D$80:$K$84,5,0)</f>
        <v>1698215.6400000004</v>
      </c>
      <c r="I167" s="152">
        <f>+HLOOKUP(A167,Datos!$D$89:$K$93,5,0)</f>
        <v>205844.23127400005</v>
      </c>
      <c r="J167" s="152">
        <f t="shared" si="45"/>
        <v>16982156.400000002</v>
      </c>
      <c r="K167" s="152">
        <f t="shared" si="46"/>
        <v>2058442.3127400004</v>
      </c>
      <c r="L167" s="152">
        <f t="shared" si="52"/>
        <v>1443483.2940000002</v>
      </c>
      <c r="M167" s="152">
        <f t="shared" si="53"/>
        <v>2037858.7680000002</v>
      </c>
      <c r="N167" s="152">
        <f t="shared" si="54"/>
        <v>88646.856408000007</v>
      </c>
      <c r="O167" s="152">
        <f t="shared" si="55"/>
        <v>707589.85000000009</v>
      </c>
      <c r="P167" s="152">
        <f t="shared" si="47"/>
        <v>1415179.7000000002</v>
      </c>
      <c r="Q167" s="152">
        <f t="shared" si="56"/>
        <v>707589.85000000009</v>
      </c>
      <c r="R167" s="152">
        <f t="shared" si="48"/>
        <v>84910.782000000007</v>
      </c>
      <c r="S167" s="152">
        <f t="shared" si="57"/>
        <v>339643.12800000003</v>
      </c>
      <c r="T167" s="152">
        <f t="shared" si="58"/>
        <v>509464.69200000004</v>
      </c>
      <c r="U167" s="152">
        <f t="shared" si="59"/>
        <v>679286.25600000005</v>
      </c>
      <c r="V167" s="152">
        <f t="shared" si="60"/>
        <v>27054251.889148008</v>
      </c>
      <c r="W167" s="152">
        <f>IF(OR(Y167=$AA$2,Y167=$AA$3,Y167=$AA$4),HLOOKUP(A167,Datos!$D$98:$K$102,5,0),0)*G167</f>
        <v>0</v>
      </c>
      <c r="X167" s="152">
        <f t="shared" si="49"/>
        <v>439193.7</v>
      </c>
      <c r="Y167" s="152" t="str">
        <f t="shared" si="50"/>
        <v xml:space="preserve">MES 5 </v>
      </c>
      <c r="Z167">
        <f t="shared" si="51"/>
        <v>10</v>
      </c>
    </row>
    <row r="168" spans="1:26">
      <c r="A168" t="str">
        <f t="shared" si="62"/>
        <v>Administrador-2027</v>
      </c>
      <c r="B168">
        <v>2027</v>
      </c>
      <c r="C168" t="s">
        <v>415</v>
      </c>
      <c r="D168" t="s">
        <v>370</v>
      </c>
      <c r="E168" t="s">
        <v>371</v>
      </c>
      <c r="F168" s="151">
        <f t="shared" si="64"/>
        <v>1</v>
      </c>
      <c r="G168" s="151">
        <f t="shared" si="64"/>
        <v>2</v>
      </c>
      <c r="H168" s="152">
        <f>+HLOOKUP(A168,Datos!$D$81:$K$85,5,0)</f>
        <v>2342366.4000000008</v>
      </c>
      <c r="I168" s="152">
        <f>+HLOOKUP(A168,Datos!$D$90:$K$94,5,0)</f>
        <v>205844.23127400005</v>
      </c>
      <c r="J168" s="152">
        <f t="shared" si="45"/>
        <v>2342366.4000000008</v>
      </c>
      <c r="K168" s="152">
        <f t="shared" si="46"/>
        <v>411688.4625480001</v>
      </c>
      <c r="L168" s="152">
        <f t="shared" si="52"/>
        <v>199101.14400000009</v>
      </c>
      <c r="M168" s="152">
        <f t="shared" si="53"/>
        <v>281083.96800000011</v>
      </c>
      <c r="N168" s="152">
        <f t="shared" si="54"/>
        <v>12227.152608000004</v>
      </c>
      <c r="O168" s="152">
        <f t="shared" si="55"/>
        <v>97598.600000000035</v>
      </c>
      <c r="P168" s="152">
        <f t="shared" si="47"/>
        <v>195197.20000000007</v>
      </c>
      <c r="Q168" s="152">
        <f t="shared" si="56"/>
        <v>97598.600000000035</v>
      </c>
      <c r="R168" s="152">
        <f t="shared" si="48"/>
        <v>11711.832000000004</v>
      </c>
      <c r="S168" s="152">
        <f t="shared" si="57"/>
        <v>46847.328000000016</v>
      </c>
      <c r="T168" s="152">
        <f t="shared" si="58"/>
        <v>70270.992000000027</v>
      </c>
      <c r="U168" s="152">
        <f t="shared" si="59"/>
        <v>93694.656000000032</v>
      </c>
      <c r="V168" s="152">
        <f t="shared" si="60"/>
        <v>3859386.3351560025</v>
      </c>
      <c r="W168" s="152">
        <f>IF(OR(Y168=$AA$2,Y168=$AA$3,Y168=$AA$4),HLOOKUP(A168,Datos!$D$99:$K$104,5,0),0)*G168</f>
        <v>0</v>
      </c>
      <c r="X168" s="152">
        <f t="shared" si="49"/>
        <v>36599.475000000013</v>
      </c>
      <c r="Y168" s="152" t="str">
        <f t="shared" si="50"/>
        <v xml:space="preserve">MES 5 </v>
      </c>
      <c r="Z168">
        <f t="shared" si="51"/>
        <v>10</v>
      </c>
    </row>
    <row r="169" spans="1:26">
      <c r="A169" t="str">
        <f t="shared" si="62"/>
        <v>Cajero-2027</v>
      </c>
      <c r="B169">
        <v>2027</v>
      </c>
      <c r="C169" t="s">
        <v>415</v>
      </c>
      <c r="D169" t="s">
        <v>372</v>
      </c>
      <c r="E169" t="s">
        <v>371</v>
      </c>
      <c r="F169" s="151">
        <f t="shared" si="64"/>
        <v>2</v>
      </c>
      <c r="G169" s="151">
        <f t="shared" si="64"/>
        <v>2</v>
      </c>
      <c r="H169" s="152">
        <f>HLOOKUP(A169,Datos!$D$82:$K$86,5,0)</f>
        <v>1698215.6400000004</v>
      </c>
      <c r="I169" s="152">
        <f>+HLOOKUP(A169,Datos!$D$91:$K$95,5,0)</f>
        <v>205844.23127400005</v>
      </c>
      <c r="J169" s="152">
        <f t="shared" si="45"/>
        <v>3396431.2800000007</v>
      </c>
      <c r="K169" s="152">
        <f t="shared" si="46"/>
        <v>411688.4625480001</v>
      </c>
      <c r="L169" s="152">
        <f t="shared" si="52"/>
        <v>288696.65880000009</v>
      </c>
      <c r="M169" s="152">
        <f t="shared" si="53"/>
        <v>407571.75360000005</v>
      </c>
      <c r="N169" s="152">
        <f t="shared" si="54"/>
        <v>17729.371281600004</v>
      </c>
      <c r="O169" s="152">
        <f t="shared" si="55"/>
        <v>141517.97000000003</v>
      </c>
      <c r="P169" s="152">
        <f t="shared" si="47"/>
        <v>283035.94000000006</v>
      </c>
      <c r="Q169" s="152">
        <f t="shared" si="56"/>
        <v>141517.97000000003</v>
      </c>
      <c r="R169" s="152">
        <f t="shared" si="48"/>
        <v>16982.156400000003</v>
      </c>
      <c r="S169" s="152">
        <f t="shared" si="57"/>
        <v>67928.625600000014</v>
      </c>
      <c r="T169" s="152">
        <f t="shared" si="58"/>
        <v>101892.93840000001</v>
      </c>
      <c r="U169" s="152">
        <f t="shared" si="59"/>
        <v>135857.25120000003</v>
      </c>
      <c r="V169" s="152">
        <f t="shared" si="60"/>
        <v>5410850.3778296011</v>
      </c>
      <c r="W169" s="152">
        <f>IF(OR(Y169=$AA$2,Y169=$AA$3,Y169=$AA$4),HLOOKUP(A169,Datos!$D$100:$K$104,5,0),0)*G169</f>
        <v>0</v>
      </c>
      <c r="X169" s="152">
        <f t="shared" si="49"/>
        <v>109798.42500000006</v>
      </c>
      <c r="Y169" s="152" t="str">
        <f t="shared" si="50"/>
        <v xml:space="preserve">MES 5 </v>
      </c>
      <c r="Z169">
        <f t="shared" si="51"/>
        <v>10</v>
      </c>
    </row>
    <row r="170" spans="1:26">
      <c r="A170" t="str">
        <f t="shared" si="62"/>
        <v>Aux cocina-2027</v>
      </c>
      <c r="B170">
        <v>2027</v>
      </c>
      <c r="C170" t="s">
        <v>416</v>
      </c>
      <c r="D170" t="s">
        <v>368</v>
      </c>
      <c r="E170" t="s">
        <v>369</v>
      </c>
      <c r="F170" s="151">
        <f t="shared" si="64"/>
        <v>10</v>
      </c>
      <c r="G170" s="151">
        <f t="shared" si="64"/>
        <v>10</v>
      </c>
      <c r="H170" s="152">
        <f>+HLOOKUP(A170,Datos!$D$80:$K$84,5,0)</f>
        <v>1698215.6400000004</v>
      </c>
      <c r="I170" s="152">
        <f>+HLOOKUP(A170,Datos!$D$89:$K$93,5,0)</f>
        <v>205844.23127400005</v>
      </c>
      <c r="J170" s="152">
        <f t="shared" si="45"/>
        <v>16982156.400000002</v>
      </c>
      <c r="K170" s="152">
        <f t="shared" si="46"/>
        <v>2058442.3127400004</v>
      </c>
      <c r="L170" s="152">
        <f t="shared" si="52"/>
        <v>1443483.2940000002</v>
      </c>
      <c r="M170" s="152">
        <f t="shared" si="53"/>
        <v>2037858.7680000002</v>
      </c>
      <c r="N170" s="152">
        <f t="shared" si="54"/>
        <v>88646.856408000007</v>
      </c>
      <c r="O170" s="152">
        <f t="shared" si="55"/>
        <v>707589.85000000009</v>
      </c>
      <c r="P170" s="152">
        <f t="shared" si="47"/>
        <v>1415179.7000000002</v>
      </c>
      <c r="Q170" s="152">
        <f t="shared" si="56"/>
        <v>707589.85000000009</v>
      </c>
      <c r="R170" s="152">
        <f t="shared" si="48"/>
        <v>84910.782000000007</v>
      </c>
      <c r="S170" s="152">
        <f t="shared" si="57"/>
        <v>339643.12800000003</v>
      </c>
      <c r="T170" s="152">
        <f t="shared" si="58"/>
        <v>509464.69200000004</v>
      </c>
      <c r="U170" s="152">
        <f t="shared" si="59"/>
        <v>679286.25600000005</v>
      </c>
      <c r="V170" s="152">
        <f t="shared" si="60"/>
        <v>27054251.889148008</v>
      </c>
      <c r="W170" s="152">
        <f>IF(OR(Y170=$AA$2,Y170=$AA$3,Y170=$AA$4),HLOOKUP(A170,Datos!$D$98:$K$102,5,0),0)*G170</f>
        <v>0</v>
      </c>
      <c r="X170" s="152">
        <f t="shared" si="49"/>
        <v>439193.7</v>
      </c>
      <c r="Y170" s="152" t="str">
        <f t="shared" si="50"/>
        <v xml:space="preserve">MES 6 </v>
      </c>
      <c r="Z170">
        <f t="shared" si="51"/>
        <v>10</v>
      </c>
    </row>
    <row r="171" spans="1:26">
      <c r="A171" t="str">
        <f t="shared" si="62"/>
        <v>Administrador-2027</v>
      </c>
      <c r="B171">
        <v>2027</v>
      </c>
      <c r="C171" t="s">
        <v>416</v>
      </c>
      <c r="D171" t="s">
        <v>370</v>
      </c>
      <c r="E171" t="s">
        <v>371</v>
      </c>
      <c r="F171" s="151">
        <f t="shared" si="64"/>
        <v>1</v>
      </c>
      <c r="G171" s="151">
        <f t="shared" si="64"/>
        <v>2</v>
      </c>
      <c r="H171" s="152">
        <f>+HLOOKUP(A171,Datos!$D$81:$K$85,5,0)</f>
        <v>2342366.4000000008</v>
      </c>
      <c r="I171" s="152">
        <f>+HLOOKUP(A171,Datos!$D$90:$K$94,5,0)</f>
        <v>205844.23127400005</v>
      </c>
      <c r="J171" s="152">
        <f t="shared" si="45"/>
        <v>2342366.4000000008</v>
      </c>
      <c r="K171" s="152">
        <f t="shared" si="46"/>
        <v>411688.4625480001</v>
      </c>
      <c r="L171" s="152">
        <f t="shared" si="52"/>
        <v>199101.14400000009</v>
      </c>
      <c r="M171" s="152">
        <f t="shared" si="53"/>
        <v>281083.96800000011</v>
      </c>
      <c r="N171" s="152">
        <f t="shared" si="54"/>
        <v>12227.152608000004</v>
      </c>
      <c r="O171" s="152">
        <f t="shared" si="55"/>
        <v>97598.600000000035</v>
      </c>
      <c r="P171" s="152">
        <f t="shared" si="47"/>
        <v>195197.20000000007</v>
      </c>
      <c r="Q171" s="152">
        <f t="shared" si="56"/>
        <v>97598.600000000035</v>
      </c>
      <c r="R171" s="152">
        <f t="shared" si="48"/>
        <v>11711.832000000004</v>
      </c>
      <c r="S171" s="152">
        <f t="shared" si="57"/>
        <v>46847.328000000016</v>
      </c>
      <c r="T171" s="152">
        <f t="shared" si="58"/>
        <v>70270.992000000027</v>
      </c>
      <c r="U171" s="152">
        <f t="shared" si="59"/>
        <v>93694.656000000032</v>
      </c>
      <c r="V171" s="152">
        <f t="shared" si="60"/>
        <v>3859386.3351560025</v>
      </c>
      <c r="W171" s="152">
        <f>IF(OR(Y171=$AA$2,Y171=$AA$3,Y171=$AA$4),HLOOKUP(A171,Datos!$D$99:$K$104,5,0),0)*G171</f>
        <v>0</v>
      </c>
      <c r="X171" s="152">
        <f t="shared" si="49"/>
        <v>36599.475000000013</v>
      </c>
      <c r="Y171" s="152" t="str">
        <f t="shared" si="50"/>
        <v xml:space="preserve">MES 6 </v>
      </c>
      <c r="Z171">
        <f t="shared" si="51"/>
        <v>10</v>
      </c>
    </row>
    <row r="172" spans="1:26">
      <c r="A172" t="str">
        <f t="shared" si="62"/>
        <v>Cajero-2027</v>
      </c>
      <c r="B172">
        <v>2027</v>
      </c>
      <c r="C172" t="s">
        <v>416</v>
      </c>
      <c r="D172" t="s">
        <v>372</v>
      </c>
      <c r="E172" t="s">
        <v>371</v>
      </c>
      <c r="F172" s="151">
        <f t="shared" si="64"/>
        <v>2</v>
      </c>
      <c r="G172" s="151">
        <f t="shared" si="64"/>
        <v>2</v>
      </c>
      <c r="H172" s="152">
        <f>HLOOKUP(A172,Datos!$D$82:$K$86,5,0)</f>
        <v>1698215.6400000004</v>
      </c>
      <c r="I172" s="152">
        <f>+HLOOKUP(A172,Datos!$D$91:$K$95,5,0)</f>
        <v>205844.23127400005</v>
      </c>
      <c r="J172" s="152">
        <f t="shared" si="45"/>
        <v>3396431.2800000007</v>
      </c>
      <c r="K172" s="152">
        <f t="shared" si="46"/>
        <v>411688.4625480001</v>
      </c>
      <c r="L172" s="152">
        <f t="shared" si="52"/>
        <v>288696.65880000009</v>
      </c>
      <c r="M172" s="152">
        <f t="shared" si="53"/>
        <v>407571.75360000005</v>
      </c>
      <c r="N172" s="152">
        <f t="shared" si="54"/>
        <v>17729.371281600004</v>
      </c>
      <c r="O172" s="152">
        <f t="shared" si="55"/>
        <v>141517.97000000003</v>
      </c>
      <c r="P172" s="152">
        <f t="shared" si="47"/>
        <v>283035.94000000006</v>
      </c>
      <c r="Q172" s="152">
        <f t="shared" si="56"/>
        <v>141517.97000000003</v>
      </c>
      <c r="R172" s="152">
        <f t="shared" si="48"/>
        <v>16982.156400000003</v>
      </c>
      <c r="S172" s="152">
        <f t="shared" si="57"/>
        <v>67928.625600000014</v>
      </c>
      <c r="T172" s="152">
        <f t="shared" si="58"/>
        <v>101892.93840000001</v>
      </c>
      <c r="U172" s="152">
        <f t="shared" si="59"/>
        <v>135857.25120000003</v>
      </c>
      <c r="V172" s="152">
        <f t="shared" si="60"/>
        <v>5410850.3778296011</v>
      </c>
      <c r="W172" s="152">
        <f>IF(OR(Y172=$AA$2,Y172=$AA$3,Y172=$AA$4),HLOOKUP(A172,Datos!$D$100:$K$104,5,0),0)*G172</f>
        <v>0</v>
      </c>
      <c r="X172" s="152">
        <f t="shared" si="49"/>
        <v>109798.42500000006</v>
      </c>
      <c r="Y172" s="152" t="str">
        <f t="shared" si="50"/>
        <v xml:space="preserve">MES 6 </v>
      </c>
      <c r="Z172">
        <f t="shared" si="51"/>
        <v>10</v>
      </c>
    </row>
    <row r="173" spans="1:26">
      <c r="A173" t="str">
        <f t="shared" si="62"/>
        <v>Aux cocina-2027</v>
      </c>
      <c r="B173">
        <v>2027</v>
      </c>
      <c r="C173" t="s">
        <v>417</v>
      </c>
      <c r="D173" t="s">
        <v>368</v>
      </c>
      <c r="E173" t="s">
        <v>369</v>
      </c>
      <c r="F173" s="151">
        <f t="shared" si="64"/>
        <v>10</v>
      </c>
      <c r="G173" s="151">
        <f t="shared" si="64"/>
        <v>10</v>
      </c>
      <c r="H173" s="152">
        <f>+HLOOKUP(A173,Datos!$D$80:$K$84,5,0)</f>
        <v>1698215.6400000004</v>
      </c>
      <c r="I173" s="152">
        <f>+HLOOKUP(A173,Datos!$D$89:$K$93,5,0)</f>
        <v>205844.23127400005</v>
      </c>
      <c r="J173" s="152">
        <f t="shared" si="45"/>
        <v>16982156.400000002</v>
      </c>
      <c r="K173" s="152">
        <f t="shared" si="46"/>
        <v>2058442.3127400004</v>
      </c>
      <c r="L173" s="152">
        <f t="shared" si="52"/>
        <v>1443483.2940000002</v>
      </c>
      <c r="M173" s="152">
        <f t="shared" si="53"/>
        <v>2037858.7680000002</v>
      </c>
      <c r="N173" s="152">
        <f t="shared" si="54"/>
        <v>88646.856408000007</v>
      </c>
      <c r="O173" s="152">
        <f t="shared" si="55"/>
        <v>707589.85000000009</v>
      </c>
      <c r="P173" s="152">
        <f t="shared" si="47"/>
        <v>1415179.7000000002</v>
      </c>
      <c r="Q173" s="152">
        <f t="shared" si="56"/>
        <v>707589.85000000009</v>
      </c>
      <c r="R173" s="152">
        <f t="shared" si="48"/>
        <v>84910.782000000007</v>
      </c>
      <c r="S173" s="152">
        <f t="shared" si="57"/>
        <v>339643.12800000003</v>
      </c>
      <c r="T173" s="152">
        <f t="shared" si="58"/>
        <v>509464.69200000004</v>
      </c>
      <c r="U173" s="152">
        <f t="shared" si="59"/>
        <v>679286.25600000005</v>
      </c>
      <c r="V173" s="152">
        <f t="shared" si="60"/>
        <v>27054251.889148008</v>
      </c>
      <c r="W173" s="152">
        <f>IF(OR(Y173=$AA$2,Y173=$AA$3,Y173=$AA$4),HLOOKUP(A173,Datos!$D$98:$K$102,5,0),0)*G173</f>
        <v>0</v>
      </c>
      <c r="X173" s="152">
        <f t="shared" si="49"/>
        <v>439193.7</v>
      </c>
      <c r="Y173" s="152" t="str">
        <f t="shared" si="50"/>
        <v xml:space="preserve">MES 7 </v>
      </c>
      <c r="Z173">
        <f t="shared" si="51"/>
        <v>10</v>
      </c>
    </row>
    <row r="174" spans="1:26">
      <c r="A174" t="str">
        <f t="shared" si="62"/>
        <v>Administrador-2027</v>
      </c>
      <c r="B174">
        <v>2027</v>
      </c>
      <c r="C174" t="s">
        <v>417</v>
      </c>
      <c r="D174" t="s">
        <v>370</v>
      </c>
      <c r="E174" t="s">
        <v>371</v>
      </c>
      <c r="F174" s="151">
        <f t="shared" si="64"/>
        <v>1</v>
      </c>
      <c r="G174" s="151">
        <f t="shared" si="64"/>
        <v>2</v>
      </c>
      <c r="H174" s="152">
        <f>+HLOOKUP(A174,Datos!$D$81:$K$85,5,0)</f>
        <v>2342366.4000000008</v>
      </c>
      <c r="I174" s="152">
        <f>+HLOOKUP(A174,Datos!$D$90:$K$94,5,0)</f>
        <v>205844.23127400005</v>
      </c>
      <c r="J174" s="152">
        <f t="shared" si="45"/>
        <v>2342366.4000000008</v>
      </c>
      <c r="K174" s="152">
        <f t="shared" si="46"/>
        <v>411688.4625480001</v>
      </c>
      <c r="L174" s="152">
        <f t="shared" si="52"/>
        <v>199101.14400000009</v>
      </c>
      <c r="M174" s="152">
        <f t="shared" si="53"/>
        <v>281083.96800000011</v>
      </c>
      <c r="N174" s="152">
        <f t="shared" si="54"/>
        <v>12227.152608000004</v>
      </c>
      <c r="O174" s="152">
        <f t="shared" si="55"/>
        <v>97598.600000000035</v>
      </c>
      <c r="P174" s="152">
        <f t="shared" si="47"/>
        <v>195197.20000000007</v>
      </c>
      <c r="Q174" s="152">
        <f t="shared" si="56"/>
        <v>97598.600000000035</v>
      </c>
      <c r="R174" s="152">
        <f t="shared" si="48"/>
        <v>11711.832000000004</v>
      </c>
      <c r="S174" s="152">
        <f t="shared" si="57"/>
        <v>46847.328000000016</v>
      </c>
      <c r="T174" s="152">
        <f t="shared" si="58"/>
        <v>70270.992000000027</v>
      </c>
      <c r="U174" s="152">
        <f t="shared" si="59"/>
        <v>93694.656000000032</v>
      </c>
      <c r="V174" s="152">
        <f t="shared" si="60"/>
        <v>3859386.3351560025</v>
      </c>
      <c r="W174" s="152">
        <f>IF(OR(Y174=$AA$2,Y174=$AA$3,Y174=$AA$4),HLOOKUP(A174,Datos!$D$99:$K$104,5,0),0)*G174</f>
        <v>0</v>
      </c>
      <c r="X174" s="152">
        <f t="shared" si="49"/>
        <v>36599.475000000013</v>
      </c>
      <c r="Y174" s="152" t="str">
        <f t="shared" si="50"/>
        <v xml:space="preserve">MES 7 </v>
      </c>
      <c r="Z174">
        <f t="shared" si="51"/>
        <v>10</v>
      </c>
    </row>
    <row r="175" spans="1:26">
      <c r="A175" t="str">
        <f t="shared" si="62"/>
        <v>Cajero-2027</v>
      </c>
      <c r="B175">
        <v>2027</v>
      </c>
      <c r="C175" t="s">
        <v>417</v>
      </c>
      <c r="D175" t="s">
        <v>372</v>
      </c>
      <c r="E175" t="s">
        <v>371</v>
      </c>
      <c r="F175" s="151">
        <f t="shared" si="64"/>
        <v>2</v>
      </c>
      <c r="G175" s="151">
        <f t="shared" si="64"/>
        <v>2</v>
      </c>
      <c r="H175" s="152">
        <f>HLOOKUP(A175,Datos!$D$82:$K$86,5,0)</f>
        <v>1698215.6400000004</v>
      </c>
      <c r="I175" s="152">
        <f>+HLOOKUP(A175,Datos!$D$91:$K$95,5,0)</f>
        <v>205844.23127400005</v>
      </c>
      <c r="J175" s="152">
        <f t="shared" si="45"/>
        <v>3396431.2800000007</v>
      </c>
      <c r="K175" s="152">
        <f t="shared" si="46"/>
        <v>411688.4625480001</v>
      </c>
      <c r="L175" s="152">
        <f t="shared" si="52"/>
        <v>288696.65880000009</v>
      </c>
      <c r="M175" s="152">
        <f t="shared" si="53"/>
        <v>407571.75360000005</v>
      </c>
      <c r="N175" s="152">
        <f t="shared" si="54"/>
        <v>17729.371281600004</v>
      </c>
      <c r="O175" s="152">
        <f t="shared" si="55"/>
        <v>141517.97000000003</v>
      </c>
      <c r="P175" s="152">
        <f t="shared" si="47"/>
        <v>283035.94000000006</v>
      </c>
      <c r="Q175" s="152">
        <f t="shared" si="56"/>
        <v>141517.97000000003</v>
      </c>
      <c r="R175" s="152">
        <f t="shared" si="48"/>
        <v>16982.156400000003</v>
      </c>
      <c r="S175" s="152">
        <f t="shared" si="57"/>
        <v>67928.625600000014</v>
      </c>
      <c r="T175" s="152">
        <f t="shared" si="58"/>
        <v>101892.93840000001</v>
      </c>
      <c r="U175" s="152">
        <f t="shared" si="59"/>
        <v>135857.25120000003</v>
      </c>
      <c r="V175" s="152">
        <f t="shared" si="60"/>
        <v>5410850.3778296011</v>
      </c>
      <c r="W175" s="152">
        <f>IF(OR(Y175=$AA$2,Y175=$AA$3,Y175=$AA$4),HLOOKUP(A175,Datos!$D$100:$K$104,5,0),0)*G175</f>
        <v>0</v>
      </c>
      <c r="X175" s="152">
        <f t="shared" si="49"/>
        <v>109798.42500000006</v>
      </c>
      <c r="Y175" s="152" t="str">
        <f t="shared" si="50"/>
        <v xml:space="preserve">MES 7 </v>
      </c>
      <c r="Z175">
        <f t="shared" si="51"/>
        <v>10</v>
      </c>
    </row>
    <row r="176" spans="1:26">
      <c r="A176" t="str">
        <f t="shared" si="62"/>
        <v>Aux cocina-2027</v>
      </c>
      <c r="B176">
        <v>2027</v>
      </c>
      <c r="C176" t="s">
        <v>418</v>
      </c>
      <c r="D176" t="s">
        <v>368</v>
      </c>
      <c r="E176" t="s">
        <v>369</v>
      </c>
      <c r="F176" s="151">
        <f t="shared" si="64"/>
        <v>10</v>
      </c>
      <c r="G176" s="151">
        <f t="shared" si="64"/>
        <v>10</v>
      </c>
      <c r="H176" s="152">
        <f>+HLOOKUP(A176,Datos!$D$80:$K$84,5,0)</f>
        <v>1698215.6400000004</v>
      </c>
      <c r="I176" s="152">
        <f>+HLOOKUP(A176,Datos!$D$89:$K$93,5,0)</f>
        <v>205844.23127400005</v>
      </c>
      <c r="J176" s="152">
        <f t="shared" si="45"/>
        <v>16982156.400000002</v>
      </c>
      <c r="K176" s="152">
        <f t="shared" si="46"/>
        <v>2058442.3127400004</v>
      </c>
      <c r="L176" s="152">
        <f t="shared" si="52"/>
        <v>1443483.2940000002</v>
      </c>
      <c r="M176" s="152">
        <f t="shared" si="53"/>
        <v>2037858.7680000002</v>
      </c>
      <c r="N176" s="152">
        <f t="shared" si="54"/>
        <v>88646.856408000007</v>
      </c>
      <c r="O176" s="152">
        <f t="shared" si="55"/>
        <v>707589.85000000009</v>
      </c>
      <c r="P176" s="152">
        <f t="shared" si="47"/>
        <v>1415179.7000000002</v>
      </c>
      <c r="Q176" s="152">
        <f t="shared" si="56"/>
        <v>707589.85000000009</v>
      </c>
      <c r="R176" s="152">
        <f t="shared" si="48"/>
        <v>84910.782000000007</v>
      </c>
      <c r="S176" s="152">
        <f t="shared" si="57"/>
        <v>339643.12800000003</v>
      </c>
      <c r="T176" s="152">
        <f t="shared" si="58"/>
        <v>509464.69200000004</v>
      </c>
      <c r="U176" s="152">
        <f t="shared" si="59"/>
        <v>679286.25600000005</v>
      </c>
      <c r="V176" s="152">
        <f t="shared" si="60"/>
        <v>27054251.889148008</v>
      </c>
      <c r="W176" s="152">
        <f>IF(OR(Y176=$AA$2,Y176=$AA$3,Y176=$AA$4),HLOOKUP(A176,Datos!$D$98:$K$102,5,0),0)*G176</f>
        <v>1756774.8000000003</v>
      </c>
      <c r="X176" s="152">
        <f t="shared" si="49"/>
        <v>439193.7</v>
      </c>
      <c r="Y176" s="152" t="str">
        <f t="shared" si="50"/>
        <v xml:space="preserve">MES 8 </v>
      </c>
      <c r="Z176">
        <f t="shared" si="51"/>
        <v>10</v>
      </c>
    </row>
    <row r="177" spans="1:26">
      <c r="A177" t="str">
        <f t="shared" si="62"/>
        <v>Administrador-2027</v>
      </c>
      <c r="B177">
        <v>2027</v>
      </c>
      <c r="C177" t="s">
        <v>418</v>
      </c>
      <c r="D177" t="s">
        <v>370</v>
      </c>
      <c r="E177" t="s">
        <v>371</v>
      </c>
      <c r="F177" s="151">
        <f t="shared" si="64"/>
        <v>1</v>
      </c>
      <c r="G177" s="151">
        <f t="shared" si="64"/>
        <v>2</v>
      </c>
      <c r="H177" s="152">
        <f>+HLOOKUP(A177,Datos!$D$81:$K$85,5,0)</f>
        <v>2342366.4000000008</v>
      </c>
      <c r="I177" s="152">
        <f>+HLOOKUP(A177,Datos!$D$90:$K$94,5,0)</f>
        <v>205844.23127400005</v>
      </c>
      <c r="J177" s="152">
        <f t="shared" si="45"/>
        <v>2342366.4000000008</v>
      </c>
      <c r="K177" s="152">
        <f t="shared" si="46"/>
        <v>411688.4625480001</v>
      </c>
      <c r="L177" s="152">
        <f t="shared" si="52"/>
        <v>199101.14400000009</v>
      </c>
      <c r="M177" s="152">
        <f t="shared" si="53"/>
        <v>281083.96800000011</v>
      </c>
      <c r="N177" s="152">
        <f t="shared" si="54"/>
        <v>12227.152608000004</v>
      </c>
      <c r="O177" s="152">
        <f t="shared" si="55"/>
        <v>97598.600000000035</v>
      </c>
      <c r="P177" s="152">
        <f t="shared" si="47"/>
        <v>195197.20000000007</v>
      </c>
      <c r="Q177" s="152">
        <f t="shared" si="56"/>
        <v>97598.600000000035</v>
      </c>
      <c r="R177" s="152">
        <f t="shared" si="48"/>
        <v>11711.832000000004</v>
      </c>
      <c r="S177" s="152">
        <f t="shared" si="57"/>
        <v>46847.328000000016</v>
      </c>
      <c r="T177" s="152">
        <f t="shared" si="58"/>
        <v>70270.992000000027</v>
      </c>
      <c r="U177" s="152">
        <f t="shared" si="59"/>
        <v>93694.656000000032</v>
      </c>
      <c r="V177" s="152">
        <f t="shared" si="60"/>
        <v>3859386.3351560025</v>
      </c>
      <c r="W177" s="152">
        <f>IF(OR(Y177=$AA$2,Y177=$AA$3,Y177=$AA$4),HLOOKUP(A177,Datos!$D$99:$K$104,5,0),0)*G177</f>
        <v>146397.90000000005</v>
      </c>
      <c r="X177" s="152">
        <f t="shared" si="49"/>
        <v>36599.475000000013</v>
      </c>
      <c r="Y177" s="152" t="str">
        <f t="shared" si="50"/>
        <v xml:space="preserve">MES 8 </v>
      </c>
      <c r="Z177">
        <f t="shared" si="51"/>
        <v>10</v>
      </c>
    </row>
    <row r="178" spans="1:26">
      <c r="A178" t="str">
        <f t="shared" si="62"/>
        <v>Cajero-2027</v>
      </c>
      <c r="B178">
        <v>2027</v>
      </c>
      <c r="C178" t="s">
        <v>418</v>
      </c>
      <c r="D178" t="s">
        <v>372</v>
      </c>
      <c r="E178" t="s">
        <v>371</v>
      </c>
      <c r="F178" s="151">
        <f t="shared" si="64"/>
        <v>2</v>
      </c>
      <c r="G178" s="151">
        <f t="shared" si="64"/>
        <v>2</v>
      </c>
      <c r="H178" s="152">
        <f>HLOOKUP(A178,Datos!$D$82:$K$86,5,0)</f>
        <v>1698215.6400000004</v>
      </c>
      <c r="I178" s="152">
        <f>+HLOOKUP(A178,Datos!$D$91:$K$95,5,0)</f>
        <v>205844.23127400005</v>
      </c>
      <c r="J178" s="152">
        <f t="shared" si="45"/>
        <v>3396431.2800000007</v>
      </c>
      <c r="K178" s="152">
        <f t="shared" si="46"/>
        <v>411688.4625480001</v>
      </c>
      <c r="L178" s="152">
        <f t="shared" si="52"/>
        <v>288696.65880000009</v>
      </c>
      <c r="M178" s="152">
        <f t="shared" si="53"/>
        <v>407571.75360000005</v>
      </c>
      <c r="N178" s="152">
        <f t="shared" si="54"/>
        <v>17729.371281600004</v>
      </c>
      <c r="O178" s="152">
        <f t="shared" si="55"/>
        <v>141517.97000000003</v>
      </c>
      <c r="P178" s="152">
        <f t="shared" si="47"/>
        <v>283035.94000000006</v>
      </c>
      <c r="Q178" s="152">
        <f t="shared" si="56"/>
        <v>141517.97000000003</v>
      </c>
      <c r="R178" s="152">
        <f t="shared" si="48"/>
        <v>16982.156400000003</v>
      </c>
      <c r="S178" s="152">
        <f t="shared" si="57"/>
        <v>67928.625600000014</v>
      </c>
      <c r="T178" s="152">
        <f t="shared" si="58"/>
        <v>101892.93840000001</v>
      </c>
      <c r="U178" s="152">
        <f t="shared" si="59"/>
        <v>135857.25120000003</v>
      </c>
      <c r="V178" s="152">
        <f t="shared" si="60"/>
        <v>5410850.3778296011</v>
      </c>
      <c r="W178" s="152">
        <f>IF(OR(Y178=$AA$2,Y178=$AA$3,Y178=$AA$4),HLOOKUP(A178,Datos!$D$100:$K$104,5,0),0)*G178</f>
        <v>439193.70000000024</v>
      </c>
      <c r="X178" s="152">
        <f t="shared" si="49"/>
        <v>109798.42500000006</v>
      </c>
      <c r="Y178" s="152" t="str">
        <f t="shared" si="50"/>
        <v xml:space="preserve">MES 8 </v>
      </c>
      <c r="Z178">
        <f t="shared" si="51"/>
        <v>10</v>
      </c>
    </row>
    <row r="179" spans="1:26">
      <c r="A179" t="str">
        <f t="shared" si="62"/>
        <v>Aux cocina-2027</v>
      </c>
      <c r="B179">
        <v>2027</v>
      </c>
      <c r="C179" t="s">
        <v>419</v>
      </c>
      <c r="D179" t="s">
        <v>368</v>
      </c>
      <c r="E179" t="s">
        <v>369</v>
      </c>
      <c r="F179" s="151">
        <f t="shared" si="64"/>
        <v>10</v>
      </c>
      <c r="G179" s="151">
        <f t="shared" si="64"/>
        <v>10</v>
      </c>
      <c r="H179" s="152">
        <f>+HLOOKUP(A179,Datos!$D$80:$K$84,5,0)</f>
        <v>1698215.6400000004</v>
      </c>
      <c r="I179" s="152">
        <f>+HLOOKUP(A179,Datos!$D$89:$K$93,5,0)</f>
        <v>205844.23127400005</v>
      </c>
      <c r="J179" s="152">
        <f t="shared" si="45"/>
        <v>16982156.400000002</v>
      </c>
      <c r="K179" s="152">
        <f t="shared" si="46"/>
        <v>2058442.3127400004</v>
      </c>
      <c r="L179" s="152">
        <f t="shared" si="52"/>
        <v>1443483.2940000002</v>
      </c>
      <c r="M179" s="152">
        <f t="shared" si="53"/>
        <v>2037858.7680000002</v>
      </c>
      <c r="N179" s="152">
        <f t="shared" si="54"/>
        <v>88646.856408000007</v>
      </c>
      <c r="O179" s="152">
        <f t="shared" si="55"/>
        <v>707589.85000000009</v>
      </c>
      <c r="P179" s="152">
        <f t="shared" si="47"/>
        <v>1415179.7000000002</v>
      </c>
      <c r="Q179" s="152">
        <f t="shared" si="56"/>
        <v>707589.85000000009</v>
      </c>
      <c r="R179" s="152">
        <f t="shared" si="48"/>
        <v>84910.782000000007</v>
      </c>
      <c r="S179" s="152">
        <f t="shared" si="57"/>
        <v>339643.12800000003</v>
      </c>
      <c r="T179" s="152">
        <f t="shared" si="58"/>
        <v>509464.69200000004</v>
      </c>
      <c r="U179" s="152">
        <f t="shared" si="59"/>
        <v>679286.25600000005</v>
      </c>
      <c r="V179" s="152">
        <f t="shared" si="60"/>
        <v>27054251.889148008</v>
      </c>
      <c r="W179" s="152">
        <f>IF(OR(Y179=$AA$2,Y179=$AA$3,Y179=$AA$4),HLOOKUP(A179,Datos!$D$98:$K$102,5,0),0)*G179</f>
        <v>0</v>
      </c>
      <c r="X179" s="152">
        <f t="shared" si="49"/>
        <v>439193.7</v>
      </c>
      <c r="Y179" s="152" t="str">
        <f t="shared" si="50"/>
        <v xml:space="preserve">MES 9 </v>
      </c>
      <c r="Z179">
        <f t="shared" si="51"/>
        <v>10</v>
      </c>
    </row>
    <row r="180" spans="1:26">
      <c r="A180" t="str">
        <f t="shared" si="62"/>
        <v>Administrador-2027</v>
      </c>
      <c r="B180">
        <v>2027</v>
      </c>
      <c r="C180" t="s">
        <v>419</v>
      </c>
      <c r="D180" t="s">
        <v>370</v>
      </c>
      <c r="E180" t="s">
        <v>371</v>
      </c>
      <c r="F180" s="151">
        <f t="shared" si="64"/>
        <v>1</v>
      </c>
      <c r="G180" s="151">
        <f t="shared" si="64"/>
        <v>2</v>
      </c>
      <c r="H180" s="152">
        <f>+HLOOKUP(A180,Datos!$D$81:$K$85,5,0)</f>
        <v>2342366.4000000008</v>
      </c>
      <c r="I180" s="152">
        <f>+HLOOKUP(A180,Datos!$D$90:$K$94,5,0)</f>
        <v>205844.23127400005</v>
      </c>
      <c r="J180" s="152">
        <f t="shared" si="45"/>
        <v>2342366.4000000008</v>
      </c>
      <c r="K180" s="152">
        <f t="shared" si="46"/>
        <v>411688.4625480001</v>
      </c>
      <c r="L180" s="152">
        <f t="shared" si="52"/>
        <v>199101.14400000009</v>
      </c>
      <c r="M180" s="152">
        <f t="shared" si="53"/>
        <v>281083.96800000011</v>
      </c>
      <c r="N180" s="152">
        <f t="shared" si="54"/>
        <v>12227.152608000004</v>
      </c>
      <c r="O180" s="152">
        <f t="shared" si="55"/>
        <v>97598.600000000035</v>
      </c>
      <c r="P180" s="152">
        <f t="shared" si="47"/>
        <v>195197.20000000007</v>
      </c>
      <c r="Q180" s="152">
        <f t="shared" si="56"/>
        <v>97598.600000000035</v>
      </c>
      <c r="R180" s="152">
        <f t="shared" si="48"/>
        <v>11711.832000000004</v>
      </c>
      <c r="S180" s="152">
        <f t="shared" si="57"/>
        <v>46847.328000000016</v>
      </c>
      <c r="T180" s="152">
        <f t="shared" si="58"/>
        <v>70270.992000000027</v>
      </c>
      <c r="U180" s="152">
        <f t="shared" si="59"/>
        <v>93694.656000000032</v>
      </c>
      <c r="V180" s="152">
        <f t="shared" si="60"/>
        <v>3859386.3351560025</v>
      </c>
      <c r="W180" s="152">
        <f>IF(OR(Y180=$AA$2,Y180=$AA$3,Y180=$AA$4),HLOOKUP(A180,Datos!$D$99:$K$104,5,0),0)*G180</f>
        <v>0</v>
      </c>
      <c r="X180" s="152">
        <f t="shared" si="49"/>
        <v>36599.475000000013</v>
      </c>
      <c r="Y180" s="152" t="str">
        <f t="shared" si="50"/>
        <v xml:space="preserve">MES 9 </v>
      </c>
      <c r="Z180">
        <f t="shared" si="51"/>
        <v>10</v>
      </c>
    </row>
    <row r="181" spans="1:26">
      <c r="A181" t="str">
        <f t="shared" si="62"/>
        <v>Cajero-2027</v>
      </c>
      <c r="B181">
        <v>2027</v>
      </c>
      <c r="C181" t="s">
        <v>419</v>
      </c>
      <c r="D181" t="s">
        <v>372</v>
      </c>
      <c r="E181" t="s">
        <v>371</v>
      </c>
      <c r="F181" s="151">
        <f t="shared" si="64"/>
        <v>2</v>
      </c>
      <c r="G181" s="151">
        <f t="shared" si="64"/>
        <v>2</v>
      </c>
      <c r="H181" s="152">
        <f>HLOOKUP(A181,Datos!$D$82:$K$86,5,0)</f>
        <v>1698215.6400000004</v>
      </c>
      <c r="I181" s="152">
        <f>+HLOOKUP(A181,Datos!$D$91:$K$95,5,0)</f>
        <v>205844.23127400005</v>
      </c>
      <c r="J181" s="152">
        <f t="shared" si="45"/>
        <v>3396431.2800000007</v>
      </c>
      <c r="K181" s="152">
        <f t="shared" si="46"/>
        <v>411688.4625480001</v>
      </c>
      <c r="L181" s="152">
        <f t="shared" si="52"/>
        <v>288696.65880000009</v>
      </c>
      <c r="M181" s="152">
        <f t="shared" si="53"/>
        <v>407571.75360000005</v>
      </c>
      <c r="N181" s="152">
        <f t="shared" si="54"/>
        <v>17729.371281600004</v>
      </c>
      <c r="O181" s="152">
        <f t="shared" si="55"/>
        <v>141517.97000000003</v>
      </c>
      <c r="P181" s="152">
        <f t="shared" si="47"/>
        <v>283035.94000000006</v>
      </c>
      <c r="Q181" s="152">
        <f t="shared" si="56"/>
        <v>141517.97000000003</v>
      </c>
      <c r="R181" s="152">
        <f t="shared" si="48"/>
        <v>16982.156400000003</v>
      </c>
      <c r="S181" s="152">
        <f t="shared" si="57"/>
        <v>67928.625600000014</v>
      </c>
      <c r="T181" s="152">
        <f t="shared" si="58"/>
        <v>101892.93840000001</v>
      </c>
      <c r="U181" s="152">
        <f t="shared" si="59"/>
        <v>135857.25120000003</v>
      </c>
      <c r="V181" s="152">
        <f t="shared" si="60"/>
        <v>5410850.3778296011</v>
      </c>
      <c r="W181" s="152">
        <f>IF(OR(Y181=$AA$2,Y181=$AA$3,Y181=$AA$4),HLOOKUP(A181,Datos!$D$100:$K$104,5,0),0)*G181</f>
        <v>0</v>
      </c>
      <c r="X181" s="152">
        <f t="shared" si="49"/>
        <v>109798.42500000006</v>
      </c>
      <c r="Y181" s="152" t="str">
        <f t="shared" si="50"/>
        <v xml:space="preserve">MES 9 </v>
      </c>
      <c r="Z181">
        <f t="shared" si="51"/>
        <v>10</v>
      </c>
    </row>
    <row r="182" spans="1:26">
      <c r="A182" t="str">
        <f t="shared" si="62"/>
        <v>Aux cocina-2028</v>
      </c>
      <c r="B182">
        <v>2028</v>
      </c>
      <c r="C182" t="s">
        <v>435</v>
      </c>
      <c r="D182" t="s">
        <v>368</v>
      </c>
      <c r="E182" t="s">
        <v>369</v>
      </c>
      <c r="F182" s="151">
        <f t="shared" si="64"/>
        <v>10</v>
      </c>
      <c r="G182" s="151">
        <f t="shared" si="64"/>
        <v>10</v>
      </c>
      <c r="H182" s="152">
        <f>+HLOOKUP(A182,Datos!$D$80:$K$84,5,0)</f>
        <v>1868037.2040000006</v>
      </c>
      <c r="I182" s="152">
        <f>+HLOOKUP(A182,Datos!$D$89:$K$93,5,0)</f>
        <v>226428.65440140007</v>
      </c>
      <c r="J182" s="152">
        <f t="shared" si="45"/>
        <v>18680372.040000007</v>
      </c>
      <c r="K182" s="152">
        <f t="shared" si="46"/>
        <v>2264286.5440140008</v>
      </c>
      <c r="L182" s="152">
        <f t="shared" si="52"/>
        <v>1587831.6234000006</v>
      </c>
      <c r="M182" s="152">
        <f t="shared" si="53"/>
        <v>2241644.6448000008</v>
      </c>
      <c r="N182" s="152">
        <f t="shared" si="54"/>
        <v>97511.542048800024</v>
      </c>
      <c r="O182" s="152">
        <f t="shared" si="55"/>
        <v>778348.8350000002</v>
      </c>
      <c r="P182" s="152">
        <f t="shared" si="47"/>
        <v>1556697.6700000006</v>
      </c>
      <c r="Q182" s="152">
        <f t="shared" si="56"/>
        <v>778348.8350000002</v>
      </c>
      <c r="R182" s="152">
        <f t="shared" si="48"/>
        <v>93401.860200000025</v>
      </c>
      <c r="S182" s="152">
        <f t="shared" si="57"/>
        <v>373607.44080000016</v>
      </c>
      <c r="T182" s="152">
        <f t="shared" si="58"/>
        <v>560411.16120000021</v>
      </c>
      <c r="U182" s="152">
        <f t="shared" si="59"/>
        <v>747214.88160000031</v>
      </c>
      <c r="V182" s="152">
        <f t="shared" si="60"/>
        <v>29759677.07806281</v>
      </c>
      <c r="W182" s="152">
        <f>IF(OR(Y182=$AA$2,Y182=$AA$3,Y182=$AA$4),HLOOKUP(A182,Datos!$D$98:$K$102,5,0),0)*G182</f>
        <v>0</v>
      </c>
      <c r="X182" s="152">
        <f t="shared" si="49"/>
        <v>483113.07000000012</v>
      </c>
      <c r="Y182" s="152" t="str">
        <f t="shared" si="50"/>
        <v xml:space="preserve">MES 1 </v>
      </c>
      <c r="Z182">
        <f t="shared" si="51"/>
        <v>10</v>
      </c>
    </row>
    <row r="183" spans="1:26">
      <c r="A183" t="str">
        <f t="shared" si="62"/>
        <v>Administrador-2028</v>
      </c>
      <c r="B183">
        <v>2028</v>
      </c>
      <c r="C183" t="s">
        <v>435</v>
      </c>
      <c r="D183" t="s">
        <v>370</v>
      </c>
      <c r="E183" t="s">
        <v>371</v>
      </c>
      <c r="F183" s="151">
        <f t="shared" si="64"/>
        <v>1</v>
      </c>
      <c r="G183" s="151">
        <f t="shared" si="64"/>
        <v>2</v>
      </c>
      <c r="H183" s="152">
        <f>+HLOOKUP(A183,Datos!$D$81:$K$85,5,0)</f>
        <v>2576603.040000001</v>
      </c>
      <c r="I183" s="152">
        <f>+HLOOKUP(A183,Datos!$D$90:$K$94,5,0)</f>
        <v>226428.65440140007</v>
      </c>
      <c r="J183" s="152">
        <f t="shared" si="45"/>
        <v>2576603.040000001</v>
      </c>
      <c r="K183" s="152">
        <f t="shared" si="46"/>
        <v>452857.30880280014</v>
      </c>
      <c r="L183" s="152">
        <f t="shared" si="52"/>
        <v>219011.25840000011</v>
      </c>
      <c r="M183" s="152">
        <f t="shared" si="53"/>
        <v>309192.3648000001</v>
      </c>
      <c r="N183" s="152">
        <f t="shared" si="54"/>
        <v>13449.867868800005</v>
      </c>
      <c r="O183" s="152">
        <f t="shared" si="55"/>
        <v>107358.46000000004</v>
      </c>
      <c r="P183" s="152">
        <f t="shared" si="47"/>
        <v>214716.92000000007</v>
      </c>
      <c r="Q183" s="152">
        <f t="shared" si="56"/>
        <v>107358.46000000004</v>
      </c>
      <c r="R183" s="152">
        <f t="shared" si="48"/>
        <v>12883.015200000003</v>
      </c>
      <c r="S183" s="152">
        <f t="shared" si="57"/>
        <v>51532.060800000021</v>
      </c>
      <c r="T183" s="152">
        <f t="shared" si="58"/>
        <v>77298.091200000024</v>
      </c>
      <c r="U183" s="152">
        <f t="shared" si="59"/>
        <v>103064.12160000004</v>
      </c>
      <c r="V183" s="152">
        <f t="shared" si="60"/>
        <v>4245324.9686716013</v>
      </c>
      <c r="W183" s="152">
        <f>IF(OR(Y183=$AA$2,Y183=$AA$3,Y183=$AA$4),HLOOKUP(A183,Datos!$D$99:$K$104,5,0),0)*G183</f>
        <v>0</v>
      </c>
      <c r="X183" s="152">
        <f t="shared" si="49"/>
        <v>40259.422500000015</v>
      </c>
      <c r="Y183" s="152" t="str">
        <f t="shared" si="50"/>
        <v xml:space="preserve">MES 1 </v>
      </c>
      <c r="Z183">
        <f t="shared" si="51"/>
        <v>10</v>
      </c>
    </row>
    <row r="184" spans="1:26">
      <c r="A184" t="str">
        <f t="shared" si="62"/>
        <v>Cajero-2028</v>
      </c>
      <c r="B184">
        <v>2028</v>
      </c>
      <c r="C184" t="s">
        <v>435</v>
      </c>
      <c r="D184" t="s">
        <v>372</v>
      </c>
      <c r="E184" t="s">
        <v>371</v>
      </c>
      <c r="F184" s="151">
        <f t="shared" si="64"/>
        <v>2</v>
      </c>
      <c r="G184" s="151">
        <f t="shared" si="64"/>
        <v>2</v>
      </c>
      <c r="H184" s="152">
        <f>HLOOKUP(A184,Datos!$D$82:$K$86,5,0)</f>
        <v>1868037.2040000006</v>
      </c>
      <c r="I184" s="152">
        <f>+HLOOKUP(A184,Datos!$D$91:$K$95,5,0)</f>
        <v>226428.65440140007</v>
      </c>
      <c r="J184" s="152">
        <f t="shared" si="45"/>
        <v>3736074.4080000012</v>
      </c>
      <c r="K184" s="152">
        <f t="shared" si="46"/>
        <v>452857.30880280014</v>
      </c>
      <c r="L184" s="152">
        <f t="shared" si="52"/>
        <v>317566.32468000014</v>
      </c>
      <c r="M184" s="152">
        <f t="shared" si="53"/>
        <v>448328.92896000011</v>
      </c>
      <c r="N184" s="152">
        <f t="shared" si="54"/>
        <v>19502.308409760004</v>
      </c>
      <c r="O184" s="152">
        <f t="shared" si="55"/>
        <v>155669.76700000005</v>
      </c>
      <c r="P184" s="152">
        <f t="shared" si="47"/>
        <v>311339.5340000001</v>
      </c>
      <c r="Q184" s="152">
        <f t="shared" si="56"/>
        <v>155669.76700000005</v>
      </c>
      <c r="R184" s="152">
        <f t="shared" si="48"/>
        <v>18680.372040000006</v>
      </c>
      <c r="S184" s="152">
        <f t="shared" si="57"/>
        <v>74721.488160000023</v>
      </c>
      <c r="T184" s="152">
        <f t="shared" si="58"/>
        <v>112082.23224000003</v>
      </c>
      <c r="U184" s="152">
        <f t="shared" si="59"/>
        <v>149442.97632000005</v>
      </c>
      <c r="V184" s="152">
        <f t="shared" si="60"/>
        <v>5951935.4156125616</v>
      </c>
      <c r="W184" s="152">
        <f>IF(OR(Y184=$AA$2,Y184=$AA$3,Y184=$AA$4),HLOOKUP(A184,Datos!$D$100:$K$104,5,0),0)*G184</f>
        <v>0</v>
      </c>
      <c r="X184" s="152">
        <f t="shared" si="49"/>
        <v>120778.26750000007</v>
      </c>
      <c r="Y184" s="152" t="str">
        <f t="shared" si="50"/>
        <v xml:space="preserve">MES 1 </v>
      </c>
      <c r="Z184">
        <f t="shared" si="51"/>
        <v>10</v>
      </c>
    </row>
    <row r="185" spans="1:26">
      <c r="A185" t="str">
        <f t="shared" si="62"/>
        <v>Aux cocina-2028</v>
      </c>
      <c r="B185">
        <v>2028</v>
      </c>
      <c r="C185" t="s">
        <v>464</v>
      </c>
      <c r="D185" t="s">
        <v>368</v>
      </c>
      <c r="E185" t="s">
        <v>369</v>
      </c>
      <c r="F185" s="151">
        <f t="shared" si="64"/>
        <v>10</v>
      </c>
      <c r="G185" s="151">
        <f t="shared" si="64"/>
        <v>10</v>
      </c>
      <c r="H185" s="152">
        <f>+HLOOKUP(A185,Datos!$D$80:$K$84,5,0)</f>
        <v>1868037.2040000006</v>
      </c>
      <c r="I185" s="152">
        <f>+HLOOKUP(A185,Datos!$D$89:$K$93,5,0)</f>
        <v>226428.65440140007</v>
      </c>
      <c r="J185" s="152">
        <f t="shared" si="45"/>
        <v>18680372.040000007</v>
      </c>
      <c r="K185" s="152">
        <f t="shared" si="46"/>
        <v>2264286.5440140008</v>
      </c>
      <c r="L185" s="152">
        <f t="shared" si="52"/>
        <v>1587831.6234000006</v>
      </c>
      <c r="M185" s="152">
        <f t="shared" si="53"/>
        <v>2241644.6448000008</v>
      </c>
      <c r="N185" s="152">
        <f t="shared" si="54"/>
        <v>97511.542048800024</v>
      </c>
      <c r="O185" s="152">
        <f t="shared" si="55"/>
        <v>778348.8350000002</v>
      </c>
      <c r="P185" s="152">
        <f t="shared" si="47"/>
        <v>1556697.6700000006</v>
      </c>
      <c r="Q185" s="152">
        <f t="shared" si="56"/>
        <v>778348.8350000002</v>
      </c>
      <c r="R185" s="152">
        <f t="shared" si="48"/>
        <v>93401.860200000025</v>
      </c>
      <c r="S185" s="152">
        <f t="shared" si="57"/>
        <v>373607.44080000016</v>
      </c>
      <c r="T185" s="152">
        <f t="shared" si="58"/>
        <v>560411.16120000021</v>
      </c>
      <c r="U185" s="152">
        <f t="shared" si="59"/>
        <v>747214.88160000031</v>
      </c>
      <c r="V185" s="152">
        <f t="shared" si="60"/>
        <v>29759677.07806281</v>
      </c>
      <c r="W185" s="152">
        <f>IF(OR(Y185=$AA$2,Y185=$AA$3,Y185=$AA$4),HLOOKUP(A185,Datos!$D$98:$K$102,5,0),0)*G185</f>
        <v>0</v>
      </c>
      <c r="X185" s="152">
        <f t="shared" si="49"/>
        <v>483113.07000000012</v>
      </c>
      <c r="Y185" s="152" t="str">
        <f t="shared" si="50"/>
        <v xml:space="preserve">MES 2 </v>
      </c>
      <c r="Z185">
        <f t="shared" si="51"/>
        <v>10</v>
      </c>
    </row>
    <row r="186" spans="1:26">
      <c r="A186" t="str">
        <f t="shared" si="62"/>
        <v>Administrador-2028</v>
      </c>
      <c r="B186">
        <v>2028</v>
      </c>
      <c r="C186" t="s">
        <v>464</v>
      </c>
      <c r="D186" t="s">
        <v>370</v>
      </c>
      <c r="E186" t="s">
        <v>371</v>
      </c>
      <c r="F186" s="151">
        <f t="shared" si="64"/>
        <v>1</v>
      </c>
      <c r="G186" s="151">
        <f t="shared" si="64"/>
        <v>2</v>
      </c>
      <c r="H186" s="152">
        <f>+HLOOKUP(A186,Datos!$D$81:$K$85,5,0)</f>
        <v>2576603.040000001</v>
      </c>
      <c r="I186" s="152">
        <f>+HLOOKUP(A186,Datos!$D$90:$K$94,5,0)</f>
        <v>226428.65440140007</v>
      </c>
      <c r="J186" s="152">
        <f t="shared" si="45"/>
        <v>2576603.040000001</v>
      </c>
      <c r="K186" s="152">
        <f t="shared" si="46"/>
        <v>452857.30880280014</v>
      </c>
      <c r="L186" s="152">
        <f t="shared" si="52"/>
        <v>219011.25840000011</v>
      </c>
      <c r="M186" s="152">
        <f t="shared" si="53"/>
        <v>309192.3648000001</v>
      </c>
      <c r="N186" s="152">
        <f t="shared" si="54"/>
        <v>13449.867868800005</v>
      </c>
      <c r="O186" s="152">
        <f t="shared" si="55"/>
        <v>107358.46000000004</v>
      </c>
      <c r="P186" s="152">
        <f t="shared" si="47"/>
        <v>214716.92000000007</v>
      </c>
      <c r="Q186" s="152">
        <f t="shared" si="56"/>
        <v>107358.46000000004</v>
      </c>
      <c r="R186" s="152">
        <f t="shared" si="48"/>
        <v>12883.015200000003</v>
      </c>
      <c r="S186" s="152">
        <f t="shared" si="57"/>
        <v>51532.060800000021</v>
      </c>
      <c r="T186" s="152">
        <f t="shared" si="58"/>
        <v>77298.091200000024</v>
      </c>
      <c r="U186" s="152">
        <f t="shared" si="59"/>
        <v>103064.12160000004</v>
      </c>
      <c r="V186" s="152">
        <f t="shared" si="60"/>
        <v>4245324.9686716013</v>
      </c>
      <c r="W186" s="152">
        <f>IF(OR(Y186=$AA$2,Y186=$AA$3,Y186=$AA$4),HLOOKUP(A186,Datos!$D$99:$K$104,5,0),0)*G186</f>
        <v>0</v>
      </c>
      <c r="X186" s="152">
        <f t="shared" si="49"/>
        <v>40259.422500000015</v>
      </c>
      <c r="Y186" s="152" t="str">
        <f t="shared" si="50"/>
        <v xml:space="preserve">MES 2 </v>
      </c>
      <c r="Z186">
        <f t="shared" si="51"/>
        <v>10</v>
      </c>
    </row>
    <row r="187" spans="1:26">
      <c r="A187" t="str">
        <f t="shared" si="62"/>
        <v>Cajero-2028</v>
      </c>
      <c r="B187">
        <v>2028</v>
      </c>
      <c r="C187" t="s">
        <v>464</v>
      </c>
      <c r="D187" t="s">
        <v>372</v>
      </c>
      <c r="E187" t="s">
        <v>371</v>
      </c>
      <c r="F187" s="151">
        <f t="shared" ref="F187:G206" si="65">+F184</f>
        <v>2</v>
      </c>
      <c r="G187" s="151">
        <f t="shared" si="65"/>
        <v>2</v>
      </c>
      <c r="H187" s="152">
        <f>HLOOKUP(A187,Datos!$D$82:$K$86,5,0)</f>
        <v>1868037.2040000006</v>
      </c>
      <c r="I187" s="152">
        <f>+HLOOKUP(A187,Datos!$D$91:$K$95,5,0)</f>
        <v>226428.65440140007</v>
      </c>
      <c r="J187" s="152">
        <f t="shared" si="45"/>
        <v>3736074.4080000012</v>
      </c>
      <c r="K187" s="152">
        <f t="shared" si="46"/>
        <v>452857.30880280014</v>
      </c>
      <c r="L187" s="152">
        <f t="shared" si="52"/>
        <v>317566.32468000014</v>
      </c>
      <c r="M187" s="152">
        <f t="shared" si="53"/>
        <v>448328.92896000011</v>
      </c>
      <c r="N187" s="152">
        <f t="shared" si="54"/>
        <v>19502.308409760004</v>
      </c>
      <c r="O187" s="152">
        <f t="shared" si="55"/>
        <v>155669.76700000005</v>
      </c>
      <c r="P187" s="152">
        <f t="shared" si="47"/>
        <v>311339.5340000001</v>
      </c>
      <c r="Q187" s="152">
        <f t="shared" si="56"/>
        <v>155669.76700000005</v>
      </c>
      <c r="R187" s="152">
        <f t="shared" si="48"/>
        <v>18680.372040000006</v>
      </c>
      <c r="S187" s="152">
        <f t="shared" si="57"/>
        <v>74721.488160000023</v>
      </c>
      <c r="T187" s="152">
        <f t="shared" si="58"/>
        <v>112082.23224000003</v>
      </c>
      <c r="U187" s="152">
        <f t="shared" si="59"/>
        <v>149442.97632000005</v>
      </c>
      <c r="V187" s="152">
        <f t="shared" si="60"/>
        <v>5951935.4156125616</v>
      </c>
      <c r="W187" s="152">
        <f>IF(OR(Y187=$AA$2,Y187=$AA$3,Y187=$AA$4),HLOOKUP(A187,Datos!$D$100:$K$104,5,0),0)*G187</f>
        <v>0</v>
      </c>
      <c r="X187" s="152">
        <f t="shared" si="49"/>
        <v>120778.26750000007</v>
      </c>
      <c r="Y187" s="152" t="str">
        <f t="shared" si="50"/>
        <v xml:space="preserve">MES 2 </v>
      </c>
      <c r="Z187">
        <f t="shared" si="51"/>
        <v>10</v>
      </c>
    </row>
    <row r="188" spans="1:26">
      <c r="A188" t="str">
        <f t="shared" si="62"/>
        <v>Aux cocina-2028</v>
      </c>
      <c r="B188">
        <v>2028</v>
      </c>
      <c r="C188" t="s">
        <v>465</v>
      </c>
      <c r="D188" t="s">
        <v>368</v>
      </c>
      <c r="E188" t="s">
        <v>369</v>
      </c>
      <c r="F188" s="151">
        <f t="shared" si="65"/>
        <v>10</v>
      </c>
      <c r="G188" s="151">
        <f t="shared" si="65"/>
        <v>10</v>
      </c>
      <c r="H188" s="152">
        <f>+HLOOKUP(A188,Datos!$D$80:$K$84,5,0)</f>
        <v>1868037.2040000006</v>
      </c>
      <c r="I188" s="152">
        <f>+HLOOKUP(A188,Datos!$D$89:$K$93,5,0)</f>
        <v>226428.65440140007</v>
      </c>
      <c r="J188" s="152">
        <f t="shared" si="45"/>
        <v>18680372.040000007</v>
      </c>
      <c r="K188" s="152">
        <f t="shared" si="46"/>
        <v>2264286.5440140008</v>
      </c>
      <c r="L188" s="152">
        <f t="shared" si="52"/>
        <v>1587831.6234000006</v>
      </c>
      <c r="M188" s="152">
        <f t="shared" si="53"/>
        <v>2241644.6448000008</v>
      </c>
      <c r="N188" s="152">
        <f t="shared" si="54"/>
        <v>97511.542048800024</v>
      </c>
      <c r="O188" s="152">
        <f t="shared" si="55"/>
        <v>778348.8350000002</v>
      </c>
      <c r="P188" s="152">
        <f t="shared" si="47"/>
        <v>1556697.6700000006</v>
      </c>
      <c r="Q188" s="152">
        <f t="shared" si="56"/>
        <v>778348.8350000002</v>
      </c>
      <c r="R188" s="152">
        <f t="shared" si="48"/>
        <v>93401.860200000025</v>
      </c>
      <c r="S188" s="152">
        <f t="shared" si="57"/>
        <v>373607.44080000016</v>
      </c>
      <c r="T188" s="152">
        <f t="shared" si="58"/>
        <v>560411.16120000021</v>
      </c>
      <c r="U188" s="152">
        <f t="shared" si="59"/>
        <v>747214.88160000031</v>
      </c>
      <c r="V188" s="152">
        <f t="shared" si="60"/>
        <v>29759677.07806281</v>
      </c>
      <c r="W188" s="152">
        <f>IF(OR(Y188=$AA$2,Y188=$AA$3,Y188=$AA$4),HLOOKUP(A188,Datos!$D$98:$K$102,5,0),0)*G188</f>
        <v>0</v>
      </c>
      <c r="X188" s="152">
        <f t="shared" si="49"/>
        <v>483113.07000000012</v>
      </c>
      <c r="Y188" s="152" t="str">
        <f t="shared" si="50"/>
        <v xml:space="preserve">MES 3 </v>
      </c>
      <c r="Z188">
        <f t="shared" si="51"/>
        <v>10</v>
      </c>
    </row>
    <row r="189" spans="1:26">
      <c r="A189" t="str">
        <f t="shared" si="62"/>
        <v>Administrador-2028</v>
      </c>
      <c r="B189">
        <v>2028</v>
      </c>
      <c r="C189" t="s">
        <v>465</v>
      </c>
      <c r="D189" t="s">
        <v>370</v>
      </c>
      <c r="E189" t="s">
        <v>371</v>
      </c>
      <c r="F189" s="151">
        <f t="shared" si="65"/>
        <v>1</v>
      </c>
      <c r="G189" s="151">
        <f t="shared" si="65"/>
        <v>2</v>
      </c>
      <c r="H189" s="152">
        <f>+HLOOKUP(A189,Datos!$D$81:$K$85,5,0)</f>
        <v>2576603.040000001</v>
      </c>
      <c r="I189" s="152">
        <f>+HLOOKUP(A189,Datos!$D$90:$K$94,5,0)</f>
        <v>226428.65440140007</v>
      </c>
      <c r="J189" s="152">
        <f t="shared" si="45"/>
        <v>2576603.040000001</v>
      </c>
      <c r="K189" s="152">
        <f t="shared" si="46"/>
        <v>452857.30880280014</v>
      </c>
      <c r="L189" s="152">
        <f t="shared" si="52"/>
        <v>219011.25840000011</v>
      </c>
      <c r="M189" s="152">
        <f t="shared" si="53"/>
        <v>309192.3648000001</v>
      </c>
      <c r="N189" s="152">
        <f t="shared" si="54"/>
        <v>13449.867868800005</v>
      </c>
      <c r="O189" s="152">
        <f t="shared" si="55"/>
        <v>107358.46000000004</v>
      </c>
      <c r="P189" s="152">
        <f t="shared" si="47"/>
        <v>214716.92000000007</v>
      </c>
      <c r="Q189" s="152">
        <f t="shared" si="56"/>
        <v>107358.46000000004</v>
      </c>
      <c r="R189" s="152">
        <f t="shared" si="48"/>
        <v>12883.015200000003</v>
      </c>
      <c r="S189" s="152">
        <f t="shared" si="57"/>
        <v>51532.060800000021</v>
      </c>
      <c r="T189" s="152">
        <f t="shared" si="58"/>
        <v>77298.091200000024</v>
      </c>
      <c r="U189" s="152">
        <f t="shared" si="59"/>
        <v>103064.12160000004</v>
      </c>
      <c r="V189" s="152">
        <f t="shared" si="60"/>
        <v>4245324.9686716013</v>
      </c>
      <c r="W189" s="152">
        <f>IF(OR(Y189=$AA$2,Y189=$AA$3,Y189=$AA$4),HLOOKUP(A189,Datos!$D$99:$K$104,5,0),0)*G189</f>
        <v>0</v>
      </c>
      <c r="X189" s="152">
        <f t="shared" si="49"/>
        <v>40259.422500000015</v>
      </c>
      <c r="Y189" s="152" t="str">
        <f t="shared" si="50"/>
        <v xml:space="preserve">MES 3 </v>
      </c>
      <c r="Z189">
        <f t="shared" si="51"/>
        <v>10</v>
      </c>
    </row>
    <row r="190" spans="1:26">
      <c r="A190" t="str">
        <f t="shared" si="62"/>
        <v>Cajero-2028</v>
      </c>
      <c r="B190">
        <v>2028</v>
      </c>
      <c r="C190" t="s">
        <v>465</v>
      </c>
      <c r="D190" t="s">
        <v>372</v>
      </c>
      <c r="E190" t="s">
        <v>371</v>
      </c>
      <c r="F190" s="151">
        <f t="shared" si="65"/>
        <v>2</v>
      </c>
      <c r="G190" s="151">
        <f t="shared" si="65"/>
        <v>2</v>
      </c>
      <c r="H190" s="152">
        <f>HLOOKUP(A190,Datos!$D$82:$K$86,5,0)</f>
        <v>1868037.2040000006</v>
      </c>
      <c r="I190" s="152">
        <f>+HLOOKUP(A190,Datos!$D$91:$K$95,5,0)</f>
        <v>226428.65440140007</v>
      </c>
      <c r="J190" s="152">
        <f t="shared" si="45"/>
        <v>3736074.4080000012</v>
      </c>
      <c r="K190" s="152">
        <f t="shared" si="46"/>
        <v>452857.30880280014</v>
      </c>
      <c r="L190" s="152">
        <f t="shared" si="52"/>
        <v>317566.32468000014</v>
      </c>
      <c r="M190" s="152">
        <f t="shared" si="53"/>
        <v>448328.92896000011</v>
      </c>
      <c r="N190" s="152">
        <f t="shared" si="54"/>
        <v>19502.308409760004</v>
      </c>
      <c r="O190" s="152">
        <f t="shared" si="55"/>
        <v>155669.76700000005</v>
      </c>
      <c r="P190" s="152">
        <f t="shared" si="47"/>
        <v>311339.5340000001</v>
      </c>
      <c r="Q190" s="152">
        <f t="shared" si="56"/>
        <v>155669.76700000005</v>
      </c>
      <c r="R190" s="152">
        <f t="shared" si="48"/>
        <v>18680.372040000006</v>
      </c>
      <c r="S190" s="152">
        <f t="shared" si="57"/>
        <v>74721.488160000023</v>
      </c>
      <c r="T190" s="152">
        <f t="shared" si="58"/>
        <v>112082.23224000003</v>
      </c>
      <c r="U190" s="152">
        <f t="shared" si="59"/>
        <v>149442.97632000005</v>
      </c>
      <c r="V190" s="152">
        <f t="shared" si="60"/>
        <v>5951935.4156125616</v>
      </c>
      <c r="W190" s="152">
        <f>IF(OR(Y190=$AA$2,Y190=$AA$3,Y190=$AA$4),HLOOKUP(A190,Datos!$D$100:$K$104,5,0),0)*G190</f>
        <v>0</v>
      </c>
      <c r="X190" s="152">
        <f t="shared" si="49"/>
        <v>120778.26750000007</v>
      </c>
      <c r="Y190" s="152" t="str">
        <f t="shared" si="50"/>
        <v xml:space="preserve">MES 3 </v>
      </c>
      <c r="Z190">
        <f t="shared" si="51"/>
        <v>10</v>
      </c>
    </row>
    <row r="191" spans="1:26">
      <c r="A191" t="str">
        <f t="shared" si="62"/>
        <v>Aux cocina-2028</v>
      </c>
      <c r="B191">
        <v>2028</v>
      </c>
      <c r="C191" t="s">
        <v>466</v>
      </c>
      <c r="D191" t="s">
        <v>368</v>
      </c>
      <c r="E191" t="s">
        <v>369</v>
      </c>
      <c r="F191" s="151">
        <f t="shared" si="65"/>
        <v>10</v>
      </c>
      <c r="G191" s="151">
        <f t="shared" si="65"/>
        <v>10</v>
      </c>
      <c r="H191" s="152">
        <f>+HLOOKUP(A191,Datos!$D$80:$K$84,5,0)</f>
        <v>1868037.2040000006</v>
      </c>
      <c r="I191" s="152">
        <f>+HLOOKUP(A191,Datos!$D$89:$K$93,5,0)</f>
        <v>226428.65440140007</v>
      </c>
      <c r="J191" s="152">
        <f t="shared" si="45"/>
        <v>18680372.040000007</v>
      </c>
      <c r="K191" s="152">
        <f t="shared" si="46"/>
        <v>2264286.5440140008</v>
      </c>
      <c r="L191" s="152">
        <f t="shared" si="52"/>
        <v>1587831.6234000006</v>
      </c>
      <c r="M191" s="152">
        <f t="shared" si="53"/>
        <v>2241644.6448000008</v>
      </c>
      <c r="N191" s="152">
        <f t="shared" si="54"/>
        <v>97511.542048800024</v>
      </c>
      <c r="O191" s="152">
        <f t="shared" si="55"/>
        <v>778348.8350000002</v>
      </c>
      <c r="P191" s="152">
        <f t="shared" si="47"/>
        <v>1556697.6700000006</v>
      </c>
      <c r="Q191" s="152">
        <f t="shared" si="56"/>
        <v>778348.8350000002</v>
      </c>
      <c r="R191" s="152">
        <f t="shared" si="48"/>
        <v>93401.860200000025</v>
      </c>
      <c r="S191" s="152">
        <f t="shared" si="57"/>
        <v>373607.44080000016</v>
      </c>
      <c r="T191" s="152">
        <f t="shared" si="58"/>
        <v>560411.16120000021</v>
      </c>
      <c r="U191" s="152">
        <f t="shared" si="59"/>
        <v>747214.88160000031</v>
      </c>
      <c r="V191" s="152">
        <f t="shared" si="60"/>
        <v>29759677.07806281</v>
      </c>
      <c r="W191" s="152">
        <f>IF(OR(Y191=$AA$2,Y191=$AA$3,Y191=$AA$4),HLOOKUP(A191,Datos!$D$98:$K$102,5,0),0)*G191</f>
        <v>1932452.2800000007</v>
      </c>
      <c r="X191" s="152">
        <f t="shared" si="49"/>
        <v>483113.07000000012</v>
      </c>
      <c r="Y191" s="152" t="str">
        <f t="shared" si="50"/>
        <v xml:space="preserve">MES 4 </v>
      </c>
      <c r="Z191">
        <f t="shared" si="51"/>
        <v>10</v>
      </c>
    </row>
    <row r="192" spans="1:26">
      <c r="A192" t="str">
        <f t="shared" si="62"/>
        <v>Administrador-2028</v>
      </c>
      <c r="B192">
        <v>2028</v>
      </c>
      <c r="C192" t="s">
        <v>466</v>
      </c>
      <c r="D192" t="s">
        <v>370</v>
      </c>
      <c r="E192" t="s">
        <v>371</v>
      </c>
      <c r="F192" s="151">
        <f t="shared" si="65"/>
        <v>1</v>
      </c>
      <c r="G192" s="151">
        <f t="shared" si="65"/>
        <v>2</v>
      </c>
      <c r="H192" s="152">
        <f>+HLOOKUP(A192,Datos!$D$81:$K$85,5,0)</f>
        <v>2576603.040000001</v>
      </c>
      <c r="I192" s="152">
        <f>+HLOOKUP(A192,Datos!$D$90:$K$94,5,0)</f>
        <v>226428.65440140007</v>
      </c>
      <c r="J192" s="152">
        <f t="shared" si="45"/>
        <v>2576603.040000001</v>
      </c>
      <c r="K192" s="152">
        <f t="shared" si="46"/>
        <v>452857.30880280014</v>
      </c>
      <c r="L192" s="152">
        <f t="shared" si="52"/>
        <v>219011.25840000011</v>
      </c>
      <c r="M192" s="152">
        <f t="shared" si="53"/>
        <v>309192.3648000001</v>
      </c>
      <c r="N192" s="152">
        <f t="shared" si="54"/>
        <v>13449.867868800005</v>
      </c>
      <c r="O192" s="152">
        <f t="shared" si="55"/>
        <v>107358.46000000004</v>
      </c>
      <c r="P192" s="152">
        <f t="shared" si="47"/>
        <v>214716.92000000007</v>
      </c>
      <c r="Q192" s="152">
        <f t="shared" si="56"/>
        <v>107358.46000000004</v>
      </c>
      <c r="R192" s="152">
        <f t="shared" si="48"/>
        <v>12883.015200000003</v>
      </c>
      <c r="S192" s="152">
        <f t="shared" si="57"/>
        <v>51532.060800000021</v>
      </c>
      <c r="T192" s="152">
        <f t="shared" si="58"/>
        <v>77298.091200000024</v>
      </c>
      <c r="U192" s="152">
        <f t="shared" si="59"/>
        <v>103064.12160000004</v>
      </c>
      <c r="V192" s="152">
        <f t="shared" si="60"/>
        <v>4245324.9686716013</v>
      </c>
      <c r="W192" s="152">
        <f>IF(OR(Y192=$AA$2,Y192=$AA$3,Y192=$AA$4),HLOOKUP(A192,Datos!$D$99:$K$104,5,0),0)*G192</f>
        <v>161037.69000000006</v>
      </c>
      <c r="X192" s="152">
        <f t="shared" si="49"/>
        <v>40259.422500000015</v>
      </c>
      <c r="Y192" s="152" t="str">
        <f t="shared" si="50"/>
        <v xml:space="preserve">MES 4 </v>
      </c>
      <c r="Z192">
        <f t="shared" si="51"/>
        <v>10</v>
      </c>
    </row>
    <row r="193" spans="1:26">
      <c r="A193" t="str">
        <f t="shared" si="62"/>
        <v>Cajero-2028</v>
      </c>
      <c r="B193">
        <v>2028</v>
      </c>
      <c r="C193" t="s">
        <v>466</v>
      </c>
      <c r="D193" t="s">
        <v>372</v>
      </c>
      <c r="E193" t="s">
        <v>371</v>
      </c>
      <c r="F193" s="151">
        <f t="shared" si="65"/>
        <v>2</v>
      </c>
      <c r="G193" s="151">
        <f t="shared" si="65"/>
        <v>2</v>
      </c>
      <c r="H193" s="152">
        <f>HLOOKUP(A193,Datos!$D$82:$K$86,5,0)</f>
        <v>1868037.2040000006</v>
      </c>
      <c r="I193" s="152">
        <f>+HLOOKUP(A193,Datos!$D$91:$K$95,5,0)</f>
        <v>226428.65440140007</v>
      </c>
      <c r="J193" s="152">
        <f t="shared" si="45"/>
        <v>3736074.4080000012</v>
      </c>
      <c r="K193" s="152">
        <f t="shared" si="46"/>
        <v>452857.30880280014</v>
      </c>
      <c r="L193" s="152">
        <f t="shared" si="52"/>
        <v>317566.32468000014</v>
      </c>
      <c r="M193" s="152">
        <f t="shared" si="53"/>
        <v>448328.92896000011</v>
      </c>
      <c r="N193" s="152">
        <f t="shared" si="54"/>
        <v>19502.308409760004</v>
      </c>
      <c r="O193" s="152">
        <f t="shared" si="55"/>
        <v>155669.76700000005</v>
      </c>
      <c r="P193" s="152">
        <f t="shared" si="47"/>
        <v>311339.5340000001</v>
      </c>
      <c r="Q193" s="152">
        <f t="shared" si="56"/>
        <v>155669.76700000005</v>
      </c>
      <c r="R193" s="152">
        <f t="shared" si="48"/>
        <v>18680.372040000006</v>
      </c>
      <c r="S193" s="152">
        <f t="shared" si="57"/>
        <v>74721.488160000023</v>
      </c>
      <c r="T193" s="152">
        <f t="shared" si="58"/>
        <v>112082.23224000003</v>
      </c>
      <c r="U193" s="152">
        <f t="shared" si="59"/>
        <v>149442.97632000005</v>
      </c>
      <c r="V193" s="152">
        <f t="shared" si="60"/>
        <v>5951935.4156125616</v>
      </c>
      <c r="W193" s="152">
        <f>IF(OR(Y193=$AA$2,Y193=$AA$3,Y193=$AA$4),HLOOKUP(A193,Datos!$D$100:$K$104,5,0),0)*G193</f>
        <v>483113.0700000003</v>
      </c>
      <c r="X193" s="152">
        <f t="shared" si="49"/>
        <v>120778.26750000007</v>
      </c>
      <c r="Y193" s="152" t="str">
        <f t="shared" si="50"/>
        <v xml:space="preserve">MES 4 </v>
      </c>
      <c r="Z193">
        <f t="shared" si="51"/>
        <v>10</v>
      </c>
    </row>
    <row r="194" spans="1:26">
      <c r="A194" t="str">
        <f t="shared" ref="A194:A241" si="66">+D194&amp;"-"&amp;B194</f>
        <v>Aux cocina-2028</v>
      </c>
      <c r="B194">
        <v>2028</v>
      </c>
      <c r="C194" t="s">
        <v>467</v>
      </c>
      <c r="D194" t="s">
        <v>368</v>
      </c>
      <c r="E194" t="s">
        <v>369</v>
      </c>
      <c r="F194" s="151">
        <f t="shared" si="65"/>
        <v>10</v>
      </c>
      <c r="G194" s="151">
        <f t="shared" si="65"/>
        <v>10</v>
      </c>
      <c r="H194" s="152">
        <f>+HLOOKUP(A194,Datos!$D$80:$K$84,5,0)</f>
        <v>1868037.2040000006</v>
      </c>
      <c r="I194" s="152">
        <f>+HLOOKUP(A194,Datos!$D$89:$K$93,5,0)</f>
        <v>226428.65440140007</v>
      </c>
      <c r="J194" s="152">
        <f t="shared" ref="J194:J257" si="67">+F194*H194</f>
        <v>18680372.040000007</v>
      </c>
      <c r="K194" s="152">
        <f t="shared" ref="K194:K257" si="68">+G194*I194</f>
        <v>2264286.5440140008</v>
      </c>
      <c r="L194" s="152">
        <f t="shared" si="52"/>
        <v>1587831.6234000006</v>
      </c>
      <c r="M194" s="152">
        <f t="shared" si="53"/>
        <v>2241644.6448000008</v>
      </c>
      <c r="N194" s="152">
        <f t="shared" si="54"/>
        <v>97511.542048800024</v>
      </c>
      <c r="O194" s="152">
        <f t="shared" si="55"/>
        <v>778348.8350000002</v>
      </c>
      <c r="P194" s="152">
        <f t="shared" ref="P194:P257" si="69">+J194/12</f>
        <v>1556697.6700000006</v>
      </c>
      <c r="Q194" s="152">
        <f t="shared" si="56"/>
        <v>778348.8350000002</v>
      </c>
      <c r="R194" s="152">
        <f t="shared" ref="R194:R257" si="70">+Q194*12%</f>
        <v>93401.860200000025</v>
      </c>
      <c r="S194" s="152">
        <f t="shared" si="57"/>
        <v>373607.44080000016</v>
      </c>
      <c r="T194" s="152">
        <f t="shared" si="58"/>
        <v>560411.16120000021</v>
      </c>
      <c r="U194" s="152">
        <f t="shared" si="59"/>
        <v>747214.88160000031</v>
      </c>
      <c r="V194" s="152">
        <f t="shared" si="60"/>
        <v>29759677.07806281</v>
      </c>
      <c r="W194" s="152">
        <f>IF(OR(Y194=$AA$2,Y194=$AA$3,Y194=$AA$4),HLOOKUP(A194,Datos!$D$98:$K$102,5,0),0)*G194</f>
        <v>0</v>
      </c>
      <c r="X194" s="152">
        <f t="shared" ref="X194:X257" si="71">+SUMIF(A:A,A194,W:W)/12</f>
        <v>483113.07000000012</v>
      </c>
      <c r="Y194" s="152" t="str">
        <f t="shared" ref="Y194:Y257" si="72">+IF(LEN(Z194)=10,LEFT(C194,5),LEFT(C194,6))</f>
        <v xml:space="preserve">MES 5 </v>
      </c>
      <c r="Z194">
        <f t="shared" ref="Z194:Z258" si="73">+LEN(C194)</f>
        <v>10</v>
      </c>
    </row>
    <row r="195" spans="1:26">
      <c r="A195" t="str">
        <f t="shared" si="66"/>
        <v>Administrador-2028</v>
      </c>
      <c r="B195">
        <v>2028</v>
      </c>
      <c r="C195" t="s">
        <v>467</v>
      </c>
      <c r="D195" t="s">
        <v>370</v>
      </c>
      <c r="E195" t="s">
        <v>371</v>
      </c>
      <c r="F195" s="151">
        <f t="shared" si="65"/>
        <v>1</v>
      </c>
      <c r="G195" s="151">
        <f t="shared" si="65"/>
        <v>2</v>
      </c>
      <c r="H195" s="152">
        <f>+HLOOKUP(A195,Datos!$D$81:$K$85,5,0)</f>
        <v>2576603.040000001</v>
      </c>
      <c r="I195" s="152">
        <f>+HLOOKUP(A195,Datos!$D$90:$K$94,5,0)</f>
        <v>226428.65440140007</v>
      </c>
      <c r="J195" s="152">
        <f t="shared" si="67"/>
        <v>2576603.040000001</v>
      </c>
      <c r="K195" s="152">
        <f t="shared" si="68"/>
        <v>452857.30880280014</v>
      </c>
      <c r="L195" s="152">
        <f t="shared" ref="L195:L258" si="74">+J195*8.5%</f>
        <v>219011.25840000011</v>
      </c>
      <c r="M195" s="152">
        <f t="shared" ref="M195:M258" si="75">+J195*12%</f>
        <v>309192.3648000001</v>
      </c>
      <c r="N195" s="152">
        <f t="shared" ref="N195:N258" si="76">+J195*0.522%</f>
        <v>13449.867868800005</v>
      </c>
      <c r="O195" s="152">
        <f t="shared" ref="O195:O258" si="77">+J195/30*1.25</f>
        <v>107358.46000000004</v>
      </c>
      <c r="P195" s="152">
        <f t="shared" si="69"/>
        <v>214716.92000000007</v>
      </c>
      <c r="Q195" s="152">
        <f t="shared" ref="Q195:Q258" si="78">+J195/30*1.25</f>
        <v>107358.46000000004</v>
      </c>
      <c r="R195" s="152">
        <f t="shared" si="70"/>
        <v>12883.015200000003</v>
      </c>
      <c r="S195" s="152">
        <f t="shared" ref="S195:S258" si="79">+J195*2%</f>
        <v>51532.060800000021</v>
      </c>
      <c r="T195" s="152">
        <f t="shared" ref="T195:T258" si="80">+J195*3%</f>
        <v>77298.091200000024</v>
      </c>
      <c r="U195" s="152">
        <f t="shared" ref="U195:U258" si="81">+J195*4%</f>
        <v>103064.12160000004</v>
      </c>
      <c r="V195" s="152">
        <f t="shared" ref="V195:V258" si="82">+SUM(J195:U195)</f>
        <v>4245324.9686716013</v>
      </c>
      <c r="W195" s="152">
        <f>IF(OR(Y195=$AA$2,Y195=$AA$3,Y195=$AA$4),HLOOKUP(A195,Datos!$D$99:$K$104,5,0),0)*G195</f>
        <v>0</v>
      </c>
      <c r="X195" s="152">
        <f t="shared" si="71"/>
        <v>40259.422500000015</v>
      </c>
      <c r="Y195" s="152" t="str">
        <f t="shared" si="72"/>
        <v xml:space="preserve">MES 5 </v>
      </c>
      <c r="Z195">
        <f t="shared" si="73"/>
        <v>10</v>
      </c>
    </row>
    <row r="196" spans="1:26">
      <c r="A196" t="str">
        <f t="shared" si="66"/>
        <v>Cajero-2028</v>
      </c>
      <c r="B196">
        <v>2028</v>
      </c>
      <c r="C196" t="s">
        <v>467</v>
      </c>
      <c r="D196" t="s">
        <v>372</v>
      </c>
      <c r="E196" t="s">
        <v>371</v>
      </c>
      <c r="F196" s="151">
        <f t="shared" si="65"/>
        <v>2</v>
      </c>
      <c r="G196" s="151">
        <f t="shared" si="65"/>
        <v>2</v>
      </c>
      <c r="H196" s="152">
        <f>HLOOKUP(A196,Datos!$D$82:$K$86,5,0)</f>
        <v>1868037.2040000006</v>
      </c>
      <c r="I196" s="152">
        <f>+HLOOKUP(A196,Datos!$D$91:$K$95,5,0)</f>
        <v>226428.65440140007</v>
      </c>
      <c r="J196" s="152">
        <f t="shared" si="67"/>
        <v>3736074.4080000012</v>
      </c>
      <c r="K196" s="152">
        <f t="shared" si="68"/>
        <v>452857.30880280014</v>
      </c>
      <c r="L196" s="152">
        <f t="shared" si="74"/>
        <v>317566.32468000014</v>
      </c>
      <c r="M196" s="152">
        <f t="shared" si="75"/>
        <v>448328.92896000011</v>
      </c>
      <c r="N196" s="152">
        <f t="shared" si="76"/>
        <v>19502.308409760004</v>
      </c>
      <c r="O196" s="152">
        <f t="shared" si="77"/>
        <v>155669.76700000005</v>
      </c>
      <c r="P196" s="152">
        <f t="shared" si="69"/>
        <v>311339.5340000001</v>
      </c>
      <c r="Q196" s="152">
        <f t="shared" si="78"/>
        <v>155669.76700000005</v>
      </c>
      <c r="R196" s="152">
        <f t="shared" si="70"/>
        <v>18680.372040000006</v>
      </c>
      <c r="S196" s="152">
        <f t="shared" si="79"/>
        <v>74721.488160000023</v>
      </c>
      <c r="T196" s="152">
        <f t="shared" si="80"/>
        <v>112082.23224000003</v>
      </c>
      <c r="U196" s="152">
        <f t="shared" si="81"/>
        <v>149442.97632000005</v>
      </c>
      <c r="V196" s="152">
        <f t="shared" si="82"/>
        <v>5951935.4156125616</v>
      </c>
      <c r="W196" s="152">
        <f>IF(OR(Y196=$AA$2,Y196=$AA$3,Y196=$AA$4),HLOOKUP(A196,Datos!$D$100:$K$104,5,0),0)*G196</f>
        <v>0</v>
      </c>
      <c r="X196" s="152">
        <f t="shared" si="71"/>
        <v>120778.26750000007</v>
      </c>
      <c r="Y196" s="152" t="str">
        <f t="shared" si="72"/>
        <v xml:space="preserve">MES 5 </v>
      </c>
      <c r="Z196">
        <f t="shared" si="73"/>
        <v>10</v>
      </c>
    </row>
    <row r="197" spans="1:26">
      <c r="A197" t="str">
        <f t="shared" si="66"/>
        <v>Aux cocina-2028</v>
      </c>
      <c r="B197">
        <v>2028</v>
      </c>
      <c r="C197" t="s">
        <v>468</v>
      </c>
      <c r="D197" t="s">
        <v>368</v>
      </c>
      <c r="E197" t="s">
        <v>369</v>
      </c>
      <c r="F197" s="151">
        <f t="shared" si="65"/>
        <v>10</v>
      </c>
      <c r="G197" s="151">
        <f t="shared" si="65"/>
        <v>10</v>
      </c>
      <c r="H197" s="152">
        <f>+HLOOKUP(A197,Datos!$D$80:$K$84,5,0)</f>
        <v>1868037.2040000006</v>
      </c>
      <c r="I197" s="152">
        <f>+HLOOKUP(A197,Datos!$D$89:$K$93,5,0)</f>
        <v>226428.65440140007</v>
      </c>
      <c r="J197" s="152">
        <f t="shared" si="67"/>
        <v>18680372.040000007</v>
      </c>
      <c r="K197" s="152">
        <f t="shared" si="68"/>
        <v>2264286.5440140008</v>
      </c>
      <c r="L197" s="152">
        <f t="shared" si="74"/>
        <v>1587831.6234000006</v>
      </c>
      <c r="M197" s="152">
        <f t="shared" si="75"/>
        <v>2241644.6448000008</v>
      </c>
      <c r="N197" s="152">
        <f t="shared" si="76"/>
        <v>97511.542048800024</v>
      </c>
      <c r="O197" s="152">
        <f t="shared" si="77"/>
        <v>778348.8350000002</v>
      </c>
      <c r="P197" s="152">
        <f t="shared" si="69"/>
        <v>1556697.6700000006</v>
      </c>
      <c r="Q197" s="152">
        <f t="shared" si="78"/>
        <v>778348.8350000002</v>
      </c>
      <c r="R197" s="152">
        <f t="shared" si="70"/>
        <v>93401.860200000025</v>
      </c>
      <c r="S197" s="152">
        <f t="shared" si="79"/>
        <v>373607.44080000016</v>
      </c>
      <c r="T197" s="152">
        <f t="shared" si="80"/>
        <v>560411.16120000021</v>
      </c>
      <c r="U197" s="152">
        <f t="shared" si="81"/>
        <v>747214.88160000031</v>
      </c>
      <c r="V197" s="152">
        <f t="shared" si="82"/>
        <v>29759677.07806281</v>
      </c>
      <c r="W197" s="152">
        <f>IF(OR(Y197=$AA$2,Y197=$AA$3,Y197=$AA$4),HLOOKUP(A197,Datos!$D$98:$K$102,5,0),0)*G197</f>
        <v>0</v>
      </c>
      <c r="X197" s="152">
        <f t="shared" si="71"/>
        <v>483113.07000000012</v>
      </c>
      <c r="Y197" s="152" t="str">
        <f t="shared" si="72"/>
        <v xml:space="preserve">MES 6 </v>
      </c>
      <c r="Z197">
        <f t="shared" si="73"/>
        <v>10</v>
      </c>
    </row>
    <row r="198" spans="1:26">
      <c r="A198" t="str">
        <f t="shared" si="66"/>
        <v>Administrador-2028</v>
      </c>
      <c r="B198">
        <v>2028</v>
      </c>
      <c r="C198" t="s">
        <v>468</v>
      </c>
      <c r="D198" t="s">
        <v>370</v>
      </c>
      <c r="E198" t="s">
        <v>371</v>
      </c>
      <c r="F198" s="151">
        <f t="shared" si="65"/>
        <v>1</v>
      </c>
      <c r="G198" s="151">
        <f t="shared" si="65"/>
        <v>2</v>
      </c>
      <c r="H198" s="152">
        <f>+HLOOKUP(A198,Datos!$D$81:$K$85,5,0)</f>
        <v>2576603.040000001</v>
      </c>
      <c r="I198" s="152">
        <f>+HLOOKUP(A198,Datos!$D$90:$K$94,5,0)</f>
        <v>226428.65440140007</v>
      </c>
      <c r="J198" s="152">
        <f t="shared" si="67"/>
        <v>2576603.040000001</v>
      </c>
      <c r="K198" s="152">
        <f t="shared" si="68"/>
        <v>452857.30880280014</v>
      </c>
      <c r="L198" s="152">
        <f t="shared" si="74"/>
        <v>219011.25840000011</v>
      </c>
      <c r="M198" s="152">
        <f t="shared" si="75"/>
        <v>309192.3648000001</v>
      </c>
      <c r="N198" s="152">
        <f t="shared" si="76"/>
        <v>13449.867868800005</v>
      </c>
      <c r="O198" s="152">
        <f t="shared" si="77"/>
        <v>107358.46000000004</v>
      </c>
      <c r="P198" s="152">
        <f t="shared" si="69"/>
        <v>214716.92000000007</v>
      </c>
      <c r="Q198" s="152">
        <f t="shared" si="78"/>
        <v>107358.46000000004</v>
      </c>
      <c r="R198" s="152">
        <f t="shared" si="70"/>
        <v>12883.015200000003</v>
      </c>
      <c r="S198" s="152">
        <f t="shared" si="79"/>
        <v>51532.060800000021</v>
      </c>
      <c r="T198" s="152">
        <f t="shared" si="80"/>
        <v>77298.091200000024</v>
      </c>
      <c r="U198" s="152">
        <f t="shared" si="81"/>
        <v>103064.12160000004</v>
      </c>
      <c r="V198" s="152">
        <f t="shared" si="82"/>
        <v>4245324.9686716013</v>
      </c>
      <c r="W198" s="152">
        <f>IF(OR(Y198=$AA$2,Y198=$AA$3,Y198=$AA$4),HLOOKUP(A198,Datos!$D$99:$K$104,5,0),0)*G198</f>
        <v>0</v>
      </c>
      <c r="X198" s="152">
        <f t="shared" si="71"/>
        <v>40259.422500000015</v>
      </c>
      <c r="Y198" s="152" t="str">
        <f t="shared" si="72"/>
        <v xml:space="preserve">MES 6 </v>
      </c>
      <c r="Z198">
        <f t="shared" si="73"/>
        <v>10</v>
      </c>
    </row>
    <row r="199" spans="1:26">
      <c r="A199" t="str">
        <f t="shared" si="66"/>
        <v>Cajero-2028</v>
      </c>
      <c r="B199">
        <v>2028</v>
      </c>
      <c r="C199" t="s">
        <v>468</v>
      </c>
      <c r="D199" t="s">
        <v>372</v>
      </c>
      <c r="E199" t="s">
        <v>371</v>
      </c>
      <c r="F199" s="151">
        <f t="shared" si="65"/>
        <v>2</v>
      </c>
      <c r="G199" s="151">
        <f t="shared" si="65"/>
        <v>2</v>
      </c>
      <c r="H199" s="152">
        <f>HLOOKUP(A199,Datos!$D$82:$K$86,5,0)</f>
        <v>1868037.2040000006</v>
      </c>
      <c r="I199" s="152">
        <f>+HLOOKUP(A199,Datos!$D$91:$K$95,5,0)</f>
        <v>226428.65440140007</v>
      </c>
      <c r="J199" s="152">
        <f t="shared" si="67"/>
        <v>3736074.4080000012</v>
      </c>
      <c r="K199" s="152">
        <f t="shared" si="68"/>
        <v>452857.30880280014</v>
      </c>
      <c r="L199" s="152">
        <f t="shared" si="74"/>
        <v>317566.32468000014</v>
      </c>
      <c r="M199" s="152">
        <f t="shared" si="75"/>
        <v>448328.92896000011</v>
      </c>
      <c r="N199" s="152">
        <f t="shared" si="76"/>
        <v>19502.308409760004</v>
      </c>
      <c r="O199" s="152">
        <f t="shared" si="77"/>
        <v>155669.76700000005</v>
      </c>
      <c r="P199" s="152">
        <f t="shared" si="69"/>
        <v>311339.5340000001</v>
      </c>
      <c r="Q199" s="152">
        <f t="shared" si="78"/>
        <v>155669.76700000005</v>
      </c>
      <c r="R199" s="152">
        <f t="shared" si="70"/>
        <v>18680.372040000006</v>
      </c>
      <c r="S199" s="152">
        <f t="shared" si="79"/>
        <v>74721.488160000023</v>
      </c>
      <c r="T199" s="152">
        <f t="shared" si="80"/>
        <v>112082.23224000003</v>
      </c>
      <c r="U199" s="152">
        <f t="shared" si="81"/>
        <v>149442.97632000005</v>
      </c>
      <c r="V199" s="152">
        <f t="shared" si="82"/>
        <v>5951935.4156125616</v>
      </c>
      <c r="W199" s="152">
        <f>IF(OR(Y199=$AA$2,Y199=$AA$3,Y199=$AA$4),HLOOKUP(A199,Datos!$D$100:$K$104,5,0),0)*G199</f>
        <v>0</v>
      </c>
      <c r="X199" s="152">
        <f t="shared" si="71"/>
        <v>120778.26750000007</v>
      </c>
      <c r="Y199" s="152" t="str">
        <f t="shared" si="72"/>
        <v xml:space="preserve">MES 6 </v>
      </c>
      <c r="Z199">
        <f t="shared" si="73"/>
        <v>10</v>
      </c>
    </row>
    <row r="200" spans="1:26">
      <c r="A200" t="str">
        <f t="shared" si="66"/>
        <v>Aux cocina-2028</v>
      </c>
      <c r="B200">
        <v>2028</v>
      </c>
      <c r="C200" t="s">
        <v>469</v>
      </c>
      <c r="D200" t="s">
        <v>368</v>
      </c>
      <c r="E200" t="s">
        <v>369</v>
      </c>
      <c r="F200" s="151">
        <f t="shared" si="65"/>
        <v>10</v>
      </c>
      <c r="G200" s="151">
        <f t="shared" si="65"/>
        <v>10</v>
      </c>
      <c r="H200" s="152">
        <f>+HLOOKUP(A200,Datos!$D$80:$K$84,5,0)</f>
        <v>1868037.2040000006</v>
      </c>
      <c r="I200" s="152">
        <f>+HLOOKUP(A200,Datos!$D$89:$K$93,5,0)</f>
        <v>226428.65440140007</v>
      </c>
      <c r="J200" s="152">
        <f t="shared" si="67"/>
        <v>18680372.040000007</v>
      </c>
      <c r="K200" s="152">
        <f t="shared" si="68"/>
        <v>2264286.5440140008</v>
      </c>
      <c r="L200" s="152">
        <f t="shared" si="74"/>
        <v>1587831.6234000006</v>
      </c>
      <c r="M200" s="152">
        <f t="shared" si="75"/>
        <v>2241644.6448000008</v>
      </c>
      <c r="N200" s="152">
        <f t="shared" si="76"/>
        <v>97511.542048800024</v>
      </c>
      <c r="O200" s="152">
        <f t="shared" si="77"/>
        <v>778348.8350000002</v>
      </c>
      <c r="P200" s="152">
        <f t="shared" si="69"/>
        <v>1556697.6700000006</v>
      </c>
      <c r="Q200" s="152">
        <f t="shared" si="78"/>
        <v>778348.8350000002</v>
      </c>
      <c r="R200" s="152">
        <f t="shared" si="70"/>
        <v>93401.860200000025</v>
      </c>
      <c r="S200" s="152">
        <f t="shared" si="79"/>
        <v>373607.44080000016</v>
      </c>
      <c r="T200" s="152">
        <f t="shared" si="80"/>
        <v>560411.16120000021</v>
      </c>
      <c r="U200" s="152">
        <f t="shared" si="81"/>
        <v>747214.88160000031</v>
      </c>
      <c r="V200" s="152">
        <f t="shared" si="82"/>
        <v>29759677.07806281</v>
      </c>
      <c r="W200" s="152">
        <f>IF(OR(Y200=$AA$2,Y200=$AA$3,Y200=$AA$4),HLOOKUP(A200,Datos!$D$98:$K$102,5,0),0)*G200</f>
        <v>0</v>
      </c>
      <c r="X200" s="152">
        <f t="shared" si="71"/>
        <v>483113.07000000012</v>
      </c>
      <c r="Y200" s="152" t="str">
        <f t="shared" si="72"/>
        <v xml:space="preserve">MES 7 </v>
      </c>
      <c r="Z200">
        <f t="shared" si="73"/>
        <v>10</v>
      </c>
    </row>
    <row r="201" spans="1:26">
      <c r="A201" t="str">
        <f t="shared" si="66"/>
        <v>Administrador-2028</v>
      </c>
      <c r="B201">
        <v>2028</v>
      </c>
      <c r="C201" t="s">
        <v>469</v>
      </c>
      <c r="D201" t="s">
        <v>370</v>
      </c>
      <c r="E201" t="s">
        <v>371</v>
      </c>
      <c r="F201" s="151">
        <f t="shared" si="65"/>
        <v>1</v>
      </c>
      <c r="G201" s="151">
        <f t="shared" si="65"/>
        <v>2</v>
      </c>
      <c r="H201" s="152">
        <f>+HLOOKUP(A201,Datos!$D$81:$K$85,5,0)</f>
        <v>2576603.040000001</v>
      </c>
      <c r="I201" s="152">
        <f>+HLOOKUP(A201,Datos!$D$90:$K$94,5,0)</f>
        <v>226428.65440140007</v>
      </c>
      <c r="J201" s="152">
        <f t="shared" si="67"/>
        <v>2576603.040000001</v>
      </c>
      <c r="K201" s="152">
        <f t="shared" si="68"/>
        <v>452857.30880280014</v>
      </c>
      <c r="L201" s="152">
        <f t="shared" si="74"/>
        <v>219011.25840000011</v>
      </c>
      <c r="M201" s="152">
        <f t="shared" si="75"/>
        <v>309192.3648000001</v>
      </c>
      <c r="N201" s="152">
        <f t="shared" si="76"/>
        <v>13449.867868800005</v>
      </c>
      <c r="O201" s="152">
        <f t="shared" si="77"/>
        <v>107358.46000000004</v>
      </c>
      <c r="P201" s="152">
        <f t="shared" si="69"/>
        <v>214716.92000000007</v>
      </c>
      <c r="Q201" s="152">
        <f t="shared" si="78"/>
        <v>107358.46000000004</v>
      </c>
      <c r="R201" s="152">
        <f t="shared" si="70"/>
        <v>12883.015200000003</v>
      </c>
      <c r="S201" s="152">
        <f t="shared" si="79"/>
        <v>51532.060800000021</v>
      </c>
      <c r="T201" s="152">
        <f t="shared" si="80"/>
        <v>77298.091200000024</v>
      </c>
      <c r="U201" s="152">
        <f t="shared" si="81"/>
        <v>103064.12160000004</v>
      </c>
      <c r="V201" s="152">
        <f t="shared" si="82"/>
        <v>4245324.9686716013</v>
      </c>
      <c r="W201" s="152">
        <f>IF(OR(Y201=$AA$2,Y201=$AA$3,Y201=$AA$4),HLOOKUP(A201,Datos!$D$99:$K$104,5,0),0)*G201</f>
        <v>0</v>
      </c>
      <c r="X201" s="152">
        <f t="shared" si="71"/>
        <v>40259.422500000015</v>
      </c>
      <c r="Y201" s="152" t="str">
        <f t="shared" si="72"/>
        <v xml:space="preserve">MES 7 </v>
      </c>
      <c r="Z201">
        <f t="shared" si="73"/>
        <v>10</v>
      </c>
    </row>
    <row r="202" spans="1:26">
      <c r="A202" t="str">
        <f t="shared" si="66"/>
        <v>Cajero-2028</v>
      </c>
      <c r="B202">
        <v>2028</v>
      </c>
      <c r="C202" t="s">
        <v>469</v>
      </c>
      <c r="D202" t="s">
        <v>372</v>
      </c>
      <c r="E202" t="s">
        <v>371</v>
      </c>
      <c r="F202" s="151">
        <f t="shared" si="65"/>
        <v>2</v>
      </c>
      <c r="G202" s="151">
        <f t="shared" si="65"/>
        <v>2</v>
      </c>
      <c r="H202" s="152">
        <f>HLOOKUP(A202,Datos!$D$82:$K$86,5,0)</f>
        <v>1868037.2040000006</v>
      </c>
      <c r="I202" s="152">
        <f>+HLOOKUP(A202,Datos!$D$91:$K$95,5,0)</f>
        <v>226428.65440140007</v>
      </c>
      <c r="J202" s="152">
        <f t="shared" si="67"/>
        <v>3736074.4080000012</v>
      </c>
      <c r="K202" s="152">
        <f t="shared" si="68"/>
        <v>452857.30880280014</v>
      </c>
      <c r="L202" s="152">
        <f t="shared" si="74"/>
        <v>317566.32468000014</v>
      </c>
      <c r="M202" s="152">
        <f t="shared" si="75"/>
        <v>448328.92896000011</v>
      </c>
      <c r="N202" s="152">
        <f t="shared" si="76"/>
        <v>19502.308409760004</v>
      </c>
      <c r="O202" s="152">
        <f t="shared" si="77"/>
        <v>155669.76700000005</v>
      </c>
      <c r="P202" s="152">
        <f t="shared" si="69"/>
        <v>311339.5340000001</v>
      </c>
      <c r="Q202" s="152">
        <f t="shared" si="78"/>
        <v>155669.76700000005</v>
      </c>
      <c r="R202" s="152">
        <f t="shared" si="70"/>
        <v>18680.372040000006</v>
      </c>
      <c r="S202" s="152">
        <f t="shared" si="79"/>
        <v>74721.488160000023</v>
      </c>
      <c r="T202" s="152">
        <f t="shared" si="80"/>
        <v>112082.23224000003</v>
      </c>
      <c r="U202" s="152">
        <f t="shared" si="81"/>
        <v>149442.97632000005</v>
      </c>
      <c r="V202" s="152">
        <f t="shared" si="82"/>
        <v>5951935.4156125616</v>
      </c>
      <c r="W202" s="152">
        <f>IF(OR(Y202=$AA$2,Y202=$AA$3,Y202=$AA$4),HLOOKUP(A202,Datos!$D$100:$K$104,5,0),0)*G202</f>
        <v>0</v>
      </c>
      <c r="X202" s="152">
        <f t="shared" si="71"/>
        <v>120778.26750000007</v>
      </c>
      <c r="Y202" s="152" t="str">
        <f t="shared" si="72"/>
        <v xml:space="preserve">MES 7 </v>
      </c>
      <c r="Z202">
        <f t="shared" si="73"/>
        <v>10</v>
      </c>
    </row>
    <row r="203" spans="1:26">
      <c r="A203" t="str">
        <f t="shared" si="66"/>
        <v>Aux cocina-2028</v>
      </c>
      <c r="B203">
        <v>2028</v>
      </c>
      <c r="C203" t="s">
        <v>470</v>
      </c>
      <c r="D203" t="s">
        <v>368</v>
      </c>
      <c r="E203" t="s">
        <v>369</v>
      </c>
      <c r="F203" s="151">
        <f t="shared" si="65"/>
        <v>10</v>
      </c>
      <c r="G203" s="151">
        <f t="shared" si="65"/>
        <v>10</v>
      </c>
      <c r="H203" s="152">
        <f>+HLOOKUP(A203,Datos!$D$80:$K$84,5,0)</f>
        <v>1868037.2040000006</v>
      </c>
      <c r="I203" s="152">
        <f>+HLOOKUP(A203,Datos!$D$89:$K$93,5,0)</f>
        <v>226428.65440140007</v>
      </c>
      <c r="J203" s="152">
        <f t="shared" si="67"/>
        <v>18680372.040000007</v>
      </c>
      <c r="K203" s="152">
        <f t="shared" si="68"/>
        <v>2264286.5440140008</v>
      </c>
      <c r="L203" s="152">
        <f t="shared" si="74"/>
        <v>1587831.6234000006</v>
      </c>
      <c r="M203" s="152">
        <f t="shared" si="75"/>
        <v>2241644.6448000008</v>
      </c>
      <c r="N203" s="152">
        <f t="shared" si="76"/>
        <v>97511.542048800024</v>
      </c>
      <c r="O203" s="152">
        <f t="shared" si="77"/>
        <v>778348.8350000002</v>
      </c>
      <c r="P203" s="152">
        <f t="shared" si="69"/>
        <v>1556697.6700000006</v>
      </c>
      <c r="Q203" s="152">
        <f t="shared" si="78"/>
        <v>778348.8350000002</v>
      </c>
      <c r="R203" s="152">
        <f t="shared" si="70"/>
        <v>93401.860200000025</v>
      </c>
      <c r="S203" s="152">
        <f t="shared" si="79"/>
        <v>373607.44080000016</v>
      </c>
      <c r="T203" s="152">
        <f t="shared" si="80"/>
        <v>560411.16120000021</v>
      </c>
      <c r="U203" s="152">
        <f t="shared" si="81"/>
        <v>747214.88160000031</v>
      </c>
      <c r="V203" s="152">
        <f t="shared" si="82"/>
        <v>29759677.07806281</v>
      </c>
      <c r="W203" s="152">
        <f>IF(OR(Y203=$AA$2,Y203=$AA$3,Y203=$AA$4),HLOOKUP(A203,Datos!$D$98:$K$102,5,0),0)*G203</f>
        <v>1932452.2800000007</v>
      </c>
      <c r="X203" s="152">
        <f t="shared" si="71"/>
        <v>483113.07000000012</v>
      </c>
      <c r="Y203" s="152" t="str">
        <f t="shared" si="72"/>
        <v xml:space="preserve">MES 8 </v>
      </c>
      <c r="Z203">
        <f t="shared" si="73"/>
        <v>10</v>
      </c>
    </row>
    <row r="204" spans="1:26">
      <c r="A204" t="str">
        <f t="shared" si="66"/>
        <v>Administrador-2028</v>
      </c>
      <c r="B204">
        <v>2028</v>
      </c>
      <c r="C204" t="s">
        <v>470</v>
      </c>
      <c r="D204" t="s">
        <v>370</v>
      </c>
      <c r="E204" t="s">
        <v>371</v>
      </c>
      <c r="F204" s="151">
        <f t="shared" si="65"/>
        <v>1</v>
      </c>
      <c r="G204" s="151">
        <f t="shared" si="65"/>
        <v>2</v>
      </c>
      <c r="H204" s="152">
        <f>+HLOOKUP(A204,Datos!$D$81:$K$85,5,0)</f>
        <v>2576603.040000001</v>
      </c>
      <c r="I204" s="152">
        <f>+HLOOKUP(A204,Datos!$D$90:$K$94,5,0)</f>
        <v>226428.65440140007</v>
      </c>
      <c r="J204" s="152">
        <f t="shared" si="67"/>
        <v>2576603.040000001</v>
      </c>
      <c r="K204" s="152">
        <f t="shared" si="68"/>
        <v>452857.30880280014</v>
      </c>
      <c r="L204" s="152">
        <f t="shared" si="74"/>
        <v>219011.25840000011</v>
      </c>
      <c r="M204" s="152">
        <f t="shared" si="75"/>
        <v>309192.3648000001</v>
      </c>
      <c r="N204" s="152">
        <f t="shared" si="76"/>
        <v>13449.867868800005</v>
      </c>
      <c r="O204" s="152">
        <f t="shared" si="77"/>
        <v>107358.46000000004</v>
      </c>
      <c r="P204" s="152">
        <f t="shared" si="69"/>
        <v>214716.92000000007</v>
      </c>
      <c r="Q204" s="152">
        <f t="shared" si="78"/>
        <v>107358.46000000004</v>
      </c>
      <c r="R204" s="152">
        <f t="shared" si="70"/>
        <v>12883.015200000003</v>
      </c>
      <c r="S204" s="152">
        <f t="shared" si="79"/>
        <v>51532.060800000021</v>
      </c>
      <c r="T204" s="152">
        <f t="shared" si="80"/>
        <v>77298.091200000024</v>
      </c>
      <c r="U204" s="152">
        <f t="shared" si="81"/>
        <v>103064.12160000004</v>
      </c>
      <c r="V204" s="152">
        <f t="shared" si="82"/>
        <v>4245324.9686716013</v>
      </c>
      <c r="W204" s="152">
        <f>IF(OR(Y204=$AA$2,Y204=$AA$3,Y204=$AA$4),HLOOKUP(A204,Datos!$D$99:$K$104,5,0),0)*G204</f>
        <v>161037.69000000006</v>
      </c>
      <c r="X204" s="152">
        <f t="shared" si="71"/>
        <v>40259.422500000015</v>
      </c>
      <c r="Y204" s="152" t="str">
        <f t="shared" si="72"/>
        <v xml:space="preserve">MES 8 </v>
      </c>
      <c r="Z204">
        <f t="shared" si="73"/>
        <v>10</v>
      </c>
    </row>
    <row r="205" spans="1:26">
      <c r="A205" t="str">
        <f t="shared" si="66"/>
        <v>Cajero-2028</v>
      </c>
      <c r="B205">
        <v>2028</v>
      </c>
      <c r="C205" t="s">
        <v>470</v>
      </c>
      <c r="D205" t="s">
        <v>372</v>
      </c>
      <c r="E205" t="s">
        <v>371</v>
      </c>
      <c r="F205" s="151">
        <f t="shared" si="65"/>
        <v>2</v>
      </c>
      <c r="G205" s="151">
        <f t="shared" si="65"/>
        <v>2</v>
      </c>
      <c r="H205" s="152">
        <f>HLOOKUP(A205,Datos!$D$82:$K$86,5,0)</f>
        <v>1868037.2040000006</v>
      </c>
      <c r="I205" s="152">
        <f>+HLOOKUP(A205,Datos!$D$91:$K$95,5,0)</f>
        <v>226428.65440140007</v>
      </c>
      <c r="J205" s="152">
        <f t="shared" si="67"/>
        <v>3736074.4080000012</v>
      </c>
      <c r="K205" s="152">
        <f t="shared" si="68"/>
        <v>452857.30880280014</v>
      </c>
      <c r="L205" s="152">
        <f t="shared" si="74"/>
        <v>317566.32468000014</v>
      </c>
      <c r="M205" s="152">
        <f t="shared" si="75"/>
        <v>448328.92896000011</v>
      </c>
      <c r="N205" s="152">
        <f t="shared" si="76"/>
        <v>19502.308409760004</v>
      </c>
      <c r="O205" s="152">
        <f t="shared" si="77"/>
        <v>155669.76700000005</v>
      </c>
      <c r="P205" s="152">
        <f t="shared" si="69"/>
        <v>311339.5340000001</v>
      </c>
      <c r="Q205" s="152">
        <f t="shared" si="78"/>
        <v>155669.76700000005</v>
      </c>
      <c r="R205" s="152">
        <f t="shared" si="70"/>
        <v>18680.372040000006</v>
      </c>
      <c r="S205" s="152">
        <f t="shared" si="79"/>
        <v>74721.488160000023</v>
      </c>
      <c r="T205" s="152">
        <f t="shared" si="80"/>
        <v>112082.23224000003</v>
      </c>
      <c r="U205" s="152">
        <f t="shared" si="81"/>
        <v>149442.97632000005</v>
      </c>
      <c r="V205" s="152">
        <f t="shared" si="82"/>
        <v>5951935.4156125616</v>
      </c>
      <c r="W205" s="152">
        <f>IF(OR(Y205=$AA$2,Y205=$AA$3,Y205=$AA$4),HLOOKUP(A205,Datos!$D$100:$K$104,5,0),0)*G205</f>
        <v>483113.0700000003</v>
      </c>
      <c r="X205" s="152">
        <f t="shared" si="71"/>
        <v>120778.26750000007</v>
      </c>
      <c r="Y205" s="152" t="str">
        <f t="shared" si="72"/>
        <v xml:space="preserve">MES 8 </v>
      </c>
      <c r="Z205">
        <f t="shared" si="73"/>
        <v>10</v>
      </c>
    </row>
    <row r="206" spans="1:26">
      <c r="A206" t="str">
        <f t="shared" si="66"/>
        <v>Aux cocina-2028</v>
      </c>
      <c r="B206">
        <v>2028</v>
      </c>
      <c r="C206" t="s">
        <v>471</v>
      </c>
      <c r="D206" t="s">
        <v>368</v>
      </c>
      <c r="E206" t="s">
        <v>369</v>
      </c>
      <c r="F206" s="151">
        <f t="shared" si="65"/>
        <v>10</v>
      </c>
      <c r="G206" s="151">
        <f t="shared" si="65"/>
        <v>10</v>
      </c>
      <c r="H206" s="152">
        <f>+HLOOKUP(A206,Datos!$D$80:$K$84,5,0)</f>
        <v>1868037.2040000006</v>
      </c>
      <c r="I206" s="152">
        <f>+HLOOKUP(A206,Datos!$D$89:$K$93,5,0)</f>
        <v>226428.65440140007</v>
      </c>
      <c r="J206" s="152">
        <f t="shared" si="67"/>
        <v>18680372.040000007</v>
      </c>
      <c r="K206" s="152">
        <f t="shared" si="68"/>
        <v>2264286.5440140008</v>
      </c>
      <c r="L206" s="152">
        <f t="shared" si="74"/>
        <v>1587831.6234000006</v>
      </c>
      <c r="M206" s="152">
        <f t="shared" si="75"/>
        <v>2241644.6448000008</v>
      </c>
      <c r="N206" s="152">
        <f t="shared" si="76"/>
        <v>97511.542048800024</v>
      </c>
      <c r="O206" s="152">
        <f t="shared" si="77"/>
        <v>778348.8350000002</v>
      </c>
      <c r="P206" s="152">
        <f t="shared" si="69"/>
        <v>1556697.6700000006</v>
      </c>
      <c r="Q206" s="152">
        <f t="shared" si="78"/>
        <v>778348.8350000002</v>
      </c>
      <c r="R206" s="152">
        <f t="shared" si="70"/>
        <v>93401.860200000025</v>
      </c>
      <c r="S206" s="152">
        <f t="shared" si="79"/>
        <v>373607.44080000016</v>
      </c>
      <c r="T206" s="152">
        <f t="shared" si="80"/>
        <v>560411.16120000021</v>
      </c>
      <c r="U206" s="152">
        <f t="shared" si="81"/>
        <v>747214.88160000031</v>
      </c>
      <c r="V206" s="152">
        <f t="shared" si="82"/>
        <v>29759677.07806281</v>
      </c>
      <c r="W206" s="152">
        <f>IF(OR(Y206=$AA$2,Y206=$AA$3,Y206=$AA$4),HLOOKUP(A206,Datos!$D$98:$K$102,5,0),0)*G206</f>
        <v>0</v>
      </c>
      <c r="X206" s="152">
        <f t="shared" si="71"/>
        <v>483113.07000000012</v>
      </c>
      <c r="Y206" s="152" t="str">
        <f t="shared" si="72"/>
        <v xml:space="preserve">MES 9 </v>
      </c>
      <c r="Z206">
        <f t="shared" si="73"/>
        <v>10</v>
      </c>
    </row>
    <row r="207" spans="1:26">
      <c r="A207" t="str">
        <f t="shared" si="66"/>
        <v>Administrador-2028</v>
      </c>
      <c r="B207">
        <v>2028</v>
      </c>
      <c r="C207" t="s">
        <v>471</v>
      </c>
      <c r="D207" t="s">
        <v>370</v>
      </c>
      <c r="E207" t="s">
        <v>371</v>
      </c>
      <c r="F207" s="151">
        <f t="shared" ref="F207:G217" si="83">+F204</f>
        <v>1</v>
      </c>
      <c r="G207" s="151">
        <f t="shared" si="83"/>
        <v>2</v>
      </c>
      <c r="H207" s="152">
        <f>+HLOOKUP(A207,Datos!$D$81:$K$85,5,0)</f>
        <v>2576603.040000001</v>
      </c>
      <c r="I207" s="152">
        <f>+HLOOKUP(A207,Datos!$D$90:$K$94,5,0)</f>
        <v>226428.65440140007</v>
      </c>
      <c r="J207" s="152">
        <f t="shared" si="67"/>
        <v>2576603.040000001</v>
      </c>
      <c r="K207" s="152">
        <f t="shared" si="68"/>
        <v>452857.30880280014</v>
      </c>
      <c r="L207" s="152">
        <f t="shared" si="74"/>
        <v>219011.25840000011</v>
      </c>
      <c r="M207" s="152">
        <f t="shared" si="75"/>
        <v>309192.3648000001</v>
      </c>
      <c r="N207" s="152">
        <f t="shared" si="76"/>
        <v>13449.867868800005</v>
      </c>
      <c r="O207" s="152">
        <f t="shared" si="77"/>
        <v>107358.46000000004</v>
      </c>
      <c r="P207" s="152">
        <f t="shared" si="69"/>
        <v>214716.92000000007</v>
      </c>
      <c r="Q207" s="152">
        <f t="shared" si="78"/>
        <v>107358.46000000004</v>
      </c>
      <c r="R207" s="152">
        <f t="shared" si="70"/>
        <v>12883.015200000003</v>
      </c>
      <c r="S207" s="152">
        <f t="shared" si="79"/>
        <v>51532.060800000021</v>
      </c>
      <c r="T207" s="152">
        <f t="shared" si="80"/>
        <v>77298.091200000024</v>
      </c>
      <c r="U207" s="152">
        <f t="shared" si="81"/>
        <v>103064.12160000004</v>
      </c>
      <c r="V207" s="152">
        <f t="shared" si="82"/>
        <v>4245324.9686716013</v>
      </c>
      <c r="W207" s="152">
        <f>IF(OR(Y207=$AA$2,Y207=$AA$3,Y207=$AA$4),HLOOKUP(A207,Datos!$D$99:$K$104,5,0),0)*G207</f>
        <v>0</v>
      </c>
      <c r="X207" s="152">
        <f t="shared" si="71"/>
        <v>40259.422500000015</v>
      </c>
      <c r="Y207" s="152" t="str">
        <f t="shared" si="72"/>
        <v xml:space="preserve">MES 9 </v>
      </c>
      <c r="Z207">
        <f t="shared" si="73"/>
        <v>10</v>
      </c>
    </row>
    <row r="208" spans="1:26">
      <c r="A208" t="str">
        <f t="shared" si="66"/>
        <v>Cajero-2028</v>
      </c>
      <c r="B208">
        <v>2028</v>
      </c>
      <c r="C208" t="s">
        <v>471</v>
      </c>
      <c r="D208" t="s">
        <v>372</v>
      </c>
      <c r="E208" t="s">
        <v>371</v>
      </c>
      <c r="F208" s="151">
        <f t="shared" si="83"/>
        <v>2</v>
      </c>
      <c r="G208" s="151">
        <f t="shared" si="83"/>
        <v>2</v>
      </c>
      <c r="H208" s="152">
        <f>HLOOKUP(A208,Datos!$D$82:$K$86,5,0)</f>
        <v>1868037.2040000006</v>
      </c>
      <c r="I208" s="152">
        <f>+HLOOKUP(A208,Datos!$D$91:$K$95,5,0)</f>
        <v>226428.65440140007</v>
      </c>
      <c r="J208" s="152">
        <f t="shared" si="67"/>
        <v>3736074.4080000012</v>
      </c>
      <c r="K208" s="152">
        <f t="shared" si="68"/>
        <v>452857.30880280014</v>
      </c>
      <c r="L208" s="152">
        <f t="shared" si="74"/>
        <v>317566.32468000014</v>
      </c>
      <c r="M208" s="152">
        <f t="shared" si="75"/>
        <v>448328.92896000011</v>
      </c>
      <c r="N208" s="152">
        <f t="shared" si="76"/>
        <v>19502.308409760004</v>
      </c>
      <c r="O208" s="152">
        <f t="shared" si="77"/>
        <v>155669.76700000005</v>
      </c>
      <c r="P208" s="152">
        <f t="shared" si="69"/>
        <v>311339.5340000001</v>
      </c>
      <c r="Q208" s="152">
        <f t="shared" si="78"/>
        <v>155669.76700000005</v>
      </c>
      <c r="R208" s="152">
        <f t="shared" si="70"/>
        <v>18680.372040000006</v>
      </c>
      <c r="S208" s="152">
        <f t="shared" si="79"/>
        <v>74721.488160000023</v>
      </c>
      <c r="T208" s="152">
        <f t="shared" si="80"/>
        <v>112082.23224000003</v>
      </c>
      <c r="U208" s="152">
        <f t="shared" si="81"/>
        <v>149442.97632000005</v>
      </c>
      <c r="V208" s="152">
        <f t="shared" si="82"/>
        <v>5951935.4156125616</v>
      </c>
      <c r="W208" s="152">
        <f>IF(OR(Y208=$AA$2,Y208=$AA$3,Y208=$AA$4),HLOOKUP(A208,Datos!$D$100:$K$104,5,0),0)*G208</f>
        <v>0</v>
      </c>
      <c r="X208" s="152">
        <f t="shared" si="71"/>
        <v>120778.26750000007</v>
      </c>
      <c r="Y208" s="152" t="str">
        <f t="shared" si="72"/>
        <v xml:space="preserve">MES 9 </v>
      </c>
      <c r="Z208">
        <f t="shared" si="73"/>
        <v>10</v>
      </c>
    </row>
    <row r="209" spans="1:26">
      <c r="A209" t="str">
        <f t="shared" si="66"/>
        <v>Aux cocina-2028</v>
      </c>
      <c r="B209">
        <v>2028</v>
      </c>
      <c r="C209" t="s">
        <v>472</v>
      </c>
      <c r="D209" t="s">
        <v>368</v>
      </c>
      <c r="E209" t="s">
        <v>369</v>
      </c>
      <c r="F209" s="151">
        <f t="shared" si="83"/>
        <v>10</v>
      </c>
      <c r="G209" s="151">
        <f t="shared" si="83"/>
        <v>10</v>
      </c>
      <c r="H209" s="152">
        <f>+HLOOKUP(A209,Datos!$D$80:$K$84,5,0)</f>
        <v>1868037.2040000006</v>
      </c>
      <c r="I209" s="152">
        <f>+HLOOKUP(A209,Datos!$D$89:$K$93,5,0)</f>
        <v>226428.65440140007</v>
      </c>
      <c r="J209" s="152">
        <f t="shared" si="67"/>
        <v>18680372.040000007</v>
      </c>
      <c r="K209" s="152">
        <f t="shared" si="68"/>
        <v>2264286.5440140008</v>
      </c>
      <c r="L209" s="152">
        <f t="shared" si="74"/>
        <v>1587831.6234000006</v>
      </c>
      <c r="M209" s="152">
        <f t="shared" si="75"/>
        <v>2241644.6448000008</v>
      </c>
      <c r="N209" s="152">
        <f t="shared" si="76"/>
        <v>97511.542048800024</v>
      </c>
      <c r="O209" s="152">
        <f t="shared" si="77"/>
        <v>778348.8350000002</v>
      </c>
      <c r="P209" s="152">
        <f t="shared" si="69"/>
        <v>1556697.6700000006</v>
      </c>
      <c r="Q209" s="152">
        <f t="shared" si="78"/>
        <v>778348.8350000002</v>
      </c>
      <c r="R209" s="152">
        <f t="shared" si="70"/>
        <v>93401.860200000025</v>
      </c>
      <c r="S209" s="152">
        <f t="shared" si="79"/>
        <v>373607.44080000016</v>
      </c>
      <c r="T209" s="152">
        <f t="shared" si="80"/>
        <v>560411.16120000021</v>
      </c>
      <c r="U209" s="152">
        <f t="shared" si="81"/>
        <v>747214.88160000031</v>
      </c>
      <c r="V209" s="152">
        <f t="shared" si="82"/>
        <v>29759677.07806281</v>
      </c>
      <c r="W209" s="152">
        <f>IF(OR(Y209=$AA$2,Y209=$AA$3,Y209=$AA$4),HLOOKUP(A209,Datos!$D$98:$K$102,5,0),0)*G209</f>
        <v>0</v>
      </c>
      <c r="X209" s="152">
        <f t="shared" si="71"/>
        <v>483113.07000000012</v>
      </c>
      <c r="Y209" s="152" t="str">
        <f t="shared" si="72"/>
        <v>MES 10</v>
      </c>
      <c r="Z209">
        <f t="shared" si="73"/>
        <v>11</v>
      </c>
    </row>
    <row r="210" spans="1:26">
      <c r="A210" t="str">
        <f t="shared" si="66"/>
        <v>Administrador-2028</v>
      </c>
      <c r="B210">
        <v>2028</v>
      </c>
      <c r="C210" t="s">
        <v>472</v>
      </c>
      <c r="D210" t="s">
        <v>370</v>
      </c>
      <c r="E210" t="s">
        <v>371</v>
      </c>
      <c r="F210" s="151">
        <f t="shared" si="83"/>
        <v>1</v>
      </c>
      <c r="G210" s="151">
        <f t="shared" si="83"/>
        <v>2</v>
      </c>
      <c r="H210" s="152">
        <f>+HLOOKUP(A210,Datos!$D$81:$K$85,5,0)</f>
        <v>2576603.040000001</v>
      </c>
      <c r="I210" s="152">
        <f>+HLOOKUP(A210,Datos!$D$90:$K$94,5,0)</f>
        <v>226428.65440140007</v>
      </c>
      <c r="J210" s="152">
        <f t="shared" si="67"/>
        <v>2576603.040000001</v>
      </c>
      <c r="K210" s="152">
        <f t="shared" si="68"/>
        <v>452857.30880280014</v>
      </c>
      <c r="L210" s="152">
        <f t="shared" si="74"/>
        <v>219011.25840000011</v>
      </c>
      <c r="M210" s="152">
        <f t="shared" si="75"/>
        <v>309192.3648000001</v>
      </c>
      <c r="N210" s="152">
        <f t="shared" si="76"/>
        <v>13449.867868800005</v>
      </c>
      <c r="O210" s="152">
        <f t="shared" si="77"/>
        <v>107358.46000000004</v>
      </c>
      <c r="P210" s="152">
        <f t="shared" si="69"/>
        <v>214716.92000000007</v>
      </c>
      <c r="Q210" s="152">
        <f t="shared" si="78"/>
        <v>107358.46000000004</v>
      </c>
      <c r="R210" s="152">
        <f t="shared" si="70"/>
        <v>12883.015200000003</v>
      </c>
      <c r="S210" s="152">
        <f t="shared" si="79"/>
        <v>51532.060800000021</v>
      </c>
      <c r="T210" s="152">
        <f t="shared" si="80"/>
        <v>77298.091200000024</v>
      </c>
      <c r="U210" s="152">
        <f t="shared" si="81"/>
        <v>103064.12160000004</v>
      </c>
      <c r="V210" s="152">
        <f t="shared" si="82"/>
        <v>4245324.9686716013</v>
      </c>
      <c r="W210" s="152">
        <f>IF(OR(Y210=$AA$2,Y210=$AA$3,Y210=$AA$4),HLOOKUP(A210,Datos!$D$99:$K$104,5,0),0)*G210</f>
        <v>0</v>
      </c>
      <c r="X210" s="152">
        <f t="shared" si="71"/>
        <v>40259.422500000015</v>
      </c>
      <c r="Y210" s="152" t="str">
        <f t="shared" si="72"/>
        <v>MES 10</v>
      </c>
      <c r="Z210">
        <f t="shared" si="73"/>
        <v>11</v>
      </c>
    </row>
    <row r="211" spans="1:26">
      <c r="A211" t="str">
        <f t="shared" si="66"/>
        <v>Cajero-2028</v>
      </c>
      <c r="B211">
        <v>2028</v>
      </c>
      <c r="C211" t="s">
        <v>472</v>
      </c>
      <c r="D211" t="s">
        <v>372</v>
      </c>
      <c r="E211" t="s">
        <v>371</v>
      </c>
      <c r="F211" s="151">
        <f t="shared" si="83"/>
        <v>2</v>
      </c>
      <c r="G211" s="151">
        <f t="shared" si="83"/>
        <v>2</v>
      </c>
      <c r="H211" s="152">
        <f>HLOOKUP(A211,Datos!$D$82:$K$86,5,0)</f>
        <v>1868037.2040000006</v>
      </c>
      <c r="I211" s="152">
        <f>+HLOOKUP(A211,Datos!$D$91:$K$95,5,0)</f>
        <v>226428.65440140007</v>
      </c>
      <c r="J211" s="152">
        <f t="shared" si="67"/>
        <v>3736074.4080000012</v>
      </c>
      <c r="K211" s="152">
        <f t="shared" si="68"/>
        <v>452857.30880280014</v>
      </c>
      <c r="L211" s="152">
        <f t="shared" si="74"/>
        <v>317566.32468000014</v>
      </c>
      <c r="M211" s="152">
        <f t="shared" si="75"/>
        <v>448328.92896000011</v>
      </c>
      <c r="N211" s="152">
        <f t="shared" si="76"/>
        <v>19502.308409760004</v>
      </c>
      <c r="O211" s="152">
        <f t="shared" si="77"/>
        <v>155669.76700000005</v>
      </c>
      <c r="P211" s="152">
        <f t="shared" si="69"/>
        <v>311339.5340000001</v>
      </c>
      <c r="Q211" s="152">
        <f t="shared" si="78"/>
        <v>155669.76700000005</v>
      </c>
      <c r="R211" s="152">
        <f t="shared" si="70"/>
        <v>18680.372040000006</v>
      </c>
      <c r="S211" s="152">
        <f t="shared" si="79"/>
        <v>74721.488160000023</v>
      </c>
      <c r="T211" s="152">
        <f t="shared" si="80"/>
        <v>112082.23224000003</v>
      </c>
      <c r="U211" s="152">
        <f t="shared" si="81"/>
        <v>149442.97632000005</v>
      </c>
      <c r="V211" s="152">
        <f t="shared" si="82"/>
        <v>5951935.4156125616</v>
      </c>
      <c r="W211" s="152">
        <f>IF(OR(Y211=$AA$2,Y211=$AA$3,Y211=$AA$4),HLOOKUP(A211,Datos!$D$100:$K$104,5,0),0)*G211</f>
        <v>0</v>
      </c>
      <c r="X211" s="152">
        <f t="shared" si="71"/>
        <v>120778.26750000007</v>
      </c>
      <c r="Y211" s="152" t="str">
        <f t="shared" si="72"/>
        <v>MES 10</v>
      </c>
      <c r="Z211">
        <f t="shared" si="73"/>
        <v>11</v>
      </c>
    </row>
    <row r="212" spans="1:26">
      <c r="A212" t="str">
        <f t="shared" si="66"/>
        <v>Aux cocina-2028</v>
      </c>
      <c r="B212">
        <v>2028</v>
      </c>
      <c r="C212" t="s">
        <v>473</v>
      </c>
      <c r="D212" t="s">
        <v>368</v>
      </c>
      <c r="E212" t="s">
        <v>369</v>
      </c>
      <c r="F212" s="151">
        <f t="shared" si="83"/>
        <v>10</v>
      </c>
      <c r="G212" s="151">
        <f t="shared" si="83"/>
        <v>10</v>
      </c>
      <c r="H212" s="152">
        <f>+HLOOKUP(A212,Datos!$D$80:$K$84,5,0)</f>
        <v>1868037.2040000006</v>
      </c>
      <c r="I212" s="152">
        <f>+HLOOKUP(A212,Datos!$D$89:$K$93,5,0)</f>
        <v>226428.65440140007</v>
      </c>
      <c r="J212" s="152">
        <f t="shared" si="67"/>
        <v>18680372.040000007</v>
      </c>
      <c r="K212" s="152">
        <f t="shared" si="68"/>
        <v>2264286.5440140008</v>
      </c>
      <c r="L212" s="152">
        <f t="shared" si="74"/>
        <v>1587831.6234000006</v>
      </c>
      <c r="M212" s="152">
        <f t="shared" si="75"/>
        <v>2241644.6448000008</v>
      </c>
      <c r="N212" s="152">
        <f t="shared" si="76"/>
        <v>97511.542048800024</v>
      </c>
      <c r="O212" s="152">
        <f t="shared" si="77"/>
        <v>778348.8350000002</v>
      </c>
      <c r="P212" s="152">
        <f t="shared" si="69"/>
        <v>1556697.6700000006</v>
      </c>
      <c r="Q212" s="152">
        <f t="shared" si="78"/>
        <v>778348.8350000002</v>
      </c>
      <c r="R212" s="152">
        <f t="shared" si="70"/>
        <v>93401.860200000025</v>
      </c>
      <c r="S212" s="152">
        <f t="shared" si="79"/>
        <v>373607.44080000016</v>
      </c>
      <c r="T212" s="152">
        <f t="shared" si="80"/>
        <v>560411.16120000021</v>
      </c>
      <c r="U212" s="152">
        <f t="shared" si="81"/>
        <v>747214.88160000031</v>
      </c>
      <c r="V212" s="152">
        <f t="shared" si="82"/>
        <v>29759677.07806281</v>
      </c>
      <c r="W212" s="152">
        <f>IF(OR(Y212=$AA$2,Y212=$AA$3,Y212=$AA$4),HLOOKUP(A212,Datos!$D$98:$K$102,5,0),0)*G212</f>
        <v>0</v>
      </c>
      <c r="X212" s="152">
        <f t="shared" si="71"/>
        <v>483113.07000000012</v>
      </c>
      <c r="Y212" s="152" t="str">
        <f t="shared" si="72"/>
        <v>MES 11</v>
      </c>
      <c r="Z212">
        <f t="shared" si="73"/>
        <v>11</v>
      </c>
    </row>
    <row r="213" spans="1:26">
      <c r="A213" t="str">
        <f t="shared" si="66"/>
        <v>Administrador-2028</v>
      </c>
      <c r="B213">
        <v>2028</v>
      </c>
      <c r="C213" t="s">
        <v>473</v>
      </c>
      <c r="D213" t="s">
        <v>370</v>
      </c>
      <c r="E213" t="s">
        <v>371</v>
      </c>
      <c r="F213" s="151">
        <f t="shared" si="83"/>
        <v>1</v>
      </c>
      <c r="G213" s="151">
        <f t="shared" si="83"/>
        <v>2</v>
      </c>
      <c r="H213" s="152">
        <f>+HLOOKUP(A213,Datos!$D$81:$K$85,5,0)</f>
        <v>2576603.040000001</v>
      </c>
      <c r="I213" s="152">
        <f>+HLOOKUP(A213,Datos!$D$90:$K$94,5,0)</f>
        <v>226428.65440140007</v>
      </c>
      <c r="J213" s="152">
        <f t="shared" si="67"/>
        <v>2576603.040000001</v>
      </c>
      <c r="K213" s="152">
        <f t="shared" si="68"/>
        <v>452857.30880280014</v>
      </c>
      <c r="L213" s="152">
        <f t="shared" si="74"/>
        <v>219011.25840000011</v>
      </c>
      <c r="M213" s="152">
        <f t="shared" si="75"/>
        <v>309192.3648000001</v>
      </c>
      <c r="N213" s="152">
        <f t="shared" si="76"/>
        <v>13449.867868800005</v>
      </c>
      <c r="O213" s="152">
        <f t="shared" si="77"/>
        <v>107358.46000000004</v>
      </c>
      <c r="P213" s="152">
        <f t="shared" si="69"/>
        <v>214716.92000000007</v>
      </c>
      <c r="Q213" s="152">
        <f t="shared" si="78"/>
        <v>107358.46000000004</v>
      </c>
      <c r="R213" s="152">
        <f t="shared" si="70"/>
        <v>12883.015200000003</v>
      </c>
      <c r="S213" s="152">
        <f t="shared" si="79"/>
        <v>51532.060800000021</v>
      </c>
      <c r="T213" s="152">
        <f t="shared" si="80"/>
        <v>77298.091200000024</v>
      </c>
      <c r="U213" s="152">
        <f t="shared" si="81"/>
        <v>103064.12160000004</v>
      </c>
      <c r="V213" s="152">
        <f t="shared" si="82"/>
        <v>4245324.9686716013</v>
      </c>
      <c r="W213" s="152">
        <f>IF(OR(Y213=$AA$2,Y213=$AA$3,Y213=$AA$4),HLOOKUP(A213,Datos!$D$99:$K$104,5,0),0)*G213</f>
        <v>0</v>
      </c>
      <c r="X213" s="152">
        <f t="shared" si="71"/>
        <v>40259.422500000015</v>
      </c>
      <c r="Y213" s="152" t="str">
        <f t="shared" si="72"/>
        <v>MES 11</v>
      </c>
      <c r="Z213">
        <f t="shared" si="73"/>
        <v>11</v>
      </c>
    </row>
    <row r="214" spans="1:26">
      <c r="A214" t="str">
        <f t="shared" si="66"/>
        <v>Cajero-2028</v>
      </c>
      <c r="B214">
        <v>2028</v>
      </c>
      <c r="C214" t="s">
        <v>473</v>
      </c>
      <c r="D214" t="s">
        <v>372</v>
      </c>
      <c r="E214" t="s">
        <v>371</v>
      </c>
      <c r="F214" s="151">
        <f t="shared" si="83"/>
        <v>2</v>
      </c>
      <c r="G214" s="151">
        <f t="shared" si="83"/>
        <v>2</v>
      </c>
      <c r="H214" s="152">
        <f>HLOOKUP(A214,Datos!$D$82:$K$86,5,0)</f>
        <v>1868037.2040000006</v>
      </c>
      <c r="I214" s="152">
        <f>+HLOOKUP(A214,Datos!$D$91:$K$95,5,0)</f>
        <v>226428.65440140007</v>
      </c>
      <c r="J214" s="152">
        <f t="shared" si="67"/>
        <v>3736074.4080000012</v>
      </c>
      <c r="K214" s="152">
        <f t="shared" si="68"/>
        <v>452857.30880280014</v>
      </c>
      <c r="L214" s="152">
        <f t="shared" si="74"/>
        <v>317566.32468000014</v>
      </c>
      <c r="M214" s="152">
        <f t="shared" si="75"/>
        <v>448328.92896000011</v>
      </c>
      <c r="N214" s="152">
        <f t="shared" si="76"/>
        <v>19502.308409760004</v>
      </c>
      <c r="O214" s="152">
        <f t="shared" si="77"/>
        <v>155669.76700000005</v>
      </c>
      <c r="P214" s="152">
        <f t="shared" si="69"/>
        <v>311339.5340000001</v>
      </c>
      <c r="Q214" s="152">
        <f t="shared" si="78"/>
        <v>155669.76700000005</v>
      </c>
      <c r="R214" s="152">
        <f t="shared" si="70"/>
        <v>18680.372040000006</v>
      </c>
      <c r="S214" s="152">
        <f t="shared" si="79"/>
        <v>74721.488160000023</v>
      </c>
      <c r="T214" s="152">
        <f t="shared" si="80"/>
        <v>112082.23224000003</v>
      </c>
      <c r="U214" s="152">
        <f t="shared" si="81"/>
        <v>149442.97632000005</v>
      </c>
      <c r="V214" s="152">
        <f t="shared" si="82"/>
        <v>5951935.4156125616</v>
      </c>
      <c r="W214" s="152">
        <f>IF(OR(Y214=$AA$2,Y214=$AA$3,Y214=$AA$4),HLOOKUP(A214,Datos!$D$100:$K$104,5,0),0)*G214</f>
        <v>0</v>
      </c>
      <c r="X214" s="152">
        <f t="shared" si="71"/>
        <v>120778.26750000007</v>
      </c>
      <c r="Y214" s="152" t="str">
        <f t="shared" si="72"/>
        <v>MES 11</v>
      </c>
      <c r="Z214">
        <f t="shared" si="73"/>
        <v>11</v>
      </c>
    </row>
    <row r="215" spans="1:26">
      <c r="A215" t="str">
        <f t="shared" si="66"/>
        <v>Aux cocina-2028</v>
      </c>
      <c r="B215">
        <v>2028</v>
      </c>
      <c r="C215" t="s">
        <v>474</v>
      </c>
      <c r="D215" t="s">
        <v>368</v>
      </c>
      <c r="E215" t="s">
        <v>369</v>
      </c>
      <c r="F215" s="151">
        <f t="shared" si="83"/>
        <v>10</v>
      </c>
      <c r="G215" s="151">
        <f t="shared" si="83"/>
        <v>10</v>
      </c>
      <c r="H215" s="152">
        <f>+HLOOKUP(A215,Datos!$D$80:$K$84,5,0)</f>
        <v>1868037.2040000006</v>
      </c>
      <c r="I215" s="152">
        <f>+HLOOKUP(A215,Datos!$D$89:$K$93,5,0)</f>
        <v>226428.65440140007</v>
      </c>
      <c r="J215" s="152">
        <f t="shared" si="67"/>
        <v>18680372.040000007</v>
      </c>
      <c r="K215" s="152">
        <f t="shared" si="68"/>
        <v>2264286.5440140008</v>
      </c>
      <c r="L215" s="152">
        <f t="shared" si="74"/>
        <v>1587831.6234000006</v>
      </c>
      <c r="M215" s="152">
        <f t="shared" si="75"/>
        <v>2241644.6448000008</v>
      </c>
      <c r="N215" s="152">
        <f t="shared" si="76"/>
        <v>97511.542048800024</v>
      </c>
      <c r="O215" s="152">
        <f t="shared" si="77"/>
        <v>778348.8350000002</v>
      </c>
      <c r="P215" s="152">
        <f t="shared" si="69"/>
        <v>1556697.6700000006</v>
      </c>
      <c r="Q215" s="152">
        <f t="shared" si="78"/>
        <v>778348.8350000002</v>
      </c>
      <c r="R215" s="152">
        <f t="shared" si="70"/>
        <v>93401.860200000025</v>
      </c>
      <c r="S215" s="152">
        <f t="shared" si="79"/>
        <v>373607.44080000016</v>
      </c>
      <c r="T215" s="152">
        <f t="shared" si="80"/>
        <v>560411.16120000021</v>
      </c>
      <c r="U215" s="152">
        <f t="shared" si="81"/>
        <v>747214.88160000031</v>
      </c>
      <c r="V215" s="152">
        <f t="shared" si="82"/>
        <v>29759677.07806281</v>
      </c>
      <c r="W215" s="152">
        <f>IF(OR(Y215=$AA$2,Y215=$AA$3,Y215=$AA$4),HLOOKUP(A215,Datos!$D$98:$K$102,5,0),0)*G215</f>
        <v>1932452.2800000007</v>
      </c>
      <c r="X215" s="152">
        <f t="shared" si="71"/>
        <v>483113.07000000012</v>
      </c>
      <c r="Y215" s="152" t="str">
        <f t="shared" si="72"/>
        <v>MES 12</v>
      </c>
      <c r="Z215">
        <f t="shared" si="73"/>
        <v>11</v>
      </c>
    </row>
    <row r="216" spans="1:26">
      <c r="A216" t="str">
        <f t="shared" si="66"/>
        <v>Administrador-2028</v>
      </c>
      <c r="B216">
        <v>2028</v>
      </c>
      <c r="C216" t="s">
        <v>474</v>
      </c>
      <c r="D216" t="s">
        <v>370</v>
      </c>
      <c r="E216" t="s">
        <v>371</v>
      </c>
      <c r="F216" s="151">
        <f t="shared" si="83"/>
        <v>1</v>
      </c>
      <c r="G216" s="151">
        <f t="shared" si="83"/>
        <v>2</v>
      </c>
      <c r="H216" s="152">
        <f>+HLOOKUP(A216,Datos!$D$81:$K$85,5,0)</f>
        <v>2576603.040000001</v>
      </c>
      <c r="I216" s="152">
        <f>+HLOOKUP(A216,Datos!$D$90:$K$94,5,0)</f>
        <v>226428.65440140007</v>
      </c>
      <c r="J216" s="152">
        <f t="shared" si="67"/>
        <v>2576603.040000001</v>
      </c>
      <c r="K216" s="152">
        <f t="shared" si="68"/>
        <v>452857.30880280014</v>
      </c>
      <c r="L216" s="152">
        <f t="shared" si="74"/>
        <v>219011.25840000011</v>
      </c>
      <c r="M216" s="152">
        <f t="shared" si="75"/>
        <v>309192.3648000001</v>
      </c>
      <c r="N216" s="152">
        <f t="shared" si="76"/>
        <v>13449.867868800005</v>
      </c>
      <c r="O216" s="152">
        <f t="shared" si="77"/>
        <v>107358.46000000004</v>
      </c>
      <c r="P216" s="152">
        <f t="shared" si="69"/>
        <v>214716.92000000007</v>
      </c>
      <c r="Q216" s="152">
        <f t="shared" si="78"/>
        <v>107358.46000000004</v>
      </c>
      <c r="R216" s="152">
        <f t="shared" si="70"/>
        <v>12883.015200000003</v>
      </c>
      <c r="S216" s="152">
        <f t="shared" si="79"/>
        <v>51532.060800000021</v>
      </c>
      <c r="T216" s="152">
        <f t="shared" si="80"/>
        <v>77298.091200000024</v>
      </c>
      <c r="U216" s="152">
        <f t="shared" si="81"/>
        <v>103064.12160000004</v>
      </c>
      <c r="V216" s="152">
        <f t="shared" si="82"/>
        <v>4245324.9686716013</v>
      </c>
      <c r="W216" s="152">
        <f>IF(OR(Y216=$AA$2,Y216=$AA$3,Y216=$AA$4),HLOOKUP(A216,Datos!$D$99:$K$104,5,0),0)*G216</f>
        <v>161037.69000000006</v>
      </c>
      <c r="X216" s="152">
        <f t="shared" si="71"/>
        <v>40259.422500000015</v>
      </c>
      <c r="Y216" s="152" t="str">
        <f t="shared" si="72"/>
        <v>MES 12</v>
      </c>
      <c r="Z216">
        <f t="shared" si="73"/>
        <v>11</v>
      </c>
    </row>
    <row r="217" spans="1:26">
      <c r="A217" t="str">
        <f t="shared" si="66"/>
        <v>Cajero-2028</v>
      </c>
      <c r="B217">
        <v>2028</v>
      </c>
      <c r="C217" t="s">
        <v>474</v>
      </c>
      <c r="D217" t="s">
        <v>372</v>
      </c>
      <c r="E217" t="s">
        <v>371</v>
      </c>
      <c r="F217" s="151">
        <f t="shared" si="83"/>
        <v>2</v>
      </c>
      <c r="G217" s="151">
        <f t="shared" si="83"/>
        <v>2</v>
      </c>
      <c r="H217" s="152">
        <f>HLOOKUP(A217,Datos!$D$82:$K$86,5,0)</f>
        <v>1868037.2040000006</v>
      </c>
      <c r="I217" s="152">
        <f>+HLOOKUP(A217,Datos!$D$91:$K$95,5,0)</f>
        <v>226428.65440140007</v>
      </c>
      <c r="J217" s="152">
        <f t="shared" si="67"/>
        <v>3736074.4080000012</v>
      </c>
      <c r="K217" s="152">
        <f t="shared" si="68"/>
        <v>452857.30880280014</v>
      </c>
      <c r="L217" s="152">
        <f t="shared" si="74"/>
        <v>317566.32468000014</v>
      </c>
      <c r="M217" s="152">
        <f t="shared" si="75"/>
        <v>448328.92896000011</v>
      </c>
      <c r="N217" s="152">
        <f t="shared" si="76"/>
        <v>19502.308409760004</v>
      </c>
      <c r="O217" s="152">
        <f t="shared" si="77"/>
        <v>155669.76700000005</v>
      </c>
      <c r="P217" s="152">
        <f t="shared" si="69"/>
        <v>311339.5340000001</v>
      </c>
      <c r="Q217" s="152">
        <f t="shared" si="78"/>
        <v>155669.76700000005</v>
      </c>
      <c r="R217" s="152">
        <f t="shared" si="70"/>
        <v>18680.372040000006</v>
      </c>
      <c r="S217" s="152">
        <f t="shared" si="79"/>
        <v>74721.488160000023</v>
      </c>
      <c r="T217" s="152">
        <f t="shared" si="80"/>
        <v>112082.23224000003</v>
      </c>
      <c r="U217" s="152">
        <f t="shared" si="81"/>
        <v>149442.97632000005</v>
      </c>
      <c r="V217" s="152">
        <f t="shared" si="82"/>
        <v>5951935.4156125616</v>
      </c>
      <c r="W217" s="152">
        <f>IF(OR(Y217=$AA$2,Y217=$AA$3,Y217=$AA$4),HLOOKUP(A217,Datos!$D$100:$K$104,5,0),0)*G217</f>
        <v>483113.0700000003</v>
      </c>
      <c r="X217" s="152">
        <f t="shared" si="71"/>
        <v>120778.26750000007</v>
      </c>
      <c r="Y217" s="152" t="str">
        <f t="shared" si="72"/>
        <v>MES 12</v>
      </c>
      <c r="Z217">
        <f t="shared" si="73"/>
        <v>11</v>
      </c>
    </row>
    <row r="218" spans="1:26">
      <c r="A218" t="str">
        <f t="shared" si="66"/>
        <v>Aux cocina-2029</v>
      </c>
      <c r="B218">
        <v>2029</v>
      </c>
      <c r="C218" t="s">
        <v>475</v>
      </c>
      <c r="D218" t="s">
        <v>368</v>
      </c>
      <c r="E218" t="s">
        <v>369</v>
      </c>
      <c r="F218" s="151">
        <v>11</v>
      </c>
      <c r="G218" s="151">
        <v>11</v>
      </c>
      <c r="H218" s="152">
        <f>+HLOOKUP(A218,Datos!$D$80:$K$84,5,0)</f>
        <v>2054840.9244000008</v>
      </c>
      <c r="I218" s="152">
        <f>+HLOOKUP(A218,Datos!$D$89:$K$93,5,0)</f>
        <v>249071.51984154008</v>
      </c>
      <c r="J218" s="152">
        <f t="shared" si="67"/>
        <v>22603250.168400008</v>
      </c>
      <c r="K218" s="152">
        <f t="shared" si="68"/>
        <v>2739786.7182569411</v>
      </c>
      <c r="L218" s="152">
        <f t="shared" si="74"/>
        <v>1921276.2643140007</v>
      </c>
      <c r="M218" s="152">
        <f t="shared" si="75"/>
        <v>2712390.0202080007</v>
      </c>
      <c r="N218" s="152">
        <f t="shared" si="76"/>
        <v>117988.96587904803</v>
      </c>
      <c r="O218" s="152">
        <f t="shared" si="77"/>
        <v>941802.09035000042</v>
      </c>
      <c r="P218" s="152">
        <f t="shared" si="69"/>
        <v>1883604.1807000006</v>
      </c>
      <c r="Q218" s="152">
        <f t="shared" si="78"/>
        <v>941802.09035000042</v>
      </c>
      <c r="R218" s="152">
        <f t="shared" si="70"/>
        <v>113016.25084200005</v>
      </c>
      <c r="S218" s="152">
        <f t="shared" si="79"/>
        <v>452065.00336800015</v>
      </c>
      <c r="T218" s="152">
        <f t="shared" si="80"/>
        <v>678097.50505200017</v>
      </c>
      <c r="U218" s="152">
        <f t="shared" si="81"/>
        <v>904130.0067360003</v>
      </c>
      <c r="V218" s="152">
        <f t="shared" si="82"/>
        <v>36009209.264455996</v>
      </c>
      <c r="W218" s="152">
        <f>IF(OR(Y218=$AA$2,Y218=$AA$3,Y218=$AA$4),HLOOKUP(A218,Datos!$D$98:$K$102,5,0),0)*G218</f>
        <v>0</v>
      </c>
      <c r="X218" s="152">
        <f t="shared" si="71"/>
        <v>584566.81470000022</v>
      </c>
      <c r="Y218" s="152" t="str">
        <f t="shared" si="72"/>
        <v xml:space="preserve">MES 1 </v>
      </c>
      <c r="Z218">
        <f t="shared" si="73"/>
        <v>10</v>
      </c>
    </row>
    <row r="219" spans="1:26">
      <c r="A219" t="str">
        <f t="shared" si="66"/>
        <v>Administrador-2029</v>
      </c>
      <c r="B219">
        <v>2029</v>
      </c>
      <c r="C219" t="s">
        <v>475</v>
      </c>
      <c r="D219" t="s">
        <v>370</v>
      </c>
      <c r="E219" t="s">
        <v>371</v>
      </c>
      <c r="F219" s="151">
        <f t="shared" ref="F219:G238" si="84">+F216</f>
        <v>1</v>
      </c>
      <c r="G219" s="151">
        <f t="shared" si="84"/>
        <v>2</v>
      </c>
      <c r="H219" s="152">
        <f>+HLOOKUP(A219,Datos!$D$81:$K$85,5,0)</f>
        <v>2834263.3440000014</v>
      </c>
      <c r="I219" s="152">
        <f>+HLOOKUP(A219,Datos!$D$90:$K$94,5,0)</f>
        <v>249071.51984154008</v>
      </c>
      <c r="J219" s="152">
        <f t="shared" si="67"/>
        <v>2834263.3440000014</v>
      </c>
      <c r="K219" s="152">
        <f t="shared" si="68"/>
        <v>498143.03968308016</v>
      </c>
      <c r="L219" s="152">
        <f t="shared" si="74"/>
        <v>240912.38424000013</v>
      </c>
      <c r="M219" s="152">
        <f t="shared" si="75"/>
        <v>340111.60128000018</v>
      </c>
      <c r="N219" s="152">
        <f t="shared" si="76"/>
        <v>14794.854655680007</v>
      </c>
      <c r="O219" s="152">
        <f t="shared" si="77"/>
        <v>118094.30600000006</v>
      </c>
      <c r="P219" s="152">
        <f t="shared" si="69"/>
        <v>236188.61200000011</v>
      </c>
      <c r="Q219" s="152">
        <f t="shared" si="78"/>
        <v>118094.30600000006</v>
      </c>
      <c r="R219" s="152">
        <f t="shared" si="70"/>
        <v>14171.316720000006</v>
      </c>
      <c r="S219" s="152">
        <f t="shared" si="79"/>
        <v>56685.266880000032</v>
      </c>
      <c r="T219" s="152">
        <f t="shared" si="80"/>
        <v>85027.900320000044</v>
      </c>
      <c r="U219" s="152">
        <f t="shared" si="81"/>
        <v>113370.53376000006</v>
      </c>
      <c r="V219" s="152">
        <f t="shared" si="82"/>
        <v>4669857.4655387616</v>
      </c>
      <c r="W219" s="152">
        <f>IF(OR(Y219=$AA$2,Y219=$AA$3,Y219=$AA$4),HLOOKUP(A219,Datos!$D$99:$K$104,5,0),0)*G219</f>
        <v>0</v>
      </c>
      <c r="X219" s="152">
        <f t="shared" si="71"/>
        <v>44285.36475000003</v>
      </c>
      <c r="Y219" s="152" t="str">
        <f t="shared" si="72"/>
        <v xml:space="preserve">MES 1 </v>
      </c>
      <c r="Z219">
        <f t="shared" si="73"/>
        <v>10</v>
      </c>
    </row>
    <row r="220" spans="1:26">
      <c r="A220" t="str">
        <f t="shared" si="66"/>
        <v>Cajero-2029</v>
      </c>
      <c r="B220">
        <v>2029</v>
      </c>
      <c r="C220" t="s">
        <v>475</v>
      </c>
      <c r="D220" t="s">
        <v>372</v>
      </c>
      <c r="E220" t="s">
        <v>371</v>
      </c>
      <c r="F220" s="151">
        <f t="shared" si="84"/>
        <v>2</v>
      </c>
      <c r="G220" s="151">
        <f t="shared" si="84"/>
        <v>2</v>
      </c>
      <c r="H220" s="152">
        <f>HLOOKUP(A220,Datos!$D$82:$K$86,5,0)</f>
        <v>2054840.9244000008</v>
      </c>
      <c r="I220" s="152">
        <f>+HLOOKUP(A220,Datos!$D$91:$K$95,5,0)</f>
        <v>249071.51984154008</v>
      </c>
      <c r="J220" s="152">
        <f t="shared" si="67"/>
        <v>4109681.8488000017</v>
      </c>
      <c r="K220" s="152">
        <f t="shared" si="68"/>
        <v>498143.03968308016</v>
      </c>
      <c r="L220" s="152">
        <f t="shared" si="74"/>
        <v>349322.95714800019</v>
      </c>
      <c r="M220" s="152">
        <f t="shared" si="75"/>
        <v>493161.82185600017</v>
      </c>
      <c r="N220" s="152">
        <f t="shared" si="76"/>
        <v>21452.539250736008</v>
      </c>
      <c r="O220" s="152">
        <f t="shared" si="77"/>
        <v>171236.74370000008</v>
      </c>
      <c r="P220" s="152">
        <f t="shared" si="69"/>
        <v>342473.48740000016</v>
      </c>
      <c r="Q220" s="152">
        <f t="shared" si="78"/>
        <v>171236.74370000008</v>
      </c>
      <c r="R220" s="152">
        <f t="shared" si="70"/>
        <v>20548.409244000009</v>
      </c>
      <c r="S220" s="152">
        <f t="shared" si="79"/>
        <v>82193.636976000038</v>
      </c>
      <c r="T220" s="152">
        <f t="shared" si="80"/>
        <v>123290.45546400004</v>
      </c>
      <c r="U220" s="152">
        <f t="shared" si="81"/>
        <v>164387.27395200008</v>
      </c>
      <c r="V220" s="152">
        <f t="shared" si="82"/>
        <v>6547128.9571738197</v>
      </c>
      <c r="W220" s="152">
        <f>IF(OR(Y220=$AA$2,Y220=$AA$3,Y220=$AA$4),HLOOKUP(A220,Datos!$D$100:$K$104,5,0),0)*G220</f>
        <v>0</v>
      </c>
      <c r="X220" s="152">
        <f t="shared" si="71"/>
        <v>132856.09425000008</v>
      </c>
      <c r="Y220" s="152" t="str">
        <f t="shared" si="72"/>
        <v xml:space="preserve">MES 1 </v>
      </c>
      <c r="Z220">
        <f t="shared" si="73"/>
        <v>10</v>
      </c>
    </row>
    <row r="221" spans="1:26">
      <c r="A221" t="str">
        <f t="shared" si="66"/>
        <v>Aux cocina-2029</v>
      </c>
      <c r="B221">
        <v>2029</v>
      </c>
      <c r="C221" t="s">
        <v>476</v>
      </c>
      <c r="D221" t="s">
        <v>368</v>
      </c>
      <c r="E221" t="s">
        <v>369</v>
      </c>
      <c r="F221" s="151">
        <f t="shared" si="84"/>
        <v>11</v>
      </c>
      <c r="G221" s="151">
        <f t="shared" si="84"/>
        <v>11</v>
      </c>
      <c r="H221" s="152">
        <f>+HLOOKUP(A221,Datos!$D$80:$K$84,5,0)</f>
        <v>2054840.9244000008</v>
      </c>
      <c r="I221" s="152">
        <f>+HLOOKUP(A221,Datos!$D$89:$K$93,5,0)</f>
        <v>249071.51984154008</v>
      </c>
      <c r="J221" s="152">
        <f t="shared" si="67"/>
        <v>22603250.168400008</v>
      </c>
      <c r="K221" s="152">
        <f t="shared" si="68"/>
        <v>2739786.7182569411</v>
      </c>
      <c r="L221" s="152">
        <f t="shared" si="74"/>
        <v>1921276.2643140007</v>
      </c>
      <c r="M221" s="152">
        <f t="shared" si="75"/>
        <v>2712390.0202080007</v>
      </c>
      <c r="N221" s="152">
        <f t="shared" si="76"/>
        <v>117988.96587904803</v>
      </c>
      <c r="O221" s="152">
        <f t="shared" si="77"/>
        <v>941802.09035000042</v>
      </c>
      <c r="P221" s="152">
        <f t="shared" si="69"/>
        <v>1883604.1807000006</v>
      </c>
      <c r="Q221" s="152">
        <f t="shared" si="78"/>
        <v>941802.09035000042</v>
      </c>
      <c r="R221" s="152">
        <f t="shared" si="70"/>
        <v>113016.25084200005</v>
      </c>
      <c r="S221" s="152">
        <f t="shared" si="79"/>
        <v>452065.00336800015</v>
      </c>
      <c r="T221" s="152">
        <f t="shared" si="80"/>
        <v>678097.50505200017</v>
      </c>
      <c r="U221" s="152">
        <f t="shared" si="81"/>
        <v>904130.0067360003</v>
      </c>
      <c r="V221" s="152">
        <f t="shared" si="82"/>
        <v>36009209.264455996</v>
      </c>
      <c r="W221" s="152">
        <f>IF(OR(Y221=$AA$2,Y221=$AA$3,Y221=$AA$4),HLOOKUP(A221,Datos!$D$98:$K$102,5,0),0)*G221</f>
        <v>0</v>
      </c>
      <c r="X221" s="152">
        <f t="shared" si="71"/>
        <v>584566.81470000022</v>
      </c>
      <c r="Y221" s="152" t="str">
        <f t="shared" si="72"/>
        <v xml:space="preserve">MES 2 </v>
      </c>
      <c r="Z221">
        <f t="shared" si="73"/>
        <v>10</v>
      </c>
    </row>
    <row r="222" spans="1:26">
      <c r="A222" t="str">
        <f t="shared" si="66"/>
        <v>Administrador-2029</v>
      </c>
      <c r="B222">
        <v>2029</v>
      </c>
      <c r="C222" t="s">
        <v>476</v>
      </c>
      <c r="D222" t="s">
        <v>370</v>
      </c>
      <c r="E222" t="s">
        <v>371</v>
      </c>
      <c r="F222" s="151">
        <f t="shared" si="84"/>
        <v>1</v>
      </c>
      <c r="G222" s="151">
        <f t="shared" si="84"/>
        <v>2</v>
      </c>
      <c r="H222" s="152">
        <f>+HLOOKUP(A222,Datos!$D$81:$K$85,5,0)</f>
        <v>2834263.3440000014</v>
      </c>
      <c r="I222" s="152">
        <f>+HLOOKUP(A222,Datos!$D$90:$K$94,5,0)</f>
        <v>249071.51984154008</v>
      </c>
      <c r="J222" s="152">
        <f t="shared" si="67"/>
        <v>2834263.3440000014</v>
      </c>
      <c r="K222" s="152">
        <f t="shared" si="68"/>
        <v>498143.03968308016</v>
      </c>
      <c r="L222" s="152">
        <f t="shared" si="74"/>
        <v>240912.38424000013</v>
      </c>
      <c r="M222" s="152">
        <f t="shared" si="75"/>
        <v>340111.60128000018</v>
      </c>
      <c r="N222" s="152">
        <f t="shared" si="76"/>
        <v>14794.854655680007</v>
      </c>
      <c r="O222" s="152">
        <f t="shared" si="77"/>
        <v>118094.30600000006</v>
      </c>
      <c r="P222" s="152">
        <f t="shared" si="69"/>
        <v>236188.61200000011</v>
      </c>
      <c r="Q222" s="152">
        <f t="shared" si="78"/>
        <v>118094.30600000006</v>
      </c>
      <c r="R222" s="152">
        <f t="shared" si="70"/>
        <v>14171.316720000006</v>
      </c>
      <c r="S222" s="152">
        <f t="shared" si="79"/>
        <v>56685.266880000032</v>
      </c>
      <c r="T222" s="152">
        <f t="shared" si="80"/>
        <v>85027.900320000044</v>
      </c>
      <c r="U222" s="152">
        <f t="shared" si="81"/>
        <v>113370.53376000006</v>
      </c>
      <c r="V222" s="152">
        <f t="shared" si="82"/>
        <v>4669857.4655387616</v>
      </c>
      <c r="W222" s="152">
        <f>IF(OR(Y222=$AA$2,Y222=$AA$3,Y222=$AA$4),HLOOKUP(A222,Datos!$D$99:$K$104,5,0),0)*G222</f>
        <v>0</v>
      </c>
      <c r="X222" s="152">
        <f t="shared" si="71"/>
        <v>44285.36475000003</v>
      </c>
      <c r="Y222" s="152" t="str">
        <f t="shared" si="72"/>
        <v xml:space="preserve">MES 2 </v>
      </c>
      <c r="Z222">
        <f t="shared" si="73"/>
        <v>10</v>
      </c>
    </row>
    <row r="223" spans="1:26">
      <c r="A223" t="str">
        <f t="shared" si="66"/>
        <v>Cajero-2029</v>
      </c>
      <c r="B223">
        <v>2029</v>
      </c>
      <c r="C223" t="s">
        <v>476</v>
      </c>
      <c r="D223" t="s">
        <v>372</v>
      </c>
      <c r="E223" t="s">
        <v>371</v>
      </c>
      <c r="F223" s="151">
        <f t="shared" si="84"/>
        <v>2</v>
      </c>
      <c r="G223" s="151">
        <f t="shared" si="84"/>
        <v>2</v>
      </c>
      <c r="H223" s="152">
        <f>HLOOKUP(A223,Datos!$D$82:$K$86,5,0)</f>
        <v>2054840.9244000008</v>
      </c>
      <c r="I223" s="152">
        <f>+HLOOKUP(A223,Datos!$D$91:$K$95,5,0)</f>
        <v>249071.51984154008</v>
      </c>
      <c r="J223" s="152">
        <f t="shared" si="67"/>
        <v>4109681.8488000017</v>
      </c>
      <c r="K223" s="152">
        <f t="shared" si="68"/>
        <v>498143.03968308016</v>
      </c>
      <c r="L223" s="152">
        <f t="shared" si="74"/>
        <v>349322.95714800019</v>
      </c>
      <c r="M223" s="152">
        <f t="shared" si="75"/>
        <v>493161.82185600017</v>
      </c>
      <c r="N223" s="152">
        <f t="shared" si="76"/>
        <v>21452.539250736008</v>
      </c>
      <c r="O223" s="152">
        <f t="shared" si="77"/>
        <v>171236.74370000008</v>
      </c>
      <c r="P223" s="152">
        <f t="shared" si="69"/>
        <v>342473.48740000016</v>
      </c>
      <c r="Q223" s="152">
        <f t="shared" si="78"/>
        <v>171236.74370000008</v>
      </c>
      <c r="R223" s="152">
        <f t="shared" si="70"/>
        <v>20548.409244000009</v>
      </c>
      <c r="S223" s="152">
        <f t="shared" si="79"/>
        <v>82193.636976000038</v>
      </c>
      <c r="T223" s="152">
        <f t="shared" si="80"/>
        <v>123290.45546400004</v>
      </c>
      <c r="U223" s="152">
        <f t="shared" si="81"/>
        <v>164387.27395200008</v>
      </c>
      <c r="V223" s="152">
        <f t="shared" si="82"/>
        <v>6547128.9571738197</v>
      </c>
      <c r="W223" s="152">
        <f>IF(OR(Y223=$AA$2,Y223=$AA$3,Y223=$AA$4),HLOOKUP(A223,Datos!$D$100:$K$104,5,0),0)*G223</f>
        <v>0</v>
      </c>
      <c r="X223" s="152">
        <f t="shared" si="71"/>
        <v>132856.09425000008</v>
      </c>
      <c r="Y223" s="152" t="str">
        <f t="shared" si="72"/>
        <v xml:space="preserve">MES 2 </v>
      </c>
      <c r="Z223">
        <f t="shared" si="73"/>
        <v>10</v>
      </c>
    </row>
    <row r="224" spans="1:26">
      <c r="A224" t="str">
        <f t="shared" si="66"/>
        <v>Aux cocina-2029</v>
      </c>
      <c r="B224">
        <v>2029</v>
      </c>
      <c r="C224" t="s">
        <v>477</v>
      </c>
      <c r="D224" t="s">
        <v>368</v>
      </c>
      <c r="E224" t="s">
        <v>369</v>
      </c>
      <c r="F224" s="151">
        <f t="shared" si="84"/>
        <v>11</v>
      </c>
      <c r="G224" s="151">
        <f t="shared" si="84"/>
        <v>11</v>
      </c>
      <c r="H224" s="152">
        <f>+HLOOKUP(A224,Datos!$D$80:$K$84,5,0)</f>
        <v>2054840.9244000008</v>
      </c>
      <c r="I224" s="152">
        <f>+HLOOKUP(A224,Datos!$D$89:$K$93,5,0)</f>
        <v>249071.51984154008</v>
      </c>
      <c r="J224" s="152">
        <f t="shared" si="67"/>
        <v>22603250.168400008</v>
      </c>
      <c r="K224" s="152">
        <f t="shared" si="68"/>
        <v>2739786.7182569411</v>
      </c>
      <c r="L224" s="152">
        <f t="shared" si="74"/>
        <v>1921276.2643140007</v>
      </c>
      <c r="M224" s="152">
        <f t="shared" si="75"/>
        <v>2712390.0202080007</v>
      </c>
      <c r="N224" s="152">
        <f t="shared" si="76"/>
        <v>117988.96587904803</v>
      </c>
      <c r="O224" s="152">
        <f t="shared" si="77"/>
        <v>941802.09035000042</v>
      </c>
      <c r="P224" s="152">
        <f t="shared" si="69"/>
        <v>1883604.1807000006</v>
      </c>
      <c r="Q224" s="152">
        <f t="shared" si="78"/>
        <v>941802.09035000042</v>
      </c>
      <c r="R224" s="152">
        <f t="shared" si="70"/>
        <v>113016.25084200005</v>
      </c>
      <c r="S224" s="152">
        <f t="shared" si="79"/>
        <v>452065.00336800015</v>
      </c>
      <c r="T224" s="152">
        <f t="shared" si="80"/>
        <v>678097.50505200017</v>
      </c>
      <c r="U224" s="152">
        <f t="shared" si="81"/>
        <v>904130.0067360003</v>
      </c>
      <c r="V224" s="152">
        <f t="shared" si="82"/>
        <v>36009209.264455996</v>
      </c>
      <c r="W224" s="152">
        <f>IF(OR(Y224=$AA$2,Y224=$AA$3,Y224=$AA$4),HLOOKUP(A224,Datos!$D$98:$K$102,5,0),0)*G224</f>
        <v>0</v>
      </c>
      <c r="X224" s="152">
        <f t="shared" si="71"/>
        <v>584566.81470000022</v>
      </c>
      <c r="Y224" s="152" t="str">
        <f t="shared" si="72"/>
        <v xml:space="preserve">MES 3 </v>
      </c>
      <c r="Z224">
        <f t="shared" si="73"/>
        <v>10</v>
      </c>
    </row>
    <row r="225" spans="1:26">
      <c r="A225" t="str">
        <f t="shared" si="66"/>
        <v>Administrador-2029</v>
      </c>
      <c r="B225">
        <v>2029</v>
      </c>
      <c r="C225" t="s">
        <v>477</v>
      </c>
      <c r="D225" t="s">
        <v>370</v>
      </c>
      <c r="E225" t="s">
        <v>371</v>
      </c>
      <c r="F225" s="151">
        <f t="shared" si="84"/>
        <v>1</v>
      </c>
      <c r="G225" s="151">
        <f t="shared" si="84"/>
        <v>2</v>
      </c>
      <c r="H225" s="152">
        <f>+HLOOKUP(A225,Datos!$D$81:$K$85,5,0)</f>
        <v>2834263.3440000014</v>
      </c>
      <c r="I225" s="152">
        <f>+HLOOKUP(A225,Datos!$D$90:$K$94,5,0)</f>
        <v>249071.51984154008</v>
      </c>
      <c r="J225" s="152">
        <f t="shared" si="67"/>
        <v>2834263.3440000014</v>
      </c>
      <c r="K225" s="152">
        <f t="shared" si="68"/>
        <v>498143.03968308016</v>
      </c>
      <c r="L225" s="152">
        <f t="shared" si="74"/>
        <v>240912.38424000013</v>
      </c>
      <c r="M225" s="152">
        <f t="shared" si="75"/>
        <v>340111.60128000018</v>
      </c>
      <c r="N225" s="152">
        <f t="shared" si="76"/>
        <v>14794.854655680007</v>
      </c>
      <c r="O225" s="152">
        <f t="shared" si="77"/>
        <v>118094.30600000006</v>
      </c>
      <c r="P225" s="152">
        <f t="shared" si="69"/>
        <v>236188.61200000011</v>
      </c>
      <c r="Q225" s="152">
        <f t="shared" si="78"/>
        <v>118094.30600000006</v>
      </c>
      <c r="R225" s="152">
        <f t="shared" si="70"/>
        <v>14171.316720000006</v>
      </c>
      <c r="S225" s="152">
        <f t="shared" si="79"/>
        <v>56685.266880000032</v>
      </c>
      <c r="T225" s="152">
        <f t="shared" si="80"/>
        <v>85027.900320000044</v>
      </c>
      <c r="U225" s="152">
        <f t="shared" si="81"/>
        <v>113370.53376000006</v>
      </c>
      <c r="V225" s="152">
        <f t="shared" si="82"/>
        <v>4669857.4655387616</v>
      </c>
      <c r="W225" s="152">
        <f>IF(OR(Y225=$AA$2,Y225=$AA$3,Y225=$AA$4),HLOOKUP(A225,Datos!$D$99:$K$104,5,0),0)*G225</f>
        <v>0</v>
      </c>
      <c r="X225" s="152">
        <f t="shared" si="71"/>
        <v>44285.36475000003</v>
      </c>
      <c r="Y225" s="152" t="str">
        <f t="shared" si="72"/>
        <v xml:space="preserve">MES 3 </v>
      </c>
      <c r="Z225">
        <f t="shared" si="73"/>
        <v>10</v>
      </c>
    </row>
    <row r="226" spans="1:26">
      <c r="A226" t="str">
        <f t="shared" si="66"/>
        <v>Cajero-2029</v>
      </c>
      <c r="B226">
        <v>2029</v>
      </c>
      <c r="C226" t="s">
        <v>477</v>
      </c>
      <c r="D226" t="s">
        <v>372</v>
      </c>
      <c r="E226" t="s">
        <v>371</v>
      </c>
      <c r="F226" s="151">
        <f t="shared" si="84"/>
        <v>2</v>
      </c>
      <c r="G226" s="151">
        <f t="shared" si="84"/>
        <v>2</v>
      </c>
      <c r="H226" s="152">
        <f>HLOOKUP(A226,Datos!$D$82:$K$86,5,0)</f>
        <v>2054840.9244000008</v>
      </c>
      <c r="I226" s="152">
        <f>+HLOOKUP(A226,Datos!$D$91:$K$95,5,0)</f>
        <v>249071.51984154008</v>
      </c>
      <c r="J226" s="152">
        <f t="shared" si="67"/>
        <v>4109681.8488000017</v>
      </c>
      <c r="K226" s="152">
        <f t="shared" si="68"/>
        <v>498143.03968308016</v>
      </c>
      <c r="L226" s="152">
        <f t="shared" si="74"/>
        <v>349322.95714800019</v>
      </c>
      <c r="M226" s="152">
        <f t="shared" si="75"/>
        <v>493161.82185600017</v>
      </c>
      <c r="N226" s="152">
        <f t="shared" si="76"/>
        <v>21452.539250736008</v>
      </c>
      <c r="O226" s="152">
        <f t="shared" si="77"/>
        <v>171236.74370000008</v>
      </c>
      <c r="P226" s="152">
        <f t="shared" si="69"/>
        <v>342473.48740000016</v>
      </c>
      <c r="Q226" s="152">
        <f t="shared" si="78"/>
        <v>171236.74370000008</v>
      </c>
      <c r="R226" s="152">
        <f t="shared" si="70"/>
        <v>20548.409244000009</v>
      </c>
      <c r="S226" s="152">
        <f t="shared" si="79"/>
        <v>82193.636976000038</v>
      </c>
      <c r="T226" s="152">
        <f t="shared" si="80"/>
        <v>123290.45546400004</v>
      </c>
      <c r="U226" s="152">
        <f t="shared" si="81"/>
        <v>164387.27395200008</v>
      </c>
      <c r="V226" s="152">
        <f t="shared" si="82"/>
        <v>6547128.9571738197</v>
      </c>
      <c r="W226" s="152">
        <f>IF(OR(Y226=$AA$2,Y226=$AA$3,Y226=$AA$4),HLOOKUP(A226,Datos!$D$100:$K$104,5,0),0)*G226</f>
        <v>0</v>
      </c>
      <c r="X226" s="152">
        <f t="shared" si="71"/>
        <v>132856.09425000008</v>
      </c>
      <c r="Y226" s="152" t="str">
        <f t="shared" si="72"/>
        <v xml:space="preserve">MES 3 </v>
      </c>
      <c r="Z226">
        <f t="shared" si="73"/>
        <v>10</v>
      </c>
    </row>
    <row r="227" spans="1:26">
      <c r="A227" t="str">
        <f t="shared" si="66"/>
        <v>Aux cocina-2029</v>
      </c>
      <c r="B227">
        <v>2029</v>
      </c>
      <c r="C227" t="s">
        <v>478</v>
      </c>
      <c r="D227" t="s">
        <v>368</v>
      </c>
      <c r="E227" t="s">
        <v>369</v>
      </c>
      <c r="F227" s="151">
        <f t="shared" si="84"/>
        <v>11</v>
      </c>
      <c r="G227" s="151">
        <f t="shared" si="84"/>
        <v>11</v>
      </c>
      <c r="H227" s="152">
        <f>+HLOOKUP(A227,Datos!$D$80:$K$84,5,0)</f>
        <v>2054840.9244000008</v>
      </c>
      <c r="I227" s="152">
        <f>+HLOOKUP(A227,Datos!$D$89:$K$93,5,0)</f>
        <v>249071.51984154008</v>
      </c>
      <c r="J227" s="152">
        <f t="shared" si="67"/>
        <v>22603250.168400008</v>
      </c>
      <c r="K227" s="152">
        <f t="shared" si="68"/>
        <v>2739786.7182569411</v>
      </c>
      <c r="L227" s="152">
        <f t="shared" si="74"/>
        <v>1921276.2643140007</v>
      </c>
      <c r="M227" s="152">
        <f t="shared" si="75"/>
        <v>2712390.0202080007</v>
      </c>
      <c r="N227" s="152">
        <f t="shared" si="76"/>
        <v>117988.96587904803</v>
      </c>
      <c r="O227" s="152">
        <f t="shared" si="77"/>
        <v>941802.09035000042</v>
      </c>
      <c r="P227" s="152">
        <f t="shared" si="69"/>
        <v>1883604.1807000006</v>
      </c>
      <c r="Q227" s="152">
        <f t="shared" si="78"/>
        <v>941802.09035000042</v>
      </c>
      <c r="R227" s="152">
        <f t="shared" si="70"/>
        <v>113016.25084200005</v>
      </c>
      <c r="S227" s="152">
        <f t="shared" si="79"/>
        <v>452065.00336800015</v>
      </c>
      <c r="T227" s="152">
        <f t="shared" si="80"/>
        <v>678097.50505200017</v>
      </c>
      <c r="U227" s="152">
        <f t="shared" si="81"/>
        <v>904130.0067360003</v>
      </c>
      <c r="V227" s="152">
        <f t="shared" si="82"/>
        <v>36009209.264455996</v>
      </c>
      <c r="W227" s="152">
        <f>IF(OR(Y227=$AA$2,Y227=$AA$3,Y227=$AA$4),HLOOKUP(A227,Datos!$D$98:$K$102,5,0),0)*G227</f>
        <v>2338267.2588000009</v>
      </c>
      <c r="X227" s="152">
        <f t="shared" si="71"/>
        <v>584566.81470000022</v>
      </c>
      <c r="Y227" s="152" t="str">
        <f t="shared" si="72"/>
        <v xml:space="preserve">MES 4 </v>
      </c>
      <c r="Z227">
        <f t="shared" si="73"/>
        <v>10</v>
      </c>
    </row>
    <row r="228" spans="1:26">
      <c r="A228" t="str">
        <f t="shared" si="66"/>
        <v>Administrador-2029</v>
      </c>
      <c r="B228">
        <v>2029</v>
      </c>
      <c r="C228" t="s">
        <v>478</v>
      </c>
      <c r="D228" t="s">
        <v>370</v>
      </c>
      <c r="E228" t="s">
        <v>371</v>
      </c>
      <c r="F228" s="151">
        <f t="shared" si="84"/>
        <v>1</v>
      </c>
      <c r="G228" s="151">
        <f t="shared" si="84"/>
        <v>2</v>
      </c>
      <c r="H228" s="152">
        <f>+HLOOKUP(A228,Datos!$D$81:$K$85,5,0)</f>
        <v>2834263.3440000014</v>
      </c>
      <c r="I228" s="152">
        <f>+HLOOKUP(A228,Datos!$D$90:$K$94,5,0)</f>
        <v>249071.51984154008</v>
      </c>
      <c r="J228" s="152">
        <f t="shared" si="67"/>
        <v>2834263.3440000014</v>
      </c>
      <c r="K228" s="152">
        <f t="shared" si="68"/>
        <v>498143.03968308016</v>
      </c>
      <c r="L228" s="152">
        <f t="shared" si="74"/>
        <v>240912.38424000013</v>
      </c>
      <c r="M228" s="152">
        <f t="shared" si="75"/>
        <v>340111.60128000018</v>
      </c>
      <c r="N228" s="152">
        <f t="shared" si="76"/>
        <v>14794.854655680007</v>
      </c>
      <c r="O228" s="152">
        <f t="shared" si="77"/>
        <v>118094.30600000006</v>
      </c>
      <c r="P228" s="152">
        <f t="shared" si="69"/>
        <v>236188.61200000011</v>
      </c>
      <c r="Q228" s="152">
        <f t="shared" si="78"/>
        <v>118094.30600000006</v>
      </c>
      <c r="R228" s="152">
        <f t="shared" si="70"/>
        <v>14171.316720000006</v>
      </c>
      <c r="S228" s="152">
        <f t="shared" si="79"/>
        <v>56685.266880000032</v>
      </c>
      <c r="T228" s="152">
        <f t="shared" si="80"/>
        <v>85027.900320000044</v>
      </c>
      <c r="U228" s="152">
        <f t="shared" si="81"/>
        <v>113370.53376000006</v>
      </c>
      <c r="V228" s="152">
        <f t="shared" si="82"/>
        <v>4669857.4655387616</v>
      </c>
      <c r="W228" s="152">
        <f>IF(OR(Y228=$AA$2,Y228=$AA$3,Y228=$AA$4),HLOOKUP(A228,Datos!$D$99:$K$104,5,0),0)*G228</f>
        <v>177141.45900000009</v>
      </c>
      <c r="X228" s="152">
        <f t="shared" si="71"/>
        <v>44285.36475000003</v>
      </c>
      <c r="Y228" s="152" t="str">
        <f t="shared" si="72"/>
        <v xml:space="preserve">MES 4 </v>
      </c>
      <c r="Z228">
        <f t="shared" si="73"/>
        <v>10</v>
      </c>
    </row>
    <row r="229" spans="1:26">
      <c r="A229" t="str">
        <f t="shared" si="66"/>
        <v>Cajero-2029</v>
      </c>
      <c r="B229">
        <v>2029</v>
      </c>
      <c r="C229" t="s">
        <v>478</v>
      </c>
      <c r="D229" t="s">
        <v>372</v>
      </c>
      <c r="E229" t="s">
        <v>371</v>
      </c>
      <c r="F229" s="151">
        <f t="shared" si="84"/>
        <v>2</v>
      </c>
      <c r="G229" s="151">
        <f t="shared" si="84"/>
        <v>2</v>
      </c>
      <c r="H229" s="152">
        <f>HLOOKUP(A229,Datos!$D$82:$K$86,5,0)</f>
        <v>2054840.9244000008</v>
      </c>
      <c r="I229" s="152">
        <f>+HLOOKUP(A229,Datos!$D$91:$K$95,5,0)</f>
        <v>249071.51984154008</v>
      </c>
      <c r="J229" s="152">
        <f t="shared" si="67"/>
        <v>4109681.8488000017</v>
      </c>
      <c r="K229" s="152">
        <f t="shared" si="68"/>
        <v>498143.03968308016</v>
      </c>
      <c r="L229" s="152">
        <f t="shared" si="74"/>
        <v>349322.95714800019</v>
      </c>
      <c r="M229" s="152">
        <f t="shared" si="75"/>
        <v>493161.82185600017</v>
      </c>
      <c r="N229" s="152">
        <f t="shared" si="76"/>
        <v>21452.539250736008</v>
      </c>
      <c r="O229" s="152">
        <f t="shared" si="77"/>
        <v>171236.74370000008</v>
      </c>
      <c r="P229" s="152">
        <f t="shared" si="69"/>
        <v>342473.48740000016</v>
      </c>
      <c r="Q229" s="152">
        <f t="shared" si="78"/>
        <v>171236.74370000008</v>
      </c>
      <c r="R229" s="152">
        <f t="shared" si="70"/>
        <v>20548.409244000009</v>
      </c>
      <c r="S229" s="152">
        <f t="shared" si="79"/>
        <v>82193.636976000038</v>
      </c>
      <c r="T229" s="152">
        <f t="shared" si="80"/>
        <v>123290.45546400004</v>
      </c>
      <c r="U229" s="152">
        <f t="shared" si="81"/>
        <v>164387.27395200008</v>
      </c>
      <c r="V229" s="152">
        <f t="shared" si="82"/>
        <v>6547128.9571738197</v>
      </c>
      <c r="W229" s="152">
        <f>IF(OR(Y229=$AA$2,Y229=$AA$3,Y229=$AA$4),HLOOKUP(A229,Datos!$D$100:$K$104,5,0),0)*G229</f>
        <v>531424.37700000033</v>
      </c>
      <c r="X229" s="152">
        <f t="shared" si="71"/>
        <v>132856.09425000008</v>
      </c>
      <c r="Y229" s="152" t="str">
        <f t="shared" si="72"/>
        <v xml:space="preserve">MES 4 </v>
      </c>
      <c r="Z229">
        <f t="shared" si="73"/>
        <v>10</v>
      </c>
    </row>
    <row r="230" spans="1:26">
      <c r="A230" t="str">
        <f t="shared" si="66"/>
        <v>Aux cocina-2029</v>
      </c>
      <c r="B230">
        <v>2029</v>
      </c>
      <c r="C230" t="s">
        <v>479</v>
      </c>
      <c r="D230" t="s">
        <v>368</v>
      </c>
      <c r="E230" t="s">
        <v>369</v>
      </c>
      <c r="F230" s="151">
        <f t="shared" si="84"/>
        <v>11</v>
      </c>
      <c r="G230" s="151">
        <f t="shared" si="84"/>
        <v>11</v>
      </c>
      <c r="H230" s="152">
        <f>+HLOOKUP(A230,Datos!$D$80:$K$84,5,0)</f>
        <v>2054840.9244000008</v>
      </c>
      <c r="I230" s="152">
        <f>+HLOOKUP(A230,Datos!$D$89:$K$93,5,0)</f>
        <v>249071.51984154008</v>
      </c>
      <c r="J230" s="152">
        <f t="shared" si="67"/>
        <v>22603250.168400008</v>
      </c>
      <c r="K230" s="152">
        <f t="shared" si="68"/>
        <v>2739786.7182569411</v>
      </c>
      <c r="L230" s="152">
        <f t="shared" si="74"/>
        <v>1921276.2643140007</v>
      </c>
      <c r="M230" s="152">
        <f t="shared" si="75"/>
        <v>2712390.0202080007</v>
      </c>
      <c r="N230" s="152">
        <f t="shared" si="76"/>
        <v>117988.96587904803</v>
      </c>
      <c r="O230" s="152">
        <f t="shared" si="77"/>
        <v>941802.09035000042</v>
      </c>
      <c r="P230" s="152">
        <f t="shared" si="69"/>
        <v>1883604.1807000006</v>
      </c>
      <c r="Q230" s="152">
        <f t="shared" si="78"/>
        <v>941802.09035000042</v>
      </c>
      <c r="R230" s="152">
        <f t="shared" si="70"/>
        <v>113016.25084200005</v>
      </c>
      <c r="S230" s="152">
        <f t="shared" si="79"/>
        <v>452065.00336800015</v>
      </c>
      <c r="T230" s="152">
        <f t="shared" si="80"/>
        <v>678097.50505200017</v>
      </c>
      <c r="U230" s="152">
        <f t="shared" si="81"/>
        <v>904130.0067360003</v>
      </c>
      <c r="V230" s="152">
        <f t="shared" si="82"/>
        <v>36009209.264455996</v>
      </c>
      <c r="W230" s="152">
        <f>IF(OR(Y230=$AA$2,Y230=$AA$3,Y230=$AA$4),HLOOKUP(A230,Datos!$D$98:$K$102,5,0),0)*G230</f>
        <v>0</v>
      </c>
      <c r="X230" s="152">
        <f t="shared" si="71"/>
        <v>584566.81470000022</v>
      </c>
      <c r="Y230" s="152" t="str">
        <f t="shared" si="72"/>
        <v xml:space="preserve">MES 5 </v>
      </c>
      <c r="Z230">
        <f t="shared" si="73"/>
        <v>10</v>
      </c>
    </row>
    <row r="231" spans="1:26">
      <c r="A231" t="str">
        <f t="shared" si="66"/>
        <v>Administrador-2029</v>
      </c>
      <c r="B231">
        <v>2029</v>
      </c>
      <c r="C231" t="s">
        <v>479</v>
      </c>
      <c r="D231" t="s">
        <v>370</v>
      </c>
      <c r="E231" t="s">
        <v>371</v>
      </c>
      <c r="F231" s="151">
        <f t="shared" si="84"/>
        <v>1</v>
      </c>
      <c r="G231" s="151">
        <f t="shared" si="84"/>
        <v>2</v>
      </c>
      <c r="H231" s="152">
        <f>+HLOOKUP(A231,Datos!$D$81:$K$85,5,0)</f>
        <v>2834263.3440000014</v>
      </c>
      <c r="I231" s="152">
        <f>+HLOOKUP(A231,Datos!$D$90:$K$94,5,0)</f>
        <v>249071.51984154008</v>
      </c>
      <c r="J231" s="152">
        <f t="shared" si="67"/>
        <v>2834263.3440000014</v>
      </c>
      <c r="K231" s="152">
        <f t="shared" si="68"/>
        <v>498143.03968308016</v>
      </c>
      <c r="L231" s="152">
        <f t="shared" si="74"/>
        <v>240912.38424000013</v>
      </c>
      <c r="M231" s="152">
        <f t="shared" si="75"/>
        <v>340111.60128000018</v>
      </c>
      <c r="N231" s="152">
        <f t="shared" si="76"/>
        <v>14794.854655680007</v>
      </c>
      <c r="O231" s="152">
        <f t="shared" si="77"/>
        <v>118094.30600000006</v>
      </c>
      <c r="P231" s="152">
        <f t="shared" si="69"/>
        <v>236188.61200000011</v>
      </c>
      <c r="Q231" s="152">
        <f t="shared" si="78"/>
        <v>118094.30600000006</v>
      </c>
      <c r="R231" s="152">
        <f t="shared" si="70"/>
        <v>14171.316720000006</v>
      </c>
      <c r="S231" s="152">
        <f t="shared" si="79"/>
        <v>56685.266880000032</v>
      </c>
      <c r="T231" s="152">
        <f t="shared" si="80"/>
        <v>85027.900320000044</v>
      </c>
      <c r="U231" s="152">
        <f t="shared" si="81"/>
        <v>113370.53376000006</v>
      </c>
      <c r="V231" s="152">
        <f t="shared" si="82"/>
        <v>4669857.4655387616</v>
      </c>
      <c r="W231" s="152">
        <f>IF(OR(Y231=$AA$2,Y231=$AA$3,Y231=$AA$4),HLOOKUP(A231,Datos!$D$99:$K$104,5,0),0)*G231</f>
        <v>0</v>
      </c>
      <c r="X231" s="152">
        <f t="shared" si="71"/>
        <v>44285.36475000003</v>
      </c>
      <c r="Y231" s="152" t="str">
        <f t="shared" si="72"/>
        <v xml:space="preserve">MES 5 </v>
      </c>
      <c r="Z231">
        <f t="shared" si="73"/>
        <v>10</v>
      </c>
    </row>
    <row r="232" spans="1:26">
      <c r="A232" t="str">
        <f t="shared" si="66"/>
        <v>Cajero-2029</v>
      </c>
      <c r="B232">
        <v>2029</v>
      </c>
      <c r="C232" t="s">
        <v>479</v>
      </c>
      <c r="D232" t="s">
        <v>372</v>
      </c>
      <c r="E232" t="s">
        <v>371</v>
      </c>
      <c r="F232" s="151">
        <f t="shared" si="84"/>
        <v>2</v>
      </c>
      <c r="G232" s="151">
        <f t="shared" si="84"/>
        <v>2</v>
      </c>
      <c r="H232" s="152">
        <f>HLOOKUP(A232,Datos!$D$82:$K$86,5,0)</f>
        <v>2054840.9244000008</v>
      </c>
      <c r="I232" s="152">
        <f>+HLOOKUP(A232,Datos!$D$91:$K$95,5,0)</f>
        <v>249071.51984154008</v>
      </c>
      <c r="J232" s="152">
        <f t="shared" si="67"/>
        <v>4109681.8488000017</v>
      </c>
      <c r="K232" s="152">
        <f t="shared" si="68"/>
        <v>498143.03968308016</v>
      </c>
      <c r="L232" s="152">
        <f t="shared" si="74"/>
        <v>349322.95714800019</v>
      </c>
      <c r="M232" s="152">
        <f t="shared" si="75"/>
        <v>493161.82185600017</v>
      </c>
      <c r="N232" s="152">
        <f t="shared" si="76"/>
        <v>21452.539250736008</v>
      </c>
      <c r="O232" s="152">
        <f t="shared" si="77"/>
        <v>171236.74370000008</v>
      </c>
      <c r="P232" s="152">
        <f t="shared" si="69"/>
        <v>342473.48740000016</v>
      </c>
      <c r="Q232" s="152">
        <f t="shared" si="78"/>
        <v>171236.74370000008</v>
      </c>
      <c r="R232" s="152">
        <f t="shared" si="70"/>
        <v>20548.409244000009</v>
      </c>
      <c r="S232" s="152">
        <f t="shared" si="79"/>
        <v>82193.636976000038</v>
      </c>
      <c r="T232" s="152">
        <f t="shared" si="80"/>
        <v>123290.45546400004</v>
      </c>
      <c r="U232" s="152">
        <f t="shared" si="81"/>
        <v>164387.27395200008</v>
      </c>
      <c r="V232" s="152">
        <f t="shared" si="82"/>
        <v>6547128.9571738197</v>
      </c>
      <c r="W232" s="152">
        <f>IF(OR(Y232=$AA$2,Y232=$AA$3,Y232=$AA$4),HLOOKUP(A232,Datos!$D$100:$K$104,5,0),0)*G232</f>
        <v>0</v>
      </c>
      <c r="X232" s="152">
        <f t="shared" si="71"/>
        <v>132856.09425000008</v>
      </c>
      <c r="Y232" s="152" t="str">
        <f t="shared" si="72"/>
        <v xml:space="preserve">MES 5 </v>
      </c>
      <c r="Z232">
        <f t="shared" si="73"/>
        <v>10</v>
      </c>
    </row>
    <row r="233" spans="1:26">
      <c r="A233" t="str">
        <f t="shared" si="66"/>
        <v>Aux cocina-2029</v>
      </c>
      <c r="B233">
        <v>2029</v>
      </c>
      <c r="C233" t="s">
        <v>480</v>
      </c>
      <c r="D233" t="s">
        <v>368</v>
      </c>
      <c r="E233" t="s">
        <v>369</v>
      </c>
      <c r="F233" s="151">
        <f t="shared" si="84"/>
        <v>11</v>
      </c>
      <c r="G233" s="151">
        <f t="shared" si="84"/>
        <v>11</v>
      </c>
      <c r="H233" s="152">
        <f>+HLOOKUP(A233,Datos!$D$80:$K$84,5,0)</f>
        <v>2054840.9244000008</v>
      </c>
      <c r="I233" s="152">
        <f>+HLOOKUP(A233,Datos!$D$89:$K$93,5,0)</f>
        <v>249071.51984154008</v>
      </c>
      <c r="J233" s="152">
        <f t="shared" si="67"/>
        <v>22603250.168400008</v>
      </c>
      <c r="K233" s="152">
        <f t="shared" si="68"/>
        <v>2739786.7182569411</v>
      </c>
      <c r="L233" s="152">
        <f t="shared" si="74"/>
        <v>1921276.2643140007</v>
      </c>
      <c r="M233" s="152">
        <f t="shared" si="75"/>
        <v>2712390.0202080007</v>
      </c>
      <c r="N233" s="152">
        <f t="shared" si="76"/>
        <v>117988.96587904803</v>
      </c>
      <c r="O233" s="152">
        <f t="shared" si="77"/>
        <v>941802.09035000042</v>
      </c>
      <c r="P233" s="152">
        <f t="shared" si="69"/>
        <v>1883604.1807000006</v>
      </c>
      <c r="Q233" s="152">
        <f t="shared" si="78"/>
        <v>941802.09035000042</v>
      </c>
      <c r="R233" s="152">
        <f t="shared" si="70"/>
        <v>113016.25084200005</v>
      </c>
      <c r="S233" s="152">
        <f t="shared" si="79"/>
        <v>452065.00336800015</v>
      </c>
      <c r="T233" s="152">
        <f t="shared" si="80"/>
        <v>678097.50505200017</v>
      </c>
      <c r="U233" s="152">
        <f t="shared" si="81"/>
        <v>904130.0067360003</v>
      </c>
      <c r="V233" s="152">
        <f t="shared" si="82"/>
        <v>36009209.264455996</v>
      </c>
      <c r="W233" s="152">
        <f>IF(OR(Y233=$AA$2,Y233=$AA$3,Y233=$AA$4),HLOOKUP(A233,Datos!$D$98:$K$102,5,0),0)*G233</f>
        <v>0</v>
      </c>
      <c r="X233" s="152">
        <f t="shared" si="71"/>
        <v>584566.81470000022</v>
      </c>
      <c r="Y233" s="152" t="str">
        <f t="shared" si="72"/>
        <v xml:space="preserve">MES 6 </v>
      </c>
      <c r="Z233">
        <f t="shared" si="73"/>
        <v>10</v>
      </c>
    </row>
    <row r="234" spans="1:26">
      <c r="A234" t="str">
        <f t="shared" si="66"/>
        <v>Administrador-2029</v>
      </c>
      <c r="B234">
        <v>2029</v>
      </c>
      <c r="C234" t="s">
        <v>480</v>
      </c>
      <c r="D234" t="s">
        <v>370</v>
      </c>
      <c r="E234" t="s">
        <v>371</v>
      </c>
      <c r="F234" s="151">
        <f t="shared" si="84"/>
        <v>1</v>
      </c>
      <c r="G234" s="151">
        <f t="shared" si="84"/>
        <v>2</v>
      </c>
      <c r="H234" s="152">
        <f>+HLOOKUP(A234,Datos!$D$81:$K$85,5,0)</f>
        <v>2834263.3440000014</v>
      </c>
      <c r="I234" s="152">
        <f>+HLOOKUP(A234,Datos!$D$90:$K$94,5,0)</f>
        <v>249071.51984154008</v>
      </c>
      <c r="J234" s="152">
        <f t="shared" si="67"/>
        <v>2834263.3440000014</v>
      </c>
      <c r="K234" s="152">
        <f t="shared" si="68"/>
        <v>498143.03968308016</v>
      </c>
      <c r="L234" s="152">
        <f t="shared" si="74"/>
        <v>240912.38424000013</v>
      </c>
      <c r="M234" s="152">
        <f t="shared" si="75"/>
        <v>340111.60128000018</v>
      </c>
      <c r="N234" s="152">
        <f t="shared" si="76"/>
        <v>14794.854655680007</v>
      </c>
      <c r="O234" s="152">
        <f t="shared" si="77"/>
        <v>118094.30600000006</v>
      </c>
      <c r="P234" s="152">
        <f t="shared" si="69"/>
        <v>236188.61200000011</v>
      </c>
      <c r="Q234" s="152">
        <f t="shared" si="78"/>
        <v>118094.30600000006</v>
      </c>
      <c r="R234" s="152">
        <f t="shared" si="70"/>
        <v>14171.316720000006</v>
      </c>
      <c r="S234" s="152">
        <f t="shared" si="79"/>
        <v>56685.266880000032</v>
      </c>
      <c r="T234" s="152">
        <f t="shared" si="80"/>
        <v>85027.900320000044</v>
      </c>
      <c r="U234" s="152">
        <f t="shared" si="81"/>
        <v>113370.53376000006</v>
      </c>
      <c r="V234" s="152">
        <f t="shared" si="82"/>
        <v>4669857.4655387616</v>
      </c>
      <c r="W234" s="152">
        <f>IF(OR(Y234=$AA$2,Y234=$AA$3,Y234=$AA$4),HLOOKUP(A234,Datos!$D$99:$K$104,5,0),0)*G234</f>
        <v>0</v>
      </c>
      <c r="X234" s="152">
        <f t="shared" si="71"/>
        <v>44285.36475000003</v>
      </c>
      <c r="Y234" s="152" t="str">
        <f t="shared" si="72"/>
        <v xml:space="preserve">MES 6 </v>
      </c>
      <c r="Z234">
        <f t="shared" si="73"/>
        <v>10</v>
      </c>
    </row>
    <row r="235" spans="1:26">
      <c r="A235" t="str">
        <f t="shared" si="66"/>
        <v>Cajero-2029</v>
      </c>
      <c r="B235">
        <v>2029</v>
      </c>
      <c r="C235" t="s">
        <v>480</v>
      </c>
      <c r="D235" t="s">
        <v>372</v>
      </c>
      <c r="E235" t="s">
        <v>371</v>
      </c>
      <c r="F235" s="151">
        <f t="shared" si="84"/>
        <v>2</v>
      </c>
      <c r="G235" s="151">
        <f t="shared" si="84"/>
        <v>2</v>
      </c>
      <c r="H235" s="152">
        <f>HLOOKUP(A235,Datos!$D$82:$K$86,5,0)</f>
        <v>2054840.9244000008</v>
      </c>
      <c r="I235" s="152">
        <f>+HLOOKUP(A235,Datos!$D$91:$K$95,5,0)</f>
        <v>249071.51984154008</v>
      </c>
      <c r="J235" s="152">
        <f t="shared" si="67"/>
        <v>4109681.8488000017</v>
      </c>
      <c r="K235" s="152">
        <f t="shared" si="68"/>
        <v>498143.03968308016</v>
      </c>
      <c r="L235" s="152">
        <f t="shared" si="74"/>
        <v>349322.95714800019</v>
      </c>
      <c r="M235" s="152">
        <f t="shared" si="75"/>
        <v>493161.82185600017</v>
      </c>
      <c r="N235" s="152">
        <f t="shared" si="76"/>
        <v>21452.539250736008</v>
      </c>
      <c r="O235" s="152">
        <f t="shared" si="77"/>
        <v>171236.74370000008</v>
      </c>
      <c r="P235" s="152">
        <f t="shared" si="69"/>
        <v>342473.48740000016</v>
      </c>
      <c r="Q235" s="152">
        <f t="shared" si="78"/>
        <v>171236.74370000008</v>
      </c>
      <c r="R235" s="152">
        <f t="shared" si="70"/>
        <v>20548.409244000009</v>
      </c>
      <c r="S235" s="152">
        <f t="shared" si="79"/>
        <v>82193.636976000038</v>
      </c>
      <c r="T235" s="152">
        <f t="shared" si="80"/>
        <v>123290.45546400004</v>
      </c>
      <c r="U235" s="152">
        <f t="shared" si="81"/>
        <v>164387.27395200008</v>
      </c>
      <c r="V235" s="152">
        <f t="shared" si="82"/>
        <v>6547128.9571738197</v>
      </c>
      <c r="W235" s="152">
        <f>IF(OR(Y235=$AA$2,Y235=$AA$3,Y235=$AA$4),HLOOKUP(A235,Datos!$D$100:$K$104,5,0),0)*G235</f>
        <v>0</v>
      </c>
      <c r="X235" s="152">
        <f t="shared" si="71"/>
        <v>132856.09425000008</v>
      </c>
      <c r="Y235" s="152" t="str">
        <f t="shared" si="72"/>
        <v xml:space="preserve">MES 6 </v>
      </c>
      <c r="Z235">
        <f t="shared" si="73"/>
        <v>10</v>
      </c>
    </row>
    <row r="236" spans="1:26">
      <c r="A236" t="str">
        <f t="shared" si="66"/>
        <v>Aux cocina-2029</v>
      </c>
      <c r="B236">
        <v>2029</v>
      </c>
      <c r="C236" t="s">
        <v>481</v>
      </c>
      <c r="D236" t="s">
        <v>368</v>
      </c>
      <c r="E236" t="s">
        <v>369</v>
      </c>
      <c r="F236" s="151">
        <f t="shared" si="84"/>
        <v>11</v>
      </c>
      <c r="G236" s="151">
        <f t="shared" si="84"/>
        <v>11</v>
      </c>
      <c r="H236" s="152">
        <f>+HLOOKUP(A236,Datos!$D$80:$K$84,5,0)</f>
        <v>2054840.9244000008</v>
      </c>
      <c r="I236" s="152">
        <f>+HLOOKUP(A236,Datos!$D$89:$K$93,5,0)</f>
        <v>249071.51984154008</v>
      </c>
      <c r="J236" s="152">
        <f t="shared" si="67"/>
        <v>22603250.168400008</v>
      </c>
      <c r="K236" s="152">
        <f t="shared" si="68"/>
        <v>2739786.7182569411</v>
      </c>
      <c r="L236" s="152">
        <f t="shared" si="74"/>
        <v>1921276.2643140007</v>
      </c>
      <c r="M236" s="152">
        <f t="shared" si="75"/>
        <v>2712390.0202080007</v>
      </c>
      <c r="N236" s="152">
        <f t="shared" si="76"/>
        <v>117988.96587904803</v>
      </c>
      <c r="O236" s="152">
        <f t="shared" si="77"/>
        <v>941802.09035000042</v>
      </c>
      <c r="P236" s="152">
        <f t="shared" si="69"/>
        <v>1883604.1807000006</v>
      </c>
      <c r="Q236" s="152">
        <f t="shared" si="78"/>
        <v>941802.09035000042</v>
      </c>
      <c r="R236" s="152">
        <f t="shared" si="70"/>
        <v>113016.25084200005</v>
      </c>
      <c r="S236" s="152">
        <f t="shared" si="79"/>
        <v>452065.00336800015</v>
      </c>
      <c r="T236" s="152">
        <f t="shared" si="80"/>
        <v>678097.50505200017</v>
      </c>
      <c r="U236" s="152">
        <f t="shared" si="81"/>
        <v>904130.0067360003</v>
      </c>
      <c r="V236" s="152">
        <f t="shared" si="82"/>
        <v>36009209.264455996</v>
      </c>
      <c r="W236" s="152">
        <f>IF(OR(Y236=$AA$2,Y236=$AA$3,Y236=$AA$4),HLOOKUP(A236,Datos!$D$98:$K$102,5,0),0)*G236</f>
        <v>0</v>
      </c>
      <c r="X236" s="152">
        <f t="shared" si="71"/>
        <v>584566.81470000022</v>
      </c>
      <c r="Y236" s="152" t="str">
        <f t="shared" si="72"/>
        <v xml:space="preserve">MES 7 </v>
      </c>
      <c r="Z236">
        <f t="shared" si="73"/>
        <v>10</v>
      </c>
    </row>
    <row r="237" spans="1:26">
      <c r="A237" t="str">
        <f t="shared" si="66"/>
        <v>Administrador-2029</v>
      </c>
      <c r="B237">
        <v>2029</v>
      </c>
      <c r="C237" t="s">
        <v>481</v>
      </c>
      <c r="D237" t="s">
        <v>370</v>
      </c>
      <c r="E237" t="s">
        <v>371</v>
      </c>
      <c r="F237" s="151">
        <f t="shared" si="84"/>
        <v>1</v>
      </c>
      <c r="G237" s="151">
        <f t="shared" si="84"/>
        <v>2</v>
      </c>
      <c r="H237" s="152">
        <f>+HLOOKUP(A237,Datos!$D$81:$K$85,5,0)</f>
        <v>2834263.3440000014</v>
      </c>
      <c r="I237" s="152">
        <f>+HLOOKUP(A237,Datos!$D$90:$K$94,5,0)</f>
        <v>249071.51984154008</v>
      </c>
      <c r="J237" s="152">
        <f t="shared" si="67"/>
        <v>2834263.3440000014</v>
      </c>
      <c r="K237" s="152">
        <f t="shared" si="68"/>
        <v>498143.03968308016</v>
      </c>
      <c r="L237" s="152">
        <f t="shared" si="74"/>
        <v>240912.38424000013</v>
      </c>
      <c r="M237" s="152">
        <f t="shared" si="75"/>
        <v>340111.60128000018</v>
      </c>
      <c r="N237" s="152">
        <f t="shared" si="76"/>
        <v>14794.854655680007</v>
      </c>
      <c r="O237" s="152">
        <f t="shared" si="77"/>
        <v>118094.30600000006</v>
      </c>
      <c r="P237" s="152">
        <f t="shared" si="69"/>
        <v>236188.61200000011</v>
      </c>
      <c r="Q237" s="152">
        <f t="shared" si="78"/>
        <v>118094.30600000006</v>
      </c>
      <c r="R237" s="152">
        <f t="shared" si="70"/>
        <v>14171.316720000006</v>
      </c>
      <c r="S237" s="152">
        <f t="shared" si="79"/>
        <v>56685.266880000032</v>
      </c>
      <c r="T237" s="152">
        <f t="shared" si="80"/>
        <v>85027.900320000044</v>
      </c>
      <c r="U237" s="152">
        <f t="shared" si="81"/>
        <v>113370.53376000006</v>
      </c>
      <c r="V237" s="152">
        <f t="shared" si="82"/>
        <v>4669857.4655387616</v>
      </c>
      <c r="W237" s="152">
        <f>IF(OR(Y237=$AA$2,Y237=$AA$3,Y237=$AA$4),HLOOKUP(A237,Datos!$D$99:$K$104,5,0),0)*G237</f>
        <v>0</v>
      </c>
      <c r="X237" s="152">
        <f t="shared" si="71"/>
        <v>44285.36475000003</v>
      </c>
      <c r="Y237" s="152" t="str">
        <f t="shared" si="72"/>
        <v xml:space="preserve">MES 7 </v>
      </c>
      <c r="Z237">
        <f t="shared" si="73"/>
        <v>10</v>
      </c>
    </row>
    <row r="238" spans="1:26">
      <c r="A238" t="str">
        <f t="shared" si="66"/>
        <v>Cajero-2029</v>
      </c>
      <c r="B238">
        <v>2029</v>
      </c>
      <c r="C238" t="s">
        <v>481</v>
      </c>
      <c r="D238" t="s">
        <v>372</v>
      </c>
      <c r="E238" t="s">
        <v>371</v>
      </c>
      <c r="F238" s="151">
        <f t="shared" si="84"/>
        <v>2</v>
      </c>
      <c r="G238" s="151">
        <f t="shared" si="84"/>
        <v>2</v>
      </c>
      <c r="H238" s="152">
        <f>HLOOKUP(A238,Datos!$D$82:$K$86,5,0)</f>
        <v>2054840.9244000008</v>
      </c>
      <c r="I238" s="152">
        <f>+HLOOKUP(A238,Datos!$D$91:$K$95,5,0)</f>
        <v>249071.51984154008</v>
      </c>
      <c r="J238" s="152">
        <f t="shared" si="67"/>
        <v>4109681.8488000017</v>
      </c>
      <c r="K238" s="152">
        <f t="shared" si="68"/>
        <v>498143.03968308016</v>
      </c>
      <c r="L238" s="152">
        <f t="shared" si="74"/>
        <v>349322.95714800019</v>
      </c>
      <c r="M238" s="152">
        <f t="shared" si="75"/>
        <v>493161.82185600017</v>
      </c>
      <c r="N238" s="152">
        <f t="shared" si="76"/>
        <v>21452.539250736008</v>
      </c>
      <c r="O238" s="152">
        <f t="shared" si="77"/>
        <v>171236.74370000008</v>
      </c>
      <c r="P238" s="152">
        <f t="shared" si="69"/>
        <v>342473.48740000016</v>
      </c>
      <c r="Q238" s="152">
        <f t="shared" si="78"/>
        <v>171236.74370000008</v>
      </c>
      <c r="R238" s="152">
        <f t="shared" si="70"/>
        <v>20548.409244000009</v>
      </c>
      <c r="S238" s="152">
        <f t="shared" si="79"/>
        <v>82193.636976000038</v>
      </c>
      <c r="T238" s="152">
        <f t="shared" si="80"/>
        <v>123290.45546400004</v>
      </c>
      <c r="U238" s="152">
        <f t="shared" si="81"/>
        <v>164387.27395200008</v>
      </c>
      <c r="V238" s="152">
        <f t="shared" si="82"/>
        <v>6547128.9571738197</v>
      </c>
      <c r="W238" s="152">
        <f>IF(OR(Y238=$AA$2,Y238=$AA$3,Y238=$AA$4),HLOOKUP(A238,Datos!$D$100:$K$104,5,0),0)*G238</f>
        <v>0</v>
      </c>
      <c r="X238" s="152">
        <f t="shared" si="71"/>
        <v>132856.09425000008</v>
      </c>
      <c r="Y238" s="152" t="str">
        <f t="shared" si="72"/>
        <v xml:space="preserve">MES 7 </v>
      </c>
      <c r="Z238">
        <f t="shared" si="73"/>
        <v>10</v>
      </c>
    </row>
    <row r="239" spans="1:26">
      <c r="A239" t="str">
        <f t="shared" si="66"/>
        <v>Aux cocina-2029</v>
      </c>
      <c r="B239">
        <v>2029</v>
      </c>
      <c r="C239" t="s">
        <v>482</v>
      </c>
      <c r="D239" t="s">
        <v>368</v>
      </c>
      <c r="E239" t="s">
        <v>369</v>
      </c>
      <c r="F239" s="151">
        <f t="shared" ref="F239:G258" si="85">+F236</f>
        <v>11</v>
      </c>
      <c r="G239" s="151">
        <f t="shared" si="85"/>
        <v>11</v>
      </c>
      <c r="H239" s="152">
        <f>+HLOOKUP(A239,Datos!$D$80:$K$84,5,0)</f>
        <v>2054840.9244000008</v>
      </c>
      <c r="I239" s="152">
        <f>+HLOOKUP(A239,Datos!$D$89:$K$93,5,0)</f>
        <v>249071.51984154008</v>
      </c>
      <c r="J239" s="152">
        <f t="shared" si="67"/>
        <v>22603250.168400008</v>
      </c>
      <c r="K239" s="152">
        <f t="shared" si="68"/>
        <v>2739786.7182569411</v>
      </c>
      <c r="L239" s="152">
        <f t="shared" si="74"/>
        <v>1921276.2643140007</v>
      </c>
      <c r="M239" s="152">
        <f t="shared" si="75"/>
        <v>2712390.0202080007</v>
      </c>
      <c r="N239" s="152">
        <f t="shared" si="76"/>
        <v>117988.96587904803</v>
      </c>
      <c r="O239" s="152">
        <f t="shared" si="77"/>
        <v>941802.09035000042</v>
      </c>
      <c r="P239" s="152">
        <f t="shared" si="69"/>
        <v>1883604.1807000006</v>
      </c>
      <c r="Q239" s="152">
        <f t="shared" si="78"/>
        <v>941802.09035000042</v>
      </c>
      <c r="R239" s="152">
        <f t="shared" si="70"/>
        <v>113016.25084200005</v>
      </c>
      <c r="S239" s="152">
        <f t="shared" si="79"/>
        <v>452065.00336800015</v>
      </c>
      <c r="T239" s="152">
        <f t="shared" si="80"/>
        <v>678097.50505200017</v>
      </c>
      <c r="U239" s="152">
        <f t="shared" si="81"/>
        <v>904130.0067360003</v>
      </c>
      <c r="V239" s="152">
        <f t="shared" si="82"/>
        <v>36009209.264455996</v>
      </c>
      <c r="W239" s="152">
        <f>IF(OR(Y239=$AA$2,Y239=$AA$3,Y239=$AA$4),HLOOKUP(A239,Datos!$D$98:$K$102,5,0),0)*G239</f>
        <v>2338267.2588000009</v>
      </c>
      <c r="X239" s="152">
        <f t="shared" si="71"/>
        <v>584566.81470000022</v>
      </c>
      <c r="Y239" s="152" t="str">
        <f t="shared" si="72"/>
        <v xml:space="preserve">MES 8 </v>
      </c>
      <c r="Z239">
        <f t="shared" si="73"/>
        <v>10</v>
      </c>
    </row>
    <row r="240" spans="1:26">
      <c r="A240" t="str">
        <f t="shared" si="66"/>
        <v>Administrador-2029</v>
      </c>
      <c r="B240">
        <v>2029</v>
      </c>
      <c r="C240" t="s">
        <v>482</v>
      </c>
      <c r="D240" t="s">
        <v>370</v>
      </c>
      <c r="E240" t="s">
        <v>371</v>
      </c>
      <c r="F240" s="151">
        <f t="shared" si="85"/>
        <v>1</v>
      </c>
      <c r="G240" s="151">
        <f t="shared" si="85"/>
        <v>2</v>
      </c>
      <c r="H240" s="152">
        <f>+HLOOKUP(A240,Datos!$D$81:$K$85,5,0)</f>
        <v>2834263.3440000014</v>
      </c>
      <c r="I240" s="152">
        <f>+HLOOKUP(A240,Datos!$D$90:$K$94,5,0)</f>
        <v>249071.51984154008</v>
      </c>
      <c r="J240" s="152">
        <f t="shared" si="67"/>
        <v>2834263.3440000014</v>
      </c>
      <c r="K240" s="152">
        <f t="shared" si="68"/>
        <v>498143.03968308016</v>
      </c>
      <c r="L240" s="152">
        <f t="shared" si="74"/>
        <v>240912.38424000013</v>
      </c>
      <c r="M240" s="152">
        <f t="shared" si="75"/>
        <v>340111.60128000018</v>
      </c>
      <c r="N240" s="152">
        <f t="shared" si="76"/>
        <v>14794.854655680007</v>
      </c>
      <c r="O240" s="152">
        <f t="shared" si="77"/>
        <v>118094.30600000006</v>
      </c>
      <c r="P240" s="152">
        <f t="shared" si="69"/>
        <v>236188.61200000011</v>
      </c>
      <c r="Q240" s="152">
        <f t="shared" si="78"/>
        <v>118094.30600000006</v>
      </c>
      <c r="R240" s="152">
        <f t="shared" si="70"/>
        <v>14171.316720000006</v>
      </c>
      <c r="S240" s="152">
        <f t="shared" si="79"/>
        <v>56685.266880000032</v>
      </c>
      <c r="T240" s="152">
        <f t="shared" si="80"/>
        <v>85027.900320000044</v>
      </c>
      <c r="U240" s="152">
        <f t="shared" si="81"/>
        <v>113370.53376000006</v>
      </c>
      <c r="V240" s="152">
        <f t="shared" si="82"/>
        <v>4669857.4655387616</v>
      </c>
      <c r="W240" s="152">
        <f>IF(OR(Y240=$AA$2,Y240=$AA$3,Y240=$AA$4),HLOOKUP(A240,Datos!$D$99:$K$104,5,0),0)*G240</f>
        <v>177141.45900000009</v>
      </c>
      <c r="X240" s="152">
        <f t="shared" si="71"/>
        <v>44285.36475000003</v>
      </c>
      <c r="Y240" s="152" t="str">
        <f t="shared" si="72"/>
        <v xml:space="preserve">MES 8 </v>
      </c>
      <c r="Z240">
        <f t="shared" si="73"/>
        <v>10</v>
      </c>
    </row>
    <row r="241" spans="1:26">
      <c r="A241" t="str">
        <f t="shared" si="66"/>
        <v>Cajero-2029</v>
      </c>
      <c r="B241">
        <v>2029</v>
      </c>
      <c r="C241" t="s">
        <v>482</v>
      </c>
      <c r="D241" t="s">
        <v>372</v>
      </c>
      <c r="E241" t="s">
        <v>371</v>
      </c>
      <c r="F241" s="151">
        <f t="shared" si="85"/>
        <v>2</v>
      </c>
      <c r="G241" s="151">
        <f t="shared" si="85"/>
        <v>2</v>
      </c>
      <c r="H241" s="152">
        <f>HLOOKUP(A241,Datos!$D$82:$K$86,5,0)</f>
        <v>2054840.9244000008</v>
      </c>
      <c r="I241" s="152">
        <f>+HLOOKUP(A241,Datos!$D$91:$K$95,5,0)</f>
        <v>249071.51984154008</v>
      </c>
      <c r="J241" s="152">
        <f t="shared" si="67"/>
        <v>4109681.8488000017</v>
      </c>
      <c r="K241" s="152">
        <f t="shared" si="68"/>
        <v>498143.03968308016</v>
      </c>
      <c r="L241" s="152">
        <f t="shared" si="74"/>
        <v>349322.95714800019</v>
      </c>
      <c r="M241" s="152">
        <f t="shared" si="75"/>
        <v>493161.82185600017</v>
      </c>
      <c r="N241" s="152">
        <f t="shared" si="76"/>
        <v>21452.539250736008</v>
      </c>
      <c r="O241" s="152">
        <f t="shared" si="77"/>
        <v>171236.74370000008</v>
      </c>
      <c r="P241" s="152">
        <f t="shared" si="69"/>
        <v>342473.48740000016</v>
      </c>
      <c r="Q241" s="152">
        <f t="shared" si="78"/>
        <v>171236.74370000008</v>
      </c>
      <c r="R241" s="152">
        <f t="shared" si="70"/>
        <v>20548.409244000009</v>
      </c>
      <c r="S241" s="152">
        <f t="shared" si="79"/>
        <v>82193.636976000038</v>
      </c>
      <c r="T241" s="152">
        <f t="shared" si="80"/>
        <v>123290.45546400004</v>
      </c>
      <c r="U241" s="152">
        <f t="shared" si="81"/>
        <v>164387.27395200008</v>
      </c>
      <c r="V241" s="152">
        <f t="shared" si="82"/>
        <v>6547128.9571738197</v>
      </c>
      <c r="W241" s="152">
        <f>IF(OR(Y241=$AA$2,Y241=$AA$3,Y241=$AA$4),HLOOKUP(A241,Datos!$D$100:$K$104,5,0),0)*G241</f>
        <v>531424.37700000033</v>
      </c>
      <c r="X241" s="152">
        <f t="shared" si="71"/>
        <v>132856.09425000008</v>
      </c>
      <c r="Y241" s="152" t="str">
        <f t="shared" si="72"/>
        <v xml:space="preserve">MES 8 </v>
      </c>
      <c r="Z241">
        <f t="shared" si="73"/>
        <v>10</v>
      </c>
    </row>
    <row r="242" spans="1:26">
      <c r="A242" t="str">
        <f t="shared" ref="A242:A289" si="86">+D242&amp;"-"&amp;B242</f>
        <v>Aux cocina-2029</v>
      </c>
      <c r="B242">
        <v>2029</v>
      </c>
      <c r="C242" t="s">
        <v>483</v>
      </c>
      <c r="D242" t="s">
        <v>368</v>
      </c>
      <c r="E242" t="s">
        <v>369</v>
      </c>
      <c r="F242" s="151">
        <f t="shared" si="85"/>
        <v>11</v>
      </c>
      <c r="G242" s="151">
        <f t="shared" si="85"/>
        <v>11</v>
      </c>
      <c r="H242" s="152">
        <f>+HLOOKUP(A242,Datos!$D$80:$K$84,5,0)</f>
        <v>2054840.9244000008</v>
      </c>
      <c r="I242" s="152">
        <f>+HLOOKUP(A242,Datos!$D$89:$K$93,5,0)</f>
        <v>249071.51984154008</v>
      </c>
      <c r="J242" s="152">
        <f t="shared" si="67"/>
        <v>22603250.168400008</v>
      </c>
      <c r="K242" s="152">
        <f t="shared" si="68"/>
        <v>2739786.7182569411</v>
      </c>
      <c r="L242" s="152">
        <f t="shared" si="74"/>
        <v>1921276.2643140007</v>
      </c>
      <c r="M242" s="152">
        <f t="shared" si="75"/>
        <v>2712390.0202080007</v>
      </c>
      <c r="N242" s="152">
        <f t="shared" si="76"/>
        <v>117988.96587904803</v>
      </c>
      <c r="O242" s="152">
        <f t="shared" si="77"/>
        <v>941802.09035000042</v>
      </c>
      <c r="P242" s="152">
        <f t="shared" si="69"/>
        <v>1883604.1807000006</v>
      </c>
      <c r="Q242" s="152">
        <f t="shared" si="78"/>
        <v>941802.09035000042</v>
      </c>
      <c r="R242" s="152">
        <f t="shared" si="70"/>
        <v>113016.25084200005</v>
      </c>
      <c r="S242" s="152">
        <f t="shared" si="79"/>
        <v>452065.00336800015</v>
      </c>
      <c r="T242" s="152">
        <f t="shared" si="80"/>
        <v>678097.50505200017</v>
      </c>
      <c r="U242" s="152">
        <f t="shared" si="81"/>
        <v>904130.0067360003</v>
      </c>
      <c r="V242" s="152">
        <f t="shared" si="82"/>
        <v>36009209.264455996</v>
      </c>
      <c r="W242" s="152">
        <f>IF(OR(Y242=$AA$2,Y242=$AA$3,Y242=$AA$4),HLOOKUP(A242,Datos!$D$98:$K$102,5,0),0)*G242</f>
        <v>0</v>
      </c>
      <c r="X242" s="152">
        <f t="shared" si="71"/>
        <v>584566.81470000022</v>
      </c>
      <c r="Y242" s="152" t="str">
        <f t="shared" si="72"/>
        <v xml:space="preserve">MES 9 </v>
      </c>
      <c r="Z242">
        <f t="shared" si="73"/>
        <v>10</v>
      </c>
    </row>
    <row r="243" spans="1:26">
      <c r="A243" t="str">
        <f t="shared" si="86"/>
        <v>Administrador-2029</v>
      </c>
      <c r="B243">
        <v>2029</v>
      </c>
      <c r="C243" t="s">
        <v>483</v>
      </c>
      <c r="D243" t="s">
        <v>370</v>
      </c>
      <c r="E243" t="s">
        <v>371</v>
      </c>
      <c r="F243" s="151">
        <f t="shared" si="85"/>
        <v>1</v>
      </c>
      <c r="G243" s="151">
        <f t="shared" si="85"/>
        <v>2</v>
      </c>
      <c r="H243" s="152">
        <f>+HLOOKUP(A243,Datos!$D$81:$K$85,5,0)</f>
        <v>2834263.3440000014</v>
      </c>
      <c r="I243" s="152">
        <f>+HLOOKUP(A243,Datos!$D$90:$K$94,5,0)</f>
        <v>249071.51984154008</v>
      </c>
      <c r="J243" s="152">
        <f t="shared" si="67"/>
        <v>2834263.3440000014</v>
      </c>
      <c r="K243" s="152">
        <f t="shared" si="68"/>
        <v>498143.03968308016</v>
      </c>
      <c r="L243" s="152">
        <f t="shared" si="74"/>
        <v>240912.38424000013</v>
      </c>
      <c r="M243" s="152">
        <f t="shared" si="75"/>
        <v>340111.60128000018</v>
      </c>
      <c r="N243" s="152">
        <f t="shared" si="76"/>
        <v>14794.854655680007</v>
      </c>
      <c r="O243" s="152">
        <f t="shared" si="77"/>
        <v>118094.30600000006</v>
      </c>
      <c r="P243" s="152">
        <f t="shared" si="69"/>
        <v>236188.61200000011</v>
      </c>
      <c r="Q243" s="152">
        <f t="shared" si="78"/>
        <v>118094.30600000006</v>
      </c>
      <c r="R243" s="152">
        <f t="shared" si="70"/>
        <v>14171.316720000006</v>
      </c>
      <c r="S243" s="152">
        <f t="shared" si="79"/>
        <v>56685.266880000032</v>
      </c>
      <c r="T243" s="152">
        <f t="shared" si="80"/>
        <v>85027.900320000044</v>
      </c>
      <c r="U243" s="152">
        <f t="shared" si="81"/>
        <v>113370.53376000006</v>
      </c>
      <c r="V243" s="152">
        <f t="shared" si="82"/>
        <v>4669857.4655387616</v>
      </c>
      <c r="W243" s="152">
        <f>IF(OR(Y243=$AA$2,Y243=$AA$3,Y243=$AA$4),HLOOKUP(A243,Datos!$D$99:$K$104,5,0),0)*G243</f>
        <v>0</v>
      </c>
      <c r="X243" s="152">
        <f t="shared" si="71"/>
        <v>44285.36475000003</v>
      </c>
      <c r="Y243" s="152" t="str">
        <f t="shared" si="72"/>
        <v xml:space="preserve">MES 9 </v>
      </c>
      <c r="Z243">
        <f t="shared" si="73"/>
        <v>10</v>
      </c>
    </row>
    <row r="244" spans="1:26">
      <c r="A244" t="str">
        <f t="shared" si="86"/>
        <v>Cajero-2029</v>
      </c>
      <c r="B244">
        <v>2029</v>
      </c>
      <c r="C244" t="s">
        <v>483</v>
      </c>
      <c r="D244" t="s">
        <v>372</v>
      </c>
      <c r="E244" t="s">
        <v>371</v>
      </c>
      <c r="F244" s="151">
        <f t="shared" si="85"/>
        <v>2</v>
      </c>
      <c r="G244" s="151">
        <f t="shared" si="85"/>
        <v>2</v>
      </c>
      <c r="H244" s="152">
        <f>HLOOKUP(A244,Datos!$D$82:$K$86,5,0)</f>
        <v>2054840.9244000008</v>
      </c>
      <c r="I244" s="152">
        <f>+HLOOKUP(A244,Datos!$D$91:$K$95,5,0)</f>
        <v>249071.51984154008</v>
      </c>
      <c r="J244" s="152">
        <f t="shared" si="67"/>
        <v>4109681.8488000017</v>
      </c>
      <c r="K244" s="152">
        <f t="shared" si="68"/>
        <v>498143.03968308016</v>
      </c>
      <c r="L244" s="152">
        <f t="shared" si="74"/>
        <v>349322.95714800019</v>
      </c>
      <c r="M244" s="152">
        <f t="shared" si="75"/>
        <v>493161.82185600017</v>
      </c>
      <c r="N244" s="152">
        <f t="shared" si="76"/>
        <v>21452.539250736008</v>
      </c>
      <c r="O244" s="152">
        <f t="shared" si="77"/>
        <v>171236.74370000008</v>
      </c>
      <c r="P244" s="152">
        <f t="shared" si="69"/>
        <v>342473.48740000016</v>
      </c>
      <c r="Q244" s="152">
        <f t="shared" si="78"/>
        <v>171236.74370000008</v>
      </c>
      <c r="R244" s="152">
        <f t="shared" si="70"/>
        <v>20548.409244000009</v>
      </c>
      <c r="S244" s="152">
        <f t="shared" si="79"/>
        <v>82193.636976000038</v>
      </c>
      <c r="T244" s="152">
        <f t="shared" si="80"/>
        <v>123290.45546400004</v>
      </c>
      <c r="U244" s="152">
        <f t="shared" si="81"/>
        <v>164387.27395200008</v>
      </c>
      <c r="V244" s="152">
        <f t="shared" si="82"/>
        <v>6547128.9571738197</v>
      </c>
      <c r="W244" s="152">
        <f>IF(OR(Y244=$AA$2,Y244=$AA$3,Y244=$AA$4),HLOOKUP(A244,Datos!$D$100:$K$104,5,0),0)*G244</f>
        <v>0</v>
      </c>
      <c r="X244" s="152">
        <f t="shared" si="71"/>
        <v>132856.09425000008</v>
      </c>
      <c r="Y244" s="152" t="str">
        <f t="shared" si="72"/>
        <v xml:space="preserve">MES 9 </v>
      </c>
      <c r="Z244">
        <f t="shared" si="73"/>
        <v>10</v>
      </c>
    </row>
    <row r="245" spans="1:26">
      <c r="A245" t="str">
        <f t="shared" si="86"/>
        <v>Aux cocina-2029</v>
      </c>
      <c r="B245">
        <v>2029</v>
      </c>
      <c r="C245" t="s">
        <v>484</v>
      </c>
      <c r="D245" t="s">
        <v>368</v>
      </c>
      <c r="E245" t="s">
        <v>369</v>
      </c>
      <c r="F245" s="151">
        <f t="shared" si="85"/>
        <v>11</v>
      </c>
      <c r="G245" s="151">
        <f t="shared" si="85"/>
        <v>11</v>
      </c>
      <c r="H245" s="152">
        <f>+HLOOKUP(A245,Datos!$D$80:$K$84,5,0)</f>
        <v>2054840.9244000008</v>
      </c>
      <c r="I245" s="152">
        <f>+HLOOKUP(A245,Datos!$D$89:$K$93,5,0)</f>
        <v>249071.51984154008</v>
      </c>
      <c r="J245" s="152">
        <f t="shared" si="67"/>
        <v>22603250.168400008</v>
      </c>
      <c r="K245" s="152">
        <f t="shared" si="68"/>
        <v>2739786.7182569411</v>
      </c>
      <c r="L245" s="152">
        <f t="shared" si="74"/>
        <v>1921276.2643140007</v>
      </c>
      <c r="M245" s="152">
        <f t="shared" si="75"/>
        <v>2712390.0202080007</v>
      </c>
      <c r="N245" s="152">
        <f t="shared" si="76"/>
        <v>117988.96587904803</v>
      </c>
      <c r="O245" s="152">
        <f t="shared" si="77"/>
        <v>941802.09035000042</v>
      </c>
      <c r="P245" s="152">
        <f t="shared" si="69"/>
        <v>1883604.1807000006</v>
      </c>
      <c r="Q245" s="152">
        <f t="shared" si="78"/>
        <v>941802.09035000042</v>
      </c>
      <c r="R245" s="152">
        <f t="shared" si="70"/>
        <v>113016.25084200005</v>
      </c>
      <c r="S245" s="152">
        <f t="shared" si="79"/>
        <v>452065.00336800015</v>
      </c>
      <c r="T245" s="152">
        <f t="shared" si="80"/>
        <v>678097.50505200017</v>
      </c>
      <c r="U245" s="152">
        <f t="shared" si="81"/>
        <v>904130.0067360003</v>
      </c>
      <c r="V245" s="152">
        <f t="shared" si="82"/>
        <v>36009209.264455996</v>
      </c>
      <c r="W245" s="152">
        <f>IF(OR(Y245=$AA$2,Y245=$AA$3,Y245=$AA$4),HLOOKUP(A245,Datos!$D$98:$K$102,5,0),0)*G245</f>
        <v>0</v>
      </c>
      <c r="X245" s="152">
        <f t="shared" si="71"/>
        <v>584566.81470000022</v>
      </c>
      <c r="Y245" s="152" t="str">
        <f t="shared" si="72"/>
        <v>MES 10</v>
      </c>
      <c r="Z245">
        <f t="shared" si="73"/>
        <v>11</v>
      </c>
    </row>
    <row r="246" spans="1:26">
      <c r="A246" t="str">
        <f t="shared" si="86"/>
        <v>Administrador-2029</v>
      </c>
      <c r="B246">
        <v>2029</v>
      </c>
      <c r="C246" t="s">
        <v>484</v>
      </c>
      <c r="D246" t="s">
        <v>370</v>
      </c>
      <c r="E246" t="s">
        <v>371</v>
      </c>
      <c r="F246" s="151">
        <f t="shared" si="85"/>
        <v>1</v>
      </c>
      <c r="G246" s="151">
        <f t="shared" si="85"/>
        <v>2</v>
      </c>
      <c r="H246" s="152">
        <f>+HLOOKUP(A246,Datos!$D$81:$K$85,5,0)</f>
        <v>2834263.3440000014</v>
      </c>
      <c r="I246" s="152">
        <f>+HLOOKUP(A246,Datos!$D$90:$K$94,5,0)</f>
        <v>249071.51984154008</v>
      </c>
      <c r="J246" s="152">
        <f t="shared" si="67"/>
        <v>2834263.3440000014</v>
      </c>
      <c r="K246" s="152">
        <f t="shared" si="68"/>
        <v>498143.03968308016</v>
      </c>
      <c r="L246" s="152">
        <f t="shared" si="74"/>
        <v>240912.38424000013</v>
      </c>
      <c r="M246" s="152">
        <f t="shared" si="75"/>
        <v>340111.60128000018</v>
      </c>
      <c r="N246" s="152">
        <f t="shared" si="76"/>
        <v>14794.854655680007</v>
      </c>
      <c r="O246" s="152">
        <f t="shared" si="77"/>
        <v>118094.30600000006</v>
      </c>
      <c r="P246" s="152">
        <f t="shared" si="69"/>
        <v>236188.61200000011</v>
      </c>
      <c r="Q246" s="152">
        <f t="shared" si="78"/>
        <v>118094.30600000006</v>
      </c>
      <c r="R246" s="152">
        <f t="shared" si="70"/>
        <v>14171.316720000006</v>
      </c>
      <c r="S246" s="152">
        <f t="shared" si="79"/>
        <v>56685.266880000032</v>
      </c>
      <c r="T246" s="152">
        <f t="shared" si="80"/>
        <v>85027.900320000044</v>
      </c>
      <c r="U246" s="152">
        <f t="shared" si="81"/>
        <v>113370.53376000006</v>
      </c>
      <c r="V246" s="152">
        <f t="shared" si="82"/>
        <v>4669857.4655387616</v>
      </c>
      <c r="W246" s="152">
        <f>IF(OR(Y246=$AA$2,Y246=$AA$3,Y246=$AA$4),HLOOKUP(A246,Datos!$D$99:$K$104,5,0),0)*G246</f>
        <v>0</v>
      </c>
      <c r="X246" s="152">
        <f t="shared" si="71"/>
        <v>44285.36475000003</v>
      </c>
      <c r="Y246" s="152" t="str">
        <f t="shared" si="72"/>
        <v>MES 10</v>
      </c>
      <c r="Z246">
        <f t="shared" si="73"/>
        <v>11</v>
      </c>
    </row>
    <row r="247" spans="1:26">
      <c r="A247" t="str">
        <f t="shared" si="86"/>
        <v>Cajero-2029</v>
      </c>
      <c r="B247">
        <v>2029</v>
      </c>
      <c r="C247" t="s">
        <v>484</v>
      </c>
      <c r="D247" t="s">
        <v>372</v>
      </c>
      <c r="E247" t="s">
        <v>371</v>
      </c>
      <c r="F247" s="151">
        <f t="shared" si="85"/>
        <v>2</v>
      </c>
      <c r="G247" s="151">
        <f t="shared" si="85"/>
        <v>2</v>
      </c>
      <c r="H247" s="152">
        <f>HLOOKUP(A247,Datos!$D$82:$K$86,5,0)</f>
        <v>2054840.9244000008</v>
      </c>
      <c r="I247" s="152">
        <f>+HLOOKUP(A247,Datos!$D$91:$K$95,5,0)</f>
        <v>249071.51984154008</v>
      </c>
      <c r="J247" s="152">
        <f t="shared" si="67"/>
        <v>4109681.8488000017</v>
      </c>
      <c r="K247" s="152">
        <f t="shared" si="68"/>
        <v>498143.03968308016</v>
      </c>
      <c r="L247" s="152">
        <f t="shared" si="74"/>
        <v>349322.95714800019</v>
      </c>
      <c r="M247" s="152">
        <f t="shared" si="75"/>
        <v>493161.82185600017</v>
      </c>
      <c r="N247" s="152">
        <f t="shared" si="76"/>
        <v>21452.539250736008</v>
      </c>
      <c r="O247" s="152">
        <f t="shared" si="77"/>
        <v>171236.74370000008</v>
      </c>
      <c r="P247" s="152">
        <f t="shared" si="69"/>
        <v>342473.48740000016</v>
      </c>
      <c r="Q247" s="152">
        <f t="shared" si="78"/>
        <v>171236.74370000008</v>
      </c>
      <c r="R247" s="152">
        <f t="shared" si="70"/>
        <v>20548.409244000009</v>
      </c>
      <c r="S247" s="152">
        <f t="shared" si="79"/>
        <v>82193.636976000038</v>
      </c>
      <c r="T247" s="152">
        <f t="shared" si="80"/>
        <v>123290.45546400004</v>
      </c>
      <c r="U247" s="152">
        <f t="shared" si="81"/>
        <v>164387.27395200008</v>
      </c>
      <c r="V247" s="152">
        <f t="shared" si="82"/>
        <v>6547128.9571738197</v>
      </c>
      <c r="W247" s="152">
        <f>IF(OR(Y247=$AA$2,Y247=$AA$3,Y247=$AA$4),HLOOKUP(A247,Datos!$D$100:$K$104,5,0),0)*G247</f>
        <v>0</v>
      </c>
      <c r="X247" s="152">
        <f t="shared" si="71"/>
        <v>132856.09425000008</v>
      </c>
      <c r="Y247" s="152" t="str">
        <f t="shared" si="72"/>
        <v>MES 10</v>
      </c>
      <c r="Z247">
        <f t="shared" si="73"/>
        <v>11</v>
      </c>
    </row>
    <row r="248" spans="1:26">
      <c r="A248" t="str">
        <f t="shared" si="86"/>
        <v>Aux cocina-2029</v>
      </c>
      <c r="B248">
        <v>2029</v>
      </c>
      <c r="C248" t="s">
        <v>485</v>
      </c>
      <c r="D248" t="s">
        <v>368</v>
      </c>
      <c r="E248" t="s">
        <v>369</v>
      </c>
      <c r="F248" s="151">
        <f t="shared" si="85"/>
        <v>11</v>
      </c>
      <c r="G248" s="151">
        <f t="shared" si="85"/>
        <v>11</v>
      </c>
      <c r="H248" s="152">
        <f>+HLOOKUP(A248,Datos!$D$80:$K$84,5,0)</f>
        <v>2054840.9244000008</v>
      </c>
      <c r="I248" s="152">
        <f>+HLOOKUP(A248,Datos!$D$89:$K$93,5,0)</f>
        <v>249071.51984154008</v>
      </c>
      <c r="J248" s="152">
        <f t="shared" si="67"/>
        <v>22603250.168400008</v>
      </c>
      <c r="K248" s="152">
        <f t="shared" si="68"/>
        <v>2739786.7182569411</v>
      </c>
      <c r="L248" s="152">
        <f t="shared" si="74"/>
        <v>1921276.2643140007</v>
      </c>
      <c r="M248" s="152">
        <f t="shared" si="75"/>
        <v>2712390.0202080007</v>
      </c>
      <c r="N248" s="152">
        <f t="shared" si="76"/>
        <v>117988.96587904803</v>
      </c>
      <c r="O248" s="152">
        <f t="shared" si="77"/>
        <v>941802.09035000042</v>
      </c>
      <c r="P248" s="152">
        <f t="shared" si="69"/>
        <v>1883604.1807000006</v>
      </c>
      <c r="Q248" s="152">
        <f t="shared" si="78"/>
        <v>941802.09035000042</v>
      </c>
      <c r="R248" s="152">
        <f t="shared" si="70"/>
        <v>113016.25084200005</v>
      </c>
      <c r="S248" s="152">
        <f t="shared" si="79"/>
        <v>452065.00336800015</v>
      </c>
      <c r="T248" s="152">
        <f t="shared" si="80"/>
        <v>678097.50505200017</v>
      </c>
      <c r="U248" s="152">
        <f t="shared" si="81"/>
        <v>904130.0067360003</v>
      </c>
      <c r="V248" s="152">
        <f t="shared" si="82"/>
        <v>36009209.264455996</v>
      </c>
      <c r="W248" s="152">
        <f>IF(OR(Y248=$AA$2,Y248=$AA$3,Y248=$AA$4),HLOOKUP(A248,Datos!$D$98:$K$102,5,0),0)*G248</f>
        <v>0</v>
      </c>
      <c r="X248" s="152">
        <f t="shared" si="71"/>
        <v>584566.81470000022</v>
      </c>
      <c r="Y248" s="152" t="str">
        <f t="shared" si="72"/>
        <v>MES 11</v>
      </c>
      <c r="Z248">
        <f t="shared" si="73"/>
        <v>11</v>
      </c>
    </row>
    <row r="249" spans="1:26">
      <c r="A249" t="str">
        <f t="shared" si="86"/>
        <v>Administrador-2029</v>
      </c>
      <c r="B249">
        <v>2029</v>
      </c>
      <c r="C249" t="s">
        <v>485</v>
      </c>
      <c r="D249" t="s">
        <v>370</v>
      </c>
      <c r="E249" t="s">
        <v>371</v>
      </c>
      <c r="F249" s="151">
        <f t="shared" si="85"/>
        <v>1</v>
      </c>
      <c r="G249" s="151">
        <f t="shared" si="85"/>
        <v>2</v>
      </c>
      <c r="H249" s="152">
        <f>+HLOOKUP(A249,Datos!$D$81:$K$85,5,0)</f>
        <v>2834263.3440000014</v>
      </c>
      <c r="I249" s="152">
        <f>+HLOOKUP(A249,Datos!$D$90:$K$94,5,0)</f>
        <v>249071.51984154008</v>
      </c>
      <c r="J249" s="152">
        <f t="shared" si="67"/>
        <v>2834263.3440000014</v>
      </c>
      <c r="K249" s="152">
        <f t="shared" si="68"/>
        <v>498143.03968308016</v>
      </c>
      <c r="L249" s="152">
        <f t="shared" si="74"/>
        <v>240912.38424000013</v>
      </c>
      <c r="M249" s="152">
        <f t="shared" si="75"/>
        <v>340111.60128000018</v>
      </c>
      <c r="N249" s="152">
        <f t="shared" si="76"/>
        <v>14794.854655680007</v>
      </c>
      <c r="O249" s="152">
        <f t="shared" si="77"/>
        <v>118094.30600000006</v>
      </c>
      <c r="P249" s="152">
        <f t="shared" si="69"/>
        <v>236188.61200000011</v>
      </c>
      <c r="Q249" s="152">
        <f t="shared" si="78"/>
        <v>118094.30600000006</v>
      </c>
      <c r="R249" s="152">
        <f t="shared" si="70"/>
        <v>14171.316720000006</v>
      </c>
      <c r="S249" s="152">
        <f t="shared" si="79"/>
        <v>56685.266880000032</v>
      </c>
      <c r="T249" s="152">
        <f t="shared" si="80"/>
        <v>85027.900320000044</v>
      </c>
      <c r="U249" s="152">
        <f t="shared" si="81"/>
        <v>113370.53376000006</v>
      </c>
      <c r="V249" s="152">
        <f t="shared" si="82"/>
        <v>4669857.4655387616</v>
      </c>
      <c r="W249" s="152">
        <f>IF(OR(Y249=$AA$2,Y249=$AA$3,Y249=$AA$4),HLOOKUP(A249,Datos!$D$99:$K$104,5,0),0)*G249</f>
        <v>0</v>
      </c>
      <c r="X249" s="152">
        <f t="shared" si="71"/>
        <v>44285.36475000003</v>
      </c>
      <c r="Y249" s="152" t="str">
        <f t="shared" si="72"/>
        <v>MES 11</v>
      </c>
      <c r="Z249">
        <f t="shared" si="73"/>
        <v>11</v>
      </c>
    </row>
    <row r="250" spans="1:26">
      <c r="A250" t="str">
        <f t="shared" si="86"/>
        <v>Cajero-2029</v>
      </c>
      <c r="B250">
        <v>2029</v>
      </c>
      <c r="C250" t="s">
        <v>485</v>
      </c>
      <c r="D250" t="s">
        <v>372</v>
      </c>
      <c r="E250" t="s">
        <v>371</v>
      </c>
      <c r="F250" s="151">
        <f t="shared" si="85"/>
        <v>2</v>
      </c>
      <c r="G250" s="151">
        <f t="shared" si="85"/>
        <v>2</v>
      </c>
      <c r="H250" s="152">
        <f>HLOOKUP(A250,Datos!$D$82:$K$86,5,0)</f>
        <v>2054840.9244000008</v>
      </c>
      <c r="I250" s="152">
        <f>+HLOOKUP(A250,Datos!$D$91:$K$95,5,0)</f>
        <v>249071.51984154008</v>
      </c>
      <c r="J250" s="152">
        <f t="shared" si="67"/>
        <v>4109681.8488000017</v>
      </c>
      <c r="K250" s="152">
        <f t="shared" si="68"/>
        <v>498143.03968308016</v>
      </c>
      <c r="L250" s="152">
        <f t="shared" si="74"/>
        <v>349322.95714800019</v>
      </c>
      <c r="M250" s="152">
        <f t="shared" si="75"/>
        <v>493161.82185600017</v>
      </c>
      <c r="N250" s="152">
        <f t="shared" si="76"/>
        <v>21452.539250736008</v>
      </c>
      <c r="O250" s="152">
        <f t="shared" si="77"/>
        <v>171236.74370000008</v>
      </c>
      <c r="P250" s="152">
        <f t="shared" si="69"/>
        <v>342473.48740000016</v>
      </c>
      <c r="Q250" s="152">
        <f t="shared" si="78"/>
        <v>171236.74370000008</v>
      </c>
      <c r="R250" s="152">
        <f t="shared" si="70"/>
        <v>20548.409244000009</v>
      </c>
      <c r="S250" s="152">
        <f t="shared" si="79"/>
        <v>82193.636976000038</v>
      </c>
      <c r="T250" s="152">
        <f t="shared" si="80"/>
        <v>123290.45546400004</v>
      </c>
      <c r="U250" s="152">
        <f t="shared" si="81"/>
        <v>164387.27395200008</v>
      </c>
      <c r="V250" s="152">
        <f t="shared" si="82"/>
        <v>6547128.9571738197</v>
      </c>
      <c r="W250" s="152">
        <f>IF(OR(Y250=$AA$2,Y250=$AA$3,Y250=$AA$4),HLOOKUP(A250,Datos!$D$100:$K$104,5,0),0)*G250</f>
        <v>0</v>
      </c>
      <c r="X250" s="152">
        <f t="shared" si="71"/>
        <v>132856.09425000008</v>
      </c>
      <c r="Y250" s="152" t="str">
        <f t="shared" si="72"/>
        <v>MES 11</v>
      </c>
      <c r="Z250">
        <f t="shared" si="73"/>
        <v>11</v>
      </c>
    </row>
    <row r="251" spans="1:26">
      <c r="A251" t="str">
        <f t="shared" si="86"/>
        <v>Aux cocina-2029</v>
      </c>
      <c r="B251">
        <v>2029</v>
      </c>
      <c r="C251" t="s">
        <v>486</v>
      </c>
      <c r="D251" t="s">
        <v>368</v>
      </c>
      <c r="E251" t="s">
        <v>369</v>
      </c>
      <c r="F251" s="151">
        <f t="shared" si="85"/>
        <v>11</v>
      </c>
      <c r="G251" s="151">
        <f t="shared" si="85"/>
        <v>11</v>
      </c>
      <c r="H251" s="152">
        <f>+HLOOKUP(A251,Datos!$D$80:$K$84,5,0)</f>
        <v>2054840.9244000008</v>
      </c>
      <c r="I251" s="152">
        <f>+HLOOKUP(A251,Datos!$D$89:$K$93,5,0)</f>
        <v>249071.51984154008</v>
      </c>
      <c r="J251" s="152">
        <f t="shared" si="67"/>
        <v>22603250.168400008</v>
      </c>
      <c r="K251" s="152">
        <f t="shared" si="68"/>
        <v>2739786.7182569411</v>
      </c>
      <c r="L251" s="152">
        <f t="shared" si="74"/>
        <v>1921276.2643140007</v>
      </c>
      <c r="M251" s="152">
        <f t="shared" si="75"/>
        <v>2712390.0202080007</v>
      </c>
      <c r="N251" s="152">
        <f t="shared" si="76"/>
        <v>117988.96587904803</v>
      </c>
      <c r="O251" s="152">
        <f t="shared" si="77"/>
        <v>941802.09035000042</v>
      </c>
      <c r="P251" s="152">
        <f t="shared" si="69"/>
        <v>1883604.1807000006</v>
      </c>
      <c r="Q251" s="152">
        <f t="shared" si="78"/>
        <v>941802.09035000042</v>
      </c>
      <c r="R251" s="152">
        <f t="shared" si="70"/>
        <v>113016.25084200005</v>
      </c>
      <c r="S251" s="152">
        <f t="shared" si="79"/>
        <v>452065.00336800015</v>
      </c>
      <c r="T251" s="152">
        <f t="shared" si="80"/>
        <v>678097.50505200017</v>
      </c>
      <c r="U251" s="152">
        <f t="shared" si="81"/>
        <v>904130.0067360003</v>
      </c>
      <c r="V251" s="152">
        <f t="shared" si="82"/>
        <v>36009209.264455996</v>
      </c>
      <c r="W251" s="152">
        <f>IF(OR(Y251=$AA$2,Y251=$AA$3,Y251=$AA$4),HLOOKUP(A251,Datos!$D$98:$K$102,5,0),0)*G251</f>
        <v>2338267.2588000009</v>
      </c>
      <c r="X251" s="152">
        <f t="shared" si="71"/>
        <v>584566.81470000022</v>
      </c>
      <c r="Y251" s="152" t="str">
        <f t="shared" si="72"/>
        <v>MES 12</v>
      </c>
      <c r="Z251">
        <f t="shared" si="73"/>
        <v>11</v>
      </c>
    </row>
    <row r="252" spans="1:26">
      <c r="A252" t="str">
        <f t="shared" si="86"/>
        <v>Administrador-2029</v>
      </c>
      <c r="B252">
        <v>2029</v>
      </c>
      <c r="C252" t="s">
        <v>486</v>
      </c>
      <c r="D252" t="s">
        <v>370</v>
      </c>
      <c r="E252" t="s">
        <v>371</v>
      </c>
      <c r="F252" s="151">
        <f t="shared" si="85"/>
        <v>1</v>
      </c>
      <c r="G252" s="151">
        <f t="shared" si="85"/>
        <v>2</v>
      </c>
      <c r="H252" s="152">
        <f>+HLOOKUP(A252,Datos!$D$81:$K$85,5,0)</f>
        <v>2834263.3440000014</v>
      </c>
      <c r="I252" s="152">
        <f>+HLOOKUP(A252,Datos!$D$90:$K$94,5,0)</f>
        <v>249071.51984154008</v>
      </c>
      <c r="J252" s="152">
        <f t="shared" si="67"/>
        <v>2834263.3440000014</v>
      </c>
      <c r="K252" s="152">
        <f t="shared" si="68"/>
        <v>498143.03968308016</v>
      </c>
      <c r="L252" s="152">
        <f t="shared" si="74"/>
        <v>240912.38424000013</v>
      </c>
      <c r="M252" s="152">
        <f t="shared" si="75"/>
        <v>340111.60128000018</v>
      </c>
      <c r="N252" s="152">
        <f t="shared" si="76"/>
        <v>14794.854655680007</v>
      </c>
      <c r="O252" s="152">
        <f t="shared" si="77"/>
        <v>118094.30600000006</v>
      </c>
      <c r="P252" s="152">
        <f t="shared" si="69"/>
        <v>236188.61200000011</v>
      </c>
      <c r="Q252" s="152">
        <f t="shared" si="78"/>
        <v>118094.30600000006</v>
      </c>
      <c r="R252" s="152">
        <f t="shared" si="70"/>
        <v>14171.316720000006</v>
      </c>
      <c r="S252" s="152">
        <f t="shared" si="79"/>
        <v>56685.266880000032</v>
      </c>
      <c r="T252" s="152">
        <f t="shared" si="80"/>
        <v>85027.900320000044</v>
      </c>
      <c r="U252" s="152">
        <f t="shared" si="81"/>
        <v>113370.53376000006</v>
      </c>
      <c r="V252" s="152">
        <f t="shared" si="82"/>
        <v>4669857.4655387616</v>
      </c>
      <c r="W252" s="152">
        <f>IF(OR(Y252=$AA$2,Y252=$AA$3,Y252=$AA$4),HLOOKUP(A252,Datos!$D$99:$K$104,5,0),0)*G252</f>
        <v>177141.45900000009</v>
      </c>
      <c r="X252" s="152">
        <f t="shared" si="71"/>
        <v>44285.36475000003</v>
      </c>
      <c r="Y252" s="152" t="str">
        <f t="shared" si="72"/>
        <v>MES 12</v>
      </c>
      <c r="Z252">
        <f t="shared" si="73"/>
        <v>11</v>
      </c>
    </row>
    <row r="253" spans="1:26">
      <c r="A253" t="str">
        <f t="shared" si="86"/>
        <v>Cajero-2029</v>
      </c>
      <c r="B253">
        <v>2029</v>
      </c>
      <c r="C253" t="s">
        <v>486</v>
      </c>
      <c r="D253" t="s">
        <v>372</v>
      </c>
      <c r="E253" t="s">
        <v>371</v>
      </c>
      <c r="F253" s="151">
        <f t="shared" si="85"/>
        <v>2</v>
      </c>
      <c r="G253" s="151">
        <f t="shared" si="85"/>
        <v>2</v>
      </c>
      <c r="H253" s="152">
        <f>HLOOKUP(A253,Datos!$D$82:$K$86,5,0)</f>
        <v>2054840.9244000008</v>
      </c>
      <c r="I253" s="152">
        <f>+HLOOKUP(A253,Datos!$D$91:$K$95,5,0)</f>
        <v>249071.51984154008</v>
      </c>
      <c r="J253" s="152">
        <f t="shared" si="67"/>
        <v>4109681.8488000017</v>
      </c>
      <c r="K253" s="152">
        <f t="shared" si="68"/>
        <v>498143.03968308016</v>
      </c>
      <c r="L253" s="152">
        <f t="shared" si="74"/>
        <v>349322.95714800019</v>
      </c>
      <c r="M253" s="152">
        <f t="shared" si="75"/>
        <v>493161.82185600017</v>
      </c>
      <c r="N253" s="152">
        <f t="shared" si="76"/>
        <v>21452.539250736008</v>
      </c>
      <c r="O253" s="152">
        <f t="shared" si="77"/>
        <v>171236.74370000008</v>
      </c>
      <c r="P253" s="152">
        <f t="shared" si="69"/>
        <v>342473.48740000016</v>
      </c>
      <c r="Q253" s="152">
        <f t="shared" si="78"/>
        <v>171236.74370000008</v>
      </c>
      <c r="R253" s="152">
        <f t="shared" si="70"/>
        <v>20548.409244000009</v>
      </c>
      <c r="S253" s="152">
        <f t="shared" si="79"/>
        <v>82193.636976000038</v>
      </c>
      <c r="T253" s="152">
        <f t="shared" si="80"/>
        <v>123290.45546400004</v>
      </c>
      <c r="U253" s="152">
        <f t="shared" si="81"/>
        <v>164387.27395200008</v>
      </c>
      <c r="V253" s="152">
        <f t="shared" si="82"/>
        <v>6547128.9571738197</v>
      </c>
      <c r="W253" s="152">
        <f>IF(OR(Y253=$AA$2,Y253=$AA$3,Y253=$AA$4),HLOOKUP(A253,Datos!$D$100:$K$104,5,0),0)*G253</f>
        <v>531424.37700000033</v>
      </c>
      <c r="X253" s="152">
        <f t="shared" si="71"/>
        <v>132856.09425000008</v>
      </c>
      <c r="Y253" s="152" t="str">
        <f t="shared" si="72"/>
        <v>MES 12</v>
      </c>
      <c r="Z253">
        <f t="shared" si="73"/>
        <v>11</v>
      </c>
    </row>
    <row r="254" spans="1:26">
      <c r="A254" t="str">
        <f t="shared" si="86"/>
        <v>Aux cocina-2030</v>
      </c>
      <c r="B254">
        <v>2030</v>
      </c>
      <c r="C254" t="s">
        <v>487</v>
      </c>
      <c r="D254" t="s">
        <v>368</v>
      </c>
      <c r="E254" t="s">
        <v>369</v>
      </c>
      <c r="F254" s="151">
        <f t="shared" si="85"/>
        <v>11</v>
      </c>
      <c r="G254" s="151">
        <f t="shared" si="85"/>
        <v>11</v>
      </c>
      <c r="H254" s="152">
        <f>+HLOOKUP(A254,Datos!$D$80:$K$84,5,0)</f>
        <v>2260325.0168400011</v>
      </c>
      <c r="I254" s="152">
        <f>+HLOOKUP(A254,Datos!$D$89:$K$93,5,0)</f>
        <v>273978.67182569409</v>
      </c>
      <c r="J254" s="152">
        <f t="shared" si="67"/>
        <v>24863575.185240012</v>
      </c>
      <c r="K254" s="152">
        <f t="shared" si="68"/>
        <v>3013765.390082635</v>
      </c>
      <c r="L254" s="152">
        <f t="shared" si="74"/>
        <v>2113403.8907454009</v>
      </c>
      <c r="M254" s="152">
        <f t="shared" si="75"/>
        <v>2983629.0222288012</v>
      </c>
      <c r="N254" s="152">
        <f t="shared" si="76"/>
        <v>129787.86246695285</v>
      </c>
      <c r="O254" s="152">
        <f t="shared" si="77"/>
        <v>1035982.2993850005</v>
      </c>
      <c r="P254" s="152">
        <f t="shared" si="69"/>
        <v>2071964.598770001</v>
      </c>
      <c r="Q254" s="152">
        <f t="shared" si="78"/>
        <v>1035982.2993850005</v>
      </c>
      <c r="R254" s="152">
        <f t="shared" si="70"/>
        <v>124317.87592620005</v>
      </c>
      <c r="S254" s="152">
        <f t="shared" si="79"/>
        <v>497271.50370480027</v>
      </c>
      <c r="T254" s="152">
        <f t="shared" si="80"/>
        <v>745907.25555720029</v>
      </c>
      <c r="U254" s="152">
        <f t="shared" si="81"/>
        <v>994543.00740960054</v>
      </c>
      <c r="V254" s="152">
        <f t="shared" si="82"/>
        <v>39610130.190901607</v>
      </c>
      <c r="W254" s="152">
        <f>IF(OR(Y254=$AA$2,Y254=$AA$3,Y254=$AA$4),HLOOKUP(A254,Datos!$D$98:$K$102,5,0),0)*G254</f>
        <v>0</v>
      </c>
      <c r="X254" s="152">
        <f t="shared" si="71"/>
        <v>643023.49617000041</v>
      </c>
      <c r="Y254" s="152" t="str">
        <f t="shared" si="72"/>
        <v xml:space="preserve">MES 1 </v>
      </c>
      <c r="Z254">
        <f t="shared" si="73"/>
        <v>10</v>
      </c>
    </row>
    <row r="255" spans="1:26">
      <c r="A255" t="str">
        <f t="shared" si="86"/>
        <v>Administrador-2030</v>
      </c>
      <c r="B255">
        <v>2030</v>
      </c>
      <c r="C255" t="s">
        <v>487</v>
      </c>
      <c r="D255" t="s">
        <v>370</v>
      </c>
      <c r="E255" t="s">
        <v>371</v>
      </c>
      <c r="F255" s="151">
        <f t="shared" si="85"/>
        <v>1</v>
      </c>
      <c r="G255" s="151">
        <f t="shared" si="85"/>
        <v>2</v>
      </c>
      <c r="H255" s="152">
        <f>+HLOOKUP(A255,Datos!$D$81:$K$85,5,0)</f>
        <v>3117689.678400002</v>
      </c>
      <c r="I255" s="152">
        <f>+HLOOKUP(A255,Datos!$D$90:$K$94,5,0)</f>
        <v>273978.67182569409</v>
      </c>
      <c r="J255" s="152">
        <f t="shared" si="67"/>
        <v>3117689.678400002</v>
      </c>
      <c r="K255" s="152">
        <f t="shared" si="68"/>
        <v>547957.34365138819</v>
      </c>
      <c r="L255" s="152">
        <f t="shared" si="74"/>
        <v>265003.6226640002</v>
      </c>
      <c r="M255" s="152">
        <f t="shared" si="75"/>
        <v>374122.76140800019</v>
      </c>
      <c r="N255" s="152">
        <f t="shared" si="76"/>
        <v>16274.340121248009</v>
      </c>
      <c r="O255" s="152">
        <f t="shared" si="77"/>
        <v>129903.73660000009</v>
      </c>
      <c r="P255" s="152">
        <f t="shared" si="69"/>
        <v>259807.47320000015</v>
      </c>
      <c r="Q255" s="152">
        <f t="shared" si="78"/>
        <v>129903.73660000009</v>
      </c>
      <c r="R255" s="152">
        <f t="shared" si="70"/>
        <v>15588.448392000011</v>
      </c>
      <c r="S255" s="152">
        <f t="shared" si="79"/>
        <v>62353.793568000037</v>
      </c>
      <c r="T255" s="152">
        <f t="shared" si="80"/>
        <v>93530.690352000049</v>
      </c>
      <c r="U255" s="152">
        <f t="shared" si="81"/>
        <v>124707.58713600007</v>
      </c>
      <c r="V255" s="152">
        <f t="shared" si="82"/>
        <v>5136843.2120926399</v>
      </c>
      <c r="W255" s="152">
        <f>IF(OR(Y255=$AA$2,Y255=$AA$3,Y255=$AA$4),HLOOKUP(A255,Datos!$D$99:$K$104,5,0),0)*G255</f>
        <v>0</v>
      </c>
      <c r="X255" s="152">
        <f t="shared" si="71"/>
        <v>48713.901225000031</v>
      </c>
      <c r="Y255" s="152" t="str">
        <f t="shared" si="72"/>
        <v xml:space="preserve">MES 1 </v>
      </c>
      <c r="Z255">
        <f t="shared" si="73"/>
        <v>10</v>
      </c>
    </row>
    <row r="256" spans="1:26">
      <c r="A256" t="str">
        <f t="shared" si="86"/>
        <v>Cajero-2030</v>
      </c>
      <c r="B256">
        <v>2030</v>
      </c>
      <c r="C256" t="s">
        <v>487</v>
      </c>
      <c r="D256" t="s">
        <v>372</v>
      </c>
      <c r="E256" t="s">
        <v>371</v>
      </c>
      <c r="F256" s="151">
        <f t="shared" si="85"/>
        <v>2</v>
      </c>
      <c r="G256" s="151">
        <f t="shared" si="85"/>
        <v>2</v>
      </c>
      <c r="H256" s="152">
        <f>HLOOKUP(A256,Datos!$D$82:$K$86,5,0)</f>
        <v>2260325.0168400011</v>
      </c>
      <c r="I256" s="152">
        <f>+HLOOKUP(A256,Datos!$D$91:$K$95,5,0)</f>
        <v>273978.67182569409</v>
      </c>
      <c r="J256" s="152">
        <f t="shared" si="67"/>
        <v>4520650.0336800022</v>
      </c>
      <c r="K256" s="152">
        <f t="shared" si="68"/>
        <v>547957.34365138819</v>
      </c>
      <c r="L256" s="152">
        <f t="shared" si="74"/>
        <v>384255.2528628002</v>
      </c>
      <c r="M256" s="152">
        <f t="shared" si="75"/>
        <v>542478.00404160027</v>
      </c>
      <c r="N256" s="152">
        <f t="shared" si="76"/>
        <v>23597.793175809609</v>
      </c>
      <c r="O256" s="152">
        <f t="shared" si="77"/>
        <v>188360.41807000007</v>
      </c>
      <c r="P256" s="152">
        <f t="shared" si="69"/>
        <v>376720.8361400002</v>
      </c>
      <c r="Q256" s="152">
        <f t="shared" si="78"/>
        <v>188360.41807000007</v>
      </c>
      <c r="R256" s="152">
        <f t="shared" si="70"/>
        <v>22603.250168400009</v>
      </c>
      <c r="S256" s="152">
        <f t="shared" si="79"/>
        <v>90413.000673600051</v>
      </c>
      <c r="T256" s="152">
        <f t="shared" si="80"/>
        <v>135619.50101040007</v>
      </c>
      <c r="U256" s="152">
        <f t="shared" si="81"/>
        <v>180826.0013472001</v>
      </c>
      <c r="V256" s="152">
        <f t="shared" si="82"/>
        <v>7201841.8528912002</v>
      </c>
      <c r="W256" s="152">
        <f>IF(OR(Y256=$AA$2,Y256=$AA$3,Y256=$AA$4),HLOOKUP(A256,Datos!$D$100:$K$104,5,0),0)*G256</f>
        <v>0</v>
      </c>
      <c r="X256" s="152">
        <f t="shared" si="71"/>
        <v>146141.70367500011</v>
      </c>
      <c r="Y256" s="152" t="str">
        <f t="shared" si="72"/>
        <v xml:space="preserve">MES 1 </v>
      </c>
      <c r="Z256">
        <f t="shared" si="73"/>
        <v>10</v>
      </c>
    </row>
    <row r="257" spans="1:26">
      <c r="A257" t="str">
        <f t="shared" si="86"/>
        <v>Aux cocina-2030</v>
      </c>
      <c r="B257">
        <v>2030</v>
      </c>
      <c r="C257" t="s">
        <v>488</v>
      </c>
      <c r="D257" t="s">
        <v>368</v>
      </c>
      <c r="E257" t="s">
        <v>369</v>
      </c>
      <c r="F257" s="151">
        <f t="shared" si="85"/>
        <v>11</v>
      </c>
      <c r="G257" s="151">
        <f t="shared" si="85"/>
        <v>11</v>
      </c>
      <c r="H257" s="152">
        <f>+HLOOKUP(A257,Datos!$D$80:$K$84,5,0)</f>
        <v>2260325.0168400011</v>
      </c>
      <c r="I257" s="152">
        <f>+HLOOKUP(A257,Datos!$D$89:$K$93,5,0)</f>
        <v>273978.67182569409</v>
      </c>
      <c r="J257" s="152">
        <f t="shared" si="67"/>
        <v>24863575.185240012</v>
      </c>
      <c r="K257" s="152">
        <f t="shared" si="68"/>
        <v>3013765.390082635</v>
      </c>
      <c r="L257" s="152">
        <f t="shared" si="74"/>
        <v>2113403.8907454009</v>
      </c>
      <c r="M257" s="152">
        <f t="shared" si="75"/>
        <v>2983629.0222288012</v>
      </c>
      <c r="N257" s="152">
        <f t="shared" si="76"/>
        <v>129787.86246695285</v>
      </c>
      <c r="O257" s="152">
        <f t="shared" si="77"/>
        <v>1035982.2993850005</v>
      </c>
      <c r="P257" s="152">
        <f t="shared" si="69"/>
        <v>2071964.598770001</v>
      </c>
      <c r="Q257" s="152">
        <f t="shared" si="78"/>
        <v>1035982.2993850005</v>
      </c>
      <c r="R257" s="152">
        <f t="shared" si="70"/>
        <v>124317.87592620005</v>
      </c>
      <c r="S257" s="152">
        <f t="shared" si="79"/>
        <v>497271.50370480027</v>
      </c>
      <c r="T257" s="152">
        <f t="shared" si="80"/>
        <v>745907.25555720029</v>
      </c>
      <c r="U257" s="152">
        <f t="shared" si="81"/>
        <v>994543.00740960054</v>
      </c>
      <c r="V257" s="152">
        <f t="shared" si="82"/>
        <v>39610130.190901607</v>
      </c>
      <c r="W257" s="152">
        <f>IF(OR(Y257=$AA$2,Y257=$AA$3,Y257=$AA$4),HLOOKUP(A257,Datos!$D$98:$K$102,5,0),0)*G257</f>
        <v>0</v>
      </c>
      <c r="X257" s="152">
        <f t="shared" si="71"/>
        <v>643023.49617000041</v>
      </c>
      <c r="Y257" s="152" t="str">
        <f t="shared" si="72"/>
        <v xml:space="preserve">MES 2 </v>
      </c>
      <c r="Z257">
        <f t="shared" si="73"/>
        <v>10</v>
      </c>
    </row>
    <row r="258" spans="1:26">
      <c r="A258" t="str">
        <f t="shared" si="86"/>
        <v>Administrador-2030</v>
      </c>
      <c r="B258">
        <v>2030</v>
      </c>
      <c r="C258" t="s">
        <v>488</v>
      </c>
      <c r="D258" t="s">
        <v>370</v>
      </c>
      <c r="E258" t="s">
        <v>371</v>
      </c>
      <c r="F258" s="151">
        <f t="shared" si="85"/>
        <v>1</v>
      </c>
      <c r="G258" s="151">
        <f t="shared" si="85"/>
        <v>2</v>
      </c>
      <c r="H258" s="152">
        <f>+HLOOKUP(A258,Datos!$D$81:$K$85,5,0)</f>
        <v>3117689.678400002</v>
      </c>
      <c r="I258" s="152">
        <f>+HLOOKUP(A258,Datos!$D$90:$K$94,5,0)</f>
        <v>273978.67182569409</v>
      </c>
      <c r="J258" s="152">
        <f t="shared" ref="J258:J288" si="87">+F258*H258</f>
        <v>3117689.678400002</v>
      </c>
      <c r="K258" s="152">
        <f t="shared" ref="K258:K288" si="88">+G258*I258</f>
        <v>547957.34365138819</v>
      </c>
      <c r="L258" s="152">
        <f t="shared" si="74"/>
        <v>265003.6226640002</v>
      </c>
      <c r="M258" s="152">
        <f t="shared" si="75"/>
        <v>374122.76140800019</v>
      </c>
      <c r="N258" s="152">
        <f t="shared" si="76"/>
        <v>16274.340121248009</v>
      </c>
      <c r="O258" s="152">
        <f t="shared" si="77"/>
        <v>129903.73660000009</v>
      </c>
      <c r="P258" s="152">
        <f t="shared" ref="P258:P288" si="89">+J258/12</f>
        <v>259807.47320000015</v>
      </c>
      <c r="Q258" s="152">
        <f t="shared" si="78"/>
        <v>129903.73660000009</v>
      </c>
      <c r="R258" s="152">
        <f t="shared" ref="R258:R289" si="90">+Q258*12%</f>
        <v>15588.448392000011</v>
      </c>
      <c r="S258" s="152">
        <f t="shared" si="79"/>
        <v>62353.793568000037</v>
      </c>
      <c r="T258" s="152">
        <f t="shared" si="80"/>
        <v>93530.690352000049</v>
      </c>
      <c r="U258" s="152">
        <f t="shared" si="81"/>
        <v>124707.58713600007</v>
      </c>
      <c r="V258" s="152">
        <f t="shared" si="82"/>
        <v>5136843.2120926399</v>
      </c>
      <c r="W258" s="152">
        <f>IF(OR(Y258=$AA$2,Y258=$AA$3,Y258=$AA$4),HLOOKUP(A258,Datos!$D$99:$K$104,5,0),0)*G258</f>
        <v>0</v>
      </c>
      <c r="X258" s="152">
        <f t="shared" ref="X258:X289" si="91">+SUMIF(A:A,A258,W:W)/12</f>
        <v>48713.901225000031</v>
      </c>
      <c r="Y258" s="152" t="str">
        <f t="shared" ref="Y258:Y289" si="92">+IF(LEN(Z258)=10,LEFT(C258,5),LEFT(C258,6))</f>
        <v xml:space="preserve">MES 2 </v>
      </c>
      <c r="Z258">
        <f t="shared" si="73"/>
        <v>10</v>
      </c>
    </row>
    <row r="259" spans="1:26">
      <c r="A259" t="str">
        <f t="shared" si="86"/>
        <v>Cajero-2030</v>
      </c>
      <c r="B259">
        <v>2030</v>
      </c>
      <c r="C259" t="s">
        <v>488</v>
      </c>
      <c r="D259" t="s">
        <v>372</v>
      </c>
      <c r="E259" t="s">
        <v>371</v>
      </c>
      <c r="F259" s="151">
        <f t="shared" ref="F259:G278" si="93">+F256</f>
        <v>2</v>
      </c>
      <c r="G259" s="151">
        <f t="shared" si="93"/>
        <v>2</v>
      </c>
      <c r="H259" s="152">
        <f>HLOOKUP(A259,Datos!$D$82:$K$86,5,0)</f>
        <v>2260325.0168400011</v>
      </c>
      <c r="I259" s="152">
        <f>+HLOOKUP(A259,Datos!$D$91:$K$95,5,0)</f>
        <v>273978.67182569409</v>
      </c>
      <c r="J259" s="152">
        <f t="shared" si="87"/>
        <v>4520650.0336800022</v>
      </c>
      <c r="K259" s="152">
        <f t="shared" si="88"/>
        <v>547957.34365138819</v>
      </c>
      <c r="L259" s="152">
        <f t="shared" ref="L259:L288" si="94">+J259*8.5%</f>
        <v>384255.2528628002</v>
      </c>
      <c r="M259" s="152">
        <f t="shared" ref="M259:M288" si="95">+J259*12%</f>
        <v>542478.00404160027</v>
      </c>
      <c r="N259" s="152">
        <f t="shared" ref="N259:N288" si="96">+J259*0.522%</f>
        <v>23597.793175809609</v>
      </c>
      <c r="O259" s="152">
        <f t="shared" ref="O259:O288" si="97">+J259/30*1.25</f>
        <v>188360.41807000007</v>
      </c>
      <c r="P259" s="152">
        <f t="shared" si="89"/>
        <v>376720.8361400002</v>
      </c>
      <c r="Q259" s="152">
        <f t="shared" ref="Q259:Q288" si="98">+J259/30*1.25</f>
        <v>188360.41807000007</v>
      </c>
      <c r="R259" s="152">
        <f t="shared" si="90"/>
        <v>22603.250168400009</v>
      </c>
      <c r="S259" s="152">
        <f t="shared" ref="S259:S289" si="99">+J259*2%</f>
        <v>90413.000673600051</v>
      </c>
      <c r="T259" s="152">
        <f t="shared" ref="T259:T289" si="100">+J259*3%</f>
        <v>135619.50101040007</v>
      </c>
      <c r="U259" s="152">
        <f t="shared" ref="U259:U289" si="101">+J259*4%</f>
        <v>180826.0013472001</v>
      </c>
      <c r="V259" s="152">
        <f t="shared" ref="V259:V289" si="102">+SUM(J259:U259)</f>
        <v>7201841.8528912002</v>
      </c>
      <c r="W259" s="152">
        <f>IF(OR(Y259=$AA$2,Y259=$AA$3,Y259=$AA$4),HLOOKUP(A259,Datos!$D$100:$K$104,5,0),0)*G259</f>
        <v>0</v>
      </c>
      <c r="X259" s="152">
        <f t="shared" si="91"/>
        <v>146141.70367500011</v>
      </c>
      <c r="Y259" s="152" t="str">
        <f t="shared" si="92"/>
        <v xml:space="preserve">MES 2 </v>
      </c>
      <c r="Z259">
        <f t="shared" ref="Z259:Z289" si="103">+LEN(C259)</f>
        <v>10</v>
      </c>
    </row>
    <row r="260" spans="1:26">
      <c r="A260" t="str">
        <f t="shared" si="86"/>
        <v>Aux cocina-2030</v>
      </c>
      <c r="B260">
        <v>2030</v>
      </c>
      <c r="C260" t="s">
        <v>489</v>
      </c>
      <c r="D260" t="s">
        <v>368</v>
      </c>
      <c r="E260" t="s">
        <v>369</v>
      </c>
      <c r="F260" s="151">
        <f t="shared" si="93"/>
        <v>11</v>
      </c>
      <c r="G260" s="151">
        <f t="shared" si="93"/>
        <v>11</v>
      </c>
      <c r="H260" s="152">
        <f>+HLOOKUP(A260,Datos!$D$80:$K$84,5,0)</f>
        <v>2260325.0168400011</v>
      </c>
      <c r="I260" s="152">
        <f>+HLOOKUP(A260,Datos!$D$89:$K$93,5,0)</f>
        <v>273978.67182569409</v>
      </c>
      <c r="J260" s="152">
        <f t="shared" si="87"/>
        <v>24863575.185240012</v>
      </c>
      <c r="K260" s="152">
        <f t="shared" si="88"/>
        <v>3013765.390082635</v>
      </c>
      <c r="L260" s="152">
        <f t="shared" si="94"/>
        <v>2113403.8907454009</v>
      </c>
      <c r="M260" s="152">
        <f t="shared" si="95"/>
        <v>2983629.0222288012</v>
      </c>
      <c r="N260" s="152">
        <f t="shared" si="96"/>
        <v>129787.86246695285</v>
      </c>
      <c r="O260" s="152">
        <f t="shared" si="97"/>
        <v>1035982.2993850005</v>
      </c>
      <c r="P260" s="152">
        <f t="shared" si="89"/>
        <v>2071964.598770001</v>
      </c>
      <c r="Q260" s="152">
        <f t="shared" si="98"/>
        <v>1035982.2993850005</v>
      </c>
      <c r="R260" s="152">
        <f t="shared" si="90"/>
        <v>124317.87592620005</v>
      </c>
      <c r="S260" s="152">
        <f t="shared" si="99"/>
        <v>497271.50370480027</v>
      </c>
      <c r="T260" s="152">
        <f t="shared" si="100"/>
        <v>745907.25555720029</v>
      </c>
      <c r="U260" s="152">
        <f t="shared" si="101"/>
        <v>994543.00740960054</v>
      </c>
      <c r="V260" s="152">
        <f t="shared" si="102"/>
        <v>39610130.190901607</v>
      </c>
      <c r="W260" s="152">
        <f>IF(OR(Y260=$AA$2,Y260=$AA$3,Y260=$AA$4),HLOOKUP(A260,Datos!$D$98:$K$102,5,0),0)*G260</f>
        <v>0</v>
      </c>
      <c r="X260" s="152">
        <f t="shared" si="91"/>
        <v>643023.49617000041</v>
      </c>
      <c r="Y260" s="152" t="str">
        <f t="shared" si="92"/>
        <v xml:space="preserve">MES 3 </v>
      </c>
      <c r="Z260">
        <f t="shared" si="103"/>
        <v>10</v>
      </c>
    </row>
    <row r="261" spans="1:26">
      <c r="A261" t="str">
        <f t="shared" si="86"/>
        <v>Administrador-2030</v>
      </c>
      <c r="B261">
        <v>2030</v>
      </c>
      <c r="C261" t="s">
        <v>489</v>
      </c>
      <c r="D261" t="s">
        <v>370</v>
      </c>
      <c r="E261" t="s">
        <v>371</v>
      </c>
      <c r="F261" s="151">
        <f t="shared" si="93"/>
        <v>1</v>
      </c>
      <c r="G261" s="151">
        <f t="shared" si="93"/>
        <v>2</v>
      </c>
      <c r="H261" s="152">
        <f>+HLOOKUP(A261,Datos!$D$81:$K$85,5,0)</f>
        <v>3117689.678400002</v>
      </c>
      <c r="I261" s="152">
        <f>+HLOOKUP(A261,Datos!$D$90:$K$94,5,0)</f>
        <v>273978.67182569409</v>
      </c>
      <c r="J261" s="152">
        <f t="shared" si="87"/>
        <v>3117689.678400002</v>
      </c>
      <c r="K261" s="152">
        <f t="shared" si="88"/>
        <v>547957.34365138819</v>
      </c>
      <c r="L261" s="152">
        <f t="shared" si="94"/>
        <v>265003.6226640002</v>
      </c>
      <c r="M261" s="152">
        <f t="shared" si="95"/>
        <v>374122.76140800019</v>
      </c>
      <c r="N261" s="152">
        <f t="shared" si="96"/>
        <v>16274.340121248009</v>
      </c>
      <c r="O261" s="152">
        <f t="shared" si="97"/>
        <v>129903.73660000009</v>
      </c>
      <c r="P261" s="152">
        <f t="shared" si="89"/>
        <v>259807.47320000015</v>
      </c>
      <c r="Q261" s="152">
        <f t="shared" si="98"/>
        <v>129903.73660000009</v>
      </c>
      <c r="R261" s="152">
        <f t="shared" si="90"/>
        <v>15588.448392000011</v>
      </c>
      <c r="S261" s="152">
        <f t="shared" si="99"/>
        <v>62353.793568000037</v>
      </c>
      <c r="T261" s="152">
        <f t="shared" si="100"/>
        <v>93530.690352000049</v>
      </c>
      <c r="U261" s="152">
        <f t="shared" si="101"/>
        <v>124707.58713600007</v>
      </c>
      <c r="V261" s="152">
        <f t="shared" si="102"/>
        <v>5136843.2120926399</v>
      </c>
      <c r="W261" s="152">
        <f>IF(OR(Y261=$AA$2,Y261=$AA$3,Y261=$AA$4),HLOOKUP(A261,Datos!$D$99:$K$104,5,0),0)*G261</f>
        <v>0</v>
      </c>
      <c r="X261" s="152">
        <f t="shared" si="91"/>
        <v>48713.901225000031</v>
      </c>
      <c r="Y261" s="152" t="str">
        <f t="shared" si="92"/>
        <v xml:space="preserve">MES 3 </v>
      </c>
      <c r="Z261">
        <f t="shared" si="103"/>
        <v>10</v>
      </c>
    </row>
    <row r="262" spans="1:26">
      <c r="A262" t="str">
        <f t="shared" si="86"/>
        <v>Cajero-2030</v>
      </c>
      <c r="B262">
        <v>2030</v>
      </c>
      <c r="C262" t="s">
        <v>489</v>
      </c>
      <c r="D262" t="s">
        <v>372</v>
      </c>
      <c r="E262" t="s">
        <v>371</v>
      </c>
      <c r="F262" s="151">
        <f t="shared" si="93"/>
        <v>2</v>
      </c>
      <c r="G262" s="151">
        <f t="shared" si="93"/>
        <v>2</v>
      </c>
      <c r="H262" s="152">
        <f>HLOOKUP(A262,Datos!$D$82:$K$86,5,0)</f>
        <v>2260325.0168400011</v>
      </c>
      <c r="I262" s="152">
        <f>+HLOOKUP(A262,Datos!$D$91:$K$95,5,0)</f>
        <v>273978.67182569409</v>
      </c>
      <c r="J262" s="152">
        <f t="shared" si="87"/>
        <v>4520650.0336800022</v>
      </c>
      <c r="K262" s="152">
        <f t="shared" si="88"/>
        <v>547957.34365138819</v>
      </c>
      <c r="L262" s="152">
        <f t="shared" si="94"/>
        <v>384255.2528628002</v>
      </c>
      <c r="M262" s="152">
        <f t="shared" si="95"/>
        <v>542478.00404160027</v>
      </c>
      <c r="N262" s="152">
        <f t="shared" si="96"/>
        <v>23597.793175809609</v>
      </c>
      <c r="O262" s="152">
        <f t="shared" si="97"/>
        <v>188360.41807000007</v>
      </c>
      <c r="P262" s="152">
        <f t="shared" si="89"/>
        <v>376720.8361400002</v>
      </c>
      <c r="Q262" s="152">
        <f t="shared" si="98"/>
        <v>188360.41807000007</v>
      </c>
      <c r="R262" s="152">
        <f t="shared" si="90"/>
        <v>22603.250168400009</v>
      </c>
      <c r="S262" s="152">
        <f t="shared" si="99"/>
        <v>90413.000673600051</v>
      </c>
      <c r="T262" s="152">
        <f t="shared" si="100"/>
        <v>135619.50101040007</v>
      </c>
      <c r="U262" s="152">
        <f t="shared" si="101"/>
        <v>180826.0013472001</v>
      </c>
      <c r="V262" s="152">
        <f t="shared" si="102"/>
        <v>7201841.8528912002</v>
      </c>
      <c r="W262" s="152">
        <f>IF(OR(Y262=$AA$2,Y262=$AA$3,Y262=$AA$4),HLOOKUP(A262,Datos!$D$100:$K$104,5,0),0)*G262</f>
        <v>0</v>
      </c>
      <c r="X262" s="152">
        <f t="shared" si="91"/>
        <v>146141.70367500011</v>
      </c>
      <c r="Y262" s="152" t="str">
        <f t="shared" si="92"/>
        <v xml:space="preserve">MES 3 </v>
      </c>
      <c r="Z262">
        <f t="shared" si="103"/>
        <v>10</v>
      </c>
    </row>
    <row r="263" spans="1:26">
      <c r="A263" t="str">
        <f t="shared" si="86"/>
        <v>Aux cocina-2030</v>
      </c>
      <c r="B263">
        <v>2030</v>
      </c>
      <c r="C263" t="s">
        <v>490</v>
      </c>
      <c r="D263" t="s">
        <v>368</v>
      </c>
      <c r="E263" t="s">
        <v>369</v>
      </c>
      <c r="F263" s="151">
        <f t="shared" si="93"/>
        <v>11</v>
      </c>
      <c r="G263" s="151">
        <f t="shared" si="93"/>
        <v>11</v>
      </c>
      <c r="H263" s="152">
        <f>+HLOOKUP(A263,Datos!$D$80:$K$84,5,0)</f>
        <v>2260325.0168400011</v>
      </c>
      <c r="I263" s="152">
        <f>+HLOOKUP(A263,Datos!$D$89:$K$93,5,0)</f>
        <v>273978.67182569409</v>
      </c>
      <c r="J263" s="152">
        <f t="shared" si="87"/>
        <v>24863575.185240012</v>
      </c>
      <c r="K263" s="152">
        <f t="shared" si="88"/>
        <v>3013765.390082635</v>
      </c>
      <c r="L263" s="152">
        <f t="shared" si="94"/>
        <v>2113403.8907454009</v>
      </c>
      <c r="M263" s="152">
        <f t="shared" si="95"/>
        <v>2983629.0222288012</v>
      </c>
      <c r="N263" s="152">
        <f t="shared" si="96"/>
        <v>129787.86246695285</v>
      </c>
      <c r="O263" s="152">
        <f t="shared" si="97"/>
        <v>1035982.2993850005</v>
      </c>
      <c r="P263" s="152">
        <f t="shared" si="89"/>
        <v>2071964.598770001</v>
      </c>
      <c r="Q263" s="152">
        <f t="shared" si="98"/>
        <v>1035982.2993850005</v>
      </c>
      <c r="R263" s="152">
        <f t="shared" si="90"/>
        <v>124317.87592620005</v>
      </c>
      <c r="S263" s="152">
        <f t="shared" si="99"/>
        <v>497271.50370480027</v>
      </c>
      <c r="T263" s="152">
        <f t="shared" si="100"/>
        <v>745907.25555720029</v>
      </c>
      <c r="U263" s="152">
        <f t="shared" si="101"/>
        <v>994543.00740960054</v>
      </c>
      <c r="V263" s="152">
        <f t="shared" si="102"/>
        <v>39610130.190901607</v>
      </c>
      <c r="W263" s="152">
        <f>IF(OR(Y263=$AA$2,Y263=$AA$3,Y263=$AA$4),HLOOKUP(A263,Datos!$D$98:$K$102,5,0),0)*G263</f>
        <v>2572093.9846800016</v>
      </c>
      <c r="X263" s="152">
        <f t="shared" si="91"/>
        <v>643023.49617000041</v>
      </c>
      <c r="Y263" s="152" t="str">
        <f t="shared" si="92"/>
        <v xml:space="preserve">MES 4 </v>
      </c>
      <c r="Z263">
        <f t="shared" si="103"/>
        <v>10</v>
      </c>
    </row>
    <row r="264" spans="1:26">
      <c r="A264" t="str">
        <f t="shared" si="86"/>
        <v>Administrador-2030</v>
      </c>
      <c r="B264">
        <v>2030</v>
      </c>
      <c r="C264" t="s">
        <v>490</v>
      </c>
      <c r="D264" t="s">
        <v>370</v>
      </c>
      <c r="E264" t="s">
        <v>371</v>
      </c>
      <c r="F264" s="151">
        <f t="shared" si="93"/>
        <v>1</v>
      </c>
      <c r="G264" s="151">
        <f t="shared" si="93"/>
        <v>2</v>
      </c>
      <c r="H264" s="152">
        <f>+HLOOKUP(A264,Datos!$D$81:$K$85,5,0)</f>
        <v>3117689.678400002</v>
      </c>
      <c r="I264" s="152">
        <f>+HLOOKUP(A264,Datos!$D$90:$K$94,5,0)</f>
        <v>273978.67182569409</v>
      </c>
      <c r="J264" s="152">
        <f t="shared" si="87"/>
        <v>3117689.678400002</v>
      </c>
      <c r="K264" s="152">
        <f t="shared" si="88"/>
        <v>547957.34365138819</v>
      </c>
      <c r="L264" s="152">
        <f t="shared" si="94"/>
        <v>265003.6226640002</v>
      </c>
      <c r="M264" s="152">
        <f t="shared" si="95"/>
        <v>374122.76140800019</v>
      </c>
      <c r="N264" s="152">
        <f t="shared" si="96"/>
        <v>16274.340121248009</v>
      </c>
      <c r="O264" s="152">
        <f t="shared" si="97"/>
        <v>129903.73660000009</v>
      </c>
      <c r="P264" s="152">
        <f t="shared" si="89"/>
        <v>259807.47320000015</v>
      </c>
      <c r="Q264" s="152">
        <f t="shared" si="98"/>
        <v>129903.73660000009</v>
      </c>
      <c r="R264" s="152">
        <f t="shared" si="90"/>
        <v>15588.448392000011</v>
      </c>
      <c r="S264" s="152">
        <f t="shared" si="99"/>
        <v>62353.793568000037</v>
      </c>
      <c r="T264" s="152">
        <f t="shared" si="100"/>
        <v>93530.690352000049</v>
      </c>
      <c r="U264" s="152">
        <f t="shared" si="101"/>
        <v>124707.58713600007</v>
      </c>
      <c r="V264" s="152">
        <f t="shared" si="102"/>
        <v>5136843.2120926399</v>
      </c>
      <c r="W264" s="152">
        <f>IF(OR(Y264=$AA$2,Y264=$AA$3,Y264=$AA$4),HLOOKUP(A264,Datos!$D$99:$K$104,5,0),0)*G264</f>
        <v>194855.60490000012</v>
      </c>
      <c r="X264" s="152">
        <f t="shared" si="91"/>
        <v>48713.901225000031</v>
      </c>
      <c r="Y264" s="152" t="str">
        <f t="shared" si="92"/>
        <v xml:space="preserve">MES 4 </v>
      </c>
      <c r="Z264">
        <f t="shared" si="103"/>
        <v>10</v>
      </c>
    </row>
    <row r="265" spans="1:26">
      <c r="A265" t="str">
        <f t="shared" si="86"/>
        <v>Cajero-2030</v>
      </c>
      <c r="B265">
        <v>2030</v>
      </c>
      <c r="C265" t="s">
        <v>490</v>
      </c>
      <c r="D265" t="s">
        <v>372</v>
      </c>
      <c r="E265" t="s">
        <v>371</v>
      </c>
      <c r="F265" s="151">
        <f t="shared" si="93"/>
        <v>2</v>
      </c>
      <c r="G265" s="151">
        <f t="shared" si="93"/>
        <v>2</v>
      </c>
      <c r="H265" s="152">
        <f>HLOOKUP(A265,Datos!$D$82:$K$86,5,0)</f>
        <v>2260325.0168400011</v>
      </c>
      <c r="I265" s="152">
        <f>+HLOOKUP(A265,Datos!$D$91:$K$95,5,0)</f>
        <v>273978.67182569409</v>
      </c>
      <c r="J265" s="152">
        <f t="shared" si="87"/>
        <v>4520650.0336800022</v>
      </c>
      <c r="K265" s="152">
        <f t="shared" si="88"/>
        <v>547957.34365138819</v>
      </c>
      <c r="L265" s="152">
        <f t="shared" si="94"/>
        <v>384255.2528628002</v>
      </c>
      <c r="M265" s="152">
        <f t="shared" si="95"/>
        <v>542478.00404160027</v>
      </c>
      <c r="N265" s="152">
        <f t="shared" si="96"/>
        <v>23597.793175809609</v>
      </c>
      <c r="O265" s="152">
        <f t="shared" si="97"/>
        <v>188360.41807000007</v>
      </c>
      <c r="P265" s="152">
        <f t="shared" si="89"/>
        <v>376720.8361400002</v>
      </c>
      <c r="Q265" s="152">
        <f t="shared" si="98"/>
        <v>188360.41807000007</v>
      </c>
      <c r="R265" s="152">
        <f t="shared" si="90"/>
        <v>22603.250168400009</v>
      </c>
      <c r="S265" s="152">
        <f t="shared" si="99"/>
        <v>90413.000673600051</v>
      </c>
      <c r="T265" s="152">
        <f t="shared" si="100"/>
        <v>135619.50101040007</v>
      </c>
      <c r="U265" s="152">
        <f t="shared" si="101"/>
        <v>180826.0013472001</v>
      </c>
      <c r="V265" s="152">
        <f t="shared" si="102"/>
        <v>7201841.8528912002</v>
      </c>
      <c r="W265" s="152">
        <f>IF(OR(Y265=$AA$2,Y265=$AA$3,Y265=$AA$4),HLOOKUP(A265,Datos!$D$100:$K$104,5,0),0)*G265</f>
        <v>584566.81470000045</v>
      </c>
      <c r="X265" s="152">
        <f t="shared" si="91"/>
        <v>146141.70367500011</v>
      </c>
      <c r="Y265" s="152" t="str">
        <f t="shared" si="92"/>
        <v xml:space="preserve">MES 4 </v>
      </c>
      <c r="Z265">
        <f t="shared" si="103"/>
        <v>10</v>
      </c>
    </row>
    <row r="266" spans="1:26">
      <c r="A266" t="str">
        <f t="shared" si="86"/>
        <v>Aux cocina-2030</v>
      </c>
      <c r="B266">
        <v>2030</v>
      </c>
      <c r="C266" t="s">
        <v>491</v>
      </c>
      <c r="D266" t="s">
        <v>368</v>
      </c>
      <c r="E266" t="s">
        <v>369</v>
      </c>
      <c r="F266" s="151">
        <f t="shared" si="93"/>
        <v>11</v>
      </c>
      <c r="G266" s="151">
        <f t="shared" si="93"/>
        <v>11</v>
      </c>
      <c r="H266" s="152">
        <f>+HLOOKUP(A266,Datos!$D$80:$K$84,5,0)</f>
        <v>2260325.0168400011</v>
      </c>
      <c r="I266" s="152">
        <f>+HLOOKUP(A266,Datos!$D$89:$K$93,5,0)</f>
        <v>273978.67182569409</v>
      </c>
      <c r="J266" s="152">
        <f t="shared" si="87"/>
        <v>24863575.185240012</v>
      </c>
      <c r="K266" s="152">
        <f t="shared" si="88"/>
        <v>3013765.390082635</v>
      </c>
      <c r="L266" s="152">
        <f t="shared" si="94"/>
        <v>2113403.8907454009</v>
      </c>
      <c r="M266" s="152">
        <f t="shared" si="95"/>
        <v>2983629.0222288012</v>
      </c>
      <c r="N266" s="152">
        <f t="shared" si="96"/>
        <v>129787.86246695285</v>
      </c>
      <c r="O266" s="152">
        <f t="shared" si="97"/>
        <v>1035982.2993850005</v>
      </c>
      <c r="P266" s="152">
        <f t="shared" si="89"/>
        <v>2071964.598770001</v>
      </c>
      <c r="Q266" s="152">
        <f t="shared" si="98"/>
        <v>1035982.2993850005</v>
      </c>
      <c r="R266" s="152">
        <f t="shared" si="90"/>
        <v>124317.87592620005</v>
      </c>
      <c r="S266" s="152">
        <f t="shared" si="99"/>
        <v>497271.50370480027</v>
      </c>
      <c r="T266" s="152">
        <f t="shared" si="100"/>
        <v>745907.25555720029</v>
      </c>
      <c r="U266" s="152">
        <f t="shared" si="101"/>
        <v>994543.00740960054</v>
      </c>
      <c r="V266" s="152">
        <f t="shared" si="102"/>
        <v>39610130.190901607</v>
      </c>
      <c r="W266" s="152">
        <f>IF(OR(Y266=$AA$2,Y266=$AA$3,Y266=$AA$4),HLOOKUP(A266,Datos!$D$98:$K$102,5,0),0)*G266</f>
        <v>0</v>
      </c>
      <c r="X266" s="152">
        <f t="shared" si="91"/>
        <v>643023.49617000041</v>
      </c>
      <c r="Y266" s="152" t="str">
        <f t="shared" si="92"/>
        <v xml:space="preserve">MES 5 </v>
      </c>
      <c r="Z266">
        <f t="shared" si="103"/>
        <v>10</v>
      </c>
    </row>
    <row r="267" spans="1:26">
      <c r="A267" t="str">
        <f t="shared" si="86"/>
        <v>Administrador-2030</v>
      </c>
      <c r="B267">
        <v>2030</v>
      </c>
      <c r="C267" t="s">
        <v>491</v>
      </c>
      <c r="D267" t="s">
        <v>370</v>
      </c>
      <c r="E267" t="s">
        <v>371</v>
      </c>
      <c r="F267" s="151">
        <f t="shared" si="93"/>
        <v>1</v>
      </c>
      <c r="G267" s="151">
        <f t="shared" si="93"/>
        <v>2</v>
      </c>
      <c r="H267" s="152">
        <f>+HLOOKUP(A267,Datos!$D$81:$K$85,5,0)</f>
        <v>3117689.678400002</v>
      </c>
      <c r="I267" s="152">
        <f>+HLOOKUP(A267,Datos!$D$90:$K$94,5,0)</f>
        <v>273978.67182569409</v>
      </c>
      <c r="J267" s="152">
        <f t="shared" si="87"/>
        <v>3117689.678400002</v>
      </c>
      <c r="K267" s="152">
        <f t="shared" si="88"/>
        <v>547957.34365138819</v>
      </c>
      <c r="L267" s="152">
        <f t="shared" si="94"/>
        <v>265003.6226640002</v>
      </c>
      <c r="M267" s="152">
        <f t="shared" si="95"/>
        <v>374122.76140800019</v>
      </c>
      <c r="N267" s="152">
        <f t="shared" si="96"/>
        <v>16274.340121248009</v>
      </c>
      <c r="O267" s="152">
        <f t="shared" si="97"/>
        <v>129903.73660000009</v>
      </c>
      <c r="P267" s="152">
        <f t="shared" si="89"/>
        <v>259807.47320000015</v>
      </c>
      <c r="Q267" s="152">
        <f t="shared" si="98"/>
        <v>129903.73660000009</v>
      </c>
      <c r="R267" s="152">
        <f t="shared" si="90"/>
        <v>15588.448392000011</v>
      </c>
      <c r="S267" s="152">
        <f t="shared" si="99"/>
        <v>62353.793568000037</v>
      </c>
      <c r="T267" s="152">
        <f t="shared" si="100"/>
        <v>93530.690352000049</v>
      </c>
      <c r="U267" s="152">
        <f t="shared" si="101"/>
        <v>124707.58713600007</v>
      </c>
      <c r="V267" s="152">
        <f t="shared" si="102"/>
        <v>5136843.2120926399</v>
      </c>
      <c r="W267" s="152">
        <f>IF(OR(Y267=$AA$2,Y267=$AA$3,Y267=$AA$4),HLOOKUP(A267,Datos!$D$99:$K$104,5,0),0)*G267</f>
        <v>0</v>
      </c>
      <c r="X267" s="152">
        <f t="shared" si="91"/>
        <v>48713.901225000031</v>
      </c>
      <c r="Y267" s="152" t="str">
        <f t="shared" si="92"/>
        <v xml:space="preserve">MES 5 </v>
      </c>
      <c r="Z267">
        <f t="shared" si="103"/>
        <v>10</v>
      </c>
    </row>
    <row r="268" spans="1:26">
      <c r="A268" t="str">
        <f t="shared" si="86"/>
        <v>Cajero-2030</v>
      </c>
      <c r="B268">
        <v>2030</v>
      </c>
      <c r="C268" t="s">
        <v>491</v>
      </c>
      <c r="D268" t="s">
        <v>372</v>
      </c>
      <c r="E268" t="s">
        <v>371</v>
      </c>
      <c r="F268" s="151">
        <f t="shared" si="93"/>
        <v>2</v>
      </c>
      <c r="G268" s="151">
        <f t="shared" si="93"/>
        <v>2</v>
      </c>
      <c r="H268" s="152">
        <f>HLOOKUP(A268,Datos!$D$82:$K$86,5,0)</f>
        <v>2260325.0168400011</v>
      </c>
      <c r="I268" s="152">
        <f>+HLOOKUP(A268,Datos!$D$91:$K$95,5,0)</f>
        <v>273978.67182569409</v>
      </c>
      <c r="J268" s="152">
        <f t="shared" si="87"/>
        <v>4520650.0336800022</v>
      </c>
      <c r="K268" s="152">
        <f t="shared" si="88"/>
        <v>547957.34365138819</v>
      </c>
      <c r="L268" s="152">
        <f t="shared" si="94"/>
        <v>384255.2528628002</v>
      </c>
      <c r="M268" s="152">
        <f t="shared" si="95"/>
        <v>542478.00404160027</v>
      </c>
      <c r="N268" s="152">
        <f t="shared" si="96"/>
        <v>23597.793175809609</v>
      </c>
      <c r="O268" s="152">
        <f t="shared" si="97"/>
        <v>188360.41807000007</v>
      </c>
      <c r="P268" s="152">
        <f t="shared" si="89"/>
        <v>376720.8361400002</v>
      </c>
      <c r="Q268" s="152">
        <f t="shared" si="98"/>
        <v>188360.41807000007</v>
      </c>
      <c r="R268" s="152">
        <f t="shared" si="90"/>
        <v>22603.250168400009</v>
      </c>
      <c r="S268" s="152">
        <f t="shared" si="99"/>
        <v>90413.000673600051</v>
      </c>
      <c r="T268" s="152">
        <f t="shared" si="100"/>
        <v>135619.50101040007</v>
      </c>
      <c r="U268" s="152">
        <f t="shared" si="101"/>
        <v>180826.0013472001</v>
      </c>
      <c r="V268" s="152">
        <f t="shared" si="102"/>
        <v>7201841.8528912002</v>
      </c>
      <c r="W268" s="152">
        <f>IF(OR(Y268=$AA$2,Y268=$AA$3,Y268=$AA$4),HLOOKUP(A268,Datos!$D$100:$K$104,5,0),0)*G268</f>
        <v>0</v>
      </c>
      <c r="X268" s="152">
        <f t="shared" si="91"/>
        <v>146141.70367500011</v>
      </c>
      <c r="Y268" s="152" t="str">
        <f t="shared" si="92"/>
        <v xml:space="preserve">MES 5 </v>
      </c>
      <c r="Z268">
        <f t="shared" si="103"/>
        <v>10</v>
      </c>
    </row>
    <row r="269" spans="1:26">
      <c r="A269" t="str">
        <f t="shared" si="86"/>
        <v>Aux cocina-2030</v>
      </c>
      <c r="B269">
        <v>2030</v>
      </c>
      <c r="C269" t="s">
        <v>492</v>
      </c>
      <c r="D269" t="s">
        <v>368</v>
      </c>
      <c r="E269" t="s">
        <v>369</v>
      </c>
      <c r="F269" s="151">
        <f t="shared" si="93"/>
        <v>11</v>
      </c>
      <c r="G269" s="151">
        <f t="shared" si="93"/>
        <v>11</v>
      </c>
      <c r="H269" s="152">
        <f>+HLOOKUP(A269,Datos!$D$80:$K$84,5,0)</f>
        <v>2260325.0168400011</v>
      </c>
      <c r="I269" s="152">
        <f>+HLOOKUP(A269,Datos!$D$89:$K$93,5,0)</f>
        <v>273978.67182569409</v>
      </c>
      <c r="J269" s="152">
        <f t="shared" si="87"/>
        <v>24863575.185240012</v>
      </c>
      <c r="K269" s="152">
        <f t="shared" si="88"/>
        <v>3013765.390082635</v>
      </c>
      <c r="L269" s="152">
        <f t="shared" si="94"/>
        <v>2113403.8907454009</v>
      </c>
      <c r="M269" s="152">
        <f t="shared" si="95"/>
        <v>2983629.0222288012</v>
      </c>
      <c r="N269" s="152">
        <f t="shared" si="96"/>
        <v>129787.86246695285</v>
      </c>
      <c r="O269" s="152">
        <f t="shared" si="97"/>
        <v>1035982.2993850005</v>
      </c>
      <c r="P269" s="152">
        <f t="shared" si="89"/>
        <v>2071964.598770001</v>
      </c>
      <c r="Q269" s="152">
        <f t="shared" si="98"/>
        <v>1035982.2993850005</v>
      </c>
      <c r="R269" s="152">
        <f t="shared" si="90"/>
        <v>124317.87592620005</v>
      </c>
      <c r="S269" s="152">
        <f t="shared" si="99"/>
        <v>497271.50370480027</v>
      </c>
      <c r="T269" s="152">
        <f t="shared" si="100"/>
        <v>745907.25555720029</v>
      </c>
      <c r="U269" s="152">
        <f t="shared" si="101"/>
        <v>994543.00740960054</v>
      </c>
      <c r="V269" s="152">
        <f t="shared" si="102"/>
        <v>39610130.190901607</v>
      </c>
      <c r="W269" s="152">
        <f>IF(OR(Y269=$AA$2,Y269=$AA$3,Y269=$AA$4),HLOOKUP(A269,Datos!$D$98:$K$102,5,0),0)*G269</f>
        <v>0</v>
      </c>
      <c r="X269" s="152">
        <f t="shared" si="91"/>
        <v>643023.49617000041</v>
      </c>
      <c r="Y269" s="152" t="str">
        <f t="shared" si="92"/>
        <v xml:space="preserve">MES 6 </v>
      </c>
      <c r="Z269">
        <f t="shared" si="103"/>
        <v>10</v>
      </c>
    </row>
    <row r="270" spans="1:26">
      <c r="A270" t="str">
        <f t="shared" si="86"/>
        <v>Administrador-2030</v>
      </c>
      <c r="B270">
        <v>2030</v>
      </c>
      <c r="C270" t="s">
        <v>492</v>
      </c>
      <c r="D270" t="s">
        <v>370</v>
      </c>
      <c r="E270" t="s">
        <v>371</v>
      </c>
      <c r="F270" s="151">
        <f t="shared" si="93"/>
        <v>1</v>
      </c>
      <c r="G270" s="151">
        <f t="shared" si="93"/>
        <v>2</v>
      </c>
      <c r="H270" s="152">
        <f>+HLOOKUP(A270,Datos!$D$81:$K$85,5,0)</f>
        <v>3117689.678400002</v>
      </c>
      <c r="I270" s="152">
        <f>+HLOOKUP(A270,Datos!$D$90:$K$94,5,0)</f>
        <v>273978.67182569409</v>
      </c>
      <c r="J270" s="152">
        <f t="shared" si="87"/>
        <v>3117689.678400002</v>
      </c>
      <c r="K270" s="152">
        <f t="shared" si="88"/>
        <v>547957.34365138819</v>
      </c>
      <c r="L270" s="152">
        <f t="shared" si="94"/>
        <v>265003.6226640002</v>
      </c>
      <c r="M270" s="152">
        <f t="shared" si="95"/>
        <v>374122.76140800019</v>
      </c>
      <c r="N270" s="152">
        <f t="shared" si="96"/>
        <v>16274.340121248009</v>
      </c>
      <c r="O270" s="152">
        <f t="shared" si="97"/>
        <v>129903.73660000009</v>
      </c>
      <c r="P270" s="152">
        <f t="shared" si="89"/>
        <v>259807.47320000015</v>
      </c>
      <c r="Q270" s="152">
        <f t="shared" si="98"/>
        <v>129903.73660000009</v>
      </c>
      <c r="R270" s="152">
        <f t="shared" si="90"/>
        <v>15588.448392000011</v>
      </c>
      <c r="S270" s="152">
        <f t="shared" si="99"/>
        <v>62353.793568000037</v>
      </c>
      <c r="T270" s="152">
        <f t="shared" si="100"/>
        <v>93530.690352000049</v>
      </c>
      <c r="U270" s="152">
        <f t="shared" si="101"/>
        <v>124707.58713600007</v>
      </c>
      <c r="V270" s="152">
        <f t="shared" si="102"/>
        <v>5136843.2120926399</v>
      </c>
      <c r="W270" s="152">
        <f>IF(OR(Y270=$AA$2,Y270=$AA$3,Y270=$AA$4),HLOOKUP(A270,Datos!$D$99:$K$104,5,0),0)*G270</f>
        <v>0</v>
      </c>
      <c r="X270" s="152">
        <f t="shared" si="91"/>
        <v>48713.901225000031</v>
      </c>
      <c r="Y270" s="152" t="str">
        <f t="shared" si="92"/>
        <v xml:space="preserve">MES 6 </v>
      </c>
      <c r="Z270">
        <f t="shared" si="103"/>
        <v>10</v>
      </c>
    </row>
    <row r="271" spans="1:26">
      <c r="A271" t="str">
        <f t="shared" si="86"/>
        <v>Cajero-2030</v>
      </c>
      <c r="B271">
        <v>2030</v>
      </c>
      <c r="C271" t="s">
        <v>492</v>
      </c>
      <c r="D271" t="s">
        <v>372</v>
      </c>
      <c r="E271" t="s">
        <v>371</v>
      </c>
      <c r="F271" s="151">
        <f t="shared" si="93"/>
        <v>2</v>
      </c>
      <c r="G271" s="151">
        <f t="shared" si="93"/>
        <v>2</v>
      </c>
      <c r="H271" s="152">
        <f>HLOOKUP(A271,Datos!$D$82:$K$86,5,0)</f>
        <v>2260325.0168400011</v>
      </c>
      <c r="I271" s="152">
        <f>+HLOOKUP(A271,Datos!$D$91:$K$95,5,0)</f>
        <v>273978.67182569409</v>
      </c>
      <c r="J271" s="152">
        <f t="shared" si="87"/>
        <v>4520650.0336800022</v>
      </c>
      <c r="K271" s="152">
        <f t="shared" si="88"/>
        <v>547957.34365138819</v>
      </c>
      <c r="L271" s="152">
        <f t="shared" si="94"/>
        <v>384255.2528628002</v>
      </c>
      <c r="M271" s="152">
        <f t="shared" si="95"/>
        <v>542478.00404160027</v>
      </c>
      <c r="N271" s="152">
        <f t="shared" si="96"/>
        <v>23597.793175809609</v>
      </c>
      <c r="O271" s="152">
        <f t="shared" si="97"/>
        <v>188360.41807000007</v>
      </c>
      <c r="P271" s="152">
        <f t="shared" si="89"/>
        <v>376720.8361400002</v>
      </c>
      <c r="Q271" s="152">
        <f t="shared" si="98"/>
        <v>188360.41807000007</v>
      </c>
      <c r="R271" s="152">
        <f t="shared" si="90"/>
        <v>22603.250168400009</v>
      </c>
      <c r="S271" s="152">
        <f t="shared" si="99"/>
        <v>90413.000673600051</v>
      </c>
      <c r="T271" s="152">
        <f t="shared" si="100"/>
        <v>135619.50101040007</v>
      </c>
      <c r="U271" s="152">
        <f t="shared" si="101"/>
        <v>180826.0013472001</v>
      </c>
      <c r="V271" s="152">
        <f t="shared" si="102"/>
        <v>7201841.8528912002</v>
      </c>
      <c r="W271" s="152">
        <f>IF(OR(Y271=$AA$2,Y271=$AA$3,Y271=$AA$4),HLOOKUP(A271,Datos!$D$100:$K$104,5,0),0)*G271</f>
        <v>0</v>
      </c>
      <c r="X271" s="152">
        <f t="shared" si="91"/>
        <v>146141.70367500011</v>
      </c>
      <c r="Y271" s="152" t="str">
        <f t="shared" si="92"/>
        <v xml:space="preserve">MES 6 </v>
      </c>
      <c r="Z271">
        <f t="shared" si="103"/>
        <v>10</v>
      </c>
    </row>
    <row r="272" spans="1:26">
      <c r="A272" t="str">
        <f t="shared" si="86"/>
        <v>Aux cocina-2030</v>
      </c>
      <c r="B272">
        <v>2030</v>
      </c>
      <c r="C272" t="s">
        <v>493</v>
      </c>
      <c r="D272" t="s">
        <v>368</v>
      </c>
      <c r="E272" t="s">
        <v>369</v>
      </c>
      <c r="F272" s="151">
        <f t="shared" si="93"/>
        <v>11</v>
      </c>
      <c r="G272" s="151">
        <f t="shared" si="93"/>
        <v>11</v>
      </c>
      <c r="H272" s="152">
        <f>+HLOOKUP(A272,Datos!$D$80:$K$84,5,0)</f>
        <v>2260325.0168400011</v>
      </c>
      <c r="I272" s="152">
        <f>+HLOOKUP(A272,Datos!$D$89:$K$93,5,0)</f>
        <v>273978.67182569409</v>
      </c>
      <c r="J272" s="152">
        <f t="shared" si="87"/>
        <v>24863575.185240012</v>
      </c>
      <c r="K272" s="152">
        <f t="shared" si="88"/>
        <v>3013765.390082635</v>
      </c>
      <c r="L272" s="152">
        <f t="shared" si="94"/>
        <v>2113403.8907454009</v>
      </c>
      <c r="M272" s="152">
        <f t="shared" si="95"/>
        <v>2983629.0222288012</v>
      </c>
      <c r="N272" s="152">
        <f t="shared" si="96"/>
        <v>129787.86246695285</v>
      </c>
      <c r="O272" s="152">
        <f t="shared" si="97"/>
        <v>1035982.2993850005</v>
      </c>
      <c r="P272" s="152">
        <f t="shared" si="89"/>
        <v>2071964.598770001</v>
      </c>
      <c r="Q272" s="152">
        <f t="shared" si="98"/>
        <v>1035982.2993850005</v>
      </c>
      <c r="R272" s="152">
        <f t="shared" si="90"/>
        <v>124317.87592620005</v>
      </c>
      <c r="S272" s="152">
        <f t="shared" si="99"/>
        <v>497271.50370480027</v>
      </c>
      <c r="T272" s="152">
        <f t="shared" si="100"/>
        <v>745907.25555720029</v>
      </c>
      <c r="U272" s="152">
        <f t="shared" si="101"/>
        <v>994543.00740960054</v>
      </c>
      <c r="V272" s="152">
        <f t="shared" si="102"/>
        <v>39610130.190901607</v>
      </c>
      <c r="W272" s="152">
        <f>IF(OR(Y272=$AA$2,Y272=$AA$3,Y272=$AA$4),HLOOKUP(A272,Datos!$D$98:$K$102,5,0),0)*G272</f>
        <v>0</v>
      </c>
      <c r="X272" s="152">
        <f t="shared" si="91"/>
        <v>643023.49617000041</v>
      </c>
      <c r="Y272" s="152" t="str">
        <f t="shared" si="92"/>
        <v xml:space="preserve">MES 7 </v>
      </c>
      <c r="Z272">
        <f t="shared" si="103"/>
        <v>10</v>
      </c>
    </row>
    <row r="273" spans="1:26">
      <c r="A273" t="str">
        <f t="shared" si="86"/>
        <v>Administrador-2030</v>
      </c>
      <c r="B273">
        <v>2030</v>
      </c>
      <c r="C273" t="s">
        <v>493</v>
      </c>
      <c r="D273" t="s">
        <v>370</v>
      </c>
      <c r="E273" t="s">
        <v>371</v>
      </c>
      <c r="F273" s="151">
        <f t="shared" si="93"/>
        <v>1</v>
      </c>
      <c r="G273" s="151">
        <f t="shared" si="93"/>
        <v>2</v>
      </c>
      <c r="H273" s="152">
        <f>+HLOOKUP(A273,Datos!$D$81:$K$85,5,0)</f>
        <v>3117689.678400002</v>
      </c>
      <c r="I273" s="152">
        <f>+HLOOKUP(A273,Datos!$D$90:$K$94,5,0)</f>
        <v>273978.67182569409</v>
      </c>
      <c r="J273" s="152">
        <f t="shared" si="87"/>
        <v>3117689.678400002</v>
      </c>
      <c r="K273" s="152">
        <f t="shared" si="88"/>
        <v>547957.34365138819</v>
      </c>
      <c r="L273" s="152">
        <f t="shared" si="94"/>
        <v>265003.6226640002</v>
      </c>
      <c r="M273" s="152">
        <f t="shared" si="95"/>
        <v>374122.76140800019</v>
      </c>
      <c r="N273" s="152">
        <f t="shared" si="96"/>
        <v>16274.340121248009</v>
      </c>
      <c r="O273" s="152">
        <f t="shared" si="97"/>
        <v>129903.73660000009</v>
      </c>
      <c r="P273" s="152">
        <f t="shared" si="89"/>
        <v>259807.47320000015</v>
      </c>
      <c r="Q273" s="152">
        <f t="shared" si="98"/>
        <v>129903.73660000009</v>
      </c>
      <c r="R273" s="152">
        <f t="shared" si="90"/>
        <v>15588.448392000011</v>
      </c>
      <c r="S273" s="152">
        <f t="shared" si="99"/>
        <v>62353.793568000037</v>
      </c>
      <c r="T273" s="152">
        <f t="shared" si="100"/>
        <v>93530.690352000049</v>
      </c>
      <c r="U273" s="152">
        <f t="shared" si="101"/>
        <v>124707.58713600007</v>
      </c>
      <c r="V273" s="152">
        <f t="shared" si="102"/>
        <v>5136843.2120926399</v>
      </c>
      <c r="W273" s="152">
        <f>IF(OR(Y273=$AA$2,Y273=$AA$3,Y273=$AA$4),HLOOKUP(A273,Datos!$D$99:$K$104,5,0),0)*G273</f>
        <v>0</v>
      </c>
      <c r="X273" s="152">
        <f t="shared" si="91"/>
        <v>48713.901225000031</v>
      </c>
      <c r="Y273" s="152" t="str">
        <f t="shared" si="92"/>
        <v xml:space="preserve">MES 7 </v>
      </c>
      <c r="Z273">
        <f t="shared" si="103"/>
        <v>10</v>
      </c>
    </row>
    <row r="274" spans="1:26">
      <c r="A274" t="str">
        <f t="shared" si="86"/>
        <v>Cajero-2030</v>
      </c>
      <c r="B274">
        <v>2030</v>
      </c>
      <c r="C274" t="s">
        <v>493</v>
      </c>
      <c r="D274" t="s">
        <v>372</v>
      </c>
      <c r="E274" t="s">
        <v>371</v>
      </c>
      <c r="F274" s="151">
        <f t="shared" si="93"/>
        <v>2</v>
      </c>
      <c r="G274" s="151">
        <f t="shared" si="93"/>
        <v>2</v>
      </c>
      <c r="H274" s="152">
        <f>HLOOKUP(A274,Datos!$D$82:$K$86,5,0)</f>
        <v>2260325.0168400011</v>
      </c>
      <c r="I274" s="152">
        <f>+HLOOKUP(A274,Datos!$D$91:$K$95,5,0)</f>
        <v>273978.67182569409</v>
      </c>
      <c r="J274" s="152">
        <f t="shared" si="87"/>
        <v>4520650.0336800022</v>
      </c>
      <c r="K274" s="152">
        <f t="shared" si="88"/>
        <v>547957.34365138819</v>
      </c>
      <c r="L274" s="152">
        <f t="shared" si="94"/>
        <v>384255.2528628002</v>
      </c>
      <c r="M274" s="152">
        <f t="shared" si="95"/>
        <v>542478.00404160027</v>
      </c>
      <c r="N274" s="152">
        <f t="shared" si="96"/>
        <v>23597.793175809609</v>
      </c>
      <c r="O274" s="152">
        <f t="shared" si="97"/>
        <v>188360.41807000007</v>
      </c>
      <c r="P274" s="152">
        <f t="shared" si="89"/>
        <v>376720.8361400002</v>
      </c>
      <c r="Q274" s="152">
        <f t="shared" si="98"/>
        <v>188360.41807000007</v>
      </c>
      <c r="R274" s="152">
        <f t="shared" si="90"/>
        <v>22603.250168400009</v>
      </c>
      <c r="S274" s="152">
        <f t="shared" si="99"/>
        <v>90413.000673600051</v>
      </c>
      <c r="T274" s="152">
        <f t="shared" si="100"/>
        <v>135619.50101040007</v>
      </c>
      <c r="U274" s="152">
        <f t="shared" si="101"/>
        <v>180826.0013472001</v>
      </c>
      <c r="V274" s="152">
        <f t="shared" si="102"/>
        <v>7201841.8528912002</v>
      </c>
      <c r="W274" s="152">
        <f>IF(OR(Y274=$AA$2,Y274=$AA$3,Y274=$AA$4),HLOOKUP(A274,Datos!$D$100:$K$104,5,0),0)*G274</f>
        <v>0</v>
      </c>
      <c r="X274" s="152">
        <f t="shared" si="91"/>
        <v>146141.70367500011</v>
      </c>
      <c r="Y274" s="152" t="str">
        <f t="shared" si="92"/>
        <v xml:space="preserve">MES 7 </v>
      </c>
      <c r="Z274">
        <f t="shared" si="103"/>
        <v>10</v>
      </c>
    </row>
    <row r="275" spans="1:26">
      <c r="A275" t="str">
        <f t="shared" si="86"/>
        <v>Aux cocina-2030</v>
      </c>
      <c r="B275">
        <v>2030</v>
      </c>
      <c r="C275" t="s">
        <v>494</v>
      </c>
      <c r="D275" t="s">
        <v>368</v>
      </c>
      <c r="E275" t="s">
        <v>369</v>
      </c>
      <c r="F275" s="151">
        <f t="shared" si="93"/>
        <v>11</v>
      </c>
      <c r="G275" s="151">
        <f t="shared" si="93"/>
        <v>11</v>
      </c>
      <c r="H275" s="152">
        <f>+HLOOKUP(A275,Datos!$D$80:$K$84,5,0)</f>
        <v>2260325.0168400011</v>
      </c>
      <c r="I275" s="152">
        <f>+HLOOKUP(A275,Datos!$D$89:$K$93,5,0)</f>
        <v>273978.67182569409</v>
      </c>
      <c r="J275" s="152">
        <f t="shared" si="87"/>
        <v>24863575.185240012</v>
      </c>
      <c r="K275" s="152">
        <f t="shared" si="88"/>
        <v>3013765.390082635</v>
      </c>
      <c r="L275" s="152">
        <f t="shared" si="94"/>
        <v>2113403.8907454009</v>
      </c>
      <c r="M275" s="152">
        <f t="shared" si="95"/>
        <v>2983629.0222288012</v>
      </c>
      <c r="N275" s="152">
        <f t="shared" si="96"/>
        <v>129787.86246695285</v>
      </c>
      <c r="O275" s="152">
        <f t="shared" si="97"/>
        <v>1035982.2993850005</v>
      </c>
      <c r="P275" s="152">
        <f t="shared" si="89"/>
        <v>2071964.598770001</v>
      </c>
      <c r="Q275" s="152">
        <f t="shared" si="98"/>
        <v>1035982.2993850005</v>
      </c>
      <c r="R275" s="152">
        <f t="shared" si="90"/>
        <v>124317.87592620005</v>
      </c>
      <c r="S275" s="152">
        <f t="shared" si="99"/>
        <v>497271.50370480027</v>
      </c>
      <c r="T275" s="152">
        <f t="shared" si="100"/>
        <v>745907.25555720029</v>
      </c>
      <c r="U275" s="152">
        <f t="shared" si="101"/>
        <v>994543.00740960054</v>
      </c>
      <c r="V275" s="152">
        <f t="shared" si="102"/>
        <v>39610130.190901607</v>
      </c>
      <c r="W275" s="152">
        <f>IF(OR(Y275=$AA$2,Y275=$AA$3,Y275=$AA$4),HLOOKUP(A275,Datos!$D$98:$K$102,5,0),0)*G275</f>
        <v>2572093.9846800016</v>
      </c>
      <c r="X275" s="152">
        <f t="shared" si="91"/>
        <v>643023.49617000041</v>
      </c>
      <c r="Y275" s="152" t="str">
        <f t="shared" si="92"/>
        <v xml:space="preserve">MES 8 </v>
      </c>
      <c r="Z275">
        <f t="shared" si="103"/>
        <v>10</v>
      </c>
    </row>
    <row r="276" spans="1:26">
      <c r="A276" t="str">
        <f t="shared" si="86"/>
        <v>Administrador-2030</v>
      </c>
      <c r="B276">
        <v>2030</v>
      </c>
      <c r="C276" t="s">
        <v>494</v>
      </c>
      <c r="D276" t="s">
        <v>370</v>
      </c>
      <c r="E276" t="s">
        <v>371</v>
      </c>
      <c r="F276" s="151">
        <f t="shared" si="93"/>
        <v>1</v>
      </c>
      <c r="G276" s="151">
        <f t="shared" si="93"/>
        <v>2</v>
      </c>
      <c r="H276" s="152">
        <f>+HLOOKUP(A276,Datos!$D$81:$K$85,5,0)</f>
        <v>3117689.678400002</v>
      </c>
      <c r="I276" s="152">
        <f>+HLOOKUP(A276,Datos!$D$90:$K$94,5,0)</f>
        <v>273978.67182569409</v>
      </c>
      <c r="J276" s="152">
        <f t="shared" si="87"/>
        <v>3117689.678400002</v>
      </c>
      <c r="K276" s="152">
        <f t="shared" si="88"/>
        <v>547957.34365138819</v>
      </c>
      <c r="L276" s="152">
        <f t="shared" si="94"/>
        <v>265003.6226640002</v>
      </c>
      <c r="M276" s="152">
        <f t="shared" si="95"/>
        <v>374122.76140800019</v>
      </c>
      <c r="N276" s="152">
        <f t="shared" si="96"/>
        <v>16274.340121248009</v>
      </c>
      <c r="O276" s="152">
        <f t="shared" si="97"/>
        <v>129903.73660000009</v>
      </c>
      <c r="P276" s="152">
        <f t="shared" si="89"/>
        <v>259807.47320000015</v>
      </c>
      <c r="Q276" s="152">
        <f t="shared" si="98"/>
        <v>129903.73660000009</v>
      </c>
      <c r="R276" s="152">
        <f t="shared" si="90"/>
        <v>15588.448392000011</v>
      </c>
      <c r="S276" s="152">
        <f t="shared" si="99"/>
        <v>62353.793568000037</v>
      </c>
      <c r="T276" s="152">
        <f t="shared" si="100"/>
        <v>93530.690352000049</v>
      </c>
      <c r="U276" s="152">
        <f t="shared" si="101"/>
        <v>124707.58713600007</v>
      </c>
      <c r="V276" s="152">
        <f t="shared" si="102"/>
        <v>5136843.2120926399</v>
      </c>
      <c r="W276" s="152">
        <f>IF(OR(Y276=$AA$2,Y276=$AA$3,Y276=$AA$4),HLOOKUP(A276,Datos!$D$99:$K$104,5,0),0)*G276</f>
        <v>194855.60490000012</v>
      </c>
      <c r="X276" s="152">
        <f t="shared" si="91"/>
        <v>48713.901225000031</v>
      </c>
      <c r="Y276" s="152" t="str">
        <f t="shared" si="92"/>
        <v xml:space="preserve">MES 8 </v>
      </c>
      <c r="Z276">
        <f t="shared" si="103"/>
        <v>10</v>
      </c>
    </row>
    <row r="277" spans="1:26">
      <c r="A277" t="str">
        <f t="shared" si="86"/>
        <v>Cajero-2030</v>
      </c>
      <c r="B277">
        <v>2030</v>
      </c>
      <c r="C277" t="s">
        <v>494</v>
      </c>
      <c r="D277" t="s">
        <v>372</v>
      </c>
      <c r="E277" t="s">
        <v>371</v>
      </c>
      <c r="F277" s="151">
        <f t="shared" si="93"/>
        <v>2</v>
      </c>
      <c r="G277" s="151">
        <f t="shared" si="93"/>
        <v>2</v>
      </c>
      <c r="H277" s="152">
        <f>HLOOKUP(A277,Datos!$D$82:$K$86,5,0)</f>
        <v>2260325.0168400011</v>
      </c>
      <c r="I277" s="152">
        <f>+HLOOKUP(A277,Datos!$D$91:$K$95,5,0)</f>
        <v>273978.67182569409</v>
      </c>
      <c r="J277" s="152">
        <f t="shared" si="87"/>
        <v>4520650.0336800022</v>
      </c>
      <c r="K277" s="152">
        <f t="shared" si="88"/>
        <v>547957.34365138819</v>
      </c>
      <c r="L277" s="152">
        <f t="shared" si="94"/>
        <v>384255.2528628002</v>
      </c>
      <c r="M277" s="152">
        <f t="shared" si="95"/>
        <v>542478.00404160027</v>
      </c>
      <c r="N277" s="152">
        <f t="shared" si="96"/>
        <v>23597.793175809609</v>
      </c>
      <c r="O277" s="152">
        <f t="shared" si="97"/>
        <v>188360.41807000007</v>
      </c>
      <c r="P277" s="152">
        <f t="shared" si="89"/>
        <v>376720.8361400002</v>
      </c>
      <c r="Q277" s="152">
        <f t="shared" si="98"/>
        <v>188360.41807000007</v>
      </c>
      <c r="R277" s="152">
        <f t="shared" si="90"/>
        <v>22603.250168400009</v>
      </c>
      <c r="S277" s="152">
        <f t="shared" si="99"/>
        <v>90413.000673600051</v>
      </c>
      <c r="T277" s="152">
        <f t="shared" si="100"/>
        <v>135619.50101040007</v>
      </c>
      <c r="U277" s="152">
        <f t="shared" si="101"/>
        <v>180826.0013472001</v>
      </c>
      <c r="V277" s="152">
        <f t="shared" si="102"/>
        <v>7201841.8528912002</v>
      </c>
      <c r="W277" s="152">
        <f>IF(OR(Y277=$AA$2,Y277=$AA$3,Y277=$AA$4),HLOOKUP(A277,Datos!$D$100:$K$104,5,0),0)*G277</f>
        <v>584566.81470000045</v>
      </c>
      <c r="X277" s="152">
        <f t="shared" si="91"/>
        <v>146141.70367500011</v>
      </c>
      <c r="Y277" s="152" t="str">
        <f t="shared" si="92"/>
        <v xml:space="preserve">MES 8 </v>
      </c>
      <c r="Z277">
        <f t="shared" si="103"/>
        <v>10</v>
      </c>
    </row>
    <row r="278" spans="1:26">
      <c r="A278" t="str">
        <f t="shared" si="86"/>
        <v>Aux cocina-2030</v>
      </c>
      <c r="B278">
        <v>2030</v>
      </c>
      <c r="C278" t="s">
        <v>495</v>
      </c>
      <c r="D278" t="s">
        <v>368</v>
      </c>
      <c r="E278" t="s">
        <v>369</v>
      </c>
      <c r="F278" s="151">
        <f t="shared" si="93"/>
        <v>11</v>
      </c>
      <c r="G278" s="151">
        <f t="shared" si="93"/>
        <v>11</v>
      </c>
      <c r="H278" s="152">
        <f>+HLOOKUP(A278,Datos!$D$80:$K$84,5,0)</f>
        <v>2260325.0168400011</v>
      </c>
      <c r="I278" s="152">
        <f>+HLOOKUP(A278,Datos!$D$89:$K$93,5,0)</f>
        <v>273978.67182569409</v>
      </c>
      <c r="J278" s="152">
        <f t="shared" si="87"/>
        <v>24863575.185240012</v>
      </c>
      <c r="K278" s="152">
        <f t="shared" si="88"/>
        <v>3013765.390082635</v>
      </c>
      <c r="L278" s="152">
        <f t="shared" si="94"/>
        <v>2113403.8907454009</v>
      </c>
      <c r="M278" s="152">
        <f t="shared" si="95"/>
        <v>2983629.0222288012</v>
      </c>
      <c r="N278" s="152">
        <f t="shared" si="96"/>
        <v>129787.86246695285</v>
      </c>
      <c r="O278" s="152">
        <f t="shared" si="97"/>
        <v>1035982.2993850005</v>
      </c>
      <c r="P278" s="152">
        <f t="shared" si="89"/>
        <v>2071964.598770001</v>
      </c>
      <c r="Q278" s="152">
        <f t="shared" si="98"/>
        <v>1035982.2993850005</v>
      </c>
      <c r="R278" s="152">
        <f t="shared" si="90"/>
        <v>124317.87592620005</v>
      </c>
      <c r="S278" s="152">
        <f t="shared" si="99"/>
        <v>497271.50370480027</v>
      </c>
      <c r="T278" s="152">
        <f t="shared" si="100"/>
        <v>745907.25555720029</v>
      </c>
      <c r="U278" s="152">
        <f t="shared" si="101"/>
        <v>994543.00740960054</v>
      </c>
      <c r="V278" s="152">
        <f t="shared" si="102"/>
        <v>39610130.190901607</v>
      </c>
      <c r="W278" s="152">
        <f>IF(OR(Y278=$AA$2,Y278=$AA$3,Y278=$AA$4),HLOOKUP(A278,Datos!$D$98:$K$102,5,0),0)*G278</f>
        <v>0</v>
      </c>
      <c r="X278" s="152">
        <f t="shared" si="91"/>
        <v>643023.49617000041</v>
      </c>
      <c r="Y278" s="152" t="str">
        <f t="shared" si="92"/>
        <v xml:space="preserve">MES 9 </v>
      </c>
      <c r="Z278">
        <f t="shared" si="103"/>
        <v>10</v>
      </c>
    </row>
    <row r="279" spans="1:26">
      <c r="A279" t="str">
        <f t="shared" si="86"/>
        <v>Administrador-2030</v>
      </c>
      <c r="B279">
        <v>2030</v>
      </c>
      <c r="C279" t="s">
        <v>495</v>
      </c>
      <c r="D279" t="s">
        <v>370</v>
      </c>
      <c r="E279" t="s">
        <v>371</v>
      </c>
      <c r="F279" s="151">
        <f t="shared" ref="F279:G289" si="104">+F276</f>
        <v>1</v>
      </c>
      <c r="G279" s="151">
        <f t="shared" si="104"/>
        <v>2</v>
      </c>
      <c r="H279" s="152">
        <f>+HLOOKUP(A279,Datos!$D$81:$K$85,5,0)</f>
        <v>3117689.678400002</v>
      </c>
      <c r="I279" s="152">
        <f>+HLOOKUP(A279,Datos!$D$90:$K$94,5,0)</f>
        <v>273978.67182569409</v>
      </c>
      <c r="J279" s="152">
        <f t="shared" si="87"/>
        <v>3117689.678400002</v>
      </c>
      <c r="K279" s="152">
        <f t="shared" si="88"/>
        <v>547957.34365138819</v>
      </c>
      <c r="L279" s="152">
        <f t="shared" si="94"/>
        <v>265003.6226640002</v>
      </c>
      <c r="M279" s="152">
        <f t="shared" si="95"/>
        <v>374122.76140800019</v>
      </c>
      <c r="N279" s="152">
        <f t="shared" si="96"/>
        <v>16274.340121248009</v>
      </c>
      <c r="O279" s="152">
        <f t="shared" si="97"/>
        <v>129903.73660000009</v>
      </c>
      <c r="P279" s="152">
        <f t="shared" si="89"/>
        <v>259807.47320000015</v>
      </c>
      <c r="Q279" s="152">
        <f t="shared" si="98"/>
        <v>129903.73660000009</v>
      </c>
      <c r="R279" s="152">
        <f t="shared" si="90"/>
        <v>15588.448392000011</v>
      </c>
      <c r="S279" s="152">
        <f t="shared" si="99"/>
        <v>62353.793568000037</v>
      </c>
      <c r="T279" s="152">
        <f t="shared" si="100"/>
        <v>93530.690352000049</v>
      </c>
      <c r="U279" s="152">
        <f t="shared" si="101"/>
        <v>124707.58713600007</v>
      </c>
      <c r="V279" s="152">
        <f t="shared" si="102"/>
        <v>5136843.2120926399</v>
      </c>
      <c r="W279" s="152">
        <f>IF(OR(Y279=$AA$2,Y279=$AA$3,Y279=$AA$4),HLOOKUP(A279,Datos!$D$99:$K$104,5,0),0)*G279</f>
        <v>0</v>
      </c>
      <c r="X279" s="152">
        <f t="shared" si="91"/>
        <v>48713.901225000031</v>
      </c>
      <c r="Y279" s="152" t="str">
        <f t="shared" si="92"/>
        <v xml:space="preserve">MES 9 </v>
      </c>
      <c r="Z279">
        <f t="shared" si="103"/>
        <v>10</v>
      </c>
    </row>
    <row r="280" spans="1:26">
      <c r="A280" t="str">
        <f t="shared" si="86"/>
        <v>Cajero-2030</v>
      </c>
      <c r="B280">
        <v>2030</v>
      </c>
      <c r="C280" t="s">
        <v>495</v>
      </c>
      <c r="D280" t="s">
        <v>372</v>
      </c>
      <c r="E280" t="s">
        <v>371</v>
      </c>
      <c r="F280" s="151">
        <f t="shared" si="104"/>
        <v>2</v>
      </c>
      <c r="G280" s="151">
        <f t="shared" si="104"/>
        <v>2</v>
      </c>
      <c r="H280" s="152">
        <f>HLOOKUP(A280,Datos!$D$82:$K$86,5,0)</f>
        <v>2260325.0168400011</v>
      </c>
      <c r="I280" s="152">
        <f>+HLOOKUP(A280,Datos!$D$91:$K$95,5,0)</f>
        <v>273978.67182569409</v>
      </c>
      <c r="J280" s="152">
        <f t="shared" si="87"/>
        <v>4520650.0336800022</v>
      </c>
      <c r="K280" s="152">
        <f t="shared" si="88"/>
        <v>547957.34365138819</v>
      </c>
      <c r="L280" s="152">
        <f t="shared" si="94"/>
        <v>384255.2528628002</v>
      </c>
      <c r="M280" s="152">
        <f t="shared" si="95"/>
        <v>542478.00404160027</v>
      </c>
      <c r="N280" s="152">
        <f t="shared" si="96"/>
        <v>23597.793175809609</v>
      </c>
      <c r="O280" s="152">
        <f t="shared" si="97"/>
        <v>188360.41807000007</v>
      </c>
      <c r="P280" s="152">
        <f t="shared" si="89"/>
        <v>376720.8361400002</v>
      </c>
      <c r="Q280" s="152">
        <f t="shared" si="98"/>
        <v>188360.41807000007</v>
      </c>
      <c r="R280" s="152">
        <f t="shared" si="90"/>
        <v>22603.250168400009</v>
      </c>
      <c r="S280" s="152">
        <f t="shared" si="99"/>
        <v>90413.000673600051</v>
      </c>
      <c r="T280" s="152">
        <f t="shared" si="100"/>
        <v>135619.50101040007</v>
      </c>
      <c r="U280" s="152">
        <f t="shared" si="101"/>
        <v>180826.0013472001</v>
      </c>
      <c r="V280" s="152">
        <f t="shared" si="102"/>
        <v>7201841.8528912002</v>
      </c>
      <c r="W280" s="152">
        <f>IF(OR(Y280=$AA$2,Y280=$AA$3,Y280=$AA$4),HLOOKUP(A280,Datos!$D$100:$K$104,5,0),0)*G280</f>
        <v>0</v>
      </c>
      <c r="X280" s="152">
        <f t="shared" si="91"/>
        <v>146141.70367500011</v>
      </c>
      <c r="Y280" s="152" t="str">
        <f t="shared" si="92"/>
        <v xml:space="preserve">MES 9 </v>
      </c>
      <c r="Z280">
        <f t="shared" si="103"/>
        <v>10</v>
      </c>
    </row>
    <row r="281" spans="1:26">
      <c r="A281" t="str">
        <f t="shared" si="86"/>
        <v>Aux cocina-2030</v>
      </c>
      <c r="B281">
        <v>2030</v>
      </c>
      <c r="C281" t="s">
        <v>496</v>
      </c>
      <c r="D281" t="s">
        <v>368</v>
      </c>
      <c r="E281" t="s">
        <v>369</v>
      </c>
      <c r="F281" s="151">
        <f t="shared" si="104"/>
        <v>11</v>
      </c>
      <c r="G281" s="151">
        <f t="shared" si="104"/>
        <v>11</v>
      </c>
      <c r="H281" s="152">
        <f>+HLOOKUP(A281,Datos!$D$80:$K$84,5,0)</f>
        <v>2260325.0168400011</v>
      </c>
      <c r="I281" s="152">
        <f>+HLOOKUP(A281,Datos!$D$89:$K$93,5,0)</f>
        <v>273978.67182569409</v>
      </c>
      <c r="J281" s="152">
        <f t="shared" si="87"/>
        <v>24863575.185240012</v>
      </c>
      <c r="K281" s="152">
        <f t="shared" si="88"/>
        <v>3013765.390082635</v>
      </c>
      <c r="L281" s="152">
        <f t="shared" si="94"/>
        <v>2113403.8907454009</v>
      </c>
      <c r="M281" s="152">
        <f t="shared" si="95"/>
        <v>2983629.0222288012</v>
      </c>
      <c r="N281" s="152">
        <f t="shared" si="96"/>
        <v>129787.86246695285</v>
      </c>
      <c r="O281" s="152">
        <f t="shared" si="97"/>
        <v>1035982.2993850005</v>
      </c>
      <c r="P281" s="152">
        <f t="shared" si="89"/>
        <v>2071964.598770001</v>
      </c>
      <c r="Q281" s="152">
        <f t="shared" si="98"/>
        <v>1035982.2993850005</v>
      </c>
      <c r="R281" s="152">
        <f t="shared" si="90"/>
        <v>124317.87592620005</v>
      </c>
      <c r="S281" s="152">
        <f t="shared" si="99"/>
        <v>497271.50370480027</v>
      </c>
      <c r="T281" s="152">
        <f t="shared" si="100"/>
        <v>745907.25555720029</v>
      </c>
      <c r="U281" s="152">
        <f t="shared" si="101"/>
        <v>994543.00740960054</v>
      </c>
      <c r="V281" s="152">
        <f t="shared" si="102"/>
        <v>39610130.190901607</v>
      </c>
      <c r="W281" s="152">
        <f>IF(OR(Y281=$AA$2,Y281=$AA$3,Y281=$AA$4),HLOOKUP(A281,Datos!$D$98:$K$102,5,0),0)*G281</f>
        <v>0</v>
      </c>
      <c r="X281" s="152">
        <f t="shared" si="91"/>
        <v>643023.49617000041</v>
      </c>
      <c r="Y281" s="152" t="str">
        <f t="shared" si="92"/>
        <v>MES 10</v>
      </c>
      <c r="Z281">
        <f t="shared" si="103"/>
        <v>11</v>
      </c>
    </row>
    <row r="282" spans="1:26">
      <c r="A282" t="str">
        <f t="shared" si="86"/>
        <v>Administrador-2030</v>
      </c>
      <c r="B282">
        <v>2030</v>
      </c>
      <c r="C282" t="s">
        <v>496</v>
      </c>
      <c r="D282" t="s">
        <v>370</v>
      </c>
      <c r="E282" t="s">
        <v>371</v>
      </c>
      <c r="F282" s="151">
        <f t="shared" si="104"/>
        <v>1</v>
      </c>
      <c r="G282" s="151">
        <f t="shared" si="104"/>
        <v>2</v>
      </c>
      <c r="H282" s="152">
        <f>+HLOOKUP(A282,Datos!$D$81:$K$85,5,0)</f>
        <v>3117689.678400002</v>
      </c>
      <c r="I282" s="152">
        <f>+HLOOKUP(A282,Datos!$D$90:$K$94,5,0)</f>
        <v>273978.67182569409</v>
      </c>
      <c r="J282" s="152">
        <f t="shared" si="87"/>
        <v>3117689.678400002</v>
      </c>
      <c r="K282" s="152">
        <f t="shared" si="88"/>
        <v>547957.34365138819</v>
      </c>
      <c r="L282" s="152">
        <f t="shared" si="94"/>
        <v>265003.6226640002</v>
      </c>
      <c r="M282" s="152">
        <f t="shared" si="95"/>
        <v>374122.76140800019</v>
      </c>
      <c r="N282" s="152">
        <f t="shared" si="96"/>
        <v>16274.340121248009</v>
      </c>
      <c r="O282" s="152">
        <f t="shared" si="97"/>
        <v>129903.73660000009</v>
      </c>
      <c r="P282" s="152">
        <f t="shared" si="89"/>
        <v>259807.47320000015</v>
      </c>
      <c r="Q282" s="152">
        <f t="shared" si="98"/>
        <v>129903.73660000009</v>
      </c>
      <c r="R282" s="152">
        <f t="shared" si="90"/>
        <v>15588.448392000011</v>
      </c>
      <c r="S282" s="152">
        <f t="shared" si="99"/>
        <v>62353.793568000037</v>
      </c>
      <c r="T282" s="152">
        <f t="shared" si="100"/>
        <v>93530.690352000049</v>
      </c>
      <c r="U282" s="152">
        <f t="shared" si="101"/>
        <v>124707.58713600007</v>
      </c>
      <c r="V282" s="152">
        <f t="shared" si="102"/>
        <v>5136843.2120926399</v>
      </c>
      <c r="W282" s="152">
        <f>IF(OR(Y282=$AA$2,Y282=$AA$3,Y282=$AA$4),HLOOKUP(A282,Datos!$D$99:$K$104,5,0),0)*G282</f>
        <v>0</v>
      </c>
      <c r="X282" s="152">
        <f t="shared" si="91"/>
        <v>48713.901225000031</v>
      </c>
      <c r="Y282" s="152" t="str">
        <f t="shared" si="92"/>
        <v>MES 10</v>
      </c>
      <c r="Z282">
        <f t="shared" si="103"/>
        <v>11</v>
      </c>
    </row>
    <row r="283" spans="1:26">
      <c r="A283" t="str">
        <f t="shared" si="86"/>
        <v>Cajero-2030</v>
      </c>
      <c r="B283">
        <v>2030</v>
      </c>
      <c r="C283" t="s">
        <v>496</v>
      </c>
      <c r="D283" t="s">
        <v>372</v>
      </c>
      <c r="E283" t="s">
        <v>371</v>
      </c>
      <c r="F283" s="151">
        <f t="shared" si="104"/>
        <v>2</v>
      </c>
      <c r="G283" s="151">
        <f t="shared" si="104"/>
        <v>2</v>
      </c>
      <c r="H283" s="152">
        <f>HLOOKUP(A283,Datos!$D$82:$K$86,5,0)</f>
        <v>2260325.0168400011</v>
      </c>
      <c r="I283" s="152">
        <f>+HLOOKUP(A283,Datos!$D$91:$K$95,5,0)</f>
        <v>273978.67182569409</v>
      </c>
      <c r="J283" s="152">
        <f t="shared" si="87"/>
        <v>4520650.0336800022</v>
      </c>
      <c r="K283" s="152">
        <f t="shared" si="88"/>
        <v>547957.34365138819</v>
      </c>
      <c r="L283" s="152">
        <f t="shared" si="94"/>
        <v>384255.2528628002</v>
      </c>
      <c r="M283" s="152">
        <f t="shared" si="95"/>
        <v>542478.00404160027</v>
      </c>
      <c r="N283" s="152">
        <f t="shared" si="96"/>
        <v>23597.793175809609</v>
      </c>
      <c r="O283" s="152">
        <f t="shared" si="97"/>
        <v>188360.41807000007</v>
      </c>
      <c r="P283" s="152">
        <f t="shared" si="89"/>
        <v>376720.8361400002</v>
      </c>
      <c r="Q283" s="152">
        <f t="shared" si="98"/>
        <v>188360.41807000007</v>
      </c>
      <c r="R283" s="152">
        <f t="shared" si="90"/>
        <v>22603.250168400009</v>
      </c>
      <c r="S283" s="152">
        <f t="shared" si="99"/>
        <v>90413.000673600051</v>
      </c>
      <c r="T283" s="152">
        <f t="shared" si="100"/>
        <v>135619.50101040007</v>
      </c>
      <c r="U283" s="152">
        <f t="shared" si="101"/>
        <v>180826.0013472001</v>
      </c>
      <c r="V283" s="152">
        <f t="shared" si="102"/>
        <v>7201841.8528912002</v>
      </c>
      <c r="W283" s="152">
        <f>IF(OR(Y283=$AA$2,Y283=$AA$3,Y283=$AA$4),HLOOKUP(A283,Datos!$D$100:$K$104,5,0),0)*G283</f>
        <v>0</v>
      </c>
      <c r="X283" s="152">
        <f t="shared" si="91"/>
        <v>146141.70367500011</v>
      </c>
      <c r="Y283" s="152" t="str">
        <f t="shared" si="92"/>
        <v>MES 10</v>
      </c>
      <c r="Z283">
        <f t="shared" si="103"/>
        <v>11</v>
      </c>
    </row>
    <row r="284" spans="1:26">
      <c r="A284" t="str">
        <f t="shared" si="86"/>
        <v>Aux cocina-2030</v>
      </c>
      <c r="B284">
        <v>2030</v>
      </c>
      <c r="C284" t="s">
        <v>497</v>
      </c>
      <c r="D284" t="s">
        <v>368</v>
      </c>
      <c r="E284" t="s">
        <v>369</v>
      </c>
      <c r="F284" s="151">
        <f t="shared" si="104"/>
        <v>11</v>
      </c>
      <c r="G284" s="151">
        <f t="shared" si="104"/>
        <v>11</v>
      </c>
      <c r="H284" s="152">
        <f>+HLOOKUP(A284,Datos!$D$80:$K$84,5,0)</f>
        <v>2260325.0168400011</v>
      </c>
      <c r="I284" s="152">
        <f>+HLOOKUP(A284,Datos!$D$89:$K$93,5,0)</f>
        <v>273978.67182569409</v>
      </c>
      <c r="J284" s="152">
        <f t="shared" si="87"/>
        <v>24863575.185240012</v>
      </c>
      <c r="K284" s="152">
        <f t="shared" si="88"/>
        <v>3013765.390082635</v>
      </c>
      <c r="L284" s="152">
        <f t="shared" si="94"/>
        <v>2113403.8907454009</v>
      </c>
      <c r="M284" s="152">
        <f t="shared" si="95"/>
        <v>2983629.0222288012</v>
      </c>
      <c r="N284" s="152">
        <f t="shared" si="96"/>
        <v>129787.86246695285</v>
      </c>
      <c r="O284" s="152">
        <f t="shared" si="97"/>
        <v>1035982.2993850005</v>
      </c>
      <c r="P284" s="152">
        <f t="shared" si="89"/>
        <v>2071964.598770001</v>
      </c>
      <c r="Q284" s="152">
        <f t="shared" si="98"/>
        <v>1035982.2993850005</v>
      </c>
      <c r="R284" s="152">
        <f t="shared" si="90"/>
        <v>124317.87592620005</v>
      </c>
      <c r="S284" s="152">
        <f t="shared" si="99"/>
        <v>497271.50370480027</v>
      </c>
      <c r="T284" s="152">
        <f t="shared" si="100"/>
        <v>745907.25555720029</v>
      </c>
      <c r="U284" s="152">
        <f t="shared" si="101"/>
        <v>994543.00740960054</v>
      </c>
      <c r="V284" s="152">
        <f t="shared" si="102"/>
        <v>39610130.190901607</v>
      </c>
      <c r="W284" s="152">
        <f>IF(OR(Y284=$AA$2,Y284=$AA$3,Y284=$AA$4),HLOOKUP(A284,Datos!$D$98:$K$102,5,0),0)*G284</f>
        <v>0</v>
      </c>
      <c r="X284" s="152">
        <f t="shared" si="91"/>
        <v>643023.49617000041</v>
      </c>
      <c r="Y284" s="152" t="str">
        <f t="shared" si="92"/>
        <v>MES 11</v>
      </c>
      <c r="Z284">
        <f t="shared" si="103"/>
        <v>11</v>
      </c>
    </row>
    <row r="285" spans="1:26">
      <c r="A285" t="str">
        <f t="shared" si="86"/>
        <v>Administrador-2030</v>
      </c>
      <c r="B285">
        <v>2030</v>
      </c>
      <c r="C285" t="s">
        <v>497</v>
      </c>
      <c r="D285" t="s">
        <v>370</v>
      </c>
      <c r="E285" t="s">
        <v>371</v>
      </c>
      <c r="F285" s="151">
        <f t="shared" si="104"/>
        <v>1</v>
      </c>
      <c r="G285" s="151">
        <f t="shared" si="104"/>
        <v>2</v>
      </c>
      <c r="H285" s="152">
        <f>+HLOOKUP(A285,Datos!$D$81:$K$85,5,0)</f>
        <v>3117689.678400002</v>
      </c>
      <c r="I285" s="152">
        <f>+HLOOKUP(A285,Datos!$D$90:$K$94,5,0)</f>
        <v>273978.67182569409</v>
      </c>
      <c r="J285" s="152">
        <f t="shared" si="87"/>
        <v>3117689.678400002</v>
      </c>
      <c r="K285" s="152">
        <f t="shared" si="88"/>
        <v>547957.34365138819</v>
      </c>
      <c r="L285" s="152">
        <f t="shared" si="94"/>
        <v>265003.6226640002</v>
      </c>
      <c r="M285" s="152">
        <f t="shared" si="95"/>
        <v>374122.76140800019</v>
      </c>
      <c r="N285" s="152">
        <f t="shared" si="96"/>
        <v>16274.340121248009</v>
      </c>
      <c r="O285" s="152">
        <f t="shared" si="97"/>
        <v>129903.73660000009</v>
      </c>
      <c r="P285" s="152">
        <f t="shared" si="89"/>
        <v>259807.47320000015</v>
      </c>
      <c r="Q285" s="152">
        <f t="shared" si="98"/>
        <v>129903.73660000009</v>
      </c>
      <c r="R285" s="152">
        <f t="shared" si="90"/>
        <v>15588.448392000011</v>
      </c>
      <c r="S285" s="152">
        <f t="shared" si="99"/>
        <v>62353.793568000037</v>
      </c>
      <c r="T285" s="152">
        <f t="shared" si="100"/>
        <v>93530.690352000049</v>
      </c>
      <c r="U285" s="152">
        <f t="shared" si="101"/>
        <v>124707.58713600007</v>
      </c>
      <c r="V285" s="152">
        <f t="shared" si="102"/>
        <v>5136843.2120926399</v>
      </c>
      <c r="W285" s="152">
        <f>IF(OR(Y285=$AA$2,Y285=$AA$3,Y285=$AA$4),HLOOKUP(A285,Datos!$D$99:$K$104,5,0),0)*G285</f>
        <v>0</v>
      </c>
      <c r="X285" s="152">
        <f t="shared" si="91"/>
        <v>48713.901225000031</v>
      </c>
      <c r="Y285" s="152" t="str">
        <f t="shared" si="92"/>
        <v>MES 11</v>
      </c>
      <c r="Z285">
        <f t="shared" si="103"/>
        <v>11</v>
      </c>
    </row>
    <row r="286" spans="1:26">
      <c r="A286" t="str">
        <f t="shared" si="86"/>
        <v>Cajero-2030</v>
      </c>
      <c r="B286">
        <v>2030</v>
      </c>
      <c r="C286" t="s">
        <v>497</v>
      </c>
      <c r="D286" t="s">
        <v>372</v>
      </c>
      <c r="E286" t="s">
        <v>371</v>
      </c>
      <c r="F286" s="151">
        <f t="shared" si="104"/>
        <v>2</v>
      </c>
      <c r="G286" s="151">
        <f t="shared" si="104"/>
        <v>2</v>
      </c>
      <c r="H286" s="152">
        <f>HLOOKUP(A286,Datos!$D$82:$K$86,5,0)</f>
        <v>2260325.0168400011</v>
      </c>
      <c r="I286" s="152">
        <f>+HLOOKUP(A286,Datos!$D$91:$K$95,5,0)</f>
        <v>273978.67182569409</v>
      </c>
      <c r="J286" s="152">
        <f t="shared" si="87"/>
        <v>4520650.0336800022</v>
      </c>
      <c r="K286" s="152">
        <f t="shared" si="88"/>
        <v>547957.34365138819</v>
      </c>
      <c r="L286" s="152">
        <f t="shared" si="94"/>
        <v>384255.2528628002</v>
      </c>
      <c r="M286" s="152">
        <f t="shared" si="95"/>
        <v>542478.00404160027</v>
      </c>
      <c r="N286" s="152">
        <f t="shared" si="96"/>
        <v>23597.793175809609</v>
      </c>
      <c r="O286" s="152">
        <f t="shared" si="97"/>
        <v>188360.41807000007</v>
      </c>
      <c r="P286" s="152">
        <f t="shared" si="89"/>
        <v>376720.8361400002</v>
      </c>
      <c r="Q286" s="152">
        <f t="shared" si="98"/>
        <v>188360.41807000007</v>
      </c>
      <c r="R286" s="152">
        <f t="shared" si="90"/>
        <v>22603.250168400009</v>
      </c>
      <c r="S286" s="152">
        <f t="shared" si="99"/>
        <v>90413.000673600051</v>
      </c>
      <c r="T286" s="152">
        <f t="shared" si="100"/>
        <v>135619.50101040007</v>
      </c>
      <c r="U286" s="152">
        <f t="shared" si="101"/>
        <v>180826.0013472001</v>
      </c>
      <c r="V286" s="152">
        <f t="shared" si="102"/>
        <v>7201841.8528912002</v>
      </c>
      <c r="W286" s="152">
        <f>IF(OR(Y286=$AA$2,Y286=$AA$3,Y286=$AA$4),HLOOKUP(A286,Datos!$D$100:$K$104,5,0),0)*G286</f>
        <v>0</v>
      </c>
      <c r="X286" s="152">
        <f t="shared" si="91"/>
        <v>146141.70367500011</v>
      </c>
      <c r="Y286" s="152" t="str">
        <f t="shared" si="92"/>
        <v>MES 11</v>
      </c>
      <c r="Z286">
        <f t="shared" si="103"/>
        <v>11</v>
      </c>
    </row>
    <row r="287" spans="1:26">
      <c r="A287" t="str">
        <f t="shared" si="86"/>
        <v>Aux cocina-2030</v>
      </c>
      <c r="B287">
        <v>2030</v>
      </c>
      <c r="C287" t="s">
        <v>498</v>
      </c>
      <c r="D287" t="s">
        <v>368</v>
      </c>
      <c r="E287" t="s">
        <v>369</v>
      </c>
      <c r="F287" s="151">
        <f t="shared" si="104"/>
        <v>11</v>
      </c>
      <c r="G287" s="151">
        <f t="shared" si="104"/>
        <v>11</v>
      </c>
      <c r="H287" s="152">
        <f>+HLOOKUP(A287,Datos!$D$80:$K$84,5,0)</f>
        <v>2260325.0168400011</v>
      </c>
      <c r="I287" s="152">
        <f>+HLOOKUP(A287,Datos!$D$89:$K$93,5,0)</f>
        <v>273978.67182569409</v>
      </c>
      <c r="J287" s="152">
        <f t="shared" si="87"/>
        <v>24863575.185240012</v>
      </c>
      <c r="K287" s="152">
        <f t="shared" si="88"/>
        <v>3013765.390082635</v>
      </c>
      <c r="L287" s="152">
        <f t="shared" si="94"/>
        <v>2113403.8907454009</v>
      </c>
      <c r="M287" s="152">
        <f t="shared" si="95"/>
        <v>2983629.0222288012</v>
      </c>
      <c r="N287" s="152">
        <f t="shared" si="96"/>
        <v>129787.86246695285</v>
      </c>
      <c r="O287" s="152">
        <f t="shared" si="97"/>
        <v>1035982.2993850005</v>
      </c>
      <c r="P287" s="152">
        <f t="shared" si="89"/>
        <v>2071964.598770001</v>
      </c>
      <c r="Q287" s="152">
        <f t="shared" si="98"/>
        <v>1035982.2993850005</v>
      </c>
      <c r="R287" s="152">
        <f t="shared" si="90"/>
        <v>124317.87592620005</v>
      </c>
      <c r="S287" s="152">
        <f t="shared" si="99"/>
        <v>497271.50370480027</v>
      </c>
      <c r="T287" s="152">
        <f t="shared" si="100"/>
        <v>745907.25555720029</v>
      </c>
      <c r="U287" s="152">
        <f t="shared" si="101"/>
        <v>994543.00740960054</v>
      </c>
      <c r="V287" s="152">
        <f t="shared" si="102"/>
        <v>39610130.190901607</v>
      </c>
      <c r="W287" s="152">
        <f>IF(OR(Y287=$AA$2,Y287=$AA$3,Y287=$AA$4),HLOOKUP(A287,Datos!$D$98:$K$102,5,0),0)*G287</f>
        <v>2572093.9846800016</v>
      </c>
      <c r="X287" s="152">
        <f t="shared" si="91"/>
        <v>643023.49617000041</v>
      </c>
      <c r="Y287" s="152" t="str">
        <f t="shared" si="92"/>
        <v>MES 12</v>
      </c>
      <c r="Z287">
        <f t="shared" si="103"/>
        <v>11</v>
      </c>
    </row>
    <row r="288" spans="1:26">
      <c r="A288" t="str">
        <f t="shared" si="86"/>
        <v>Administrador-2030</v>
      </c>
      <c r="B288">
        <v>2030</v>
      </c>
      <c r="C288" t="s">
        <v>498</v>
      </c>
      <c r="D288" t="s">
        <v>370</v>
      </c>
      <c r="E288" t="s">
        <v>371</v>
      </c>
      <c r="F288" s="151">
        <f t="shared" si="104"/>
        <v>1</v>
      </c>
      <c r="G288" s="151">
        <f t="shared" si="104"/>
        <v>2</v>
      </c>
      <c r="H288" s="152">
        <f>+HLOOKUP(A288,Datos!$D$81:$K$85,5,0)</f>
        <v>3117689.678400002</v>
      </c>
      <c r="I288" s="152">
        <f>+HLOOKUP(A288,Datos!$D$90:$K$94,5,0)</f>
        <v>273978.67182569409</v>
      </c>
      <c r="J288" s="152">
        <f t="shared" si="87"/>
        <v>3117689.678400002</v>
      </c>
      <c r="K288" s="152">
        <f t="shared" si="88"/>
        <v>547957.34365138819</v>
      </c>
      <c r="L288" s="152">
        <f t="shared" si="94"/>
        <v>265003.6226640002</v>
      </c>
      <c r="M288" s="152">
        <f t="shared" si="95"/>
        <v>374122.76140800019</v>
      </c>
      <c r="N288" s="152">
        <f t="shared" si="96"/>
        <v>16274.340121248009</v>
      </c>
      <c r="O288" s="152">
        <f t="shared" si="97"/>
        <v>129903.73660000009</v>
      </c>
      <c r="P288" s="152">
        <f t="shared" si="89"/>
        <v>259807.47320000015</v>
      </c>
      <c r="Q288" s="152">
        <f t="shared" si="98"/>
        <v>129903.73660000009</v>
      </c>
      <c r="R288" s="152">
        <f t="shared" si="90"/>
        <v>15588.448392000011</v>
      </c>
      <c r="S288" s="152">
        <f t="shared" si="99"/>
        <v>62353.793568000037</v>
      </c>
      <c r="T288" s="152">
        <f t="shared" si="100"/>
        <v>93530.690352000049</v>
      </c>
      <c r="U288" s="152">
        <f t="shared" si="101"/>
        <v>124707.58713600007</v>
      </c>
      <c r="V288" s="152">
        <f t="shared" si="102"/>
        <v>5136843.2120926399</v>
      </c>
      <c r="W288" s="152">
        <f>IF(OR(Y288=$AA$2,Y288=$AA$3,Y288=$AA$4),HLOOKUP(A288,Datos!$D$99:$K$104,5,0),0)*G288</f>
        <v>194855.60490000012</v>
      </c>
      <c r="X288" s="152">
        <f t="shared" si="91"/>
        <v>48713.901225000031</v>
      </c>
      <c r="Y288" s="152" t="str">
        <f t="shared" si="92"/>
        <v>MES 12</v>
      </c>
      <c r="Z288">
        <f t="shared" si="103"/>
        <v>11</v>
      </c>
    </row>
    <row r="289" spans="1:26">
      <c r="A289" t="str">
        <f t="shared" si="86"/>
        <v>Cajero-2030</v>
      </c>
      <c r="B289">
        <v>2030</v>
      </c>
      <c r="C289" t="s">
        <v>498</v>
      </c>
      <c r="D289" t="s">
        <v>372</v>
      </c>
      <c r="E289" t="s">
        <v>371</v>
      </c>
      <c r="F289" s="151">
        <f t="shared" si="104"/>
        <v>2</v>
      </c>
      <c r="G289" s="151">
        <f t="shared" si="104"/>
        <v>2</v>
      </c>
      <c r="H289" s="152">
        <f>HLOOKUP(A289,Datos!$D$82:$K$86,5,0)</f>
        <v>2260325.0168400011</v>
      </c>
      <c r="I289" s="152">
        <f>+HLOOKUP(A289,Datos!$D$91:$K$95,5,0)</f>
        <v>273978.67182569409</v>
      </c>
      <c r="J289" s="152">
        <f>+F289*H289</f>
        <v>4520650.0336800022</v>
      </c>
      <c r="K289" s="152">
        <f>+G289*I289</f>
        <v>547957.34365138819</v>
      </c>
      <c r="L289" s="152">
        <f>+J289*8.5%</f>
        <v>384255.2528628002</v>
      </c>
      <c r="M289" s="152">
        <f>+J289*12%</f>
        <v>542478.00404160027</v>
      </c>
      <c r="N289" s="152">
        <f>+J289*0.522%</f>
        <v>23597.793175809609</v>
      </c>
      <c r="O289" s="152">
        <f>+J289/30*1.25</f>
        <v>188360.41807000007</v>
      </c>
      <c r="P289" s="152">
        <f>+J289/12</f>
        <v>376720.8361400002</v>
      </c>
      <c r="Q289" s="152">
        <f>+J289/30*1.25</f>
        <v>188360.41807000007</v>
      </c>
      <c r="R289" s="152">
        <f t="shared" si="90"/>
        <v>22603.250168400009</v>
      </c>
      <c r="S289" s="152">
        <f t="shared" si="99"/>
        <v>90413.000673600051</v>
      </c>
      <c r="T289" s="152">
        <f t="shared" si="100"/>
        <v>135619.50101040007</v>
      </c>
      <c r="U289" s="152">
        <f t="shared" si="101"/>
        <v>180826.0013472001</v>
      </c>
      <c r="V289" s="152">
        <f t="shared" si="102"/>
        <v>7201841.8528912002</v>
      </c>
      <c r="W289" s="152">
        <f>IF(OR(Y289=$AA$2,Y289=$AA$3,Y289=$AA$4),HLOOKUP(A289,Datos!$D$100:$K$104,5,0),0)*G289</f>
        <v>584566.81470000045</v>
      </c>
      <c r="X289" s="152">
        <f t="shared" si="91"/>
        <v>146141.70367500011</v>
      </c>
      <c r="Y289" s="152" t="str">
        <f t="shared" si="92"/>
        <v>MES 12</v>
      </c>
      <c r="Z289">
        <f t="shared" si="103"/>
        <v>11</v>
      </c>
    </row>
  </sheetData>
  <autoFilter ref="A1:Y289" xr:uid="{6E738437-F425-43D9-BF0D-F33795918D0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07CC-2A56-4FD9-919B-C7311783AA78}">
  <dimension ref="A1:P33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baseColWidth="10" defaultColWidth="17.81640625" defaultRowHeight="14.5"/>
  <cols>
    <col min="1" max="1" width="41.1796875" bestFit="1" customWidth="1"/>
    <col min="2" max="5" width="13.81640625" bestFit="1" customWidth="1"/>
    <col min="6" max="6" width="14" bestFit="1" customWidth="1"/>
    <col min="7" max="10" width="14.1796875" bestFit="1" customWidth="1"/>
    <col min="11" max="13" width="13.81640625" bestFit="1" customWidth="1"/>
    <col min="14" max="14" width="14" style="150" bestFit="1" customWidth="1"/>
  </cols>
  <sheetData>
    <row r="1" spans="1:14" ht="15" thickBot="1">
      <c r="A1" s="244" t="str">
        <f>+'EF Proyecto'!A1</f>
        <v>NORMAL</v>
      </c>
      <c r="B1" s="212" t="str">
        <f>+Escenarios!A10</f>
        <v>NORMAL</v>
      </c>
      <c r="C1" s="212" t="str">
        <f>+Escenarios!A19</f>
        <v>PESIMISTA</v>
      </c>
      <c r="D1" s="212" t="str">
        <f>+Escenarios!A28</f>
        <v>OPTIMISTA</v>
      </c>
      <c r="E1" s="212" t="str">
        <f>+Escenarios!A37</f>
        <v>P EQUILIBRIO</v>
      </c>
    </row>
    <row r="2" spans="1:14" s="154" customFormat="1">
      <c r="A2" s="255" t="s">
        <v>463</v>
      </c>
      <c r="B2" s="255" t="s">
        <v>355</v>
      </c>
      <c r="C2" s="255" t="s">
        <v>356</v>
      </c>
      <c r="D2" s="255" t="s">
        <v>357</v>
      </c>
      <c r="E2" s="255" t="s">
        <v>358</v>
      </c>
      <c r="F2" s="255" t="s">
        <v>359</v>
      </c>
      <c r="G2" s="255" t="s">
        <v>360</v>
      </c>
      <c r="H2" s="255" t="s">
        <v>364</v>
      </c>
      <c r="I2" s="255" t="s">
        <v>365</v>
      </c>
      <c r="J2" s="255" t="s">
        <v>366</v>
      </c>
      <c r="K2" s="255" t="s">
        <v>361</v>
      </c>
      <c r="L2" s="255" t="s">
        <v>362</v>
      </c>
      <c r="M2" s="255" t="s">
        <v>363</v>
      </c>
      <c r="N2" s="255" t="s">
        <v>545</v>
      </c>
    </row>
    <row r="3" spans="1:14">
      <c r="A3" s="729" t="str">
        <f>+Escenarios!A11</f>
        <v>Línea Gourmet</v>
      </c>
      <c r="B3" s="232">
        <f>+IF($A$1=$B$1,Escenarios!B11,IF($A$1=$C$1,Escenarios!B20,IF($A$1=$D$1,Escenarios!B29,IF($A$1=$E$1,Escenarios!B38))))</f>
        <v>480</v>
      </c>
      <c r="C3" s="153">
        <f>+IF($A$1=$B$1,Escenarios!C11,IF($A$1=$C$1,Escenarios!C20,IF($A$1=$D$1,Escenarios!C29,IF($A$1=$E$1,Escenarios!C38))))</f>
        <v>330</v>
      </c>
      <c r="D3" s="233">
        <f>+IF($A$1=$B$1,Escenarios!D11,IF($A$1=$C$1,Escenarios!D20,IF($A$1=$D$1,Escenarios!D29,IF($A$1=$E$1,Escenarios!D38))))</f>
        <v>570</v>
      </c>
      <c r="E3" s="153">
        <f>+IF($A$1=$B$1,Escenarios!E11,IF($A$1=$C$1,Escenarios!E20,IF($A$1=$D$1,Escenarios!E29,IF($A$1=$E$1,Escenarios!E38))))</f>
        <v>480</v>
      </c>
      <c r="F3" s="233">
        <f>+IF($A$1=$B$1,Escenarios!F11,IF($A$1=$C$1,Escenarios!F20,IF($A$1=$D$1,Escenarios!F29,IF($A$1=$E$1,Escenarios!F38))))</f>
        <v>570</v>
      </c>
      <c r="G3" s="153">
        <f>+IF($A$1=$B$1,Escenarios!G11,IF($A$1=$C$1,Escenarios!G20,IF($A$1=$D$1,Escenarios!G29,IF($A$1=$E$1,Escenarios!G38))))</f>
        <v>480</v>
      </c>
      <c r="H3" s="232">
        <f>+IF($A$1=$B$1,Escenarios!H11,IF($A$1=$C$1,Escenarios!H20,IF($A$1=$D$1,Escenarios!H29,IF($A$1=$E$1,Escenarios!H38))))</f>
        <v>330</v>
      </c>
      <c r="I3" s="232">
        <f>+IF($A$1=$B$1,Escenarios!I11,IF($A$1=$C$1,Escenarios!I20,IF($A$1=$D$1,Escenarios!I29,IF($A$1=$E$1,Escenarios!I38))))</f>
        <v>480</v>
      </c>
      <c r="J3" s="233">
        <f>+IF($A$1=$B$1,Escenarios!J11,IF($A$1=$C$1,Escenarios!J20,IF($A$1=$D$1,Escenarios!J29,IF($A$1=$E$1,Escenarios!J38))))</f>
        <v>570</v>
      </c>
      <c r="K3" s="233">
        <f>+IF($A$1=$B$1,Escenarios!K11,IF($A$1=$C$1,Escenarios!K20,IF($A$1=$D$1,Escenarios!K29,IF($A$1=$E$1,Escenarios!K38))))</f>
        <v>480</v>
      </c>
      <c r="L3" s="153">
        <f>+IF($A$1=$B$1,Escenarios!L11,IF($A$1=$C$1,Escenarios!L20,IF($A$1=$D$1,Escenarios!L29,IF($A$1=$E$1,Escenarios!L38))))</f>
        <v>480</v>
      </c>
      <c r="M3" s="233">
        <f>+IF($A$1=$B$1,Escenarios!M11,IF($A$1=$C$1,Escenarios!M20,IF($A$1=$D$1,Escenarios!M29,IF($A$1=$E$1,Escenarios!M38))))</f>
        <v>570</v>
      </c>
      <c r="N3" s="236">
        <f>+SUM(B3:M3)</f>
        <v>5820</v>
      </c>
    </row>
    <row r="4" spans="1:14">
      <c r="A4" s="729" t="str">
        <f>+Escenarios!A12</f>
        <v>Línea Tradicional</v>
      </c>
      <c r="B4" s="232">
        <f>+IF($A$1=$B$1,Escenarios!B12,IF($A$1=$C$1,Escenarios!B21,IF($A$1=$D$1,Escenarios!B30,IF($A$1=$E$1,Escenarios!B39))))</f>
        <v>420</v>
      </c>
      <c r="C4" s="153">
        <f>+IF($A$1=$B$1,Escenarios!C12,IF($A$1=$C$1,Escenarios!C21,IF($A$1=$D$1,Escenarios!C30,IF($A$1=$E$1,Escenarios!C39))))</f>
        <v>210</v>
      </c>
      <c r="D4" s="233">
        <f>+IF($A$1=$B$1,Escenarios!D12,IF($A$1=$C$1,Escenarios!D21,IF($A$1=$D$1,Escenarios!D30,IF($A$1=$E$1,Escenarios!D39))))</f>
        <v>510</v>
      </c>
      <c r="E4" s="153">
        <f>+IF($A$1=$B$1,Escenarios!E12,IF($A$1=$C$1,Escenarios!E21,IF($A$1=$D$1,Escenarios!E30,IF($A$1=$E$1,Escenarios!E39))))</f>
        <v>420</v>
      </c>
      <c r="F4" s="233">
        <f>+IF($A$1=$B$1,Escenarios!F12,IF($A$1=$C$1,Escenarios!F21,IF($A$1=$D$1,Escenarios!F30,IF($A$1=$E$1,Escenarios!F39))))</f>
        <v>510</v>
      </c>
      <c r="G4" s="153">
        <f>+IF($A$1=$B$1,Escenarios!G12,IF($A$1=$C$1,Escenarios!G21,IF($A$1=$D$1,Escenarios!G30,IF($A$1=$E$1,Escenarios!G39))))</f>
        <v>420</v>
      </c>
      <c r="H4" s="232">
        <f>+IF($A$1=$B$1,Escenarios!H12,IF($A$1=$C$1,Escenarios!H21,IF($A$1=$D$1,Escenarios!H30,IF($A$1=$E$1,Escenarios!H39))))</f>
        <v>210</v>
      </c>
      <c r="I4" s="232">
        <f>+IF($A$1=$B$1,Escenarios!I12,IF($A$1=$C$1,Escenarios!I21,IF($A$1=$D$1,Escenarios!I30,IF($A$1=$E$1,Escenarios!I39))))</f>
        <v>420</v>
      </c>
      <c r="J4" s="233">
        <f>+IF($A$1=$B$1,Escenarios!J12,IF($A$1=$C$1,Escenarios!J21,IF($A$1=$D$1,Escenarios!J30,IF($A$1=$E$1,Escenarios!J39))))</f>
        <v>510</v>
      </c>
      <c r="K4" s="233">
        <f>+IF($A$1=$B$1,Escenarios!K12,IF($A$1=$C$1,Escenarios!K21,IF($A$1=$D$1,Escenarios!K30,IF($A$1=$E$1,Escenarios!K39))))</f>
        <v>420</v>
      </c>
      <c r="L4" s="153">
        <f>+IF($A$1=$B$1,Escenarios!L12,IF($A$1=$C$1,Escenarios!L21,IF($A$1=$D$1,Escenarios!L30,IF($A$1=$E$1,Escenarios!L39))))</f>
        <v>420</v>
      </c>
      <c r="M4" s="233">
        <f>+IF($A$1=$B$1,Escenarios!M12,IF($A$1=$C$1,Escenarios!M21,IF($A$1=$D$1,Escenarios!M30,IF($A$1=$E$1,Escenarios!M39))))</f>
        <v>510</v>
      </c>
      <c r="N4" s="236">
        <f>+SUM(B4:M4)</f>
        <v>4980</v>
      </c>
    </row>
    <row r="5" spans="1:14">
      <c r="A5" s="729" t="str">
        <f>+Escenarios!A13</f>
        <v>Línea Ice Roll'S</v>
      </c>
      <c r="B5" s="232">
        <f>+IF($A$1=$B$1,Escenarios!B13,IF($A$1=$C$1,Escenarios!B22,IF($A$1=$D$1,Escenarios!B31,IF($A$1=$E$1,Escenarios!B40))))</f>
        <v>540</v>
      </c>
      <c r="C5" s="153">
        <f>+IF($A$1=$B$1,Escenarios!C13,IF($A$1=$C$1,Escenarios!C22,IF($A$1=$D$1,Escenarios!C31,IF($A$1=$E$1,Escenarios!C40))))</f>
        <v>360</v>
      </c>
      <c r="D5" s="233">
        <f>+IF($A$1=$B$1,Escenarios!D13,IF($A$1=$C$1,Escenarios!D22,IF($A$1=$D$1,Escenarios!D31,IF($A$1=$E$1,Escenarios!D40))))</f>
        <v>540</v>
      </c>
      <c r="E5" s="153">
        <f>+IF($A$1=$B$1,Escenarios!E13,IF($A$1=$C$1,Escenarios!E22,IF($A$1=$D$1,Escenarios!E31,IF($A$1=$E$1,Escenarios!E40))))</f>
        <v>540</v>
      </c>
      <c r="F5" s="233">
        <f>+IF($A$1=$B$1,Escenarios!F13,IF($A$1=$C$1,Escenarios!F22,IF($A$1=$D$1,Escenarios!F31,IF($A$1=$E$1,Escenarios!F40))))</f>
        <v>540</v>
      </c>
      <c r="G5" s="153">
        <f>+IF($A$1=$B$1,Escenarios!G13,IF($A$1=$C$1,Escenarios!G22,IF($A$1=$D$1,Escenarios!G31,IF($A$1=$E$1,Escenarios!G40))))</f>
        <v>540</v>
      </c>
      <c r="H5" s="232">
        <f>+IF($A$1=$B$1,Escenarios!H13,IF($A$1=$C$1,Escenarios!H22,IF($A$1=$D$1,Escenarios!H31,IF($A$1=$E$1,Escenarios!H40))))</f>
        <v>360</v>
      </c>
      <c r="I5" s="232">
        <f>+IF($A$1=$B$1,Escenarios!I13,IF($A$1=$C$1,Escenarios!I22,IF($A$1=$D$1,Escenarios!I31,IF($A$1=$E$1,Escenarios!I40))))</f>
        <v>540</v>
      </c>
      <c r="J5" s="233">
        <f>+IF($A$1=$B$1,Escenarios!J13,IF($A$1=$C$1,Escenarios!J22,IF($A$1=$D$1,Escenarios!J31,IF($A$1=$E$1,Escenarios!J40))))</f>
        <v>540</v>
      </c>
      <c r="K5" s="233">
        <f>+IF($A$1=$B$1,Escenarios!K13,IF($A$1=$C$1,Escenarios!K22,IF($A$1=$D$1,Escenarios!K31,IF($A$1=$E$1,Escenarios!K40))))</f>
        <v>540</v>
      </c>
      <c r="L5" s="153">
        <f>+IF($A$1=$B$1,Escenarios!L13,IF($A$1=$C$1,Escenarios!L22,IF($A$1=$D$1,Escenarios!L31,IF($A$1=$E$1,Escenarios!L40))))</f>
        <v>540</v>
      </c>
      <c r="M5" s="233">
        <f>+IF($A$1=$B$1,Escenarios!M13,IF($A$1=$C$1,Escenarios!M22,IF($A$1=$D$1,Escenarios!M31,IF($A$1=$E$1,Escenarios!M40))))</f>
        <v>540</v>
      </c>
      <c r="N5" s="236">
        <f>+SUM(B5:M5)</f>
        <v>6120</v>
      </c>
    </row>
    <row r="6" spans="1:14">
      <c r="A6" s="729" t="str">
        <f>+Escenarios!A14</f>
        <v>Bebidas Naturales En Agua</v>
      </c>
      <c r="B6" s="232">
        <f>+IF($A$1=$B$1,Escenarios!B14,IF($A$1=$C$1,Escenarios!B23,IF($A$1=$D$1,Escenarios!B32,IF($A$1=$E$1,Escenarios!B41))))</f>
        <v>420</v>
      </c>
      <c r="C6" s="153">
        <f>+IF($A$1=$B$1,Escenarios!C14,IF($A$1=$C$1,Escenarios!C23,IF($A$1=$D$1,Escenarios!C32,IF($A$1=$E$1,Escenarios!C41))))</f>
        <v>300</v>
      </c>
      <c r="D6" s="233">
        <f>+IF($A$1=$B$1,Escenarios!D14,IF($A$1=$C$1,Escenarios!D23,IF($A$1=$D$1,Escenarios!D32,IF($A$1=$E$1,Escenarios!D41))))</f>
        <v>510</v>
      </c>
      <c r="E6" s="153">
        <f>+IF($A$1=$B$1,Escenarios!E14,IF($A$1=$C$1,Escenarios!E23,IF($A$1=$D$1,Escenarios!E32,IF($A$1=$E$1,Escenarios!E41))))</f>
        <v>420</v>
      </c>
      <c r="F6" s="233">
        <f>+IF($A$1=$B$1,Escenarios!F14,IF($A$1=$C$1,Escenarios!F23,IF($A$1=$D$1,Escenarios!F32,IF($A$1=$E$1,Escenarios!F41))))</f>
        <v>510</v>
      </c>
      <c r="G6" s="153">
        <f>+IF($A$1=$B$1,Escenarios!G14,IF($A$1=$C$1,Escenarios!G23,IF($A$1=$D$1,Escenarios!G32,IF($A$1=$E$1,Escenarios!G41))))</f>
        <v>420</v>
      </c>
      <c r="H6" s="232">
        <f>+IF($A$1=$B$1,Escenarios!H14,IF($A$1=$C$1,Escenarios!H23,IF($A$1=$D$1,Escenarios!H32,IF($A$1=$E$1,Escenarios!H41))))</f>
        <v>300</v>
      </c>
      <c r="I6" s="232">
        <f>+IF($A$1=$B$1,Escenarios!I14,IF($A$1=$C$1,Escenarios!I23,IF($A$1=$D$1,Escenarios!I32,IF($A$1=$E$1,Escenarios!I41))))</f>
        <v>420</v>
      </c>
      <c r="J6" s="233">
        <f>+IF($A$1=$B$1,Escenarios!J14,IF($A$1=$C$1,Escenarios!J23,IF($A$1=$D$1,Escenarios!J32,IF($A$1=$E$1,Escenarios!J41))))</f>
        <v>510</v>
      </c>
      <c r="K6" s="233">
        <f>+IF($A$1=$B$1,Escenarios!K14,IF($A$1=$C$1,Escenarios!K23,IF($A$1=$D$1,Escenarios!K32,IF($A$1=$E$1,Escenarios!K41))))</f>
        <v>420</v>
      </c>
      <c r="L6" s="153">
        <f>+IF($A$1=$B$1,Escenarios!L14,IF($A$1=$C$1,Escenarios!L23,IF($A$1=$D$1,Escenarios!L32,IF($A$1=$E$1,Escenarios!L41))))</f>
        <v>420</v>
      </c>
      <c r="M6" s="233">
        <f>+IF($A$1=$B$1,Escenarios!M14,IF($A$1=$C$1,Escenarios!M23,IF($A$1=$D$1,Escenarios!M32,IF($A$1=$E$1,Escenarios!M41))))</f>
        <v>510</v>
      </c>
      <c r="N6" s="236">
        <f t="shared" ref="N6:N8" si="0">+SUM(B6:M6)</f>
        <v>5160</v>
      </c>
    </row>
    <row r="7" spans="1:14">
      <c r="A7" s="729" t="str">
        <f>+Escenarios!A15</f>
        <v>Bebidas Naturales En Leche</v>
      </c>
      <c r="B7" s="232">
        <f>+IF($A$1=$B$1,Escenarios!B15,IF($A$1=$C$1,Escenarios!B24,IF($A$1=$D$1,Escenarios!B33,IF($A$1=$E$1,Escenarios!B42))))</f>
        <v>360</v>
      </c>
      <c r="C7" s="153">
        <f>+IF($A$1=$B$1,Escenarios!C15,IF($A$1=$C$1,Escenarios!C24,IF($A$1=$D$1,Escenarios!C33,IF($A$1=$E$1,Escenarios!C42))))</f>
        <v>330</v>
      </c>
      <c r="D7" s="233">
        <f>+IF($A$1=$B$1,Escenarios!D15,IF($A$1=$C$1,Escenarios!D24,IF($A$1=$D$1,Escenarios!D33,IF($A$1=$E$1,Escenarios!D42))))</f>
        <v>570</v>
      </c>
      <c r="E7" s="153">
        <f>+IF($A$1=$B$1,Escenarios!E15,IF($A$1=$C$1,Escenarios!E24,IF($A$1=$D$1,Escenarios!E33,IF($A$1=$E$1,Escenarios!E42))))</f>
        <v>360</v>
      </c>
      <c r="F7" s="233">
        <f>+IF($A$1=$B$1,Escenarios!F15,IF($A$1=$C$1,Escenarios!F24,IF($A$1=$D$1,Escenarios!F33,IF($A$1=$E$1,Escenarios!F42))))</f>
        <v>570</v>
      </c>
      <c r="G7" s="153">
        <f>+IF($A$1=$B$1,Escenarios!G15,IF($A$1=$C$1,Escenarios!G24,IF($A$1=$D$1,Escenarios!G33,IF($A$1=$E$1,Escenarios!G42))))</f>
        <v>360</v>
      </c>
      <c r="H7" s="232">
        <f>+IF($A$1=$B$1,Escenarios!H15,IF($A$1=$C$1,Escenarios!H24,IF($A$1=$D$1,Escenarios!H33,IF($A$1=$E$1,Escenarios!H42))))</f>
        <v>330</v>
      </c>
      <c r="I7" s="232">
        <f>+IF($A$1=$B$1,Escenarios!I15,IF($A$1=$C$1,Escenarios!I24,IF($A$1=$D$1,Escenarios!I33,IF($A$1=$E$1,Escenarios!I42))))</f>
        <v>360</v>
      </c>
      <c r="J7" s="233">
        <f>+IF($A$1=$B$1,Escenarios!J15,IF($A$1=$C$1,Escenarios!J24,IF($A$1=$D$1,Escenarios!J33,IF($A$1=$E$1,Escenarios!J42))))</f>
        <v>570</v>
      </c>
      <c r="K7" s="233">
        <f>+IF($A$1=$B$1,Escenarios!K15,IF($A$1=$C$1,Escenarios!K24,IF($A$1=$D$1,Escenarios!K33,IF($A$1=$E$1,Escenarios!K42))))</f>
        <v>360</v>
      </c>
      <c r="L7" s="153">
        <f>+IF($A$1=$B$1,Escenarios!L15,IF($A$1=$C$1,Escenarios!L24,IF($A$1=$D$1,Escenarios!L33,IF($A$1=$E$1,Escenarios!L42))))</f>
        <v>360</v>
      </c>
      <c r="M7" s="233">
        <f>+IF($A$1=$B$1,Escenarios!M15,IF($A$1=$C$1,Escenarios!M24,IF($A$1=$D$1,Escenarios!M33,IF($A$1=$E$1,Escenarios!M42))))</f>
        <v>570</v>
      </c>
      <c r="N7" s="236">
        <f t="shared" si="0"/>
        <v>5100</v>
      </c>
    </row>
    <row r="8" spans="1:14">
      <c r="A8" s="729" t="str">
        <f>+Escenarios!A16</f>
        <v>Malteadas</v>
      </c>
      <c r="B8" s="232">
        <f>+IF($A$1=$B$1,Escenarios!B16,IF($A$1=$C$1,Escenarios!B25,IF($A$1=$D$1,Escenarios!B34,IF($A$1=$E$1,Escenarios!B43))))</f>
        <v>300</v>
      </c>
      <c r="C8" s="153">
        <f>+IF($A$1=$B$1,Escenarios!C16,IF($A$1=$C$1,Escenarios!C25,IF($A$1=$D$1,Escenarios!C34,IF($A$1=$E$1,Escenarios!C43))))</f>
        <v>240</v>
      </c>
      <c r="D8" s="233">
        <f>+IF($A$1=$B$1,Escenarios!D16,IF($A$1=$C$1,Escenarios!D25,IF($A$1=$D$1,Escenarios!D34,IF($A$1=$E$1,Escenarios!D43))))</f>
        <v>480</v>
      </c>
      <c r="E8" s="153">
        <f>+IF($A$1=$B$1,Escenarios!E16,IF($A$1=$C$1,Escenarios!E25,IF($A$1=$D$1,Escenarios!E34,IF($A$1=$E$1,Escenarios!E43))))</f>
        <v>300</v>
      </c>
      <c r="F8" s="233">
        <f>+IF($A$1=$B$1,Escenarios!F16,IF($A$1=$C$1,Escenarios!F25,IF($A$1=$D$1,Escenarios!F34,IF($A$1=$E$1,Escenarios!F43))))</f>
        <v>480</v>
      </c>
      <c r="G8" s="153">
        <f>+IF($A$1=$B$1,Escenarios!G16,IF($A$1=$C$1,Escenarios!G25,IF($A$1=$D$1,Escenarios!G34,IF($A$1=$E$1,Escenarios!G43))))</f>
        <v>300</v>
      </c>
      <c r="H8" s="232">
        <f>+IF($A$1=$B$1,Escenarios!H16,IF($A$1=$C$1,Escenarios!H25,IF($A$1=$D$1,Escenarios!H34,IF($A$1=$E$1,Escenarios!H43))))</f>
        <v>240</v>
      </c>
      <c r="I8" s="232">
        <f>+IF($A$1=$B$1,Escenarios!I16,IF($A$1=$C$1,Escenarios!I25,IF($A$1=$D$1,Escenarios!I34,IF($A$1=$E$1,Escenarios!I43))))</f>
        <v>300</v>
      </c>
      <c r="J8" s="233">
        <f>+IF($A$1=$B$1,Escenarios!J16,IF($A$1=$C$1,Escenarios!J25,IF($A$1=$D$1,Escenarios!J34,IF($A$1=$E$1,Escenarios!J43))))</f>
        <v>480</v>
      </c>
      <c r="K8" s="233">
        <f>+IF($A$1=$B$1,Escenarios!K16,IF($A$1=$C$1,Escenarios!K25,IF($A$1=$D$1,Escenarios!K34,IF($A$1=$E$1,Escenarios!K43))))</f>
        <v>300</v>
      </c>
      <c r="L8" s="153">
        <f>+IF($A$1=$B$1,Escenarios!L16,IF($A$1=$C$1,Escenarios!L25,IF($A$1=$D$1,Escenarios!L34,IF($A$1=$E$1,Escenarios!L43))))</f>
        <v>300</v>
      </c>
      <c r="M8" s="233">
        <f>+IF($A$1=$B$1,Escenarios!M16,IF($A$1=$C$1,Escenarios!M25,IF($A$1=$D$1,Escenarios!M34,IF($A$1=$E$1,Escenarios!M43))))</f>
        <v>480</v>
      </c>
      <c r="N8" s="236">
        <f t="shared" si="0"/>
        <v>4200</v>
      </c>
    </row>
    <row r="9" spans="1:14">
      <c r="B9">
        <f>+SUM(B3:B8)</f>
        <v>2520</v>
      </c>
      <c r="C9">
        <f t="shared" ref="C9:M9" si="1">+SUM(C3:C8)</f>
        <v>1770</v>
      </c>
      <c r="D9">
        <f t="shared" si="1"/>
        <v>3180</v>
      </c>
      <c r="E9">
        <f t="shared" si="1"/>
        <v>2520</v>
      </c>
      <c r="F9">
        <f t="shared" si="1"/>
        <v>3180</v>
      </c>
      <c r="G9">
        <f t="shared" si="1"/>
        <v>2520</v>
      </c>
      <c r="H9">
        <f t="shared" si="1"/>
        <v>1770</v>
      </c>
      <c r="I9">
        <f t="shared" si="1"/>
        <v>2520</v>
      </c>
      <c r="J9">
        <f t="shared" si="1"/>
        <v>3180</v>
      </c>
      <c r="K9">
        <f t="shared" si="1"/>
        <v>2520</v>
      </c>
      <c r="L9">
        <f t="shared" si="1"/>
        <v>2520</v>
      </c>
      <c r="M9">
        <f t="shared" si="1"/>
        <v>3180</v>
      </c>
      <c r="N9"/>
    </row>
    <row r="10" spans="1:14">
      <c r="A10" s="237" t="str">
        <f>+A3</f>
        <v>Línea Gourmet</v>
      </c>
      <c r="B10" s="218">
        <f>IFERROR(B3*Datos!$C$6,0)</f>
        <v>7200000</v>
      </c>
      <c r="C10" s="218">
        <f>IFERROR(C3*Datos!$C$6,0)</f>
        <v>4950000</v>
      </c>
      <c r="D10" s="218">
        <f>IFERROR(D3*Datos!$C$6,0)</f>
        <v>8550000</v>
      </c>
      <c r="E10" s="218">
        <f>IFERROR(E3*Datos!$C$6,0)</f>
        <v>7200000</v>
      </c>
      <c r="F10" s="218">
        <f>IFERROR(F3*Datos!$C$6,0)</f>
        <v>8550000</v>
      </c>
      <c r="G10" s="218">
        <f>IFERROR(G3*Datos!$C$6,0)</f>
        <v>7200000</v>
      </c>
      <c r="H10" s="218">
        <f>IFERROR(H3*Datos!$C$6,0)</f>
        <v>4950000</v>
      </c>
      <c r="I10" s="218">
        <f>IFERROR(I3*Datos!$C$6,0)</f>
        <v>7200000</v>
      </c>
      <c r="J10" s="218">
        <f>IFERROR(J3*Datos!$C$6,0)</f>
        <v>8550000</v>
      </c>
      <c r="K10" s="218">
        <f>IFERROR(K3*Datos!$C$6,0)</f>
        <v>7200000</v>
      </c>
      <c r="L10" s="218">
        <f>IFERROR(L3*Datos!$C$6,0)</f>
        <v>7200000</v>
      </c>
      <c r="M10" s="218">
        <f>IFERROR(M3*Datos!$C$6,0)</f>
        <v>8550000</v>
      </c>
      <c r="N10" s="236">
        <f t="shared" ref="N10:N25" si="2">+SUM(B10:M10)</f>
        <v>87300000</v>
      </c>
    </row>
    <row r="11" spans="1:14">
      <c r="A11" s="237" t="str">
        <f t="shared" ref="A11:A15" si="3">+A4</f>
        <v>Línea Tradicional</v>
      </c>
      <c r="B11" s="218">
        <f>IFERROR(B4*Datos!$C$3,0)</f>
        <v>3360000</v>
      </c>
      <c r="C11" s="218">
        <f>IFERROR(C4*Datos!$C$3,0)</f>
        <v>1680000</v>
      </c>
      <c r="D11" s="218">
        <f>IFERROR(D4*Datos!$C$3,0)</f>
        <v>4080000</v>
      </c>
      <c r="E11" s="218">
        <f>IFERROR(E4*Datos!$C$3,0)</f>
        <v>3360000</v>
      </c>
      <c r="F11" s="218">
        <f>IFERROR(F4*Datos!$C$3,0)</f>
        <v>4080000</v>
      </c>
      <c r="G11" s="218">
        <f>IFERROR(G4*Datos!$C$3,0)</f>
        <v>3360000</v>
      </c>
      <c r="H11" s="218">
        <f>IFERROR(H4*Datos!$C$3,0)</f>
        <v>1680000</v>
      </c>
      <c r="I11" s="218">
        <f>IFERROR(I4*Datos!$C$3,0)</f>
        <v>3360000</v>
      </c>
      <c r="J11" s="218">
        <f>IFERROR(J4*Datos!$C$3,0)</f>
        <v>4080000</v>
      </c>
      <c r="K11" s="218">
        <f>IFERROR(K4*Datos!$C$3,0)</f>
        <v>3360000</v>
      </c>
      <c r="L11" s="218">
        <f>IFERROR(L4*Datos!$C$3,0)</f>
        <v>3360000</v>
      </c>
      <c r="M11" s="218">
        <f>IFERROR(M4*Datos!$C$3,0)</f>
        <v>4080000</v>
      </c>
      <c r="N11" s="236">
        <f t="shared" si="2"/>
        <v>39840000</v>
      </c>
    </row>
    <row r="12" spans="1:14">
      <c r="A12" s="237" t="str">
        <f t="shared" si="3"/>
        <v>Línea Ice Roll'S</v>
      </c>
      <c r="B12" s="218">
        <f>IFERROR(B5*Datos!$C$11,0)</f>
        <v>4860000</v>
      </c>
      <c r="C12" s="218">
        <f>IFERROR(C5*Datos!$C$11,0)</f>
        <v>3240000</v>
      </c>
      <c r="D12" s="218">
        <f>IFERROR(D5*Datos!$C$11,0)</f>
        <v>4860000</v>
      </c>
      <c r="E12" s="218">
        <f>IFERROR(E5*Datos!$C$11,0)</f>
        <v>4860000</v>
      </c>
      <c r="F12" s="218">
        <f>IFERROR(F5*Datos!$C$11,0)</f>
        <v>4860000</v>
      </c>
      <c r="G12" s="218">
        <f>IFERROR(G5*Datos!$C$11,0)</f>
        <v>4860000</v>
      </c>
      <c r="H12" s="218">
        <f>IFERROR(H5*Datos!$C$11,0)</f>
        <v>3240000</v>
      </c>
      <c r="I12" s="218">
        <f>IFERROR(I5*Datos!$C$11,0)</f>
        <v>4860000</v>
      </c>
      <c r="J12" s="218">
        <f>IFERROR(J5*Datos!$C$11,0)</f>
        <v>4860000</v>
      </c>
      <c r="K12" s="218">
        <f>IFERROR(K5*Datos!$C$11,0)</f>
        <v>4860000</v>
      </c>
      <c r="L12" s="218">
        <f>IFERROR(L5*Datos!$C$11,0)</f>
        <v>4860000</v>
      </c>
      <c r="M12" s="218">
        <f>IFERROR(M5*Datos!$C$11,0)</f>
        <v>4860000</v>
      </c>
      <c r="N12" s="236">
        <f t="shared" si="2"/>
        <v>55080000</v>
      </c>
    </row>
    <row r="13" spans="1:14">
      <c r="A13" s="237" t="str">
        <f t="shared" si="3"/>
        <v>Bebidas Naturales En Agua</v>
      </c>
      <c r="B13" s="218">
        <f>IFERROR(B6*Datos!$C$16,0)</f>
        <v>2310000</v>
      </c>
      <c r="C13" s="218">
        <f>IFERROR(C6*Datos!$C$16,0)</f>
        <v>1650000</v>
      </c>
      <c r="D13" s="218">
        <f>IFERROR(D6*Datos!$C$16,0)</f>
        <v>2805000</v>
      </c>
      <c r="E13" s="218">
        <f>IFERROR(E6*Datos!$C$16,0)</f>
        <v>2310000</v>
      </c>
      <c r="F13" s="218">
        <f>IFERROR(F6*Datos!$C$16,0)</f>
        <v>2805000</v>
      </c>
      <c r="G13" s="218">
        <f>IFERROR(G6*Datos!$C$16,0)</f>
        <v>2310000</v>
      </c>
      <c r="H13" s="218">
        <f>IFERROR(H6*Datos!$C$16,0)</f>
        <v>1650000</v>
      </c>
      <c r="I13" s="218">
        <f>IFERROR(I6*Datos!$C$16,0)</f>
        <v>2310000</v>
      </c>
      <c r="J13" s="218">
        <f>IFERROR(J6*Datos!$C$16,0)</f>
        <v>2805000</v>
      </c>
      <c r="K13" s="218">
        <f>IFERROR(K6*Datos!$C$16,0)</f>
        <v>2310000</v>
      </c>
      <c r="L13" s="218">
        <f>IFERROR(L6*Datos!$C$16,0)</f>
        <v>2310000</v>
      </c>
      <c r="M13" s="218">
        <f>IFERROR(M6*Datos!$C$16,0)</f>
        <v>2805000</v>
      </c>
      <c r="N13" s="236">
        <f t="shared" si="2"/>
        <v>28380000</v>
      </c>
    </row>
    <row r="14" spans="1:14">
      <c r="A14" s="237" t="str">
        <f t="shared" si="3"/>
        <v>Bebidas Naturales En Leche</v>
      </c>
      <c r="B14" s="218">
        <f>IFERROR(B7*Datos!$C$21,0)</f>
        <v>2340000</v>
      </c>
      <c r="C14" s="218">
        <f>IFERROR(C7*Datos!$C$21,0)</f>
        <v>2145000</v>
      </c>
      <c r="D14" s="218">
        <f>IFERROR(D7*Datos!$C$21,0)</f>
        <v>3705000</v>
      </c>
      <c r="E14" s="218">
        <f>IFERROR(E7*Datos!$C$21,0)</f>
        <v>2340000</v>
      </c>
      <c r="F14" s="218">
        <f>IFERROR(F7*Datos!$C$21,0)</f>
        <v>3705000</v>
      </c>
      <c r="G14" s="218">
        <f>IFERROR(G7*Datos!$C$21,0)</f>
        <v>2340000</v>
      </c>
      <c r="H14" s="218">
        <f>IFERROR(H7*Datos!$C$21,0)</f>
        <v>2145000</v>
      </c>
      <c r="I14" s="218">
        <f>IFERROR(I7*Datos!$C$21,0)</f>
        <v>2340000</v>
      </c>
      <c r="J14" s="218">
        <f>IFERROR(J7*Datos!$C$21,0)</f>
        <v>3705000</v>
      </c>
      <c r="K14" s="218">
        <f>IFERROR(K7*Datos!$C$21,0)</f>
        <v>2340000</v>
      </c>
      <c r="L14" s="218">
        <f>IFERROR(L7*Datos!$C$21,0)</f>
        <v>2340000</v>
      </c>
      <c r="M14" s="218">
        <f>IFERROR(M7*Datos!$C$21,0)</f>
        <v>3705000</v>
      </c>
      <c r="N14" s="236">
        <f t="shared" si="2"/>
        <v>33150000</v>
      </c>
    </row>
    <row r="15" spans="1:14">
      <c r="A15" s="237" t="str">
        <f t="shared" si="3"/>
        <v>Malteadas</v>
      </c>
      <c r="B15" s="218">
        <f>IFERROR(B8*Datos!$C$26,0)</f>
        <v>2400000</v>
      </c>
      <c r="C15" s="218">
        <f>IFERROR(C8*Datos!$C$26,0)</f>
        <v>1920000</v>
      </c>
      <c r="D15" s="218">
        <f>IFERROR(D8*Datos!$C$26,0)</f>
        <v>3840000</v>
      </c>
      <c r="E15" s="218">
        <f>IFERROR(E8*Datos!$C$26,0)</f>
        <v>2400000</v>
      </c>
      <c r="F15" s="218">
        <f>IFERROR(F8*Datos!$C$26,0)</f>
        <v>3840000</v>
      </c>
      <c r="G15" s="218">
        <f>IFERROR(G8*Datos!$C$26,0)</f>
        <v>2400000</v>
      </c>
      <c r="H15" s="218">
        <f>IFERROR(H8*Datos!$C$26,0)</f>
        <v>1920000</v>
      </c>
      <c r="I15" s="218">
        <f>IFERROR(I8*Datos!$C$26,0)</f>
        <v>2400000</v>
      </c>
      <c r="J15" s="218">
        <f>IFERROR(J8*Datos!$C$26,0)</f>
        <v>3840000</v>
      </c>
      <c r="K15" s="218">
        <f>IFERROR(K8*Datos!$C$26,0)</f>
        <v>2400000</v>
      </c>
      <c r="L15" s="218">
        <f>IFERROR(L8*Datos!$C$26,0)</f>
        <v>2400000</v>
      </c>
      <c r="M15" s="218">
        <f>IFERROR(M8*Datos!$C$26,0)</f>
        <v>3840000</v>
      </c>
      <c r="N15" s="236">
        <f t="shared" si="2"/>
        <v>33600000</v>
      </c>
    </row>
    <row r="16" spans="1:14">
      <c r="A16" s="260" t="s">
        <v>542</v>
      </c>
      <c r="B16" s="261">
        <f>+SUM(B10:B15)</f>
        <v>22470000</v>
      </c>
      <c r="C16" s="261">
        <f t="shared" ref="C16:M16" si="4">+SUM(C10:C15)</f>
        <v>15585000</v>
      </c>
      <c r="D16" s="261">
        <f t="shared" si="4"/>
        <v>27840000</v>
      </c>
      <c r="E16" s="261">
        <f t="shared" si="4"/>
        <v>22470000</v>
      </c>
      <c r="F16" s="261">
        <f t="shared" si="4"/>
        <v>27840000</v>
      </c>
      <c r="G16" s="261">
        <f t="shared" si="4"/>
        <v>22470000</v>
      </c>
      <c r="H16" s="261">
        <f t="shared" si="4"/>
        <v>15585000</v>
      </c>
      <c r="I16" s="261">
        <f t="shared" si="4"/>
        <v>22470000</v>
      </c>
      <c r="J16" s="261">
        <f t="shared" si="4"/>
        <v>27840000</v>
      </c>
      <c r="K16" s="261">
        <f t="shared" si="4"/>
        <v>22470000</v>
      </c>
      <c r="L16" s="261">
        <f t="shared" si="4"/>
        <v>22470000</v>
      </c>
      <c r="M16" s="261">
        <f t="shared" si="4"/>
        <v>27840000</v>
      </c>
      <c r="N16" s="262">
        <f t="shared" si="2"/>
        <v>277350000</v>
      </c>
    </row>
    <row r="18" spans="1:16">
      <c r="A18" s="237" t="str">
        <f>+A10</f>
        <v>Línea Gourmet</v>
      </c>
      <c r="B18" s="218">
        <f>+B3*'Costo productos'!$AF$17</f>
        <v>2191132.6511627911</v>
      </c>
      <c r="C18" s="218">
        <f>+C3*'Costo productos'!$AF$17</f>
        <v>1506403.6976744188</v>
      </c>
      <c r="D18" s="218">
        <f>+D3*'Costo productos'!$AF$17</f>
        <v>2601970.0232558143</v>
      </c>
      <c r="E18" s="218">
        <f>+E3*'Costo productos'!$AF$17</f>
        <v>2191132.6511627911</v>
      </c>
      <c r="F18" s="218">
        <f>+F3*'Costo productos'!$AF$17</f>
        <v>2601970.0232558143</v>
      </c>
      <c r="G18" s="218">
        <f>+G3*'Costo productos'!$AF$17</f>
        <v>2191132.6511627911</v>
      </c>
      <c r="H18" s="218">
        <f>+H3*'Costo productos'!$AF$17</f>
        <v>1506403.6976744188</v>
      </c>
      <c r="I18" s="218">
        <f>+I3*'Costo productos'!$AF$17</f>
        <v>2191132.6511627911</v>
      </c>
      <c r="J18" s="218">
        <f>+J3*'Costo productos'!$AF$17</f>
        <v>2601970.0232558143</v>
      </c>
      <c r="K18" s="218">
        <f>+K3*'Costo productos'!$AF$17</f>
        <v>2191132.6511627911</v>
      </c>
      <c r="L18" s="218">
        <f>+L3*'Costo productos'!$AF$17</f>
        <v>2191132.6511627911</v>
      </c>
      <c r="M18" s="218">
        <f>+M3*'Costo productos'!$AF$17</f>
        <v>2601970.0232558143</v>
      </c>
      <c r="N18" s="236">
        <f t="shared" si="2"/>
        <v>26567483.395348843</v>
      </c>
      <c r="O18" s="263"/>
      <c r="P18" s="263"/>
    </row>
    <row r="19" spans="1:16">
      <c r="A19" s="237" t="str">
        <f>+A11</f>
        <v>Línea Tradicional</v>
      </c>
      <c r="B19" s="218">
        <f>+B4*'Costo productos'!$L$17</f>
        <v>450044</v>
      </c>
      <c r="C19" s="218">
        <f>+C4*'Costo productos'!$L$17</f>
        <v>225022</v>
      </c>
      <c r="D19" s="218">
        <f>+D4*'Costo productos'!$L$17</f>
        <v>546482</v>
      </c>
      <c r="E19" s="218">
        <f>+E4*'Costo productos'!$L$17</f>
        <v>450044</v>
      </c>
      <c r="F19" s="218">
        <f>+F4*'Costo productos'!$L$17</f>
        <v>546482</v>
      </c>
      <c r="G19" s="218">
        <f>+G4*'Costo productos'!$L$17</f>
        <v>450044</v>
      </c>
      <c r="H19" s="218">
        <f>+H4*'Costo productos'!$L$17</f>
        <v>225022</v>
      </c>
      <c r="I19" s="218">
        <f>+I4*'Costo productos'!$L$17</f>
        <v>450044</v>
      </c>
      <c r="J19" s="218">
        <f>+J4*'Costo productos'!$L$17</f>
        <v>546482</v>
      </c>
      <c r="K19" s="218">
        <f>+K4*'Costo productos'!$L$17</f>
        <v>450044</v>
      </c>
      <c r="L19" s="218">
        <f>+L4*'Costo productos'!$L$17</f>
        <v>450044</v>
      </c>
      <c r="M19" s="218">
        <f>+M4*'Costo productos'!$L$17</f>
        <v>546482</v>
      </c>
      <c r="N19" s="236">
        <f t="shared" si="2"/>
        <v>5336236</v>
      </c>
      <c r="O19" s="263"/>
      <c r="P19" s="263"/>
    </row>
    <row r="20" spans="1:16">
      <c r="A20" s="237" t="str">
        <f>+A12</f>
        <v>Línea Ice Roll'S</v>
      </c>
      <c r="B20" s="218">
        <f>+B5*'Costo productos'!$AZ$17</f>
        <v>895580.18181818188</v>
      </c>
      <c r="C20" s="218">
        <f>+C5*'Costo productos'!$AZ$17</f>
        <v>597053.45454545459</v>
      </c>
      <c r="D20" s="218">
        <f>+D5*'Costo productos'!$AZ$17</f>
        <v>895580.18181818188</v>
      </c>
      <c r="E20" s="218">
        <f>+E5*'Costo productos'!$AZ$17</f>
        <v>895580.18181818188</v>
      </c>
      <c r="F20" s="218">
        <f>+F5*'Costo productos'!$AZ$17</f>
        <v>895580.18181818188</v>
      </c>
      <c r="G20" s="218">
        <f>+G5*'Costo productos'!$AZ$17</f>
        <v>895580.18181818188</v>
      </c>
      <c r="H20" s="218">
        <f>+H5*'Costo productos'!$AZ$17</f>
        <v>597053.45454545459</v>
      </c>
      <c r="I20" s="218">
        <f>+I5*'Costo productos'!$AZ$17</f>
        <v>895580.18181818188</v>
      </c>
      <c r="J20" s="218">
        <f>+J5*'Costo productos'!$AZ$17</f>
        <v>895580.18181818188</v>
      </c>
      <c r="K20" s="218">
        <f>+K5*'Costo productos'!$AZ$17</f>
        <v>895580.18181818188</v>
      </c>
      <c r="L20" s="218">
        <f>+L5*'Costo productos'!$AZ$17</f>
        <v>895580.18181818188</v>
      </c>
      <c r="M20" s="218">
        <f>+M5*'Costo productos'!$AZ$17</f>
        <v>895580.18181818188</v>
      </c>
      <c r="N20" s="236">
        <f t="shared" si="2"/>
        <v>10149908.727272727</v>
      </c>
      <c r="O20" s="263"/>
      <c r="P20" s="263"/>
    </row>
    <row r="21" spans="1:16">
      <c r="A21" s="260" t="s">
        <v>549</v>
      </c>
      <c r="B21" s="261">
        <f>+SUM(B18:B20)</f>
        <v>3536756.8329809727</v>
      </c>
      <c r="C21" s="261">
        <f t="shared" ref="C21:M21" si="5">+SUM(C18:C20)</f>
        <v>2328479.1522198734</v>
      </c>
      <c r="D21" s="261">
        <f t="shared" si="5"/>
        <v>4044032.2050739964</v>
      </c>
      <c r="E21" s="261">
        <f t="shared" si="5"/>
        <v>3536756.8329809727</v>
      </c>
      <c r="F21" s="261">
        <f t="shared" si="5"/>
        <v>4044032.2050739964</v>
      </c>
      <c r="G21" s="261">
        <f t="shared" si="5"/>
        <v>3536756.8329809727</v>
      </c>
      <c r="H21" s="261">
        <f t="shared" si="5"/>
        <v>2328479.1522198734</v>
      </c>
      <c r="I21" s="261">
        <f t="shared" si="5"/>
        <v>3536756.8329809727</v>
      </c>
      <c r="J21" s="261">
        <f t="shared" si="5"/>
        <v>4044032.2050739964</v>
      </c>
      <c r="K21" s="261">
        <f t="shared" si="5"/>
        <v>3536756.8329809727</v>
      </c>
      <c r="L21" s="261">
        <f t="shared" si="5"/>
        <v>3536756.8329809727</v>
      </c>
      <c r="M21" s="261">
        <f t="shared" si="5"/>
        <v>4044032.2050739964</v>
      </c>
      <c r="N21" s="262">
        <f t="shared" si="2"/>
        <v>42053628.122621574</v>
      </c>
      <c r="O21" s="263">
        <f>+N21/'EF Proyecto'!$H$39</f>
        <v>0.84414416554413829</v>
      </c>
      <c r="P21" s="263"/>
    </row>
    <row r="22" spans="1:16">
      <c r="O22" s="263"/>
      <c r="P22" s="263"/>
    </row>
    <row r="23" spans="1:16">
      <c r="A23" s="237" t="str">
        <f>+A18</f>
        <v>Línea Gourmet</v>
      </c>
      <c r="B23" s="218">
        <f>B3*'Costo productos'!$W$24</f>
        <v>220267.68642447417</v>
      </c>
      <c r="C23" s="218">
        <f>C3*'Costo productos'!$W$24</f>
        <v>151434.03441682598</v>
      </c>
      <c r="D23" s="218">
        <f>D3*'Costo productos'!$W$24</f>
        <v>261567.87762906306</v>
      </c>
      <c r="E23" s="218">
        <f>E3*'Costo productos'!$W$24</f>
        <v>220267.68642447417</v>
      </c>
      <c r="F23" s="218">
        <f>F3*'Costo productos'!$W$24</f>
        <v>261567.87762906306</v>
      </c>
      <c r="G23" s="218">
        <f>G3*'Costo productos'!$W$24</f>
        <v>220267.68642447417</v>
      </c>
      <c r="H23" s="218">
        <f>H3*'Costo productos'!$W$24</f>
        <v>151434.03441682598</v>
      </c>
      <c r="I23" s="218">
        <f>I3*'Costo productos'!$W$24</f>
        <v>220267.68642447417</v>
      </c>
      <c r="J23" s="218">
        <f>J3*'Costo productos'!$W$24</f>
        <v>261567.87762906306</v>
      </c>
      <c r="K23" s="218">
        <f>K3*'Costo productos'!$W$24</f>
        <v>220267.68642447417</v>
      </c>
      <c r="L23" s="218">
        <f>L3*'Costo productos'!$W$24</f>
        <v>220267.68642447417</v>
      </c>
      <c r="M23" s="218">
        <f>M3*'Costo productos'!$W$24</f>
        <v>261567.87762906306</v>
      </c>
      <c r="N23" s="236">
        <f t="shared" si="2"/>
        <v>2670745.6978967492</v>
      </c>
      <c r="O23" s="263"/>
      <c r="P23" s="263"/>
    </row>
    <row r="24" spans="1:16">
      <c r="A24" s="237" t="str">
        <f>+A19</f>
        <v>Línea Tradicional</v>
      </c>
      <c r="B24" s="218">
        <f>+B4*'Costo productos'!$C$24</f>
        <v>192734.22562141489</v>
      </c>
      <c r="C24" s="218">
        <f>+C4*'Costo productos'!$C$24</f>
        <v>96367.112810707447</v>
      </c>
      <c r="D24" s="218">
        <f>+D4*'Costo productos'!$C$24</f>
        <v>234034.41682600381</v>
      </c>
      <c r="E24" s="218">
        <f>+E4*'Costo productos'!$C$24</f>
        <v>192734.22562141489</v>
      </c>
      <c r="F24" s="218">
        <f>+F4*'Costo productos'!$C$24</f>
        <v>234034.41682600381</v>
      </c>
      <c r="G24" s="218">
        <f>+G4*'Costo productos'!$C$24</f>
        <v>192734.22562141489</v>
      </c>
      <c r="H24" s="218">
        <f>+H4*'Costo productos'!$C$24</f>
        <v>96367.112810707447</v>
      </c>
      <c r="I24" s="218">
        <f>+I4*'Costo productos'!$C$24</f>
        <v>192734.22562141489</v>
      </c>
      <c r="J24" s="218">
        <f>+J4*'Costo productos'!$C$24</f>
        <v>234034.41682600381</v>
      </c>
      <c r="K24" s="218">
        <f>+K4*'Costo productos'!$C$24</f>
        <v>192734.22562141489</v>
      </c>
      <c r="L24" s="218">
        <f>+L4*'Costo productos'!$C$24</f>
        <v>192734.22562141489</v>
      </c>
      <c r="M24" s="218">
        <f>+M4*'Costo productos'!$C$24</f>
        <v>234034.41682600381</v>
      </c>
      <c r="N24" s="236">
        <f t="shared" si="2"/>
        <v>2285277.2466539191</v>
      </c>
      <c r="O24" s="263"/>
      <c r="P24" s="263"/>
    </row>
    <row r="25" spans="1:16">
      <c r="A25" s="237" t="str">
        <f>+A20</f>
        <v>Línea Ice Roll'S</v>
      </c>
      <c r="B25" s="218">
        <f>+B5*'Costo productos'!$AQ$24</f>
        <v>247801.14722753345</v>
      </c>
      <c r="C25" s="218">
        <f>+C5*'Costo productos'!$AQ$24</f>
        <v>165200.76481835562</v>
      </c>
      <c r="D25" s="218">
        <f>+D5*'Costo productos'!$AQ$24</f>
        <v>247801.14722753345</v>
      </c>
      <c r="E25" s="218">
        <f>+E5*'Costo productos'!$AQ$24</f>
        <v>247801.14722753345</v>
      </c>
      <c r="F25" s="218">
        <f>+F5*'Costo productos'!$AQ$24</f>
        <v>247801.14722753345</v>
      </c>
      <c r="G25" s="218">
        <f>+G5*'Costo productos'!$AQ$24</f>
        <v>247801.14722753345</v>
      </c>
      <c r="H25" s="218">
        <f>+H5*'Costo productos'!$AQ$24</f>
        <v>165200.76481835562</v>
      </c>
      <c r="I25" s="218">
        <f>+I5*'Costo productos'!$AQ$24</f>
        <v>247801.14722753345</v>
      </c>
      <c r="J25" s="218">
        <f>+J5*'Costo productos'!$AQ$24</f>
        <v>247801.14722753345</v>
      </c>
      <c r="K25" s="218">
        <f>+K5*'Costo productos'!$AQ$24</f>
        <v>247801.14722753345</v>
      </c>
      <c r="L25" s="218">
        <f>+L5*'Costo productos'!$AQ$24</f>
        <v>247801.14722753345</v>
      </c>
      <c r="M25" s="218">
        <f>+M5*'Costo productos'!$AQ$24</f>
        <v>247801.14722753345</v>
      </c>
      <c r="N25" s="236">
        <f t="shared" si="2"/>
        <v>2808413.0019120458</v>
      </c>
      <c r="O25" s="263"/>
      <c r="P25" s="263"/>
    </row>
    <row r="26" spans="1:16">
      <c r="A26" s="260" t="s">
        <v>550</v>
      </c>
      <c r="B26" s="261">
        <f>+SUM(B23:B25)</f>
        <v>660803.05927342246</v>
      </c>
      <c r="C26" s="261">
        <f t="shared" ref="C26:M26" si="6">+SUM(C23:C25)</f>
        <v>413001.91204588907</v>
      </c>
      <c r="D26" s="261">
        <f t="shared" si="6"/>
        <v>743403.44168260042</v>
      </c>
      <c r="E26" s="261">
        <f t="shared" si="6"/>
        <v>660803.05927342246</v>
      </c>
      <c r="F26" s="261">
        <f t="shared" si="6"/>
        <v>743403.44168260042</v>
      </c>
      <c r="G26" s="261">
        <f t="shared" si="6"/>
        <v>660803.05927342246</v>
      </c>
      <c r="H26" s="261">
        <f t="shared" si="6"/>
        <v>413001.91204588907</v>
      </c>
      <c r="I26" s="261">
        <f t="shared" si="6"/>
        <v>660803.05927342246</v>
      </c>
      <c r="J26" s="261">
        <f t="shared" si="6"/>
        <v>743403.44168260042</v>
      </c>
      <c r="K26" s="261">
        <f t="shared" si="6"/>
        <v>660803.05927342246</v>
      </c>
      <c r="L26" s="261">
        <f t="shared" si="6"/>
        <v>660803.05927342246</v>
      </c>
      <c r="M26" s="261">
        <f t="shared" si="6"/>
        <v>743403.44168260042</v>
      </c>
      <c r="N26" s="262">
        <f>IFERROR(SUM(B26:M26),Datos!B36)</f>
        <v>7764435.946462716</v>
      </c>
      <c r="O26" s="263">
        <f>+N26/'EF Proyecto'!$H$39</f>
        <v>0.15585583445586176</v>
      </c>
    </row>
    <row r="28" spans="1:16" ht="15" thickBot="1"/>
    <row r="29" spans="1:16" s="154" customFormat="1" ht="15" thickBot="1">
      <c r="A29" s="252" t="s">
        <v>337</v>
      </c>
      <c r="B29" s="252">
        <v>2022</v>
      </c>
      <c r="C29" s="252">
        <f t="shared" ref="C29:J29" si="7">+B29+1</f>
        <v>2023</v>
      </c>
      <c r="D29" s="252">
        <f t="shared" si="7"/>
        <v>2024</v>
      </c>
      <c r="E29" s="252">
        <f t="shared" si="7"/>
        <v>2025</v>
      </c>
      <c r="F29" s="252">
        <f t="shared" si="7"/>
        <v>2026</v>
      </c>
      <c r="G29" s="252">
        <f t="shared" si="7"/>
        <v>2027</v>
      </c>
      <c r="H29" s="252">
        <f t="shared" si="7"/>
        <v>2028</v>
      </c>
      <c r="I29" s="252">
        <f t="shared" si="7"/>
        <v>2029</v>
      </c>
      <c r="J29" s="252">
        <f t="shared" si="7"/>
        <v>2030</v>
      </c>
    </row>
    <row r="30" spans="1:16" s="154" customFormat="1">
      <c r="A30" s="237" t="str">
        <f>+'EF Proyecto'!B39</f>
        <v>Costos Variables (MP, Insumos de producción)</v>
      </c>
      <c r="B30" s="218">
        <v>0</v>
      </c>
      <c r="C30" s="218">
        <f>+'EF Proyecto'!H39</f>
        <v>49818064.069084287</v>
      </c>
      <c r="D30" s="218">
        <f>+'EF Proyecto'!I39</f>
        <v>56879257.390906438</v>
      </c>
      <c r="E30" s="218">
        <f>+'EF Proyecto'!J39</f>
        <v>60007616.7227441</v>
      </c>
      <c r="F30" s="218">
        <f>+'EF Proyecto'!K39</f>
        <v>63308035.642495021</v>
      </c>
      <c r="G30" s="218">
        <f>+'EF Proyecto'!L39</f>
        <v>95455856.141753986</v>
      </c>
      <c r="H30" s="218">
        <f>+'EF Proyecto'!M39</f>
        <v>99560457.955849394</v>
      </c>
      <c r="I30" s="218">
        <f>+'EF Proyecto'!N39</f>
        <v>103443315.81612751</v>
      </c>
      <c r="J30" s="218">
        <f>+'EF Proyecto'!O39</f>
        <v>108098265.02785324</v>
      </c>
    </row>
    <row r="31" spans="1:16" s="154" customFormat="1">
      <c r="A31" s="237" t="s">
        <v>614</v>
      </c>
      <c r="B31" s="218">
        <v>0</v>
      </c>
      <c r="C31" s="218">
        <f>IFERROR(C30*$O$21,0)</f>
        <v>42053628.122621574</v>
      </c>
      <c r="D31" s="218">
        <f t="shared" ref="D31:J31" si="8">IFERROR(D30*$O$21,0)</f>
        <v>48014293.267016977</v>
      </c>
      <c r="E31" s="218">
        <f t="shared" si="8"/>
        <v>50655079.544713296</v>
      </c>
      <c r="F31" s="218">
        <f t="shared" si="8"/>
        <v>53441108.919672526</v>
      </c>
      <c r="G31" s="218">
        <f t="shared" si="8"/>
        <v>80578504.029082224</v>
      </c>
      <c r="H31" s="218">
        <f t="shared" si="8"/>
        <v>84043379.70233275</v>
      </c>
      <c r="I31" s="218">
        <f t="shared" si="8"/>
        <v>87321071.510723725</v>
      </c>
      <c r="J31" s="218">
        <f t="shared" si="8"/>
        <v>91250519.72870627</v>
      </c>
    </row>
    <row r="32" spans="1:16">
      <c r="A32" s="237" t="s">
        <v>759</v>
      </c>
      <c r="B32" s="218"/>
      <c r="C32" s="218">
        <f>+C31*Datos!$B$45</f>
        <v>10513407.030655393</v>
      </c>
      <c r="D32" s="218">
        <f>+D31*Datos!$B$45</f>
        <v>12003573.316754244</v>
      </c>
      <c r="E32" s="218">
        <f>+E31*Datos!$B$45</f>
        <v>12663769.886178324</v>
      </c>
      <c r="F32" s="218">
        <f>+F31*Datos!$B$45</f>
        <v>13360277.229918132</v>
      </c>
      <c r="G32" s="218">
        <f>+G31*Datos!$B$45</f>
        <v>20144626.007270556</v>
      </c>
      <c r="H32" s="218">
        <f>+H31*Datos!$B$45</f>
        <v>21010844.925583187</v>
      </c>
      <c r="I32" s="218">
        <f>+I31*Datos!$B$45</f>
        <v>21830267.877680931</v>
      </c>
      <c r="J32" s="218">
        <f>+J31*Datos!$B$45</f>
        <v>22812629.932176568</v>
      </c>
      <c r="K32" s="150"/>
      <c r="L32" s="150"/>
    </row>
    <row r="33" spans="3:10">
      <c r="C33" s="712">
        <f>+C32</f>
        <v>10513407.030655393</v>
      </c>
      <c r="D33" s="713">
        <f>+D32-C32</f>
        <v>1490166.2860988509</v>
      </c>
      <c r="E33" s="713">
        <f t="shared" ref="E33:J33" si="9">+E32-D32</f>
        <v>660196.56942407973</v>
      </c>
      <c r="F33" s="713">
        <f t="shared" si="9"/>
        <v>696507.34373980761</v>
      </c>
      <c r="G33" s="713">
        <f t="shared" si="9"/>
        <v>6784348.7773524243</v>
      </c>
      <c r="H33" s="713">
        <f t="shared" si="9"/>
        <v>866218.91831263155</v>
      </c>
      <c r="I33" s="713">
        <f t="shared" si="9"/>
        <v>819422.95209774375</v>
      </c>
      <c r="J33" s="713">
        <f t="shared" si="9"/>
        <v>982362.05449563637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D59E-86F7-4D47-AAEC-BEF3E357874D}">
  <dimension ref="A1:AD44"/>
  <sheetViews>
    <sheetView zoomScale="70" zoomScaleNormal="70" workbookViewId="0"/>
  </sheetViews>
  <sheetFormatPr baseColWidth="10" defaultColWidth="11.453125" defaultRowHeight="14.5"/>
  <cols>
    <col min="1" max="1" width="25.453125" style="676" bestFit="1" customWidth="1"/>
    <col min="2" max="2" width="11.453125" style="265"/>
    <col min="3" max="3" width="12.26953125" style="265" customWidth="1"/>
    <col min="4" max="4" width="11.453125" style="265"/>
    <col min="5" max="5" width="19.1796875" style="265" bestFit="1" customWidth="1"/>
    <col min="6" max="9" width="11.453125" style="265"/>
    <col min="10" max="10" width="19.1796875" style="265" bestFit="1" customWidth="1"/>
    <col min="11" max="13" width="11.453125" style="265"/>
    <col min="14" max="14" width="11.81640625" style="265" bestFit="1" customWidth="1"/>
    <col min="15" max="15" width="19.1796875" style="265" bestFit="1" customWidth="1"/>
    <col min="16" max="19" width="11.453125" style="265"/>
    <col min="20" max="20" width="19.1796875" style="265" bestFit="1" customWidth="1"/>
    <col min="21" max="22" width="11.453125" style="265"/>
    <col min="23" max="23" width="11.81640625" style="265" bestFit="1" customWidth="1"/>
    <col min="24" max="24" width="11.453125" style="265"/>
    <col min="25" max="25" width="17.7265625" style="265" bestFit="1" customWidth="1"/>
    <col min="26" max="29" width="11.453125" style="265"/>
    <col min="30" max="30" width="19.1796875" style="265" bestFit="1" customWidth="1"/>
    <col min="31" max="16384" width="11.453125" style="265"/>
  </cols>
  <sheetData>
    <row r="1" spans="1:30">
      <c r="A1" s="676">
        <v>1</v>
      </c>
      <c r="B1" s="265">
        <f>+A1+1</f>
        <v>2</v>
      </c>
      <c r="C1" s="265">
        <f t="shared" ref="C1:AD1" si="0">+B1+1</f>
        <v>3</v>
      </c>
      <c r="D1" s="265">
        <f t="shared" si="0"/>
        <v>4</v>
      </c>
      <c r="E1" s="265">
        <f t="shared" si="0"/>
        <v>5</v>
      </c>
      <c r="F1" s="265">
        <f t="shared" si="0"/>
        <v>6</v>
      </c>
      <c r="G1" s="265">
        <f t="shared" si="0"/>
        <v>7</v>
      </c>
      <c r="H1" s="265">
        <f t="shared" si="0"/>
        <v>8</v>
      </c>
      <c r="I1" s="265">
        <f t="shared" si="0"/>
        <v>9</v>
      </c>
      <c r="J1" s="265">
        <f t="shared" si="0"/>
        <v>10</v>
      </c>
      <c r="K1" s="265">
        <f t="shared" si="0"/>
        <v>11</v>
      </c>
      <c r="L1" s="265">
        <f t="shared" si="0"/>
        <v>12</v>
      </c>
      <c r="M1" s="265">
        <f t="shared" si="0"/>
        <v>13</v>
      </c>
      <c r="N1" s="265">
        <f t="shared" si="0"/>
        <v>14</v>
      </c>
      <c r="O1" s="265">
        <f t="shared" si="0"/>
        <v>15</v>
      </c>
      <c r="P1" s="265">
        <f t="shared" si="0"/>
        <v>16</v>
      </c>
      <c r="Q1" s="265">
        <f t="shared" si="0"/>
        <v>17</v>
      </c>
      <c r="R1" s="265">
        <f t="shared" si="0"/>
        <v>18</v>
      </c>
      <c r="S1" s="265">
        <f t="shared" si="0"/>
        <v>19</v>
      </c>
      <c r="T1" s="265">
        <f t="shared" si="0"/>
        <v>20</v>
      </c>
      <c r="U1" s="265">
        <f t="shared" si="0"/>
        <v>21</v>
      </c>
      <c r="V1" s="265">
        <f t="shared" si="0"/>
        <v>22</v>
      </c>
      <c r="W1" s="265">
        <f t="shared" si="0"/>
        <v>23</v>
      </c>
      <c r="X1" s="265">
        <f t="shared" si="0"/>
        <v>24</v>
      </c>
      <c r="Y1" s="265">
        <f t="shared" si="0"/>
        <v>25</v>
      </c>
      <c r="Z1" s="265">
        <f t="shared" si="0"/>
        <v>26</v>
      </c>
      <c r="AA1" s="265">
        <f t="shared" si="0"/>
        <v>27</v>
      </c>
      <c r="AB1" s="265">
        <f t="shared" si="0"/>
        <v>28</v>
      </c>
      <c r="AC1" s="265">
        <f t="shared" si="0"/>
        <v>29</v>
      </c>
      <c r="AD1" s="265">
        <f t="shared" si="0"/>
        <v>30</v>
      </c>
    </row>
    <row r="2" spans="1:30">
      <c r="A2" s="676">
        <v>115</v>
      </c>
      <c r="B2" s="726" t="s">
        <v>546</v>
      </c>
      <c r="C2" s="727"/>
      <c r="D2" s="727"/>
      <c r="E2" s="714" t="s">
        <v>760</v>
      </c>
      <c r="G2" s="726" t="s">
        <v>547</v>
      </c>
      <c r="H2" s="727"/>
      <c r="I2" s="727"/>
      <c r="J2" s="714" t="s">
        <v>760</v>
      </c>
      <c r="L2" s="726" t="s">
        <v>548</v>
      </c>
      <c r="M2" s="727"/>
      <c r="N2" s="727"/>
      <c r="O2" s="714" t="s">
        <v>760</v>
      </c>
      <c r="Q2" s="726" t="s">
        <v>745</v>
      </c>
      <c r="R2" s="727"/>
      <c r="S2" s="728"/>
      <c r="T2" s="714" t="s">
        <v>760</v>
      </c>
      <c r="V2" s="714" t="s">
        <v>746</v>
      </c>
      <c r="W2" s="714"/>
      <c r="X2" s="714"/>
      <c r="Y2" s="714" t="s">
        <v>760</v>
      </c>
      <c r="AA2" s="714" t="s">
        <v>747</v>
      </c>
      <c r="AB2" s="714"/>
      <c r="AC2" s="714"/>
      <c r="AD2" s="714" t="s">
        <v>760</v>
      </c>
    </row>
    <row r="3" spans="1:30">
      <c r="A3" s="715" t="s">
        <v>622</v>
      </c>
      <c r="B3" s="711"/>
      <c r="C3" s="276">
        <v>0.20869565217391303</v>
      </c>
      <c r="D3" s="711">
        <v>24</v>
      </c>
      <c r="E3" s="674">
        <v>720</v>
      </c>
      <c r="G3" s="711"/>
      <c r="H3" s="276">
        <v>0.18260869565217391</v>
      </c>
      <c r="I3" s="711">
        <v>21</v>
      </c>
      <c r="J3" s="674">
        <v>630</v>
      </c>
      <c r="L3" s="711"/>
      <c r="M3" s="276">
        <v>0.22608695652173913</v>
      </c>
      <c r="N3" s="711">
        <v>26</v>
      </c>
      <c r="O3" s="674">
        <v>780</v>
      </c>
      <c r="Q3" s="711"/>
      <c r="R3" s="276">
        <v>0.13043478260869565</v>
      </c>
      <c r="S3" s="711">
        <v>15</v>
      </c>
      <c r="T3" s="674">
        <v>450</v>
      </c>
      <c r="V3" s="711"/>
      <c r="W3" s="276">
        <v>0.11304347826086956</v>
      </c>
      <c r="X3" s="711">
        <v>13</v>
      </c>
      <c r="Y3" s="674">
        <v>390</v>
      </c>
      <c r="AA3" s="711"/>
      <c r="AB3" s="276">
        <v>0.1391304347826087</v>
      </c>
      <c r="AC3" s="711">
        <v>16</v>
      </c>
      <c r="AD3" s="674">
        <v>480</v>
      </c>
    </row>
    <row r="4" spans="1:30">
      <c r="A4" s="715" t="s">
        <v>735</v>
      </c>
      <c r="B4" s="711">
        <v>4</v>
      </c>
      <c r="C4" s="711">
        <v>8</v>
      </c>
      <c r="D4" s="711">
        <v>7</v>
      </c>
      <c r="E4" s="674">
        <v>210</v>
      </c>
      <c r="G4" s="711">
        <v>3</v>
      </c>
      <c r="H4" s="711">
        <v>7</v>
      </c>
      <c r="I4" s="711">
        <v>7</v>
      </c>
      <c r="J4" s="674">
        <v>210</v>
      </c>
      <c r="L4" s="711">
        <v>6</v>
      </c>
      <c r="M4" s="711">
        <v>10</v>
      </c>
      <c r="N4" s="711">
        <v>10</v>
      </c>
      <c r="O4" s="674">
        <v>300</v>
      </c>
      <c r="Q4" s="711">
        <v>2</v>
      </c>
      <c r="R4" s="711">
        <v>6</v>
      </c>
      <c r="S4" s="711">
        <v>6</v>
      </c>
      <c r="T4" s="674">
        <v>180</v>
      </c>
      <c r="V4" s="711">
        <v>3</v>
      </c>
      <c r="W4" s="711">
        <v>7</v>
      </c>
      <c r="X4" s="711">
        <v>3</v>
      </c>
      <c r="Y4" s="674">
        <v>90</v>
      </c>
      <c r="AA4" s="711">
        <v>2</v>
      </c>
      <c r="AB4" s="711">
        <v>6</v>
      </c>
      <c r="AC4" s="711">
        <v>6</v>
      </c>
      <c r="AD4" s="674">
        <v>180</v>
      </c>
    </row>
    <row r="5" spans="1:30">
      <c r="A5" s="715" t="s">
        <v>618</v>
      </c>
      <c r="B5" s="711">
        <v>8</v>
      </c>
      <c r="C5" s="711">
        <v>12</v>
      </c>
      <c r="D5" s="711">
        <v>11</v>
      </c>
      <c r="E5" s="674">
        <v>330</v>
      </c>
      <c r="G5" s="711">
        <v>7</v>
      </c>
      <c r="H5" s="711">
        <v>11</v>
      </c>
      <c r="I5" s="711">
        <v>7</v>
      </c>
      <c r="J5" s="674">
        <v>210</v>
      </c>
      <c r="L5" s="711">
        <v>10</v>
      </c>
      <c r="M5" s="711">
        <v>14</v>
      </c>
      <c r="N5" s="711">
        <v>12</v>
      </c>
      <c r="O5" s="674">
        <v>360</v>
      </c>
      <c r="Q5" s="711">
        <v>6</v>
      </c>
      <c r="R5" s="711">
        <v>10</v>
      </c>
      <c r="S5" s="711">
        <v>10</v>
      </c>
      <c r="T5" s="674">
        <v>300</v>
      </c>
      <c r="V5" s="711">
        <v>7</v>
      </c>
      <c r="W5" s="711">
        <v>11</v>
      </c>
      <c r="X5" s="711">
        <v>11</v>
      </c>
      <c r="Y5" s="674">
        <v>330</v>
      </c>
      <c r="AA5" s="711">
        <v>6</v>
      </c>
      <c r="AB5" s="711">
        <v>10</v>
      </c>
      <c r="AC5" s="711">
        <v>8</v>
      </c>
      <c r="AD5" s="674">
        <v>240</v>
      </c>
    </row>
    <row r="6" spans="1:30">
      <c r="A6" s="715" t="s">
        <v>617</v>
      </c>
      <c r="B6" s="711">
        <v>12</v>
      </c>
      <c r="C6" s="711">
        <v>16</v>
      </c>
      <c r="D6" s="711">
        <v>16</v>
      </c>
      <c r="E6" s="674">
        <v>480</v>
      </c>
      <c r="G6" s="711">
        <v>11</v>
      </c>
      <c r="H6" s="711">
        <v>15</v>
      </c>
      <c r="I6" s="711">
        <v>14</v>
      </c>
      <c r="J6" s="674">
        <v>420</v>
      </c>
      <c r="L6" s="711">
        <v>14</v>
      </c>
      <c r="M6" s="711">
        <v>18</v>
      </c>
      <c r="N6" s="711">
        <v>18</v>
      </c>
      <c r="O6" s="674">
        <v>540</v>
      </c>
      <c r="Q6" s="711">
        <v>10</v>
      </c>
      <c r="R6" s="711">
        <v>14</v>
      </c>
      <c r="S6" s="711">
        <v>14</v>
      </c>
      <c r="T6" s="674">
        <v>420</v>
      </c>
      <c r="V6" s="711">
        <v>11</v>
      </c>
      <c r="W6" s="711">
        <v>15</v>
      </c>
      <c r="X6" s="711">
        <v>12</v>
      </c>
      <c r="Y6" s="674">
        <v>360</v>
      </c>
      <c r="AA6" s="711">
        <v>10</v>
      </c>
      <c r="AB6" s="711">
        <v>14</v>
      </c>
      <c r="AC6" s="711">
        <v>10</v>
      </c>
      <c r="AD6" s="674">
        <v>300</v>
      </c>
    </row>
    <row r="7" spans="1:30">
      <c r="A7" s="715" t="s">
        <v>616</v>
      </c>
      <c r="B7" s="711">
        <v>16</v>
      </c>
      <c r="C7" s="711">
        <v>20</v>
      </c>
      <c r="D7" s="711">
        <v>19</v>
      </c>
      <c r="E7" s="674">
        <v>570</v>
      </c>
      <c r="G7" s="711">
        <v>15</v>
      </c>
      <c r="H7" s="711">
        <v>19</v>
      </c>
      <c r="I7" s="711">
        <v>17</v>
      </c>
      <c r="J7" s="674">
        <v>510</v>
      </c>
      <c r="L7" s="711">
        <v>18</v>
      </c>
      <c r="M7" s="711">
        <v>22</v>
      </c>
      <c r="N7" s="711">
        <v>18</v>
      </c>
      <c r="O7" s="674">
        <v>540</v>
      </c>
      <c r="Q7" s="711">
        <v>14</v>
      </c>
      <c r="R7" s="711">
        <v>18</v>
      </c>
      <c r="S7" s="711">
        <v>17</v>
      </c>
      <c r="T7" s="674">
        <v>510</v>
      </c>
      <c r="V7" s="711">
        <v>15</v>
      </c>
      <c r="W7" s="711">
        <v>19</v>
      </c>
      <c r="X7" s="711">
        <v>19</v>
      </c>
      <c r="Y7" s="674">
        <v>570</v>
      </c>
      <c r="AA7" s="711">
        <v>14</v>
      </c>
      <c r="AB7" s="711">
        <v>18</v>
      </c>
      <c r="AC7" s="711">
        <v>16</v>
      </c>
      <c r="AD7" s="674">
        <v>480</v>
      </c>
    </row>
    <row r="9" spans="1:30">
      <c r="B9" s="720" t="s">
        <v>617</v>
      </c>
      <c r="C9" s="720" t="s">
        <v>618</v>
      </c>
      <c r="D9" s="720" t="s">
        <v>616</v>
      </c>
      <c r="E9" s="720" t="s">
        <v>617</v>
      </c>
      <c r="F9" s="720" t="s">
        <v>616</v>
      </c>
      <c r="G9" s="720" t="s">
        <v>617</v>
      </c>
      <c r="H9" s="720" t="s">
        <v>618</v>
      </c>
      <c r="I9" s="720" t="s">
        <v>617</v>
      </c>
      <c r="J9" s="720" t="s">
        <v>616</v>
      </c>
      <c r="K9" s="720" t="s">
        <v>617</v>
      </c>
      <c r="L9" s="720" t="s">
        <v>617</v>
      </c>
      <c r="M9" s="720" t="s">
        <v>616</v>
      </c>
    </row>
    <row r="10" spans="1:30">
      <c r="A10" s="677" t="s">
        <v>619</v>
      </c>
      <c r="B10" s="716" t="s">
        <v>355</v>
      </c>
      <c r="C10" s="716" t="s">
        <v>356</v>
      </c>
      <c r="D10" s="716" t="s">
        <v>357</v>
      </c>
      <c r="E10" s="716" t="s">
        <v>358</v>
      </c>
      <c r="F10" s="716" t="s">
        <v>359</v>
      </c>
      <c r="G10" s="716" t="s">
        <v>360</v>
      </c>
      <c r="H10" s="716" t="s">
        <v>364</v>
      </c>
      <c r="I10" s="716" t="s">
        <v>365</v>
      </c>
      <c r="J10" s="716" t="s">
        <v>366</v>
      </c>
      <c r="K10" s="716" t="s">
        <v>361</v>
      </c>
      <c r="L10" s="716" t="s">
        <v>362</v>
      </c>
      <c r="M10" s="716" t="s">
        <v>363</v>
      </c>
      <c r="N10" s="716" t="s">
        <v>545</v>
      </c>
    </row>
    <row r="11" spans="1:30">
      <c r="A11" s="717" t="s">
        <v>546</v>
      </c>
      <c r="B11" s="711">
        <f>+VLOOKUP(B9,$A$4:$O$7,5,0)</f>
        <v>480</v>
      </c>
      <c r="C11" s="711">
        <f t="shared" ref="C11:M11" si="1">+VLOOKUP(C9,$A$4:$O$7,5,0)</f>
        <v>330</v>
      </c>
      <c r="D11" s="711">
        <f t="shared" si="1"/>
        <v>570</v>
      </c>
      <c r="E11" s="711">
        <f t="shared" si="1"/>
        <v>480</v>
      </c>
      <c r="F11" s="711">
        <f t="shared" si="1"/>
        <v>570</v>
      </c>
      <c r="G11" s="711">
        <f t="shared" si="1"/>
        <v>480</v>
      </c>
      <c r="H11" s="711">
        <f t="shared" si="1"/>
        <v>330</v>
      </c>
      <c r="I11" s="711">
        <f t="shared" si="1"/>
        <v>480</v>
      </c>
      <c r="J11" s="711">
        <f t="shared" si="1"/>
        <v>570</v>
      </c>
      <c r="K11" s="711">
        <f t="shared" si="1"/>
        <v>480</v>
      </c>
      <c r="L11" s="711">
        <f t="shared" si="1"/>
        <v>480</v>
      </c>
      <c r="M11" s="711">
        <f t="shared" si="1"/>
        <v>570</v>
      </c>
      <c r="N11" s="711">
        <f>+SUM(B11:M11)</f>
        <v>5820</v>
      </c>
      <c r="O11" s="675">
        <v>0.21</v>
      </c>
    </row>
    <row r="12" spans="1:30">
      <c r="A12" s="717" t="s">
        <v>547</v>
      </c>
      <c r="B12" s="711">
        <f>+VLOOKUP(B9,$A$4:$O$7,10,0)</f>
        <v>420</v>
      </c>
      <c r="C12" s="711">
        <f t="shared" ref="C12:M12" si="2">+VLOOKUP(C9,$A$4:$O$7,10,0)</f>
        <v>210</v>
      </c>
      <c r="D12" s="711">
        <f t="shared" si="2"/>
        <v>510</v>
      </c>
      <c r="E12" s="711">
        <f t="shared" si="2"/>
        <v>420</v>
      </c>
      <c r="F12" s="711">
        <f t="shared" si="2"/>
        <v>510</v>
      </c>
      <c r="G12" s="711">
        <f t="shared" si="2"/>
        <v>420</v>
      </c>
      <c r="H12" s="711">
        <f t="shared" si="2"/>
        <v>210</v>
      </c>
      <c r="I12" s="711">
        <f t="shared" si="2"/>
        <v>420</v>
      </c>
      <c r="J12" s="711">
        <f t="shared" si="2"/>
        <v>510</v>
      </c>
      <c r="K12" s="711">
        <f t="shared" si="2"/>
        <v>420</v>
      </c>
      <c r="L12" s="711">
        <f t="shared" si="2"/>
        <v>420</v>
      </c>
      <c r="M12" s="711">
        <f t="shared" si="2"/>
        <v>510</v>
      </c>
      <c r="N12" s="711">
        <f>+SUM(B12:M12)</f>
        <v>4980</v>
      </c>
      <c r="O12" s="675">
        <v>0.18</v>
      </c>
    </row>
    <row r="13" spans="1:30">
      <c r="A13" s="717" t="s">
        <v>548</v>
      </c>
      <c r="B13" s="711">
        <f>+VLOOKUP(B9,$A$4:$O$7,15,0)</f>
        <v>540</v>
      </c>
      <c r="C13" s="711">
        <f t="shared" ref="C13:M13" si="3">+VLOOKUP(C9,$A$4:$O$7,15,0)</f>
        <v>360</v>
      </c>
      <c r="D13" s="711">
        <f t="shared" si="3"/>
        <v>540</v>
      </c>
      <c r="E13" s="711">
        <f t="shared" si="3"/>
        <v>540</v>
      </c>
      <c r="F13" s="711">
        <f t="shared" si="3"/>
        <v>540</v>
      </c>
      <c r="G13" s="711">
        <f t="shared" si="3"/>
        <v>540</v>
      </c>
      <c r="H13" s="711">
        <f t="shared" si="3"/>
        <v>360</v>
      </c>
      <c r="I13" s="711">
        <f t="shared" si="3"/>
        <v>540</v>
      </c>
      <c r="J13" s="711">
        <f t="shared" si="3"/>
        <v>540</v>
      </c>
      <c r="K13" s="711">
        <f t="shared" si="3"/>
        <v>540</v>
      </c>
      <c r="L13" s="711">
        <f t="shared" si="3"/>
        <v>540</v>
      </c>
      <c r="M13" s="711">
        <f t="shared" si="3"/>
        <v>540</v>
      </c>
      <c r="N13" s="711">
        <f>+SUM(B13:M13)</f>
        <v>6120</v>
      </c>
      <c r="O13" s="675">
        <v>0.23</v>
      </c>
    </row>
    <row r="14" spans="1:30">
      <c r="A14" s="717" t="s">
        <v>745</v>
      </c>
      <c r="B14" s="711">
        <f>+VLOOKUP(B9,$A$4:$AD$7,20,0)</f>
        <v>420</v>
      </c>
      <c r="C14" s="711">
        <f t="shared" ref="C14:M14" si="4">+VLOOKUP(C9,$A$4:$AD$7,20,0)</f>
        <v>300</v>
      </c>
      <c r="D14" s="711">
        <f t="shared" si="4"/>
        <v>510</v>
      </c>
      <c r="E14" s="711">
        <f t="shared" si="4"/>
        <v>420</v>
      </c>
      <c r="F14" s="711">
        <f t="shared" si="4"/>
        <v>510</v>
      </c>
      <c r="G14" s="711">
        <f t="shared" si="4"/>
        <v>420</v>
      </c>
      <c r="H14" s="711">
        <f t="shared" si="4"/>
        <v>300</v>
      </c>
      <c r="I14" s="711">
        <f t="shared" si="4"/>
        <v>420</v>
      </c>
      <c r="J14" s="711">
        <f t="shared" si="4"/>
        <v>510</v>
      </c>
      <c r="K14" s="711">
        <f t="shared" si="4"/>
        <v>420</v>
      </c>
      <c r="L14" s="711">
        <f t="shared" si="4"/>
        <v>420</v>
      </c>
      <c r="M14" s="711">
        <f t="shared" si="4"/>
        <v>510</v>
      </c>
      <c r="N14" s="711">
        <f t="shared" ref="N14:N16" si="5">+SUM(B14:M14)</f>
        <v>5160</v>
      </c>
      <c r="O14" s="675">
        <v>0.13</v>
      </c>
    </row>
    <row r="15" spans="1:30">
      <c r="A15" s="717" t="s">
        <v>746</v>
      </c>
      <c r="B15" s="711">
        <f>+VLOOKUP(B9,$A$4:$AD$7,25,0)</f>
        <v>360</v>
      </c>
      <c r="C15" s="711">
        <f t="shared" ref="C15:M15" si="6">+VLOOKUP(C9,$A$4:$AD$7,25,0)</f>
        <v>330</v>
      </c>
      <c r="D15" s="711">
        <f t="shared" si="6"/>
        <v>570</v>
      </c>
      <c r="E15" s="711">
        <f t="shared" si="6"/>
        <v>360</v>
      </c>
      <c r="F15" s="711">
        <f t="shared" si="6"/>
        <v>570</v>
      </c>
      <c r="G15" s="711">
        <f t="shared" si="6"/>
        <v>360</v>
      </c>
      <c r="H15" s="711">
        <f t="shared" si="6"/>
        <v>330</v>
      </c>
      <c r="I15" s="711">
        <f t="shared" si="6"/>
        <v>360</v>
      </c>
      <c r="J15" s="711">
        <f t="shared" si="6"/>
        <v>570</v>
      </c>
      <c r="K15" s="711">
        <f t="shared" si="6"/>
        <v>360</v>
      </c>
      <c r="L15" s="711">
        <f t="shared" si="6"/>
        <v>360</v>
      </c>
      <c r="M15" s="711">
        <f t="shared" si="6"/>
        <v>570</v>
      </c>
      <c r="N15" s="711">
        <f t="shared" si="5"/>
        <v>5100</v>
      </c>
      <c r="O15" s="675">
        <v>0.11</v>
      </c>
    </row>
    <row r="16" spans="1:30">
      <c r="A16" s="717" t="s">
        <v>747</v>
      </c>
      <c r="B16" s="711">
        <f>+VLOOKUP(B9,$A$4:$AD$7,30,0)</f>
        <v>300</v>
      </c>
      <c r="C16" s="711">
        <f t="shared" ref="C16:M16" si="7">+VLOOKUP(C9,$A$4:$AD$7,30,0)</f>
        <v>240</v>
      </c>
      <c r="D16" s="711">
        <f t="shared" si="7"/>
        <v>480</v>
      </c>
      <c r="E16" s="711">
        <f t="shared" si="7"/>
        <v>300</v>
      </c>
      <c r="F16" s="711">
        <f t="shared" si="7"/>
        <v>480</v>
      </c>
      <c r="G16" s="711">
        <f t="shared" si="7"/>
        <v>300</v>
      </c>
      <c r="H16" s="711">
        <f t="shared" si="7"/>
        <v>240</v>
      </c>
      <c r="I16" s="711">
        <f t="shared" si="7"/>
        <v>300</v>
      </c>
      <c r="J16" s="711">
        <f t="shared" si="7"/>
        <v>480</v>
      </c>
      <c r="K16" s="711">
        <f t="shared" si="7"/>
        <v>300</v>
      </c>
      <c r="L16" s="711">
        <f t="shared" si="7"/>
        <v>300</v>
      </c>
      <c r="M16" s="711">
        <f t="shared" si="7"/>
        <v>480</v>
      </c>
      <c r="N16" s="711">
        <f t="shared" si="5"/>
        <v>4200</v>
      </c>
      <c r="O16" s="675">
        <v>0.14000000000000001</v>
      </c>
    </row>
    <row r="17" spans="1:15">
      <c r="N17" s="719">
        <f>+SUM(N11:N16)</f>
        <v>31380</v>
      </c>
      <c r="O17" s="721">
        <f>+SUM(O11:O16)</f>
        <v>1</v>
      </c>
    </row>
    <row r="18" spans="1:15" ht="15" thickBot="1">
      <c r="B18" s="720" t="s">
        <v>735</v>
      </c>
      <c r="C18" s="720" t="s">
        <v>618</v>
      </c>
      <c r="D18" s="720" t="s">
        <v>617</v>
      </c>
      <c r="E18" s="720" t="s">
        <v>618</v>
      </c>
      <c r="F18" s="720" t="s">
        <v>617</v>
      </c>
      <c r="G18" s="720" t="s">
        <v>618</v>
      </c>
      <c r="H18" s="720" t="s">
        <v>735</v>
      </c>
      <c r="I18" s="720" t="s">
        <v>735</v>
      </c>
      <c r="J18" s="720" t="s">
        <v>616</v>
      </c>
      <c r="K18" s="720" t="s">
        <v>617</v>
      </c>
      <c r="L18" s="720" t="s">
        <v>618</v>
      </c>
      <c r="M18" s="720" t="s">
        <v>616</v>
      </c>
    </row>
    <row r="19" spans="1:15">
      <c r="A19" s="718" t="s">
        <v>620</v>
      </c>
      <c r="B19" s="255" t="s">
        <v>355</v>
      </c>
      <c r="C19" s="255" t="s">
        <v>356</v>
      </c>
      <c r="D19" s="255" t="s">
        <v>357</v>
      </c>
      <c r="E19" s="255" t="s">
        <v>358</v>
      </c>
      <c r="F19" s="255" t="s">
        <v>359</v>
      </c>
      <c r="G19" s="255" t="s">
        <v>360</v>
      </c>
      <c r="H19" s="255" t="s">
        <v>364</v>
      </c>
      <c r="I19" s="255" t="s">
        <v>365</v>
      </c>
      <c r="J19" s="255" t="s">
        <v>366</v>
      </c>
      <c r="K19" s="255" t="s">
        <v>361</v>
      </c>
      <c r="L19" s="255" t="s">
        <v>362</v>
      </c>
      <c r="M19" s="255" t="s">
        <v>363</v>
      </c>
      <c r="N19" s="255" t="s">
        <v>545</v>
      </c>
    </row>
    <row r="20" spans="1:15">
      <c r="A20" s="717" t="s">
        <v>546</v>
      </c>
      <c r="B20" s="711">
        <f>+VLOOKUP(B18,$A$4:$O$7,5,0)</f>
        <v>210</v>
      </c>
      <c r="C20" s="711">
        <f t="shared" ref="C20:M20" si="8">+VLOOKUP(C18,$A$4:$O$7,5,0)</f>
        <v>330</v>
      </c>
      <c r="D20" s="711">
        <f t="shared" si="8"/>
        <v>480</v>
      </c>
      <c r="E20" s="711">
        <f t="shared" si="8"/>
        <v>330</v>
      </c>
      <c r="F20" s="711">
        <f t="shared" si="8"/>
        <v>480</v>
      </c>
      <c r="G20" s="711">
        <f t="shared" si="8"/>
        <v>330</v>
      </c>
      <c r="H20" s="711">
        <f t="shared" si="8"/>
        <v>210</v>
      </c>
      <c r="I20" s="711">
        <f t="shared" si="8"/>
        <v>210</v>
      </c>
      <c r="J20" s="711">
        <f t="shared" si="8"/>
        <v>570</v>
      </c>
      <c r="K20" s="711">
        <f t="shared" si="8"/>
        <v>480</v>
      </c>
      <c r="L20" s="711">
        <f t="shared" si="8"/>
        <v>330</v>
      </c>
      <c r="M20" s="711">
        <f t="shared" si="8"/>
        <v>570</v>
      </c>
      <c r="N20" s="711">
        <f>+SUM(B20:M20)</f>
        <v>4530</v>
      </c>
    </row>
    <row r="21" spans="1:15">
      <c r="A21" s="717" t="s">
        <v>547</v>
      </c>
      <c r="B21" s="711">
        <f>+VLOOKUP(B18,$A$4:$O$7,10,0)</f>
        <v>210</v>
      </c>
      <c r="C21" s="711">
        <f t="shared" ref="C21:M21" si="9">+VLOOKUP(C18,$A$4:$O$7,10,0)</f>
        <v>210</v>
      </c>
      <c r="D21" s="711">
        <f t="shared" si="9"/>
        <v>420</v>
      </c>
      <c r="E21" s="711">
        <f t="shared" si="9"/>
        <v>210</v>
      </c>
      <c r="F21" s="711">
        <f t="shared" si="9"/>
        <v>420</v>
      </c>
      <c r="G21" s="711">
        <f t="shared" si="9"/>
        <v>210</v>
      </c>
      <c r="H21" s="711">
        <f t="shared" si="9"/>
        <v>210</v>
      </c>
      <c r="I21" s="711">
        <f t="shared" si="9"/>
        <v>210</v>
      </c>
      <c r="J21" s="711">
        <f t="shared" si="9"/>
        <v>510</v>
      </c>
      <c r="K21" s="711">
        <f t="shared" si="9"/>
        <v>420</v>
      </c>
      <c r="L21" s="711">
        <f t="shared" si="9"/>
        <v>210</v>
      </c>
      <c r="M21" s="711">
        <f t="shared" si="9"/>
        <v>510</v>
      </c>
      <c r="N21" s="711">
        <f>+SUM(B21:M21)</f>
        <v>3750</v>
      </c>
    </row>
    <row r="22" spans="1:15">
      <c r="A22" s="717" t="s">
        <v>548</v>
      </c>
      <c r="B22" s="711">
        <f>+VLOOKUP(B18,$A$4:$O$7,15,0)</f>
        <v>300</v>
      </c>
      <c r="C22" s="711">
        <f t="shared" ref="C22:M22" si="10">+VLOOKUP(C18,$A$4:$O$7,15,0)</f>
        <v>360</v>
      </c>
      <c r="D22" s="711">
        <f t="shared" si="10"/>
        <v>540</v>
      </c>
      <c r="E22" s="711">
        <f t="shared" si="10"/>
        <v>360</v>
      </c>
      <c r="F22" s="711">
        <f t="shared" si="10"/>
        <v>540</v>
      </c>
      <c r="G22" s="711">
        <f t="shared" si="10"/>
        <v>360</v>
      </c>
      <c r="H22" s="711">
        <f t="shared" si="10"/>
        <v>300</v>
      </c>
      <c r="I22" s="711">
        <f t="shared" si="10"/>
        <v>300</v>
      </c>
      <c r="J22" s="711">
        <f t="shared" si="10"/>
        <v>540</v>
      </c>
      <c r="K22" s="711">
        <f t="shared" si="10"/>
        <v>540</v>
      </c>
      <c r="L22" s="711">
        <f t="shared" si="10"/>
        <v>360</v>
      </c>
      <c r="M22" s="711">
        <f t="shared" si="10"/>
        <v>540</v>
      </c>
      <c r="N22" s="711">
        <f>+SUM(B22:M22)</f>
        <v>5040</v>
      </c>
    </row>
    <row r="23" spans="1:15">
      <c r="A23" s="717" t="s">
        <v>745</v>
      </c>
      <c r="B23" s="711">
        <f>+VLOOKUP(B18,$A$4:$AD$7,20,0)</f>
        <v>180</v>
      </c>
      <c r="C23" s="711">
        <f t="shared" ref="C23:M23" si="11">+VLOOKUP(C18,$A$4:$AD$7,20,0)</f>
        <v>300</v>
      </c>
      <c r="D23" s="711">
        <f t="shared" si="11"/>
        <v>420</v>
      </c>
      <c r="E23" s="711">
        <f t="shared" si="11"/>
        <v>300</v>
      </c>
      <c r="F23" s="711">
        <f t="shared" si="11"/>
        <v>420</v>
      </c>
      <c r="G23" s="711">
        <f t="shared" si="11"/>
        <v>300</v>
      </c>
      <c r="H23" s="711">
        <f t="shared" si="11"/>
        <v>180</v>
      </c>
      <c r="I23" s="711">
        <f t="shared" si="11"/>
        <v>180</v>
      </c>
      <c r="J23" s="711">
        <f t="shared" si="11"/>
        <v>510</v>
      </c>
      <c r="K23" s="711">
        <f t="shared" si="11"/>
        <v>420</v>
      </c>
      <c r="L23" s="711">
        <f t="shared" si="11"/>
        <v>300</v>
      </c>
      <c r="M23" s="711">
        <f t="shared" si="11"/>
        <v>510</v>
      </c>
      <c r="N23" s="711">
        <f t="shared" ref="N23:N25" si="12">+SUM(B23:M23)</f>
        <v>4020</v>
      </c>
      <c r="O23" s="675">
        <v>0.13</v>
      </c>
    </row>
    <row r="24" spans="1:15">
      <c r="A24" s="717" t="s">
        <v>746</v>
      </c>
      <c r="B24" s="711">
        <f>+VLOOKUP(B18,$A$4:$AD$7,25,0)</f>
        <v>90</v>
      </c>
      <c r="C24" s="711">
        <f t="shared" ref="C24:M24" si="13">+VLOOKUP(C18,$A$4:$AD$7,25,0)</f>
        <v>330</v>
      </c>
      <c r="D24" s="711">
        <f t="shared" si="13"/>
        <v>360</v>
      </c>
      <c r="E24" s="711">
        <f t="shared" si="13"/>
        <v>330</v>
      </c>
      <c r="F24" s="711">
        <f t="shared" si="13"/>
        <v>360</v>
      </c>
      <c r="G24" s="711">
        <f t="shared" si="13"/>
        <v>330</v>
      </c>
      <c r="H24" s="711">
        <f t="shared" si="13"/>
        <v>90</v>
      </c>
      <c r="I24" s="711">
        <f t="shared" si="13"/>
        <v>90</v>
      </c>
      <c r="J24" s="711">
        <f t="shared" si="13"/>
        <v>570</v>
      </c>
      <c r="K24" s="711">
        <f t="shared" si="13"/>
        <v>360</v>
      </c>
      <c r="L24" s="711">
        <f t="shared" si="13"/>
        <v>330</v>
      </c>
      <c r="M24" s="711">
        <f t="shared" si="13"/>
        <v>570</v>
      </c>
      <c r="N24" s="711">
        <f t="shared" si="12"/>
        <v>3810</v>
      </c>
      <c r="O24" s="675">
        <v>0.11</v>
      </c>
    </row>
    <row r="25" spans="1:15">
      <c r="A25" s="717" t="s">
        <v>747</v>
      </c>
      <c r="B25" s="711">
        <f>+VLOOKUP(B18,$A$4:$AD$7,30,0)</f>
        <v>180</v>
      </c>
      <c r="C25" s="711">
        <f t="shared" ref="C25:M25" si="14">+VLOOKUP(C18,$A$4:$AD$7,30,0)</f>
        <v>240</v>
      </c>
      <c r="D25" s="711">
        <f t="shared" si="14"/>
        <v>300</v>
      </c>
      <c r="E25" s="711">
        <f t="shared" si="14"/>
        <v>240</v>
      </c>
      <c r="F25" s="711">
        <f t="shared" si="14"/>
        <v>300</v>
      </c>
      <c r="G25" s="711">
        <f t="shared" si="14"/>
        <v>240</v>
      </c>
      <c r="H25" s="711">
        <f t="shared" si="14"/>
        <v>180</v>
      </c>
      <c r="I25" s="711">
        <f t="shared" si="14"/>
        <v>180</v>
      </c>
      <c r="J25" s="711">
        <f t="shared" si="14"/>
        <v>480</v>
      </c>
      <c r="K25" s="711">
        <f t="shared" si="14"/>
        <v>300</v>
      </c>
      <c r="L25" s="711">
        <f t="shared" si="14"/>
        <v>240</v>
      </c>
      <c r="M25" s="711">
        <f t="shared" si="14"/>
        <v>480</v>
      </c>
      <c r="N25" s="711">
        <f t="shared" si="12"/>
        <v>3360</v>
      </c>
      <c r="O25" s="675">
        <v>0.14000000000000001</v>
      </c>
    </row>
    <row r="26" spans="1:15">
      <c r="N26" s="719">
        <f>+N20+N21+N22</f>
        <v>13320</v>
      </c>
    </row>
    <row r="27" spans="1:15">
      <c r="B27" s="720" t="s">
        <v>618</v>
      </c>
      <c r="C27" s="720" t="s">
        <v>617</v>
      </c>
      <c r="D27" s="720" t="s">
        <v>616</v>
      </c>
      <c r="E27" s="720" t="s">
        <v>617</v>
      </c>
      <c r="F27" s="720" t="s">
        <v>616</v>
      </c>
      <c r="G27" s="720" t="s">
        <v>617</v>
      </c>
      <c r="H27" s="720" t="s">
        <v>617</v>
      </c>
      <c r="I27" s="720" t="s">
        <v>735</v>
      </c>
      <c r="J27" s="720" t="s">
        <v>616</v>
      </c>
      <c r="K27" s="720" t="s">
        <v>616</v>
      </c>
      <c r="L27" s="720" t="s">
        <v>617</v>
      </c>
      <c r="M27" s="720" t="s">
        <v>616</v>
      </c>
    </row>
    <row r="28" spans="1:15">
      <c r="A28" s="677" t="s">
        <v>621</v>
      </c>
      <c r="B28" s="716" t="s">
        <v>355</v>
      </c>
      <c r="C28" s="716" t="s">
        <v>356</v>
      </c>
      <c r="D28" s="716" t="s">
        <v>357</v>
      </c>
      <c r="E28" s="716" t="s">
        <v>358</v>
      </c>
      <c r="F28" s="716" t="s">
        <v>359</v>
      </c>
      <c r="G28" s="716" t="s">
        <v>360</v>
      </c>
      <c r="H28" s="716" t="s">
        <v>364</v>
      </c>
      <c r="I28" s="716" t="s">
        <v>365</v>
      </c>
      <c r="J28" s="716" t="s">
        <v>366</v>
      </c>
      <c r="K28" s="716" t="s">
        <v>361</v>
      </c>
      <c r="L28" s="716" t="s">
        <v>362</v>
      </c>
      <c r="M28" s="716" t="s">
        <v>363</v>
      </c>
      <c r="N28" s="716" t="s">
        <v>545</v>
      </c>
    </row>
    <row r="29" spans="1:15">
      <c r="A29" s="717" t="s">
        <v>546</v>
      </c>
      <c r="B29" s="711">
        <f>+VLOOKUP(B27,$A$4:$O$7,5,0)</f>
        <v>330</v>
      </c>
      <c r="C29" s="711">
        <f t="shared" ref="C29:M29" si="15">+VLOOKUP(C27,$A$4:$O$7,5,0)</f>
        <v>480</v>
      </c>
      <c r="D29" s="711">
        <f t="shared" si="15"/>
        <v>570</v>
      </c>
      <c r="E29" s="711">
        <f t="shared" si="15"/>
        <v>480</v>
      </c>
      <c r="F29" s="711">
        <f t="shared" si="15"/>
        <v>570</v>
      </c>
      <c r="G29" s="711">
        <f t="shared" si="15"/>
        <v>480</v>
      </c>
      <c r="H29" s="711">
        <f t="shared" si="15"/>
        <v>480</v>
      </c>
      <c r="I29" s="711">
        <f t="shared" si="15"/>
        <v>210</v>
      </c>
      <c r="J29" s="711">
        <f t="shared" si="15"/>
        <v>570</v>
      </c>
      <c r="K29" s="711">
        <f t="shared" si="15"/>
        <v>570</v>
      </c>
      <c r="L29" s="711">
        <f t="shared" si="15"/>
        <v>480</v>
      </c>
      <c r="M29" s="711">
        <f t="shared" si="15"/>
        <v>570</v>
      </c>
      <c r="N29" s="711">
        <f>+SUM(B29:M29)</f>
        <v>5790</v>
      </c>
    </row>
    <row r="30" spans="1:15">
      <c r="A30" s="717" t="s">
        <v>547</v>
      </c>
      <c r="B30" s="711">
        <f>+VLOOKUP(B27,$A$4:$O$7,10,0)</f>
        <v>210</v>
      </c>
      <c r="C30" s="711">
        <f t="shared" ref="C30:M30" si="16">+VLOOKUP(C27,$A$4:$O$7,10,0)</f>
        <v>420</v>
      </c>
      <c r="D30" s="711">
        <f t="shared" si="16"/>
        <v>510</v>
      </c>
      <c r="E30" s="711">
        <f t="shared" si="16"/>
        <v>420</v>
      </c>
      <c r="F30" s="711">
        <f t="shared" si="16"/>
        <v>510</v>
      </c>
      <c r="G30" s="711">
        <f t="shared" si="16"/>
        <v>420</v>
      </c>
      <c r="H30" s="711">
        <f t="shared" si="16"/>
        <v>420</v>
      </c>
      <c r="I30" s="711">
        <f t="shared" si="16"/>
        <v>210</v>
      </c>
      <c r="J30" s="711">
        <f t="shared" si="16"/>
        <v>510</v>
      </c>
      <c r="K30" s="711">
        <f t="shared" si="16"/>
        <v>510</v>
      </c>
      <c r="L30" s="711">
        <f t="shared" si="16"/>
        <v>420</v>
      </c>
      <c r="M30" s="711">
        <f t="shared" si="16"/>
        <v>510</v>
      </c>
      <c r="N30" s="711">
        <f>+SUM(B30:M30)</f>
        <v>5070</v>
      </c>
    </row>
    <row r="31" spans="1:15">
      <c r="A31" s="717" t="s">
        <v>548</v>
      </c>
      <c r="B31" s="711">
        <f>+VLOOKUP(B27,$A$4:$O$7,15,0)</f>
        <v>360</v>
      </c>
      <c r="C31" s="711">
        <f t="shared" ref="C31:M31" si="17">+VLOOKUP(C27,$A$4:$O$7,15,0)</f>
        <v>540</v>
      </c>
      <c r="D31" s="711">
        <f t="shared" si="17"/>
        <v>540</v>
      </c>
      <c r="E31" s="711">
        <f t="shared" si="17"/>
        <v>540</v>
      </c>
      <c r="F31" s="711">
        <f t="shared" si="17"/>
        <v>540</v>
      </c>
      <c r="G31" s="711">
        <f t="shared" si="17"/>
        <v>540</v>
      </c>
      <c r="H31" s="711">
        <f t="shared" si="17"/>
        <v>540</v>
      </c>
      <c r="I31" s="711">
        <f t="shared" si="17"/>
        <v>300</v>
      </c>
      <c r="J31" s="711">
        <f t="shared" si="17"/>
        <v>540</v>
      </c>
      <c r="K31" s="711">
        <f t="shared" si="17"/>
        <v>540</v>
      </c>
      <c r="L31" s="711">
        <f t="shared" si="17"/>
        <v>540</v>
      </c>
      <c r="M31" s="711">
        <f t="shared" si="17"/>
        <v>540</v>
      </c>
      <c r="N31" s="711">
        <f>+SUM(B31:M31)</f>
        <v>6060</v>
      </c>
    </row>
    <row r="32" spans="1:15">
      <c r="A32" s="717" t="s">
        <v>745</v>
      </c>
      <c r="B32" s="711">
        <f>+VLOOKUP(B27,$A$4:$AD$7,20,0)</f>
        <v>300</v>
      </c>
      <c r="C32" s="711">
        <f t="shared" ref="C32:M32" si="18">+VLOOKUP(C27,$A$4:$AD$7,20,0)</f>
        <v>420</v>
      </c>
      <c r="D32" s="711">
        <f t="shared" si="18"/>
        <v>510</v>
      </c>
      <c r="E32" s="711">
        <f t="shared" si="18"/>
        <v>420</v>
      </c>
      <c r="F32" s="711">
        <f t="shared" si="18"/>
        <v>510</v>
      </c>
      <c r="G32" s="711">
        <f t="shared" si="18"/>
        <v>420</v>
      </c>
      <c r="H32" s="711">
        <f t="shared" si="18"/>
        <v>420</v>
      </c>
      <c r="I32" s="711">
        <f t="shared" si="18"/>
        <v>180</v>
      </c>
      <c r="J32" s="711">
        <f t="shared" si="18"/>
        <v>510</v>
      </c>
      <c r="K32" s="711">
        <f t="shared" si="18"/>
        <v>510</v>
      </c>
      <c r="L32" s="711">
        <f t="shared" si="18"/>
        <v>420</v>
      </c>
      <c r="M32" s="711">
        <f t="shared" si="18"/>
        <v>510</v>
      </c>
      <c r="N32" s="711">
        <f t="shared" ref="N32:N34" si="19">+SUM(B32:M32)</f>
        <v>5130</v>
      </c>
      <c r="O32" s="675">
        <v>0.13</v>
      </c>
    </row>
    <row r="33" spans="1:15">
      <c r="A33" s="717" t="s">
        <v>746</v>
      </c>
      <c r="B33" s="711">
        <f>+VLOOKUP(B27,$A$4:$AD$7,25,0)</f>
        <v>330</v>
      </c>
      <c r="C33" s="711">
        <f t="shared" ref="C33:M33" si="20">+VLOOKUP(C27,$A$4:$AD$7,25,0)</f>
        <v>360</v>
      </c>
      <c r="D33" s="711">
        <f t="shared" si="20"/>
        <v>570</v>
      </c>
      <c r="E33" s="711">
        <f t="shared" si="20"/>
        <v>360</v>
      </c>
      <c r="F33" s="711">
        <f t="shared" si="20"/>
        <v>570</v>
      </c>
      <c r="G33" s="711">
        <f t="shared" si="20"/>
        <v>360</v>
      </c>
      <c r="H33" s="711">
        <f t="shared" si="20"/>
        <v>360</v>
      </c>
      <c r="I33" s="711">
        <f t="shared" si="20"/>
        <v>90</v>
      </c>
      <c r="J33" s="711">
        <f t="shared" si="20"/>
        <v>570</v>
      </c>
      <c r="K33" s="711">
        <f t="shared" si="20"/>
        <v>570</v>
      </c>
      <c r="L33" s="711">
        <f t="shared" si="20"/>
        <v>360</v>
      </c>
      <c r="M33" s="711">
        <f t="shared" si="20"/>
        <v>570</v>
      </c>
      <c r="N33" s="711">
        <f t="shared" si="19"/>
        <v>5070</v>
      </c>
      <c r="O33" s="675">
        <v>0.11</v>
      </c>
    </row>
    <row r="34" spans="1:15">
      <c r="A34" s="717" t="s">
        <v>747</v>
      </c>
      <c r="B34" s="711">
        <f>+VLOOKUP(B27,$A$4:$AD$7,30,0)</f>
        <v>240</v>
      </c>
      <c r="C34" s="711">
        <f t="shared" ref="C34:M34" si="21">+VLOOKUP(C27,$A$4:$AD$7,30,0)</f>
        <v>300</v>
      </c>
      <c r="D34" s="711">
        <f t="shared" si="21"/>
        <v>480</v>
      </c>
      <c r="E34" s="711">
        <f t="shared" si="21"/>
        <v>300</v>
      </c>
      <c r="F34" s="711">
        <f t="shared" si="21"/>
        <v>480</v>
      </c>
      <c r="G34" s="711">
        <f t="shared" si="21"/>
        <v>300</v>
      </c>
      <c r="H34" s="711">
        <f t="shared" si="21"/>
        <v>300</v>
      </c>
      <c r="I34" s="711">
        <f t="shared" si="21"/>
        <v>180</v>
      </c>
      <c r="J34" s="711">
        <f t="shared" si="21"/>
        <v>480</v>
      </c>
      <c r="K34" s="711">
        <f t="shared" si="21"/>
        <v>480</v>
      </c>
      <c r="L34" s="711">
        <f t="shared" si="21"/>
        <v>300</v>
      </c>
      <c r="M34" s="711">
        <f t="shared" si="21"/>
        <v>480</v>
      </c>
      <c r="N34" s="711">
        <f t="shared" si="19"/>
        <v>4320</v>
      </c>
      <c r="O34" s="675">
        <v>0.14000000000000001</v>
      </c>
    </row>
    <row r="35" spans="1:15">
      <c r="N35" s="719">
        <f>+N29+N30+N31</f>
        <v>16920</v>
      </c>
    </row>
    <row r="36" spans="1:15" ht="15" thickBot="1">
      <c r="N36" s="719"/>
    </row>
    <row r="37" spans="1:15">
      <c r="A37" s="718" t="s">
        <v>622</v>
      </c>
      <c r="B37" s="255" t="s">
        <v>355</v>
      </c>
      <c r="C37" s="255" t="s">
        <v>356</v>
      </c>
      <c r="D37" s="255" t="s">
        <v>357</v>
      </c>
      <c r="E37" s="255" t="s">
        <v>358</v>
      </c>
      <c r="F37" s="255" t="s">
        <v>359</v>
      </c>
      <c r="G37" s="255" t="s">
        <v>360</v>
      </c>
      <c r="H37" s="255" t="s">
        <v>364</v>
      </c>
      <c r="I37" s="255" t="s">
        <v>365</v>
      </c>
      <c r="J37" s="255" t="s">
        <v>366</v>
      </c>
      <c r="K37" s="255" t="s">
        <v>361</v>
      </c>
      <c r="L37" s="255" t="s">
        <v>362</v>
      </c>
      <c r="M37" s="255" t="s">
        <v>363</v>
      </c>
      <c r="N37" s="255" t="s">
        <v>545</v>
      </c>
    </row>
    <row r="38" spans="1:15">
      <c r="A38" s="717" t="s">
        <v>546</v>
      </c>
      <c r="B38" s="193">
        <f>+$E$3</f>
        <v>720</v>
      </c>
      <c r="C38" s="193">
        <f t="shared" ref="C38:M38" si="22">+$E$3</f>
        <v>720</v>
      </c>
      <c r="D38" s="193">
        <f t="shared" si="22"/>
        <v>720</v>
      </c>
      <c r="E38" s="193">
        <f t="shared" si="22"/>
        <v>720</v>
      </c>
      <c r="F38" s="193">
        <f t="shared" si="22"/>
        <v>720</v>
      </c>
      <c r="G38" s="193">
        <f t="shared" si="22"/>
        <v>720</v>
      </c>
      <c r="H38" s="193">
        <f t="shared" si="22"/>
        <v>720</v>
      </c>
      <c r="I38" s="193">
        <f t="shared" si="22"/>
        <v>720</v>
      </c>
      <c r="J38" s="193">
        <f t="shared" si="22"/>
        <v>720</v>
      </c>
      <c r="K38" s="193">
        <f t="shared" si="22"/>
        <v>720</v>
      </c>
      <c r="L38" s="193">
        <f t="shared" si="22"/>
        <v>720</v>
      </c>
      <c r="M38" s="193">
        <f t="shared" si="22"/>
        <v>720</v>
      </c>
      <c r="N38" s="711">
        <f>+SUM(B38:M38)</f>
        <v>8640</v>
      </c>
    </row>
    <row r="39" spans="1:15">
      <c r="A39" s="717" t="s">
        <v>547</v>
      </c>
      <c r="B39" s="193">
        <f>+$J$3</f>
        <v>630</v>
      </c>
      <c r="C39" s="193">
        <f t="shared" ref="C39:M39" si="23">+$J$3</f>
        <v>630</v>
      </c>
      <c r="D39" s="193">
        <f t="shared" si="23"/>
        <v>630</v>
      </c>
      <c r="E39" s="193">
        <f t="shared" si="23"/>
        <v>630</v>
      </c>
      <c r="F39" s="193">
        <f t="shared" si="23"/>
        <v>630</v>
      </c>
      <c r="G39" s="193">
        <f t="shared" si="23"/>
        <v>630</v>
      </c>
      <c r="H39" s="193">
        <f t="shared" si="23"/>
        <v>630</v>
      </c>
      <c r="I39" s="193">
        <f t="shared" si="23"/>
        <v>630</v>
      </c>
      <c r="J39" s="193">
        <f t="shared" si="23"/>
        <v>630</v>
      </c>
      <c r="K39" s="193">
        <f t="shared" si="23"/>
        <v>630</v>
      </c>
      <c r="L39" s="193">
        <f t="shared" si="23"/>
        <v>630</v>
      </c>
      <c r="M39" s="193">
        <f t="shared" si="23"/>
        <v>630</v>
      </c>
      <c r="N39" s="711">
        <f>+SUM(B39:M39)</f>
        <v>7560</v>
      </c>
    </row>
    <row r="40" spans="1:15">
      <c r="A40" s="717" t="s">
        <v>548</v>
      </c>
      <c r="B40" s="193">
        <f>+$O$3</f>
        <v>780</v>
      </c>
      <c r="C40" s="193">
        <f t="shared" ref="C40:M40" si="24">+$O$3</f>
        <v>780</v>
      </c>
      <c r="D40" s="193">
        <f t="shared" si="24"/>
        <v>780</v>
      </c>
      <c r="E40" s="193">
        <f t="shared" si="24"/>
        <v>780</v>
      </c>
      <c r="F40" s="193">
        <f t="shared" si="24"/>
        <v>780</v>
      </c>
      <c r="G40" s="193">
        <f t="shared" si="24"/>
        <v>780</v>
      </c>
      <c r="H40" s="193">
        <f t="shared" si="24"/>
        <v>780</v>
      </c>
      <c r="I40" s="193">
        <f t="shared" si="24"/>
        <v>780</v>
      </c>
      <c r="J40" s="193">
        <f t="shared" si="24"/>
        <v>780</v>
      </c>
      <c r="K40" s="193">
        <f t="shared" si="24"/>
        <v>780</v>
      </c>
      <c r="L40" s="193">
        <f t="shared" si="24"/>
        <v>780</v>
      </c>
      <c r="M40" s="193">
        <f t="shared" si="24"/>
        <v>780</v>
      </c>
      <c r="N40" s="711">
        <f>+SUM(B40:M40)</f>
        <v>9360</v>
      </c>
    </row>
    <row r="41" spans="1:15">
      <c r="A41" s="717" t="s">
        <v>745</v>
      </c>
      <c r="B41" s="193">
        <f>+$T$3</f>
        <v>450</v>
      </c>
      <c r="C41" s="193">
        <f t="shared" ref="C41:M41" si="25">+$T$3</f>
        <v>450</v>
      </c>
      <c r="D41" s="193">
        <f t="shared" si="25"/>
        <v>450</v>
      </c>
      <c r="E41" s="193">
        <f t="shared" si="25"/>
        <v>450</v>
      </c>
      <c r="F41" s="193">
        <f t="shared" si="25"/>
        <v>450</v>
      </c>
      <c r="G41" s="193">
        <f t="shared" si="25"/>
        <v>450</v>
      </c>
      <c r="H41" s="193">
        <f t="shared" si="25"/>
        <v>450</v>
      </c>
      <c r="I41" s="193">
        <f t="shared" si="25"/>
        <v>450</v>
      </c>
      <c r="J41" s="193">
        <f t="shared" si="25"/>
        <v>450</v>
      </c>
      <c r="K41" s="193">
        <f t="shared" si="25"/>
        <v>450</v>
      </c>
      <c r="L41" s="193">
        <f t="shared" si="25"/>
        <v>450</v>
      </c>
      <c r="M41" s="193">
        <f t="shared" si="25"/>
        <v>450</v>
      </c>
      <c r="N41" s="711">
        <f t="shared" ref="N41:N43" si="26">+SUM(B41:M41)</f>
        <v>5400</v>
      </c>
      <c r="O41" s="675">
        <v>0.13</v>
      </c>
    </row>
    <row r="42" spans="1:15">
      <c r="A42" s="717" t="s">
        <v>746</v>
      </c>
      <c r="B42" s="193">
        <f>+$Y$3</f>
        <v>390</v>
      </c>
      <c r="C42" s="193">
        <f t="shared" ref="C42:M42" si="27">+$Y$3</f>
        <v>390</v>
      </c>
      <c r="D42" s="193">
        <f t="shared" si="27"/>
        <v>390</v>
      </c>
      <c r="E42" s="193">
        <f t="shared" si="27"/>
        <v>390</v>
      </c>
      <c r="F42" s="193">
        <f t="shared" si="27"/>
        <v>390</v>
      </c>
      <c r="G42" s="193">
        <f t="shared" si="27"/>
        <v>390</v>
      </c>
      <c r="H42" s="193">
        <f t="shared" si="27"/>
        <v>390</v>
      </c>
      <c r="I42" s="193">
        <f t="shared" si="27"/>
        <v>390</v>
      </c>
      <c r="J42" s="193">
        <f t="shared" si="27"/>
        <v>390</v>
      </c>
      <c r="K42" s="193">
        <f t="shared" si="27"/>
        <v>390</v>
      </c>
      <c r="L42" s="193">
        <f t="shared" si="27"/>
        <v>390</v>
      </c>
      <c r="M42" s="193">
        <f t="shared" si="27"/>
        <v>390</v>
      </c>
      <c r="N42" s="711">
        <f t="shared" si="26"/>
        <v>4680</v>
      </c>
      <c r="O42" s="675">
        <v>0.11</v>
      </c>
    </row>
    <row r="43" spans="1:15">
      <c r="A43" s="717" t="s">
        <v>747</v>
      </c>
      <c r="B43" s="193">
        <f>+$AD$3</f>
        <v>480</v>
      </c>
      <c r="C43" s="193">
        <f t="shared" ref="C43:M43" si="28">+$AD$3</f>
        <v>480</v>
      </c>
      <c r="D43" s="193">
        <f t="shared" si="28"/>
        <v>480</v>
      </c>
      <c r="E43" s="193">
        <f t="shared" si="28"/>
        <v>480</v>
      </c>
      <c r="F43" s="193">
        <f t="shared" si="28"/>
        <v>480</v>
      </c>
      <c r="G43" s="193">
        <f t="shared" si="28"/>
        <v>480</v>
      </c>
      <c r="H43" s="193">
        <f t="shared" si="28"/>
        <v>480</v>
      </c>
      <c r="I43" s="193">
        <f t="shared" si="28"/>
        <v>480</v>
      </c>
      <c r="J43" s="193">
        <f t="shared" si="28"/>
        <v>480</v>
      </c>
      <c r="K43" s="193">
        <f t="shared" si="28"/>
        <v>480</v>
      </c>
      <c r="L43" s="193">
        <f t="shared" si="28"/>
        <v>480</v>
      </c>
      <c r="M43" s="193">
        <f t="shared" si="28"/>
        <v>480</v>
      </c>
      <c r="N43" s="711">
        <f t="shared" si="26"/>
        <v>5760</v>
      </c>
      <c r="O43" s="675">
        <v>0.14000000000000001</v>
      </c>
    </row>
    <row r="44" spans="1:15">
      <c r="N44" s="719">
        <f>+N38+N39+N40</f>
        <v>25560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Hoja2</vt:lpstr>
      <vt:lpstr>Datos</vt:lpstr>
      <vt:lpstr>Inversion</vt:lpstr>
      <vt:lpstr>Inf Base</vt:lpstr>
      <vt:lpstr>Costo productos</vt:lpstr>
      <vt:lpstr>Mp</vt:lpstr>
      <vt:lpstr>Nomina</vt:lpstr>
      <vt:lpstr>Ventas-Mp Ins-Invent</vt:lpstr>
      <vt:lpstr>Escenarios</vt:lpstr>
      <vt:lpstr>EF Proyecto</vt:lpstr>
      <vt:lpstr>Hoja1</vt:lpstr>
      <vt:lpstr>Flujo de Caja</vt:lpstr>
      <vt:lpstr>Valoración Proyecto</vt:lpstr>
      <vt:lpstr>Activos Fijos</vt:lpstr>
      <vt:lpstr>Financiacion</vt:lpstr>
      <vt:lpstr>TA Banco 1</vt:lpstr>
      <vt:lpstr>TA Banco 2</vt:lpstr>
      <vt:lpstr>TA Banco 3</vt:lpstr>
      <vt:lpstr>Costo deuda KD</vt:lpstr>
      <vt:lpstr>Proveedores</vt:lpstr>
      <vt:lpstr>Predictor de Quiebra Altman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Ferrin</dc:creator>
  <cp:lastModifiedBy>Ingrid Camila Quiroga Rojas</cp:lastModifiedBy>
  <dcterms:created xsi:type="dcterms:W3CDTF">2022-12-12T01:09:13Z</dcterms:created>
  <dcterms:modified xsi:type="dcterms:W3CDTF">2023-06-01T21:01:18Z</dcterms:modified>
</cp:coreProperties>
</file>