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Camilo\Downloads\"/>
    </mc:Choice>
  </mc:AlternateContent>
  <xr:revisionPtr revIDLastSave="0" documentId="13_ncr:1_{95124A9B-FF68-4922-8554-8481477198B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alance Inicial" sheetId="4" r:id="rId1"/>
    <sheet name="FLUJO DE CAJA " sheetId="13" r:id="rId2"/>
    <sheet name="FINANCACION" sheetId="5" r:id="rId3"/>
    <sheet name="Check LIST ADM" sheetId="12" r:id="rId4"/>
    <sheet name="Gastos Administrativos" sheetId="9" r:id="rId5"/>
    <sheet name="Nomina fija" sheetId="3" r:id="rId6"/>
    <sheet name="Entrada-salidas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3" l="1"/>
  <c r="E30" i="9"/>
  <c r="E40" i="9" s="1"/>
  <c r="H48" i="9"/>
  <c r="H50" i="9" s="1"/>
  <c r="B29" i="13"/>
  <c r="C29" i="13" s="1"/>
  <c r="H28" i="13"/>
  <c r="I28" i="13" s="1"/>
  <c r="C28" i="13"/>
  <c r="D28" i="13"/>
  <c r="E28" i="13" s="1"/>
  <c r="F28" i="13" s="1"/>
  <c r="G28" i="13" s="1"/>
  <c r="J25" i="13"/>
  <c r="J19" i="13"/>
  <c r="J21" i="13"/>
  <c r="C24" i="3"/>
  <c r="I21" i="3"/>
  <c r="I18" i="3"/>
  <c r="I17" i="3"/>
  <c r="I16" i="3"/>
  <c r="H3" i="9"/>
  <c r="H13" i="9"/>
  <c r="I45" i="12"/>
  <c r="J10" i="12"/>
  <c r="H8" i="12"/>
  <c r="I10" i="12"/>
  <c r="H43" i="12"/>
  <c r="G18" i="9"/>
  <c r="G19" i="9"/>
  <c r="G17" i="9"/>
  <c r="G20" i="9" s="1"/>
  <c r="H20" i="9" s="1"/>
  <c r="H22" i="9" l="1"/>
  <c r="B18" i="13" s="1"/>
  <c r="D29" i="13"/>
  <c r="I2" i="13"/>
  <c r="C30" i="13" l="1"/>
  <c r="C32" i="13" s="1"/>
  <c r="B30" i="13"/>
  <c r="B32" i="13" s="1"/>
  <c r="H30" i="13"/>
  <c r="I30" i="13"/>
  <c r="D30" i="13"/>
  <c r="E30" i="13"/>
  <c r="G30" i="13"/>
  <c r="F30" i="13"/>
  <c r="E29" i="13"/>
  <c r="F29" i="13" s="1"/>
  <c r="G29" i="13" s="1"/>
  <c r="H29" i="13" s="1"/>
  <c r="D32" i="13"/>
  <c r="E32" i="13"/>
  <c r="G55" i="12"/>
  <c r="H53" i="12" s="1"/>
  <c r="G12" i="9" s="1"/>
  <c r="G50" i="12"/>
  <c r="H48" i="12" s="1"/>
  <c r="G11" i="9" s="1"/>
  <c r="G45" i="12"/>
  <c r="G10" i="9" s="1"/>
  <c r="G40" i="12"/>
  <c r="H38" i="12" s="1"/>
  <c r="G9" i="9" s="1"/>
  <c r="G35" i="12"/>
  <c r="H33" i="12" s="1"/>
  <c r="G8" i="9" s="1"/>
  <c r="G30" i="12"/>
  <c r="H28" i="12" s="1"/>
  <c r="G7" i="9" s="1"/>
  <c r="G25" i="12"/>
  <c r="H23" i="12" s="1"/>
  <c r="G6" i="9" s="1"/>
  <c r="G20" i="12"/>
  <c r="H18" i="12" s="1"/>
  <c r="G5" i="9" s="1"/>
  <c r="G15" i="12"/>
  <c r="H13" i="12" s="1"/>
  <c r="G4" i="9" s="1"/>
  <c r="G10" i="12"/>
  <c r="G3" i="9" s="1"/>
  <c r="D16" i="3"/>
  <c r="C4" i="5"/>
  <c r="C5" i="4" s="1"/>
  <c r="C7" i="5"/>
  <c r="C6" i="4" s="1"/>
  <c r="I29" i="13" l="1"/>
  <c r="I32" i="13" s="1"/>
  <c r="H32" i="13"/>
  <c r="F32" i="13"/>
  <c r="G13" i="9"/>
  <c r="G22" i="9" s="1"/>
  <c r="B7" i="13" s="1"/>
  <c r="B8" i="13" s="1"/>
  <c r="C9" i="5"/>
  <c r="F11" i="13" l="1"/>
  <c r="H5" i="13" s="1"/>
  <c r="B35" i="13"/>
  <c r="C35" i="13" s="1"/>
  <c r="D35" i="13" s="1"/>
  <c r="E35" i="13" s="1"/>
  <c r="F35" i="13" s="1"/>
  <c r="G32" i="13"/>
  <c r="G7" i="13"/>
  <c r="E7" i="13"/>
  <c r="F7" i="13"/>
  <c r="C7" i="13"/>
  <c r="D7" i="13"/>
  <c r="H7" i="13"/>
  <c r="C10" i="3"/>
  <c r="F11" i="4"/>
  <c r="C5" i="13" l="1"/>
  <c r="E5" i="13"/>
  <c r="G5" i="13"/>
  <c r="F5" i="13"/>
  <c r="D5" i="13"/>
  <c r="H8" i="13"/>
  <c r="G35" i="13"/>
  <c r="H35" i="13" s="1"/>
  <c r="I35" i="13" s="1"/>
  <c r="H59" i="12"/>
  <c r="C10" i="4"/>
  <c r="C11" i="4" s="1"/>
  <c r="E14" i="3"/>
  <c r="F14" i="3" s="1"/>
  <c r="E16" i="3"/>
  <c r="F16" i="3" s="1"/>
  <c r="H16" i="3" s="1"/>
  <c r="E17" i="3"/>
  <c r="F17" i="3" s="1"/>
  <c r="H17" i="3" s="1"/>
  <c r="C7" i="4"/>
  <c r="E15" i="3"/>
  <c r="F15" i="3" s="1"/>
  <c r="H15" i="3" s="1"/>
  <c r="E18" i="3"/>
  <c r="F18" i="3" s="1"/>
  <c r="H18" i="3" s="1"/>
  <c r="H14" i="3" l="1"/>
  <c r="H20" i="3" s="1"/>
  <c r="C15" i="4"/>
  <c r="B6" i="13" l="1"/>
  <c r="F5" i="4"/>
  <c r="F7" i="4" s="1"/>
  <c r="F13" i="4"/>
  <c r="F15" i="4" s="1"/>
  <c r="C6" i="13"/>
  <c r="D6" i="13" s="1"/>
  <c r="D8" i="13" s="1"/>
  <c r="H6" i="13" l="1"/>
  <c r="F6" i="13"/>
  <c r="F8" i="13" s="1"/>
  <c r="E6" i="13"/>
  <c r="E8" i="13" s="1"/>
  <c r="G6" i="13"/>
  <c r="G8" i="13" s="1"/>
  <c r="C8" i="13"/>
  <c r="I8" i="13" l="1"/>
  <c r="C12" i="13"/>
  <c r="C13" i="13" l="1"/>
  <c r="C15" i="13" s="1"/>
  <c r="C14" i="13"/>
  <c r="D12" i="13" l="1"/>
</calcChain>
</file>

<file path=xl/sharedStrings.xml><?xml version="1.0" encoding="utf-8"?>
<sst xmlns="http://schemas.openxmlformats.org/spreadsheetml/2006/main" count="231" uniqueCount="148">
  <si>
    <t xml:space="preserve">ENTRADA </t>
  </si>
  <si>
    <t xml:space="preserve">PROCESO </t>
  </si>
  <si>
    <t xml:space="preserve">SALIDA </t>
  </si>
  <si>
    <t xml:space="preserve">PROCESOS DE APOYO </t>
  </si>
  <si>
    <t>Validacion de instrumentos (juicio de expertos)</t>
  </si>
  <si>
    <t xml:space="preserve">Reuniones de fortalecimiento </t>
  </si>
  <si>
    <t xml:space="preserve">Informacion de la entidad </t>
  </si>
  <si>
    <t xml:space="preserve">Papeleria </t>
  </si>
  <si>
    <t xml:space="preserve">Internet </t>
  </si>
  <si>
    <t xml:space="preserve">Tiempo de apoyos de profesionales expertos </t>
  </si>
  <si>
    <t>Puestos de Trabajo (mesa y silla)</t>
  </si>
  <si>
    <t xml:space="preserve">Consulta </t>
  </si>
  <si>
    <t xml:space="preserve">Procedimiento </t>
  </si>
  <si>
    <t xml:space="preserve">Soporte </t>
  </si>
  <si>
    <t xml:space="preserve">Recurso humano </t>
  </si>
  <si>
    <t xml:space="preserve">Analisis </t>
  </si>
  <si>
    <t xml:space="preserve">Socializacion de  resultados </t>
  </si>
  <si>
    <t xml:space="preserve">Capacitaciones </t>
  </si>
  <si>
    <t xml:space="preserve">Celulares </t>
  </si>
  <si>
    <t>ANALISIS Y DISEÑO  DE LA MEJORA DEL PROCESO DE SUPERVISION Y CONTROL DE OBRA EN UNA ENTIDAD BANCARIA MIXTA</t>
  </si>
  <si>
    <t xml:space="preserve">Analisis del proceso a la supervision de obra  </t>
  </si>
  <si>
    <t xml:space="preserve">Intereses de cesantias </t>
  </si>
  <si>
    <t xml:space="preserve">Primas </t>
  </si>
  <si>
    <t xml:space="preserve">Vacaciones </t>
  </si>
  <si>
    <t>ARL</t>
  </si>
  <si>
    <t xml:space="preserve">Salud </t>
  </si>
  <si>
    <t xml:space="preserve">Pesion </t>
  </si>
  <si>
    <t xml:space="preserve">Profesional civil expertos Banco </t>
  </si>
  <si>
    <t xml:space="preserve">Profesional electrico  expertos Banco </t>
  </si>
  <si>
    <t xml:space="preserve">NOMINA </t>
  </si>
  <si>
    <t>Video beam</t>
  </si>
  <si>
    <t xml:space="preserve">Impresora </t>
  </si>
  <si>
    <t xml:space="preserve">Sofware </t>
  </si>
  <si>
    <t xml:space="preserve">Computadores </t>
  </si>
  <si>
    <t>BALANCE INICIAL</t>
  </si>
  <si>
    <t>ACTIVOS</t>
  </si>
  <si>
    <t>PASIVOS</t>
  </si>
  <si>
    <t>CORRIENTE</t>
  </si>
  <si>
    <t>TOTAL</t>
  </si>
  <si>
    <t>NO CORRIENTE</t>
  </si>
  <si>
    <t>Muebles de oficina y Equipos de computo</t>
  </si>
  <si>
    <t>Obligaciones Financieras</t>
  </si>
  <si>
    <t xml:space="preserve">TOTAL </t>
  </si>
  <si>
    <t xml:space="preserve">PATRIMONIO </t>
  </si>
  <si>
    <t>TOTAL ACTIVOS</t>
  </si>
  <si>
    <t>TOTAL PASIVO Y PATRIMONIO</t>
  </si>
  <si>
    <t>ITEM</t>
  </si>
  <si>
    <t xml:space="preserve">UBICACIÓN </t>
  </si>
  <si>
    <t xml:space="preserve">FOTO </t>
  </si>
  <si>
    <t xml:space="preserve">REFERENCIA ARTICULO </t>
  </si>
  <si>
    <t xml:space="preserve">UNIDAD </t>
  </si>
  <si>
    <t>CANTIDAD</t>
  </si>
  <si>
    <t xml:space="preserve">V/UNITARIO </t>
  </si>
  <si>
    <t xml:space="preserve">V/TOTAL </t>
  </si>
  <si>
    <t>Und</t>
  </si>
  <si>
    <t xml:space="preserve">OFICINAS </t>
  </si>
  <si>
    <t xml:space="preserve">Sillas escritorio </t>
  </si>
  <si>
    <t>Imagen de mercado libre</t>
  </si>
  <si>
    <t xml:space="preserve">CUBICULOS OFICINAS PROFESIONALES Y AUXILIARES </t>
  </si>
  <si>
    <t xml:space="preserve">Puestos de trabajo o escritorios en madera pequeños </t>
  </si>
  <si>
    <t xml:space="preserve">Imagen de muebles de trabajo mix </t>
  </si>
  <si>
    <t>Puestos de trabajo o escritorios en madera grandes</t>
  </si>
  <si>
    <t xml:space="preserve">Imagen de muebles tapi muebles </t>
  </si>
  <si>
    <t xml:space="preserve">OFICINAS DIRECTIVOS </t>
  </si>
  <si>
    <t xml:space="preserve">Sillas interlocutoras escritorios </t>
  </si>
  <si>
    <t xml:space="preserve">SALA DE JUNTAS </t>
  </si>
  <si>
    <t xml:space="preserve">HALL OFICINAS </t>
  </si>
  <si>
    <t xml:space="preserve">Muebles impresoras </t>
  </si>
  <si>
    <t>Imagen de pymesyautonomos</t>
  </si>
  <si>
    <t xml:space="preserve">OFICINAS PROFESIONALES, AUXILIARES, DIRECTIVOS Y  SALA DE JUNTAS </t>
  </si>
  <si>
    <t xml:space="preserve">Computadores portatiles </t>
  </si>
  <si>
    <t xml:space="preserve">Proyector </t>
  </si>
  <si>
    <t>Imagen de computerhoy.com</t>
  </si>
  <si>
    <t>Imagen de el pais</t>
  </si>
  <si>
    <t xml:space="preserve">TOTAL INVETARIO </t>
  </si>
  <si>
    <t xml:space="preserve">  </t>
  </si>
  <si>
    <t xml:space="preserve">Cesantias </t>
  </si>
  <si>
    <t xml:space="preserve">Parafiscales </t>
  </si>
  <si>
    <t xml:space="preserve">Carga prestacional </t>
  </si>
  <si>
    <t>CARGO</t>
  </si>
  <si>
    <t>CANT</t>
  </si>
  <si>
    <t>VALOR MENSUAL</t>
  </si>
  <si>
    <t>CARGA PRESTACIONAL</t>
  </si>
  <si>
    <t>VALOR TOTAL</t>
  </si>
  <si>
    <t>DIRECTIVOS</t>
  </si>
  <si>
    <t>imagen de  google</t>
  </si>
  <si>
    <t>Imagen booking.com</t>
  </si>
  <si>
    <t>Imagen falabella.com</t>
  </si>
  <si>
    <t>Profesional mecanico expertos Banco</t>
  </si>
  <si>
    <t>SUBTOTAL 1 CAJA</t>
  </si>
  <si>
    <t>TOTAL APALANCAMIENTO</t>
  </si>
  <si>
    <t xml:space="preserve">ASIGNACION PRESUPUESTAL DEL AREA DE INFRAESTRUCTURA </t>
  </si>
  <si>
    <t xml:space="preserve">Vice presidencia administrativa </t>
  </si>
  <si>
    <t xml:space="preserve">Gerencia de infraestrutura </t>
  </si>
  <si>
    <t>SUBTOTAL 2 CAJA</t>
  </si>
  <si>
    <t>Caja 1</t>
  </si>
  <si>
    <t>Caja 2</t>
  </si>
  <si>
    <t>Mueble en madera(documentos)</t>
  </si>
  <si>
    <t>Contrato de Asesoria - Nomina</t>
  </si>
  <si>
    <t>Gerente de proyecto</t>
  </si>
  <si>
    <t>Gerente Procesos</t>
  </si>
  <si>
    <t>GASTO</t>
  </si>
  <si>
    <t>COSTO</t>
  </si>
  <si>
    <t xml:space="preserve">DEPRESIACION </t>
  </si>
  <si>
    <t xml:space="preserve">MUEBLES Y ENCERES </t>
  </si>
  <si>
    <t xml:space="preserve">EQUIPO DE COMPUTO </t>
  </si>
  <si>
    <t xml:space="preserve">LISTA DE CHEQUEO MOBILIARIO Y ARTICULOS OFICINA </t>
  </si>
  <si>
    <t>TIEMPO PROYECTO</t>
  </si>
  <si>
    <t xml:space="preserve">VALOR TOTAL </t>
  </si>
  <si>
    <t xml:space="preserve">FLUJO DE CAJA </t>
  </si>
  <si>
    <t xml:space="preserve">INGRESO </t>
  </si>
  <si>
    <t xml:space="preserve">COSTO </t>
  </si>
  <si>
    <t xml:space="preserve">GASTO </t>
  </si>
  <si>
    <t>TOTAL NOMINA 6 MESES</t>
  </si>
  <si>
    <t xml:space="preserve">V/TOTAL CON DEPRESIACION </t>
  </si>
  <si>
    <t xml:space="preserve">AGUA </t>
  </si>
  <si>
    <t xml:space="preserve">LUZ </t>
  </si>
  <si>
    <t xml:space="preserve">PLANES CELULARES </t>
  </si>
  <si>
    <t xml:space="preserve">MES </t>
  </si>
  <si>
    <t>TIO</t>
  </si>
  <si>
    <t>TIR</t>
  </si>
  <si>
    <t>TIRM</t>
  </si>
  <si>
    <t>VNA</t>
  </si>
  <si>
    <t>VNA/TIRM</t>
  </si>
  <si>
    <t>YEAR 1</t>
  </si>
  <si>
    <t>YEAR 2</t>
  </si>
  <si>
    <t>YEAR 4</t>
  </si>
  <si>
    <t>YEAR 5</t>
  </si>
  <si>
    <t>YEAR 6</t>
  </si>
  <si>
    <t>PRESUPUESTO</t>
  </si>
  <si>
    <t>PROYECTO</t>
  </si>
  <si>
    <t>GASTO AÑO</t>
  </si>
  <si>
    <t>COSTO AÑO</t>
  </si>
  <si>
    <t>IPC</t>
  </si>
  <si>
    <t>unitario</t>
  </si>
  <si>
    <t>operación</t>
  </si>
  <si>
    <t>YEAR 0</t>
  </si>
  <si>
    <t>operacional</t>
  </si>
  <si>
    <t>cantidad</t>
  </si>
  <si>
    <t>profecionales</t>
  </si>
  <si>
    <t>total anual</t>
  </si>
  <si>
    <t>gasto invesion</t>
  </si>
  <si>
    <t>VALOR EN TIEMPO PROFECCION EN LOS PROYECTOS</t>
  </si>
  <si>
    <t>VISITAS DE SUPERVICION</t>
  </si>
  <si>
    <t>VALOR SOBRE COSTO OBRAS</t>
  </si>
  <si>
    <t>YEAR 7</t>
  </si>
  <si>
    <t>YEAR 8</t>
  </si>
  <si>
    <t xml:space="preserve">MONETIZACION DE COSTOS TIEMPOS Y VIATICOS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</si>
</sst>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&quot;$&quot;\ #,##0"/>
    <numFmt numFmtId="167" formatCode="_-[$$-240A]\ * #,##0_-;\-[$$-240A]\ * #,##0_-;_-[$$-240A]\ * &quot;-&quot;??_-;_-@_-"/>
    <numFmt numFmtId="168" formatCode="&quot;$&quot;#,##0.00"/>
    <numFmt numFmtId="169" formatCode="0.000"/>
    <numFmt numFmtId="170" formatCode="_-&quot;$&quot;\ * #,##0_-;\-&quot;$&quot;\ * #,##0_-;_-&quot;$&quot;\ * &quot;-&quot;??_-;_-@_-"/>
    <numFmt numFmtId="171" formatCode="_-[$$-240A]\ * #,##0.00_-;\-[$$-240A]\ * #,##0.00_-;_-[$$-240A]\ 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u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5" xfId="0" applyFont="1" applyBorder="1"/>
    <xf numFmtId="0" fontId="4" fillId="0" borderId="17" xfId="0" applyFont="1" applyBorder="1"/>
    <xf numFmtId="0" fontId="0" fillId="0" borderId="0" xfId="0" applyAlignment="1">
      <alignment horizontal="center" wrapText="1"/>
    </xf>
    <xf numFmtId="0" fontId="0" fillId="0" borderId="25" xfId="0" applyBorder="1" applyAlignment="1">
      <alignment horizontal="center"/>
    </xf>
    <xf numFmtId="0" fontId="3" fillId="0" borderId="0" xfId="0" applyFont="1"/>
    <xf numFmtId="168" fontId="3" fillId="0" borderId="0" xfId="0" applyNumberFormat="1" applyFont="1"/>
    <xf numFmtId="0" fontId="4" fillId="0" borderId="0" xfId="0" applyFont="1"/>
    <xf numFmtId="0" fontId="0" fillId="0" borderId="6" xfId="0" applyBorder="1"/>
    <xf numFmtId="0" fontId="4" fillId="0" borderId="20" xfId="0" applyFont="1" applyBorder="1" applyAlignment="1">
      <alignment horizontal="center"/>
    </xf>
    <xf numFmtId="44" fontId="4" fillId="0" borderId="20" xfId="1" applyFont="1" applyBorder="1"/>
    <xf numFmtId="169" fontId="4" fillId="0" borderId="20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44" fontId="4" fillId="0" borderId="21" xfId="1" applyFont="1" applyBorder="1"/>
    <xf numFmtId="169" fontId="4" fillId="0" borderId="21" xfId="0" applyNumberFormat="1" applyFont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/>
    <xf numFmtId="0" fontId="4" fillId="0" borderId="31" xfId="0" applyFont="1" applyBorder="1"/>
    <xf numFmtId="0" fontId="4" fillId="0" borderId="32" xfId="0" applyFont="1" applyBorder="1"/>
    <xf numFmtId="0" fontId="5" fillId="3" borderId="2" xfId="0" applyFont="1" applyFill="1" applyBorder="1"/>
    <xf numFmtId="169" fontId="5" fillId="3" borderId="3" xfId="0" applyNumberFormat="1" applyFont="1" applyFill="1" applyBorder="1"/>
    <xf numFmtId="0" fontId="4" fillId="0" borderId="20" xfId="0" applyFont="1" applyBorder="1" applyAlignment="1">
      <alignment horizontal="center" vertical="center"/>
    </xf>
    <xf numFmtId="44" fontId="4" fillId="0" borderId="20" xfId="1" applyFont="1" applyBorder="1" applyAlignment="1">
      <alignment vertical="center"/>
    </xf>
    <xf numFmtId="169" fontId="4" fillId="0" borderId="2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17" xfId="0" applyFont="1" applyBorder="1"/>
    <xf numFmtId="9" fontId="10" fillId="0" borderId="18" xfId="2" applyFont="1" applyBorder="1" applyAlignment="1">
      <alignment horizontal="center"/>
    </xf>
    <xf numFmtId="0" fontId="10" fillId="0" borderId="6" xfId="0" applyFont="1" applyBorder="1"/>
    <xf numFmtId="9" fontId="10" fillId="0" borderId="22" xfId="2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67" fontId="10" fillId="0" borderId="42" xfId="0" applyNumberFormat="1" applyFont="1" applyBorder="1" applyAlignment="1">
      <alignment horizontal="center" vertical="center"/>
    </xf>
    <xf numFmtId="9" fontId="10" fillId="0" borderId="42" xfId="2" applyFont="1" applyBorder="1" applyAlignment="1">
      <alignment horizontal="center" vertical="center"/>
    </xf>
    <xf numFmtId="0" fontId="10" fillId="0" borderId="20" xfId="0" applyFont="1" applyBorder="1"/>
    <xf numFmtId="167" fontId="12" fillId="0" borderId="42" xfId="0" applyNumberFormat="1" applyFont="1" applyBorder="1" applyAlignment="1">
      <alignment horizontal="center" vertical="center"/>
    </xf>
    <xf numFmtId="0" fontId="10" fillId="0" borderId="21" xfId="0" applyFont="1" applyBorder="1"/>
    <xf numFmtId="167" fontId="10" fillId="0" borderId="4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67" fontId="10" fillId="0" borderId="0" xfId="0" applyNumberFormat="1" applyFont="1" applyAlignment="1">
      <alignment horizontal="center"/>
    </xf>
    <xf numFmtId="9" fontId="10" fillId="0" borderId="0" xfId="2" applyFont="1" applyAlignment="1">
      <alignment horizontal="center"/>
    </xf>
    <xf numFmtId="170" fontId="12" fillId="0" borderId="42" xfId="1" applyNumberFormat="1" applyFont="1" applyBorder="1" applyAlignment="1">
      <alignment horizontal="center" vertical="center"/>
    </xf>
    <xf numFmtId="167" fontId="10" fillId="0" borderId="20" xfId="0" applyNumberFormat="1" applyFont="1" applyBorder="1" applyAlignment="1">
      <alignment horizontal="center" vertical="center"/>
    </xf>
    <xf numFmtId="44" fontId="10" fillId="0" borderId="20" xfId="1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168" fontId="4" fillId="0" borderId="20" xfId="0" applyNumberFormat="1" applyFont="1" applyBorder="1" applyAlignment="1">
      <alignment horizontal="center"/>
    </xf>
    <xf numFmtId="168" fontId="4" fillId="0" borderId="20" xfId="0" applyNumberFormat="1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/>
    </xf>
    <xf numFmtId="168" fontId="5" fillId="3" borderId="30" xfId="0" applyNumberFormat="1" applyFont="1" applyFill="1" applyBorder="1" applyAlignment="1">
      <alignment horizontal="center"/>
    </xf>
    <xf numFmtId="0" fontId="0" fillId="0" borderId="20" xfId="0" applyBorder="1"/>
    <xf numFmtId="0" fontId="0" fillId="5" borderId="5" xfId="0" applyFill="1" applyBorder="1" applyAlignment="1">
      <alignment vertical="center"/>
    </xf>
    <xf numFmtId="0" fontId="0" fillId="5" borderId="5" xfId="0" applyFill="1" applyBorder="1"/>
    <xf numFmtId="44" fontId="5" fillId="4" borderId="24" xfId="1" applyFont="1" applyFill="1" applyBorder="1" applyAlignment="1">
      <alignment horizontal="center"/>
    </xf>
    <xf numFmtId="44" fontId="5" fillId="4" borderId="3" xfId="1" applyFont="1" applyFill="1" applyBorder="1" applyAlignment="1">
      <alignment horizontal="center"/>
    </xf>
    <xf numFmtId="168" fontId="4" fillId="0" borderId="21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44" fontId="13" fillId="0" borderId="0" xfId="0" applyNumberFormat="1" applyFont="1"/>
    <xf numFmtId="44" fontId="13" fillId="0" borderId="20" xfId="0" applyNumberFormat="1" applyFont="1" applyBorder="1"/>
    <xf numFmtId="44" fontId="13" fillId="0" borderId="20" xfId="1" applyFont="1" applyBorder="1"/>
    <xf numFmtId="167" fontId="11" fillId="2" borderId="1" xfId="0" applyNumberFormat="1" applyFont="1" applyFill="1" applyBorder="1" applyAlignment="1">
      <alignment horizontal="center" vertical="center"/>
    </xf>
    <xf numFmtId="167" fontId="10" fillId="0" borderId="32" xfId="0" applyNumberFormat="1" applyFont="1" applyBorder="1" applyAlignment="1">
      <alignment horizontal="center" vertical="center"/>
    </xf>
    <xf numFmtId="167" fontId="10" fillId="0" borderId="12" xfId="0" applyNumberFormat="1" applyFont="1" applyBorder="1" applyAlignment="1">
      <alignment horizontal="center" vertical="center"/>
    </xf>
    <xf numFmtId="167" fontId="10" fillId="0" borderId="23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67" fontId="10" fillId="0" borderId="20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167" fontId="10" fillId="0" borderId="34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67" fontId="12" fillId="0" borderId="20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167" fontId="10" fillId="0" borderId="21" xfId="0" applyNumberFormat="1" applyFont="1" applyBorder="1" applyAlignment="1">
      <alignment horizontal="center" vertical="center"/>
    </xf>
    <xf numFmtId="167" fontId="10" fillId="0" borderId="13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wrapText="1"/>
    </xf>
    <xf numFmtId="0" fontId="11" fillId="2" borderId="14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14" fillId="0" borderId="0" xfId="0" applyFont="1" applyBorder="1"/>
    <xf numFmtId="9" fontId="13" fillId="0" borderId="0" xfId="0" applyNumberFormat="1" applyFont="1"/>
    <xf numFmtId="167" fontId="0" fillId="0" borderId="0" xfId="0" applyNumberFormat="1"/>
    <xf numFmtId="171" fontId="0" fillId="0" borderId="0" xfId="0" applyNumberFormat="1"/>
    <xf numFmtId="0" fontId="3" fillId="0" borderId="29" xfId="0" applyFont="1" applyBorder="1"/>
    <xf numFmtId="0" fontId="3" fillId="0" borderId="20" xfId="0" applyFont="1" applyBorder="1"/>
    <xf numFmtId="0" fontId="3" fillId="0" borderId="27" xfId="0" applyFont="1" applyBorder="1"/>
    <xf numFmtId="0" fontId="0" fillId="5" borderId="17" xfId="0" applyFill="1" applyBorder="1" applyAlignment="1">
      <alignment vertical="center"/>
    </xf>
    <xf numFmtId="0" fontId="3" fillId="0" borderId="18" xfId="0" applyFont="1" applyBorder="1"/>
    <xf numFmtId="0" fontId="3" fillId="0" borderId="19" xfId="0" applyFont="1" applyFill="1" applyBorder="1"/>
    <xf numFmtId="0" fontId="3" fillId="0" borderId="22" xfId="0" applyFont="1" applyFill="1" applyBorder="1"/>
    <xf numFmtId="168" fontId="5" fillId="3" borderId="52" xfId="0" applyNumberFormat="1" applyFont="1" applyFill="1" applyBorder="1" applyAlignment="1">
      <alignment horizontal="center"/>
    </xf>
    <xf numFmtId="44" fontId="4" fillId="0" borderId="42" xfId="1" applyFont="1" applyBorder="1" applyAlignment="1">
      <alignment vertical="center"/>
    </xf>
    <xf numFmtId="44" fontId="4" fillId="0" borderId="43" xfId="1" applyFont="1" applyBorder="1" applyAlignment="1">
      <alignment vertical="center"/>
    </xf>
    <xf numFmtId="168" fontId="5" fillId="3" borderId="20" xfId="0" applyNumberFormat="1" applyFont="1" applyFill="1" applyBorder="1" applyAlignment="1">
      <alignment horizontal="center"/>
    </xf>
    <xf numFmtId="44" fontId="0" fillId="0" borderId="20" xfId="0" applyNumberFormat="1" applyBorder="1"/>
    <xf numFmtId="44" fontId="0" fillId="0" borderId="0" xfId="1" applyFont="1"/>
    <xf numFmtId="0" fontId="5" fillId="4" borderId="33" xfId="0" applyFont="1" applyFill="1" applyBorder="1" applyAlignment="1">
      <alignment horizontal="center"/>
    </xf>
    <xf numFmtId="0" fontId="13" fillId="0" borderId="20" xfId="0" applyFont="1" applyBorder="1"/>
    <xf numFmtId="0" fontId="14" fillId="0" borderId="20" xfId="0" applyFont="1" applyBorder="1"/>
    <xf numFmtId="0" fontId="14" fillId="6" borderId="20" xfId="0" applyFont="1" applyFill="1" applyBorder="1"/>
    <xf numFmtId="44" fontId="13" fillId="6" borderId="20" xfId="0" applyNumberFormat="1" applyFont="1" applyFill="1" applyBorder="1"/>
    <xf numFmtId="0" fontId="13" fillId="6" borderId="20" xfId="0" applyFont="1" applyFill="1" applyBorder="1"/>
    <xf numFmtId="0" fontId="14" fillId="2" borderId="20" xfId="0" applyFont="1" applyFill="1" applyBorder="1"/>
    <xf numFmtId="44" fontId="13" fillId="6" borderId="20" xfId="1" applyFont="1" applyFill="1" applyBorder="1"/>
    <xf numFmtId="8" fontId="0" fillId="0" borderId="0" xfId="0" applyNumberFormat="1"/>
    <xf numFmtId="8" fontId="17" fillId="0" borderId="53" xfId="0" applyNumberFormat="1" applyFont="1" applyBorder="1" applyAlignment="1">
      <alignment vertical="center"/>
    </xf>
    <xf numFmtId="0" fontId="0" fillId="5" borderId="0" xfId="0" applyFill="1"/>
    <xf numFmtId="0" fontId="5" fillId="5" borderId="2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left" vertical="center"/>
    </xf>
    <xf numFmtId="0" fontId="9" fillId="5" borderId="34" xfId="0" applyFont="1" applyFill="1" applyBorder="1" applyAlignment="1">
      <alignment horizontal="left" vertical="center"/>
    </xf>
    <xf numFmtId="0" fontId="4" fillId="5" borderId="0" xfId="0" applyFont="1" applyFill="1"/>
    <xf numFmtId="0" fontId="9" fillId="5" borderId="27" xfId="0" applyFont="1" applyFill="1" applyBorder="1" applyAlignment="1">
      <alignment horizontal="left" vertical="center"/>
    </xf>
    <xf numFmtId="0" fontId="9" fillId="5" borderId="29" xfId="0" applyFont="1" applyFill="1" applyBorder="1" applyAlignment="1">
      <alignment horizontal="left" vertical="center"/>
    </xf>
    <xf numFmtId="44" fontId="5" fillId="5" borderId="35" xfId="1" applyFont="1" applyFill="1" applyBorder="1" applyAlignment="1">
      <alignment horizontal="center" vertical="center"/>
    </xf>
    <xf numFmtId="44" fontId="5" fillId="5" borderId="36" xfId="1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/>
    </xf>
    <xf numFmtId="44" fontId="4" fillId="5" borderId="38" xfId="1" applyFont="1" applyFill="1" applyBorder="1" applyAlignment="1">
      <alignment horizontal="center" vertical="center"/>
    </xf>
    <xf numFmtId="44" fontId="4" fillId="5" borderId="0" xfId="1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44" fontId="5" fillId="5" borderId="36" xfId="1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44" fontId="5" fillId="5" borderId="0" xfId="1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 wrapText="1"/>
    </xf>
    <xf numFmtId="0" fontId="4" fillId="5" borderId="37" xfId="0" applyFont="1" applyFill="1" applyBorder="1"/>
    <xf numFmtId="0" fontId="4" fillId="5" borderId="38" xfId="0" applyFont="1" applyFill="1" applyBorder="1"/>
    <xf numFmtId="0" fontId="9" fillId="5" borderId="35" xfId="0" applyFont="1" applyFill="1" applyBorder="1" applyAlignment="1">
      <alignment vertical="center"/>
    </xf>
    <xf numFmtId="44" fontId="5" fillId="5" borderId="36" xfId="1" applyFont="1" applyFill="1" applyBorder="1" applyAlignment="1">
      <alignment vertical="center"/>
    </xf>
    <xf numFmtId="44" fontId="5" fillId="5" borderId="39" xfId="1" applyFont="1" applyFill="1" applyBorder="1" applyAlignment="1">
      <alignment horizontal="center" vertical="center"/>
    </xf>
    <xf numFmtId="44" fontId="5" fillId="5" borderId="40" xfId="1" applyFont="1" applyFill="1" applyBorder="1" applyAlignment="1">
      <alignment horizontal="center" vertical="center"/>
    </xf>
    <xf numFmtId="44" fontId="4" fillId="5" borderId="26" xfId="1" applyFont="1" applyFill="1" applyBorder="1" applyAlignment="1">
      <alignment horizontal="center" vertical="center"/>
    </xf>
    <xf numFmtId="44" fontId="0" fillId="5" borderId="0" xfId="1" applyFont="1" applyFill="1" applyBorder="1" applyAlignment="1">
      <alignment horizontal="center" vertical="center"/>
    </xf>
    <xf numFmtId="164" fontId="0" fillId="5" borderId="0" xfId="0" applyNumberFormat="1" applyFill="1"/>
    <xf numFmtId="0" fontId="10" fillId="5" borderId="0" xfId="0" applyFont="1" applyFill="1" applyAlignment="1">
      <alignment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166" fontId="6" fillId="5" borderId="18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/>
    </xf>
    <xf numFmtId="44" fontId="7" fillId="5" borderId="20" xfId="1" applyFont="1" applyFill="1" applyBorder="1" applyAlignment="1">
      <alignment horizontal="center" vertical="center"/>
    </xf>
    <xf numFmtId="44" fontId="7" fillId="5" borderId="19" xfId="1" applyFont="1" applyFill="1" applyBorder="1" applyAlignment="1">
      <alignment horizontal="center" vertical="center"/>
    </xf>
    <xf numFmtId="44" fontId="4" fillId="5" borderId="0" xfId="0" applyNumberFormat="1" applyFont="1" applyFill="1"/>
    <xf numFmtId="44" fontId="0" fillId="5" borderId="0" xfId="0" applyNumberFormat="1" applyFill="1"/>
    <xf numFmtId="0" fontId="7" fillId="5" borderId="6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left" vertical="center"/>
    </xf>
    <xf numFmtId="0" fontId="7" fillId="5" borderId="21" xfId="0" applyFont="1" applyFill="1" applyBorder="1" applyAlignment="1">
      <alignment horizontal="center" vertical="center"/>
    </xf>
    <xf numFmtId="44" fontId="7" fillId="5" borderId="45" xfId="1" applyFont="1" applyFill="1" applyBorder="1" applyAlignment="1">
      <alignment horizontal="center" vertical="center"/>
    </xf>
    <xf numFmtId="44" fontId="7" fillId="5" borderId="32" xfId="1" applyFont="1" applyFill="1" applyBorder="1" applyAlignment="1">
      <alignment horizontal="center" vertical="center"/>
    </xf>
    <xf numFmtId="0" fontId="1" fillId="5" borderId="2" xfId="0" applyFont="1" applyFill="1" applyBorder="1"/>
    <xf numFmtId="44" fontId="8" fillId="5" borderId="3" xfId="1" applyFont="1" applyFill="1" applyBorder="1" applyAlignment="1">
      <alignment horizontal="center" vertical="center"/>
    </xf>
    <xf numFmtId="44" fontId="0" fillId="5" borderId="1" xfId="0" applyNumberFormat="1" applyFill="1" applyBorder="1"/>
    <xf numFmtId="0" fontId="7" fillId="5" borderId="0" xfId="0" applyFont="1" applyFill="1" applyAlignment="1">
      <alignment horizontal="left" vertical="center"/>
    </xf>
    <xf numFmtId="0" fontId="6" fillId="5" borderId="3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166" fontId="6" fillId="5" borderId="34" xfId="0" applyNumberFormat="1" applyFont="1" applyFill="1" applyBorder="1" applyAlignment="1">
      <alignment horizontal="center" vertical="center" wrapText="1"/>
    </xf>
    <xf numFmtId="0" fontId="0" fillId="5" borderId="17" xfId="0" applyFill="1" applyBorder="1"/>
    <xf numFmtId="0" fontId="0" fillId="5" borderId="30" xfId="0" applyFill="1" applyBorder="1"/>
    <xf numFmtId="0" fontId="0" fillId="5" borderId="30" xfId="0" applyFill="1" applyBorder="1" applyAlignment="1">
      <alignment horizontal="center"/>
    </xf>
    <xf numFmtId="44" fontId="0" fillId="5" borderId="30" xfId="1" applyFont="1" applyFill="1" applyBorder="1"/>
    <xf numFmtId="44" fontId="0" fillId="5" borderId="18" xfId="0" applyNumberFormat="1" applyFill="1" applyBorder="1"/>
    <xf numFmtId="0" fontId="0" fillId="5" borderId="20" xfId="0" applyFill="1" applyBorder="1"/>
    <xf numFmtId="0" fontId="0" fillId="5" borderId="20" xfId="0" applyFill="1" applyBorder="1" applyAlignment="1">
      <alignment horizontal="center"/>
    </xf>
    <xf numFmtId="44" fontId="0" fillId="5" borderId="20" xfId="1" applyFont="1" applyFill="1" applyBorder="1"/>
    <xf numFmtId="44" fontId="0" fillId="5" borderId="19" xfId="0" applyNumberFormat="1" applyFill="1" applyBorder="1"/>
    <xf numFmtId="0" fontId="0" fillId="5" borderId="6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4" fontId="0" fillId="5" borderId="21" xfId="1" applyFont="1" applyFill="1" applyBorder="1"/>
    <xf numFmtId="44" fontId="0" fillId="5" borderId="22" xfId="0" applyNumberFormat="1" applyFill="1" applyBorder="1"/>
    <xf numFmtId="0" fontId="1" fillId="5" borderId="46" xfId="0" applyFont="1" applyFill="1" applyBorder="1"/>
    <xf numFmtId="44" fontId="1" fillId="5" borderId="13" xfId="1" applyFont="1" applyFill="1" applyBorder="1"/>
    <xf numFmtId="44" fontId="1" fillId="5" borderId="3" xfId="0" applyNumberFormat="1" applyFont="1" applyFill="1" applyBorder="1"/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65" fontId="4" fillId="5" borderId="23" xfId="1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65" fontId="5" fillId="5" borderId="2" xfId="1" applyNumberFormat="1" applyFont="1" applyFill="1" applyBorder="1" applyAlignment="1">
      <alignment horizontal="center" vertical="center"/>
    </xf>
    <xf numFmtId="165" fontId="5" fillId="5" borderId="0" xfId="1" applyNumberFormat="1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165" fontId="4" fillId="5" borderId="18" xfId="1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165" fontId="5" fillId="5" borderId="1" xfId="1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3" fillId="5" borderId="0" xfId="0" applyFont="1" applyFill="1"/>
    <xf numFmtId="0" fontId="13" fillId="5" borderId="20" xfId="0" applyFont="1" applyFill="1" applyBorder="1"/>
    <xf numFmtId="44" fontId="13" fillId="5" borderId="20" xfId="0" applyNumberFormat="1" applyFont="1" applyFill="1" applyBorder="1"/>
    <xf numFmtId="44" fontId="13" fillId="5" borderId="20" xfId="1" applyFont="1" applyFill="1" applyBorder="1"/>
    <xf numFmtId="0" fontId="7" fillId="5" borderId="42" xfId="0" applyFont="1" applyFill="1" applyBorder="1" applyAlignment="1">
      <alignment horizontal="center" vertical="center"/>
    </xf>
    <xf numFmtId="0" fontId="7" fillId="5" borderId="43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44" fontId="4" fillId="5" borderId="20" xfId="0" applyNumberFormat="1" applyFont="1" applyFill="1" applyBorder="1"/>
    <xf numFmtId="0" fontId="4" fillId="5" borderId="20" xfId="0" applyFont="1" applyFill="1" applyBorder="1"/>
    <xf numFmtId="44" fontId="0" fillId="5" borderId="20" xfId="0" applyNumberFormat="1" applyFill="1" applyBorder="1"/>
    <xf numFmtId="0" fontId="0" fillId="5" borderId="0" xfId="0" applyFill="1" applyBorder="1"/>
    <xf numFmtId="0" fontId="10" fillId="5" borderId="0" xfId="0" applyFont="1" applyFill="1" applyBorder="1" applyAlignment="1">
      <alignment horizontal="center" vertical="center"/>
    </xf>
    <xf numFmtId="44" fontId="4" fillId="5" borderId="0" xfId="0" applyNumberFormat="1" applyFont="1" applyFill="1" applyBorder="1"/>
    <xf numFmtId="0" fontId="4" fillId="5" borderId="0" xfId="0" applyFont="1" applyFill="1" applyBorder="1"/>
    <xf numFmtId="44" fontId="0" fillId="5" borderId="0" xfId="0" applyNumberFormat="1" applyFill="1" applyBorder="1"/>
    <xf numFmtId="44" fontId="13" fillId="5" borderId="0" xfId="0" applyNumberFormat="1" applyFont="1" applyFill="1"/>
    <xf numFmtId="9" fontId="13" fillId="5" borderId="20" xfId="0" applyNumberFormat="1" applyFont="1" applyFill="1" applyBorder="1"/>
    <xf numFmtId="0" fontId="13" fillId="5" borderId="27" xfId="0" applyFont="1" applyFill="1" applyBorder="1"/>
    <xf numFmtId="44" fontId="13" fillId="5" borderId="11" xfId="0" applyNumberFormat="1" applyFont="1" applyFill="1" applyBorder="1"/>
    <xf numFmtId="0" fontId="13" fillId="5" borderId="6" xfId="0" applyFont="1" applyFill="1" applyBorder="1"/>
    <xf numFmtId="44" fontId="13" fillId="5" borderId="22" xfId="0" applyNumberFormat="1" applyFont="1" applyFill="1" applyBorder="1"/>
    <xf numFmtId="0" fontId="14" fillId="5" borderId="1" xfId="0" applyFont="1" applyFill="1" applyBorder="1"/>
    <xf numFmtId="9" fontId="14" fillId="5" borderId="2" xfId="0" applyNumberFormat="1" applyFont="1" applyFill="1" applyBorder="1" applyAlignment="1">
      <alignment horizontal="center"/>
    </xf>
    <xf numFmtId="9" fontId="14" fillId="5" borderId="24" xfId="0" applyNumberFormat="1" applyFont="1" applyFill="1" applyBorder="1" applyAlignment="1">
      <alignment horizontal="center"/>
    </xf>
    <xf numFmtId="9" fontId="14" fillId="5" borderId="3" xfId="0" applyNumberFormat="1" applyFont="1" applyFill="1" applyBorder="1" applyAlignment="1">
      <alignment horizontal="center"/>
    </xf>
    <xf numFmtId="9" fontId="14" fillId="5" borderId="1" xfId="0" applyNumberFormat="1" applyFont="1" applyFill="1" applyBorder="1" applyAlignment="1">
      <alignment horizontal="center"/>
    </xf>
    <xf numFmtId="0" fontId="14" fillId="5" borderId="0" xfId="0" applyFont="1" applyFill="1"/>
    <xf numFmtId="9" fontId="14" fillId="5" borderId="37" xfId="0" applyNumberFormat="1" applyFont="1" applyFill="1" applyBorder="1" applyAlignment="1">
      <alignment horizontal="center"/>
    </xf>
    <xf numFmtId="9" fontId="14" fillId="5" borderId="0" xfId="0" applyNumberFormat="1" applyFont="1" applyFill="1" applyAlignment="1">
      <alignment horizontal="center"/>
    </xf>
    <xf numFmtId="9" fontId="14" fillId="5" borderId="38" xfId="0" applyNumberFormat="1" applyFont="1" applyFill="1" applyBorder="1" applyAlignment="1">
      <alignment horizontal="center"/>
    </xf>
    <xf numFmtId="9" fontId="14" fillId="5" borderId="0" xfId="0" applyNumberFormat="1" applyFont="1" applyFill="1" applyAlignment="1">
      <alignment horizontal="center"/>
    </xf>
    <xf numFmtId="0" fontId="14" fillId="5" borderId="2" xfId="0" applyFont="1" applyFill="1" applyBorder="1"/>
    <xf numFmtId="0" fontId="14" fillId="5" borderId="3" xfId="0" applyFont="1" applyFill="1" applyBorder="1" applyAlignment="1">
      <alignment horizontal="center"/>
    </xf>
    <xf numFmtId="0" fontId="14" fillId="5" borderId="51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4" xfId="0" applyFont="1" applyFill="1" applyBorder="1"/>
    <xf numFmtId="44" fontId="13" fillId="5" borderId="48" xfId="0" applyNumberFormat="1" applyFont="1" applyFill="1" applyBorder="1"/>
    <xf numFmtId="44" fontId="13" fillId="5" borderId="47" xfId="0" applyNumberFormat="1" applyFont="1" applyFill="1" applyBorder="1"/>
    <xf numFmtId="44" fontId="13" fillId="5" borderId="23" xfId="0" applyNumberFormat="1" applyFont="1" applyFill="1" applyBorder="1"/>
    <xf numFmtId="0" fontId="14" fillId="5" borderId="5" xfId="0" applyFont="1" applyFill="1" applyBorder="1"/>
    <xf numFmtId="44" fontId="13" fillId="5" borderId="49" xfId="0" applyNumberFormat="1" applyFont="1" applyFill="1" applyBorder="1"/>
    <xf numFmtId="44" fontId="13" fillId="5" borderId="19" xfId="0" applyNumberFormat="1" applyFont="1" applyFill="1" applyBorder="1"/>
    <xf numFmtId="0" fontId="14" fillId="5" borderId="31" xfId="0" applyFont="1" applyFill="1" applyBorder="1"/>
    <xf numFmtId="44" fontId="13" fillId="5" borderId="45" xfId="1" applyFont="1" applyFill="1" applyBorder="1"/>
    <xf numFmtId="44" fontId="13" fillId="5" borderId="50" xfId="0" applyNumberFormat="1" applyFont="1" applyFill="1" applyBorder="1"/>
    <xf numFmtId="44" fontId="13" fillId="5" borderId="45" xfId="0" applyNumberFormat="1" applyFont="1" applyFill="1" applyBorder="1"/>
    <xf numFmtId="44" fontId="13" fillId="5" borderId="32" xfId="0" applyNumberFormat="1" applyFont="1" applyFill="1" applyBorder="1"/>
    <xf numFmtId="44" fontId="13" fillId="5" borderId="3" xfId="0" applyNumberFormat="1" applyFont="1" applyFill="1" applyBorder="1"/>
    <xf numFmtId="44" fontId="14" fillId="5" borderId="51" xfId="0" applyNumberFormat="1" applyFont="1" applyFill="1" applyBorder="1"/>
    <xf numFmtId="44" fontId="14" fillId="5" borderId="24" xfId="0" applyNumberFormat="1" applyFont="1" applyFill="1" applyBorder="1"/>
    <xf numFmtId="44" fontId="14" fillId="5" borderId="3" xfId="0" applyNumberFormat="1" applyFont="1" applyFill="1" applyBorder="1"/>
    <xf numFmtId="0" fontId="13" fillId="5" borderId="0" xfId="0" applyFont="1" applyFill="1" applyAlignment="1">
      <alignment vertical="center"/>
    </xf>
    <xf numFmtId="0" fontId="14" fillId="5" borderId="0" xfId="0" applyFont="1" applyFill="1" applyAlignment="1">
      <alignment vertical="center"/>
    </xf>
    <xf numFmtId="0" fontId="14" fillId="5" borderId="17" xfId="0" applyFont="1" applyFill="1" applyBorder="1" applyAlignment="1">
      <alignment horizontal="right"/>
    </xf>
    <xf numFmtId="9" fontId="15" fillId="5" borderId="18" xfId="2" applyFont="1" applyFill="1" applyBorder="1" applyAlignment="1">
      <alignment vertical="center"/>
    </xf>
    <xf numFmtId="0" fontId="14" fillId="5" borderId="5" xfId="0" applyFont="1" applyFill="1" applyBorder="1" applyAlignment="1">
      <alignment horizontal="right"/>
    </xf>
    <xf numFmtId="9" fontId="13" fillId="5" borderId="19" xfId="2" applyFont="1" applyFill="1" applyBorder="1" applyAlignment="1">
      <alignment vertical="center"/>
    </xf>
    <xf numFmtId="9" fontId="13" fillId="5" borderId="0" xfId="0" applyNumberFormat="1" applyFont="1" applyFill="1" applyAlignment="1">
      <alignment vertical="center"/>
    </xf>
    <xf numFmtId="44" fontId="13" fillId="5" borderId="0" xfId="1" applyFont="1" applyFill="1"/>
    <xf numFmtId="8" fontId="13" fillId="5" borderId="19" xfId="0" applyNumberFormat="1" applyFont="1" applyFill="1" applyBorder="1" applyAlignment="1">
      <alignment vertical="center"/>
    </xf>
    <xf numFmtId="0" fontId="14" fillId="5" borderId="6" xfId="0" applyFont="1" applyFill="1" applyBorder="1" applyAlignment="1">
      <alignment horizontal="right"/>
    </xf>
    <xf numFmtId="8" fontId="13" fillId="5" borderId="22" xfId="0" applyNumberFormat="1" applyFont="1" applyFill="1" applyBorder="1" applyAlignment="1">
      <alignment vertical="center"/>
    </xf>
    <xf numFmtId="0" fontId="13" fillId="5" borderId="0" xfId="0" applyFont="1" applyFill="1" applyBorder="1"/>
    <xf numFmtId="0" fontId="14" fillId="5" borderId="0" xfId="0" applyFont="1" applyFill="1" applyBorder="1"/>
    <xf numFmtId="9" fontId="14" fillId="5" borderId="0" xfId="0" applyNumberFormat="1" applyFont="1" applyFill="1" applyBorder="1" applyAlignment="1">
      <alignment horizontal="center"/>
    </xf>
    <xf numFmtId="9" fontId="14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44" fontId="13" fillId="5" borderId="0" xfId="0" applyNumberFormat="1" applyFont="1" applyFill="1" applyBorder="1"/>
    <xf numFmtId="44" fontId="13" fillId="5" borderId="0" xfId="1" applyFont="1" applyFill="1" applyBorder="1"/>
    <xf numFmtId="44" fontId="14" fillId="5" borderId="0" xfId="0" applyNumberFormat="1" applyFont="1" applyFill="1" applyBorder="1"/>
    <xf numFmtId="0" fontId="13" fillId="5" borderId="0" xfId="0" applyFont="1" applyFill="1" applyBorder="1" applyAlignment="1">
      <alignment vertical="center"/>
    </xf>
    <xf numFmtId="0" fontId="14" fillId="5" borderId="0" xfId="0" applyFont="1" applyFill="1" applyBorder="1" applyAlignment="1">
      <alignment vertical="center"/>
    </xf>
    <xf numFmtId="0" fontId="14" fillId="5" borderId="0" xfId="0" applyFont="1" applyFill="1" applyBorder="1" applyAlignment="1">
      <alignment horizontal="right"/>
    </xf>
    <xf numFmtId="9" fontId="15" fillId="5" borderId="0" xfId="2" applyFont="1" applyFill="1" applyBorder="1" applyAlignment="1">
      <alignment vertical="center"/>
    </xf>
    <xf numFmtId="9" fontId="13" fillId="5" borderId="0" xfId="2" applyFont="1" applyFill="1" applyBorder="1" applyAlignment="1">
      <alignment vertical="center"/>
    </xf>
    <xf numFmtId="9" fontId="13" fillId="5" borderId="0" xfId="0" applyNumberFormat="1" applyFont="1" applyFill="1" applyBorder="1" applyAlignment="1">
      <alignment vertical="center"/>
    </xf>
    <xf numFmtId="8" fontId="13" fillId="5" borderId="0" xfId="0" applyNumberFormat="1" applyFont="1" applyFill="1" applyBorder="1" applyAlignment="1">
      <alignment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466726</xdr:colOff>
      <xdr:row>12</xdr:row>
      <xdr:rowOff>48837</xdr:rowOff>
    </xdr:from>
    <xdr:to>
      <xdr:col>1</xdr:col>
      <xdr:colOff>1466850</xdr:colOff>
      <xdr:row>15</xdr:row>
      <xdr:rowOff>142874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477F769-12AF-4EEF-9270-4BADC282F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6" y="7316412"/>
          <a:ext cx="1000124" cy="665537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17</xdr:row>
      <xdr:rowOff>28575</xdr:rowOff>
    </xdr:from>
    <xdr:to>
      <xdr:col>1</xdr:col>
      <xdr:colOff>1581150</xdr:colOff>
      <xdr:row>20</xdr:row>
      <xdr:rowOff>184594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1E64797-53B2-4EC4-A875-62ECBB5E2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8248650"/>
          <a:ext cx="1085850" cy="7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22</xdr:row>
      <xdr:rowOff>76200</xdr:rowOff>
    </xdr:from>
    <xdr:to>
      <xdr:col>1</xdr:col>
      <xdr:colOff>1454150</xdr:colOff>
      <xdr:row>25</xdr:row>
      <xdr:rowOff>152400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BC4F9E8-D2B8-4869-9AA8-797D98101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9248775"/>
          <a:ext cx="863600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466726</xdr:colOff>
      <xdr:row>37</xdr:row>
      <xdr:rowOff>101346</xdr:rowOff>
    </xdr:from>
    <xdr:to>
      <xdr:col>1</xdr:col>
      <xdr:colOff>1400176</xdr:colOff>
      <xdr:row>40</xdr:row>
      <xdr:rowOff>127254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D97A3EB-4D14-4C0C-9E62-113F91227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6" y="14036421"/>
          <a:ext cx="933450" cy="597408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47</xdr:row>
      <xdr:rowOff>58859</xdr:rowOff>
    </xdr:from>
    <xdr:to>
      <xdr:col>1</xdr:col>
      <xdr:colOff>1581150</xdr:colOff>
      <xdr:row>50</xdr:row>
      <xdr:rowOff>142875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A6C0A2B-C279-4359-9AF0-870C90A85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6851434"/>
          <a:ext cx="1162050" cy="655516"/>
        </a:xfrm>
        <a:prstGeom prst="rect">
          <a:avLst/>
        </a:prstGeom>
      </xdr:spPr>
    </xdr:pic>
    <xdr:clientData/>
  </xdr:twoCellAnchor>
  <xdr:twoCellAnchor editAs="oneCell">
    <xdr:from>
      <xdr:col>1</xdr:col>
      <xdr:colOff>717469</xdr:colOff>
      <xdr:row>7</xdr:row>
      <xdr:rowOff>95266</xdr:rowOff>
    </xdr:from>
    <xdr:to>
      <xdr:col>1</xdr:col>
      <xdr:colOff>1150422</xdr:colOff>
      <xdr:row>10</xdr:row>
      <xdr:rowOff>173181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263E37F0-35E5-422E-930A-BF98F5C1E7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0142" t="47693" r="61585" b="30321"/>
        <a:stretch/>
      </xdr:blipFill>
      <xdr:spPr>
        <a:xfrm>
          <a:off x="1781300" y="689032"/>
          <a:ext cx="432953" cy="646941"/>
        </a:xfrm>
        <a:prstGeom prst="rect">
          <a:avLst/>
        </a:prstGeom>
      </xdr:spPr>
    </xdr:pic>
    <xdr:clientData/>
  </xdr:twoCellAnchor>
  <xdr:twoCellAnchor editAs="oneCell">
    <xdr:from>
      <xdr:col>1</xdr:col>
      <xdr:colOff>519545</xdr:colOff>
      <xdr:row>27</xdr:row>
      <xdr:rowOff>37110</xdr:rowOff>
    </xdr:from>
    <xdr:to>
      <xdr:col>1</xdr:col>
      <xdr:colOff>1460639</xdr:colOff>
      <xdr:row>31</xdr:row>
      <xdr:rowOff>12369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AE2A0-035F-44ED-956F-825257ADC5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8637" t="21647" r="52553" b="39285"/>
        <a:stretch/>
      </xdr:blipFill>
      <xdr:spPr>
        <a:xfrm>
          <a:off x="1583376" y="5381006"/>
          <a:ext cx="941094" cy="717467"/>
        </a:xfrm>
        <a:prstGeom prst="rect">
          <a:avLst/>
        </a:prstGeom>
      </xdr:spPr>
    </xdr:pic>
    <xdr:clientData/>
  </xdr:twoCellAnchor>
  <xdr:twoCellAnchor editAs="oneCell">
    <xdr:from>
      <xdr:col>1</xdr:col>
      <xdr:colOff>606138</xdr:colOff>
      <xdr:row>32</xdr:row>
      <xdr:rowOff>37111</xdr:rowOff>
    </xdr:from>
    <xdr:to>
      <xdr:col>1</xdr:col>
      <xdr:colOff>1082752</xdr:colOff>
      <xdr:row>35</xdr:row>
      <xdr:rowOff>160813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461E8B-FB25-48F5-A4D9-9A0D5B9EEB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8336" t="25707" r="59208" b="42667"/>
        <a:stretch/>
      </xdr:blipFill>
      <xdr:spPr>
        <a:xfrm>
          <a:off x="1669969" y="7286007"/>
          <a:ext cx="476614" cy="680358"/>
        </a:xfrm>
        <a:prstGeom prst="rect">
          <a:avLst/>
        </a:prstGeom>
      </xdr:spPr>
    </xdr:pic>
    <xdr:clientData/>
  </xdr:twoCellAnchor>
  <xdr:twoCellAnchor editAs="oneCell">
    <xdr:from>
      <xdr:col>1</xdr:col>
      <xdr:colOff>531916</xdr:colOff>
      <xdr:row>42</xdr:row>
      <xdr:rowOff>112203</xdr:rowOff>
    </xdr:from>
    <xdr:to>
      <xdr:col>1</xdr:col>
      <xdr:colOff>1484416</xdr:colOff>
      <xdr:row>45</xdr:row>
      <xdr:rowOff>98960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A1B880-3FFF-4A2B-ABB0-4026F504D2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7955" t="50905" r="57212" b="34043"/>
        <a:stretch/>
      </xdr:blipFill>
      <xdr:spPr>
        <a:xfrm>
          <a:off x="1595747" y="9216619"/>
          <a:ext cx="952500" cy="543413"/>
        </a:xfrm>
        <a:prstGeom prst="rect">
          <a:avLst/>
        </a:prstGeom>
      </xdr:spPr>
    </xdr:pic>
    <xdr:clientData/>
  </xdr:twoCellAnchor>
  <xdr:twoCellAnchor editAs="oneCell">
    <xdr:from>
      <xdr:col>1</xdr:col>
      <xdr:colOff>494806</xdr:colOff>
      <xdr:row>52</xdr:row>
      <xdr:rowOff>61519</xdr:rowOff>
    </xdr:from>
    <xdr:to>
      <xdr:col>1</xdr:col>
      <xdr:colOff>1447305</xdr:colOff>
      <xdr:row>55</xdr:row>
      <xdr:rowOff>136071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619850B-3968-40E9-A159-8592C81752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7116" t="22663" r="51032" b="39792"/>
        <a:stretch/>
      </xdr:blipFill>
      <xdr:spPr>
        <a:xfrm>
          <a:off x="1558637" y="11021454"/>
          <a:ext cx="952499" cy="631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2FAB6-75EE-4268-BEDF-AF911FEF868E}">
  <dimension ref="A1:H20"/>
  <sheetViews>
    <sheetView workbookViewId="0">
      <selection activeCell="J11" sqref="J11"/>
    </sheetView>
  </sheetViews>
  <sheetFormatPr baseColWidth="10" defaultRowHeight="15" x14ac:dyDescent="0.25"/>
  <cols>
    <col min="2" max="2" width="16.28515625" bestFit="1" customWidth="1"/>
    <col min="3" max="3" width="18.28515625" bestFit="1" customWidth="1"/>
    <col min="5" max="5" width="29.42578125" bestFit="1" customWidth="1"/>
    <col min="6" max="6" width="18.28515625" bestFit="1" customWidth="1"/>
  </cols>
  <sheetData>
    <row r="1" spans="1:8" ht="15.75" thickBot="1" x14ac:dyDescent="0.3">
      <c r="A1" s="142"/>
      <c r="B1" s="142"/>
      <c r="C1" s="142"/>
      <c r="D1" s="142"/>
      <c r="E1" s="142"/>
      <c r="F1" s="142"/>
      <c r="G1" s="142"/>
      <c r="H1" s="142"/>
    </row>
    <row r="2" spans="1:8" ht="15.75" thickBot="1" x14ac:dyDescent="0.3">
      <c r="A2" s="142"/>
      <c r="B2" s="143" t="s">
        <v>34</v>
      </c>
      <c r="C2" s="144"/>
      <c r="D2" s="144"/>
      <c r="E2" s="144"/>
      <c r="F2" s="145"/>
      <c r="G2" s="142"/>
      <c r="H2" s="142"/>
    </row>
    <row r="3" spans="1:8" ht="15.75" x14ac:dyDescent="0.25">
      <c r="A3" s="142"/>
      <c r="B3" s="146" t="s">
        <v>35</v>
      </c>
      <c r="C3" s="147"/>
      <c r="D3" s="148"/>
      <c r="E3" s="149" t="s">
        <v>36</v>
      </c>
      <c r="F3" s="150"/>
      <c r="G3" s="142"/>
      <c r="H3" s="142"/>
    </row>
    <row r="4" spans="1:8" x14ac:dyDescent="0.25">
      <c r="A4" s="142"/>
      <c r="B4" s="151" t="s">
        <v>37</v>
      </c>
      <c r="C4" s="152"/>
      <c r="D4" s="148"/>
      <c r="E4" s="151" t="s">
        <v>37</v>
      </c>
      <c r="F4" s="152"/>
      <c r="G4" s="142"/>
      <c r="H4" s="142"/>
    </row>
    <row r="5" spans="1:8" x14ac:dyDescent="0.25">
      <c r="A5" s="142"/>
      <c r="B5" s="153" t="s">
        <v>95</v>
      </c>
      <c r="C5" s="154">
        <f>FINANCACION!C4</f>
        <v>964933872</v>
      </c>
      <c r="D5" s="155"/>
      <c r="E5" s="153" t="s">
        <v>98</v>
      </c>
      <c r="F5" s="154">
        <f>'Nomina fija'!H20</f>
        <v>222981840</v>
      </c>
      <c r="G5" s="142"/>
      <c r="H5" s="142"/>
    </row>
    <row r="6" spans="1:8" x14ac:dyDescent="0.25">
      <c r="A6" s="142"/>
      <c r="B6" s="153" t="s">
        <v>96</v>
      </c>
      <c r="C6" s="154">
        <f>FINANCACION!C7</f>
        <v>100000000</v>
      </c>
      <c r="D6" s="155"/>
      <c r="E6" s="153"/>
      <c r="F6" s="154"/>
      <c r="G6" s="142"/>
      <c r="H6" s="142"/>
    </row>
    <row r="7" spans="1:8" x14ac:dyDescent="0.25">
      <c r="A7" s="142"/>
      <c r="B7" s="156" t="s">
        <v>38</v>
      </c>
      <c r="C7" s="157">
        <f>SUM(C5:C6)</f>
        <v>1064933872</v>
      </c>
      <c r="D7" s="155"/>
      <c r="E7" s="156" t="s">
        <v>38</v>
      </c>
      <c r="F7" s="157">
        <f>SUM(F5:F6)</f>
        <v>222981840</v>
      </c>
      <c r="G7" s="142"/>
      <c r="H7" s="142"/>
    </row>
    <row r="8" spans="1:8" x14ac:dyDescent="0.25">
      <c r="A8" s="142"/>
      <c r="B8" s="153"/>
      <c r="C8" s="154"/>
      <c r="D8" s="155"/>
      <c r="E8" s="153"/>
      <c r="F8" s="154"/>
      <c r="G8" s="142"/>
      <c r="H8" s="142"/>
    </row>
    <row r="9" spans="1:8" x14ac:dyDescent="0.25">
      <c r="A9" s="142"/>
      <c r="B9" s="158" t="s">
        <v>39</v>
      </c>
      <c r="C9" s="159"/>
      <c r="D9" s="160"/>
      <c r="E9" s="158" t="s">
        <v>39</v>
      </c>
      <c r="F9" s="159"/>
      <c r="G9" s="142"/>
      <c r="H9" s="142"/>
    </row>
    <row r="10" spans="1:8" ht="45" x14ac:dyDescent="0.25">
      <c r="A10" s="142"/>
      <c r="B10" s="161" t="s">
        <v>40</v>
      </c>
      <c r="C10" s="154">
        <f>'Gastos Administrativos'!G13</f>
        <v>51700000</v>
      </c>
      <c r="D10" s="155"/>
      <c r="E10" s="153" t="s">
        <v>41</v>
      </c>
      <c r="F10" s="154">
        <v>0</v>
      </c>
      <c r="G10" s="142"/>
      <c r="H10" s="142"/>
    </row>
    <row r="11" spans="1:8" x14ac:dyDescent="0.25">
      <c r="A11" s="142"/>
      <c r="B11" s="156" t="s">
        <v>38</v>
      </c>
      <c r="C11" s="157">
        <f>+C10</f>
        <v>51700000</v>
      </c>
      <c r="D11" s="160"/>
      <c r="E11" s="156" t="s">
        <v>42</v>
      </c>
      <c r="F11" s="157">
        <f>+F10</f>
        <v>0</v>
      </c>
      <c r="G11" s="142"/>
      <c r="H11" s="142"/>
    </row>
    <row r="12" spans="1:8" x14ac:dyDescent="0.25">
      <c r="A12" s="142"/>
      <c r="B12" s="162"/>
      <c r="C12" s="163"/>
      <c r="D12" s="148"/>
      <c r="E12" s="162"/>
      <c r="F12" s="163"/>
      <c r="G12" s="142"/>
      <c r="H12" s="142"/>
    </row>
    <row r="13" spans="1:8" ht="15.75" x14ac:dyDescent="0.25">
      <c r="A13" s="142"/>
      <c r="B13" s="153"/>
      <c r="C13" s="154"/>
      <c r="D13" s="155"/>
      <c r="E13" s="164" t="s">
        <v>43</v>
      </c>
      <c r="F13" s="165">
        <f>C15-F7</f>
        <v>893652032</v>
      </c>
      <c r="G13" s="142"/>
      <c r="H13" s="142"/>
    </row>
    <row r="14" spans="1:8" x14ac:dyDescent="0.25">
      <c r="A14" s="142"/>
      <c r="B14" s="153"/>
      <c r="C14" s="154"/>
      <c r="D14" s="155"/>
      <c r="E14" s="153"/>
      <c r="F14" s="154"/>
      <c r="G14" s="142"/>
      <c r="H14" s="142"/>
    </row>
    <row r="15" spans="1:8" ht="15.75" thickBot="1" x14ac:dyDescent="0.3">
      <c r="A15" s="142"/>
      <c r="B15" s="166" t="s">
        <v>44</v>
      </c>
      <c r="C15" s="167">
        <f>+C7+C11</f>
        <v>1116633872</v>
      </c>
      <c r="D15" s="168"/>
      <c r="E15" s="166" t="s">
        <v>45</v>
      </c>
      <c r="F15" s="167">
        <f>F7+F13</f>
        <v>1116633872</v>
      </c>
      <c r="G15" s="142"/>
      <c r="H15" s="142"/>
    </row>
    <row r="16" spans="1:8" x14ac:dyDescent="0.25">
      <c r="A16" s="142"/>
      <c r="B16" s="142"/>
      <c r="C16" s="142"/>
      <c r="D16" s="169"/>
      <c r="E16" s="142"/>
      <c r="F16" s="142"/>
      <c r="G16" s="142"/>
      <c r="H16" s="142"/>
    </row>
    <row r="17" spans="1:8" x14ac:dyDescent="0.25">
      <c r="A17" s="142"/>
      <c r="B17" s="142"/>
      <c r="C17" s="142"/>
      <c r="D17" s="169"/>
      <c r="E17" s="142"/>
      <c r="F17" s="170"/>
      <c r="G17" s="142"/>
      <c r="H17" s="142"/>
    </row>
    <row r="18" spans="1:8" x14ac:dyDescent="0.25">
      <c r="A18" s="142"/>
      <c r="B18" s="142"/>
      <c r="C18" s="142"/>
      <c r="D18" s="169"/>
      <c r="E18" s="142"/>
      <c r="F18" s="170"/>
      <c r="G18" s="142"/>
      <c r="H18" s="142"/>
    </row>
    <row r="19" spans="1:8" x14ac:dyDescent="0.25">
      <c r="A19" s="142"/>
      <c r="B19" s="142"/>
      <c r="C19" s="142"/>
      <c r="D19" s="142"/>
      <c r="E19" s="142"/>
      <c r="F19" s="142"/>
      <c r="G19" s="142"/>
      <c r="H19" s="142"/>
    </row>
    <row r="20" spans="1:8" x14ac:dyDescent="0.25">
      <c r="A20" s="142"/>
      <c r="B20" s="142"/>
      <c r="C20" s="142"/>
      <c r="D20" s="142"/>
      <c r="E20" s="142"/>
      <c r="F20" s="142"/>
      <c r="G20" s="142"/>
      <c r="H20" s="142"/>
    </row>
  </sheetData>
  <mergeCells count="7">
    <mergeCell ref="B9:C9"/>
    <mergeCell ref="E9:F9"/>
    <mergeCell ref="B2:F2"/>
    <mergeCell ref="B3:C3"/>
    <mergeCell ref="E3:F3"/>
    <mergeCell ref="B4:C4"/>
    <mergeCell ref="E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0A90-CE36-43A7-A36A-4D822FD28BB6}">
  <dimension ref="A1:N57"/>
  <sheetViews>
    <sheetView tabSelected="1" topLeftCell="A6" zoomScale="120" zoomScaleNormal="120" workbookViewId="0">
      <selection activeCell="B29" sqref="B29"/>
    </sheetView>
  </sheetViews>
  <sheetFormatPr baseColWidth="10" defaultRowHeight="11.25" x14ac:dyDescent="0.2"/>
  <cols>
    <col min="1" max="1" width="18.140625" style="74" bestFit="1" customWidth="1"/>
    <col min="2" max="2" width="14.85546875" style="74" customWidth="1"/>
    <col min="3" max="6" width="14.140625" style="74" bestFit="1" customWidth="1"/>
    <col min="7" max="7" width="16" style="74" customWidth="1"/>
    <col min="8" max="8" width="14.140625" style="74" customWidth="1"/>
    <col min="9" max="9" width="13.85546875" style="74" customWidth="1"/>
    <col min="10" max="10" width="15.42578125" style="74" bestFit="1" customWidth="1"/>
    <col min="11" max="13" width="14.140625" style="74" bestFit="1" customWidth="1"/>
    <col min="14" max="16384" width="11.42578125" style="74"/>
  </cols>
  <sheetData>
    <row r="1" spans="1:14" ht="12" thickBot="1" x14ac:dyDescent="0.25">
      <c r="A1" s="223"/>
      <c r="B1" s="223"/>
      <c r="C1" s="223"/>
      <c r="D1" s="223"/>
      <c r="E1" s="223"/>
      <c r="F1" s="223"/>
      <c r="G1" s="223"/>
      <c r="H1" s="223"/>
      <c r="I1" s="223"/>
      <c r="J1" s="223"/>
    </row>
    <row r="2" spans="1:14" ht="12" thickBot="1" x14ac:dyDescent="0.25">
      <c r="A2" s="244" t="s">
        <v>109</v>
      </c>
      <c r="B2" s="223"/>
      <c r="C2" s="245">
        <v>0.1</v>
      </c>
      <c r="D2" s="246">
        <v>0.1</v>
      </c>
      <c r="E2" s="246">
        <v>0.2</v>
      </c>
      <c r="F2" s="246">
        <v>0.2</v>
      </c>
      <c r="G2" s="246">
        <v>0.2</v>
      </c>
      <c r="H2" s="247">
        <v>0.2</v>
      </c>
      <c r="I2" s="248">
        <f>SUM(C2:H2)</f>
        <v>1</v>
      </c>
      <c r="J2" s="223"/>
      <c r="N2" s="114"/>
    </row>
    <row r="3" spans="1:14" ht="12" thickBot="1" x14ac:dyDescent="0.25">
      <c r="A3" s="249"/>
      <c r="B3" s="223"/>
      <c r="C3" s="250" t="s">
        <v>118</v>
      </c>
      <c r="D3" s="251"/>
      <c r="E3" s="251"/>
      <c r="F3" s="251"/>
      <c r="G3" s="251"/>
      <c r="H3" s="252"/>
      <c r="I3" s="253"/>
      <c r="J3" s="223"/>
      <c r="N3" s="114"/>
    </row>
    <row r="4" spans="1:14" s="75" customFormat="1" thickBot="1" x14ac:dyDescent="0.2">
      <c r="A4" s="254"/>
      <c r="B4" s="255">
        <v>0</v>
      </c>
      <c r="C4" s="256">
        <v>1</v>
      </c>
      <c r="D4" s="257">
        <v>2</v>
      </c>
      <c r="E4" s="257">
        <v>3</v>
      </c>
      <c r="F4" s="257">
        <v>4</v>
      </c>
      <c r="G4" s="257">
        <v>5</v>
      </c>
      <c r="H4" s="255">
        <v>6</v>
      </c>
      <c r="I4" s="249"/>
      <c r="J4" s="249"/>
      <c r="N4" s="115"/>
    </row>
    <row r="5" spans="1:14" x14ac:dyDescent="0.2">
      <c r="A5" s="258" t="s">
        <v>110</v>
      </c>
      <c r="B5" s="223"/>
      <c r="C5" s="259">
        <f>F11*C2</f>
        <v>106493387.2</v>
      </c>
      <c r="D5" s="260">
        <f>F11*D2</f>
        <v>106493387.2</v>
      </c>
      <c r="E5" s="260">
        <f>F11*E2</f>
        <v>212986774.40000001</v>
      </c>
      <c r="F5" s="260">
        <f>F11*F2</f>
        <v>212986774.40000001</v>
      </c>
      <c r="G5" s="260">
        <f>F11*G2</f>
        <v>212986774.40000001</v>
      </c>
      <c r="H5" s="261">
        <f>F11*H2</f>
        <v>212986774.40000001</v>
      </c>
      <c r="I5" s="238"/>
      <c r="J5" s="238"/>
      <c r="K5" s="76"/>
      <c r="L5" s="76"/>
      <c r="M5" s="76"/>
      <c r="N5" s="114"/>
    </row>
    <row r="6" spans="1:14" x14ac:dyDescent="0.2">
      <c r="A6" s="262" t="s">
        <v>111</v>
      </c>
      <c r="B6" s="225">
        <f>'Nomina fija'!H20</f>
        <v>222981840</v>
      </c>
      <c r="C6" s="263">
        <f>B6/6</f>
        <v>37163640</v>
      </c>
      <c r="D6" s="225">
        <f>C6</f>
        <v>37163640</v>
      </c>
      <c r="E6" s="225">
        <f>C6</f>
        <v>37163640</v>
      </c>
      <c r="F6" s="225">
        <f>C6</f>
        <v>37163640</v>
      </c>
      <c r="G6" s="225">
        <f>C6</f>
        <v>37163640</v>
      </c>
      <c r="H6" s="264">
        <f>C6</f>
        <v>37163640</v>
      </c>
      <c r="I6" s="238"/>
      <c r="J6" s="238"/>
      <c r="K6" s="76"/>
      <c r="L6" s="76"/>
      <c r="M6" s="76"/>
      <c r="N6" s="114"/>
    </row>
    <row r="7" spans="1:14" ht="12" thickBot="1" x14ac:dyDescent="0.25">
      <c r="A7" s="265" t="s">
        <v>112</v>
      </c>
      <c r="B7" s="266">
        <f>'Gastos Administrativos'!G22</f>
        <v>51830000</v>
      </c>
      <c r="C7" s="267">
        <f t="shared" ref="C7:H7" si="0">$B$7</f>
        <v>51830000</v>
      </c>
      <c r="D7" s="268">
        <f t="shared" si="0"/>
        <v>51830000</v>
      </c>
      <c r="E7" s="268">
        <f t="shared" si="0"/>
        <v>51830000</v>
      </c>
      <c r="F7" s="268">
        <f t="shared" si="0"/>
        <v>51830000</v>
      </c>
      <c r="G7" s="268">
        <f t="shared" si="0"/>
        <v>51830000</v>
      </c>
      <c r="H7" s="269">
        <f>$B$7</f>
        <v>51830000</v>
      </c>
      <c r="I7" s="238"/>
      <c r="J7" s="223"/>
    </row>
    <row r="8" spans="1:14" ht="12" thickBot="1" x14ac:dyDescent="0.25">
      <c r="A8" s="254" t="s">
        <v>109</v>
      </c>
      <c r="B8" s="270">
        <f>((B6/6)+B7)*-1</f>
        <v>-88993640</v>
      </c>
      <c r="C8" s="271">
        <f t="shared" ref="C8:H8" si="1">C5-C6-C7</f>
        <v>17499747.200000003</v>
      </c>
      <c r="D8" s="272">
        <f t="shared" si="1"/>
        <v>17499747.200000003</v>
      </c>
      <c r="E8" s="272">
        <f t="shared" si="1"/>
        <v>123993134.40000001</v>
      </c>
      <c r="F8" s="272">
        <f t="shared" si="1"/>
        <v>123993134.40000001</v>
      </c>
      <c r="G8" s="272">
        <f t="shared" si="1"/>
        <v>123993134.40000001</v>
      </c>
      <c r="H8" s="273">
        <f>H5-H6-H7</f>
        <v>123993134.40000001</v>
      </c>
      <c r="I8" s="273">
        <f>SUM(B8:H8)</f>
        <v>441978392</v>
      </c>
      <c r="J8" s="223"/>
    </row>
    <row r="9" spans="1:14" x14ac:dyDescent="0.2">
      <c r="A9" s="223"/>
      <c r="B9" s="223"/>
      <c r="C9" s="223"/>
      <c r="D9" s="223"/>
      <c r="E9" s="223"/>
      <c r="F9" s="223"/>
      <c r="G9" s="223"/>
      <c r="H9" s="223"/>
      <c r="I9" s="223"/>
      <c r="J9" s="223"/>
    </row>
    <row r="10" spans="1:14" ht="12" thickBot="1" x14ac:dyDescent="0.25">
      <c r="A10" s="274"/>
      <c r="B10" s="274"/>
      <c r="C10" s="274"/>
      <c r="D10" s="274"/>
      <c r="E10" s="274"/>
      <c r="F10" s="274"/>
      <c r="G10" s="274"/>
      <c r="H10" s="274"/>
      <c r="I10" s="223"/>
      <c r="J10" s="223"/>
    </row>
    <row r="11" spans="1:14" x14ac:dyDescent="0.2">
      <c r="A11" s="275"/>
      <c r="B11" s="276" t="s">
        <v>119</v>
      </c>
      <c r="C11" s="277">
        <v>0.3</v>
      </c>
      <c r="D11" s="274"/>
      <c r="E11" s="274"/>
      <c r="F11" s="226">
        <f>FINANCACION!C9</f>
        <v>1064933872</v>
      </c>
      <c r="G11" s="274"/>
      <c r="H11" s="274"/>
      <c r="I11" s="223"/>
      <c r="J11" s="223"/>
    </row>
    <row r="12" spans="1:14" x14ac:dyDescent="0.2">
      <c r="A12" s="275"/>
      <c r="B12" s="278" t="s">
        <v>120</v>
      </c>
      <c r="C12" s="279">
        <f>IRR(B8:H8)</f>
        <v>0.58507317491228505</v>
      </c>
      <c r="D12" s="280">
        <f>C12-C13</f>
        <v>0.11943546668605776</v>
      </c>
      <c r="E12" s="274"/>
      <c r="F12" s="274"/>
      <c r="G12" s="274"/>
      <c r="H12" s="274"/>
      <c r="I12" s="223"/>
      <c r="J12" s="223"/>
    </row>
    <row r="13" spans="1:14" x14ac:dyDescent="0.2">
      <c r="A13" s="274"/>
      <c r="B13" s="278" t="s">
        <v>121</v>
      </c>
      <c r="C13" s="279">
        <f>MIRR(B8:H8,C12,C11)</f>
        <v>0.4656377082262273</v>
      </c>
      <c r="D13" s="274"/>
      <c r="E13" s="274"/>
      <c r="F13" s="274"/>
      <c r="G13" s="274"/>
      <c r="H13" s="274" t="s">
        <v>129</v>
      </c>
      <c r="I13" s="281">
        <v>600000000</v>
      </c>
      <c r="J13" s="223"/>
    </row>
    <row r="14" spans="1:14" x14ac:dyDescent="0.2">
      <c r="A14" s="274"/>
      <c r="B14" s="278" t="s">
        <v>122</v>
      </c>
      <c r="C14" s="282">
        <f>NPV(C12,C8:H8)</f>
        <v>88993640</v>
      </c>
      <c r="D14" s="274"/>
      <c r="E14" s="274"/>
      <c r="F14" s="274"/>
      <c r="G14" s="274"/>
      <c r="H14" s="274" t="s">
        <v>130</v>
      </c>
      <c r="I14" s="223">
        <v>14</v>
      </c>
      <c r="J14" s="223"/>
    </row>
    <row r="15" spans="1:14" ht="12" thickBot="1" x14ac:dyDescent="0.25">
      <c r="A15" s="275"/>
      <c r="B15" s="283" t="s">
        <v>123</v>
      </c>
      <c r="C15" s="284">
        <f>NPV(C13,C8:H8)</f>
        <v>117185671.42839149</v>
      </c>
      <c r="D15" s="274"/>
      <c r="E15" s="274"/>
      <c r="F15" s="274"/>
      <c r="G15" s="274"/>
      <c r="H15" s="274"/>
      <c r="I15" s="223"/>
      <c r="J15" s="223"/>
      <c r="K15" s="223"/>
      <c r="L15" s="223"/>
      <c r="M15" s="223"/>
    </row>
    <row r="16" spans="1:14" x14ac:dyDescent="0.2">
      <c r="A16" s="275"/>
      <c r="B16" s="274"/>
      <c r="C16" s="274"/>
      <c r="D16" s="274"/>
      <c r="E16" s="274"/>
      <c r="F16" s="274"/>
      <c r="G16" s="274"/>
      <c r="H16" s="274"/>
      <c r="I16" s="223"/>
      <c r="J16" s="223" t="s">
        <v>147</v>
      </c>
      <c r="K16" s="223"/>
      <c r="L16" s="223"/>
      <c r="M16" s="223"/>
    </row>
    <row r="17" spans="1:13" ht="12" thickBot="1" x14ac:dyDescent="0.25">
      <c r="A17" s="223"/>
      <c r="B17" s="223"/>
      <c r="C17" s="223"/>
      <c r="I17" s="223"/>
      <c r="J17" s="223"/>
      <c r="K17" s="223"/>
      <c r="L17" s="223"/>
      <c r="M17" s="223"/>
    </row>
    <row r="18" spans="1:13" x14ac:dyDescent="0.2">
      <c r="A18" s="240" t="s">
        <v>131</v>
      </c>
      <c r="B18" s="241">
        <f>'Gastos Administrativos'!H22*12</f>
        <v>19560000</v>
      </c>
      <c r="C18" s="223"/>
      <c r="I18" s="223"/>
      <c r="J18" s="224" t="s">
        <v>142</v>
      </c>
      <c r="K18" s="224"/>
      <c r="L18" s="224"/>
      <c r="M18" s="223"/>
    </row>
    <row r="19" spans="1:13" ht="12" thickBot="1" x14ac:dyDescent="0.25">
      <c r="A19" s="242" t="s">
        <v>132</v>
      </c>
      <c r="B19" s="243">
        <f>'Nomina fija'!I21</f>
        <v>42000000</v>
      </c>
      <c r="C19" s="223"/>
      <c r="I19" s="223"/>
      <c r="J19" s="225">
        <f>('Nomina fija'!D18*3)*'Nomina fija'!C24</f>
        <v>126000000</v>
      </c>
      <c r="K19" s="224"/>
      <c r="L19" s="224"/>
      <c r="M19" s="223"/>
    </row>
    <row r="20" spans="1:13" x14ac:dyDescent="0.2">
      <c r="A20" s="223"/>
      <c r="B20" s="223"/>
      <c r="C20" s="223"/>
      <c r="I20" s="223"/>
      <c r="J20" s="224" t="s">
        <v>143</v>
      </c>
      <c r="K20" s="224"/>
      <c r="L20" s="226">
        <v>800000</v>
      </c>
      <c r="M20" s="223"/>
    </row>
    <row r="21" spans="1:13" x14ac:dyDescent="0.2">
      <c r="A21" s="224" t="s">
        <v>133</v>
      </c>
      <c r="B21" s="239">
        <v>0.13</v>
      </c>
      <c r="C21" s="223"/>
      <c r="I21" s="223"/>
      <c r="J21" s="225">
        <f>L20*'Nomina fija'!C24</f>
        <v>8000000</v>
      </c>
      <c r="K21" s="224"/>
      <c r="L21" s="224"/>
      <c r="M21" s="223"/>
    </row>
    <row r="22" spans="1:13" x14ac:dyDescent="0.2">
      <c r="A22" s="224"/>
      <c r="B22" s="239">
        <v>0.06</v>
      </c>
      <c r="C22" s="223"/>
      <c r="I22" s="223"/>
      <c r="J22" s="224" t="s">
        <v>144</v>
      </c>
      <c r="K22" s="224"/>
      <c r="L22" s="224"/>
      <c r="M22" s="223"/>
    </row>
    <row r="23" spans="1:13" x14ac:dyDescent="0.2">
      <c r="I23" s="223"/>
      <c r="J23" s="226">
        <v>125224666.66666667</v>
      </c>
      <c r="K23" s="224"/>
      <c r="L23" s="224"/>
      <c r="M23" s="223"/>
    </row>
    <row r="24" spans="1:13" x14ac:dyDescent="0.2">
      <c r="I24" s="223"/>
      <c r="J24" s="224" t="s">
        <v>38</v>
      </c>
      <c r="K24" s="224"/>
      <c r="L24" s="224"/>
      <c r="M24" s="223"/>
    </row>
    <row r="25" spans="1:13" x14ac:dyDescent="0.2">
      <c r="I25" s="223"/>
      <c r="J25" s="225">
        <f>J19+J21+J23</f>
        <v>259224666.66666669</v>
      </c>
      <c r="K25" s="224"/>
      <c r="L25" s="224"/>
      <c r="M25" s="223"/>
    </row>
    <row r="26" spans="1:13" x14ac:dyDescent="0.2">
      <c r="C26" s="116">
        <v>0.1</v>
      </c>
      <c r="D26" s="116">
        <v>0.2</v>
      </c>
      <c r="E26" s="116">
        <v>0.2</v>
      </c>
      <c r="F26" s="116">
        <v>0.2</v>
      </c>
      <c r="G26" s="116">
        <v>0.2</v>
      </c>
      <c r="I26" s="223"/>
      <c r="J26" s="223"/>
      <c r="K26" s="223"/>
      <c r="L26" s="223"/>
      <c r="M26" s="223"/>
    </row>
    <row r="27" spans="1:13" x14ac:dyDescent="0.2">
      <c r="A27" s="133"/>
      <c r="B27" s="133" t="s">
        <v>136</v>
      </c>
      <c r="C27" s="134" t="s">
        <v>124</v>
      </c>
      <c r="D27" s="134" t="s">
        <v>125</v>
      </c>
      <c r="E27" s="134" t="s">
        <v>126</v>
      </c>
      <c r="F27" s="134" t="s">
        <v>127</v>
      </c>
      <c r="G27" s="134" t="s">
        <v>128</v>
      </c>
      <c r="H27" s="135" t="s">
        <v>145</v>
      </c>
      <c r="I27" s="135" t="s">
        <v>146</v>
      </c>
    </row>
    <row r="28" spans="1:13" x14ac:dyDescent="0.2">
      <c r="A28" s="134" t="s">
        <v>110</v>
      </c>
      <c r="B28" s="133"/>
      <c r="C28" s="77">
        <f>(J25*10%)+J25</f>
        <v>285147133.33333337</v>
      </c>
      <c r="D28" s="77">
        <f>(C28*20%)+C28</f>
        <v>342176560.00000006</v>
      </c>
      <c r="E28" s="77">
        <f t="shared" ref="E28:I28" si="2">(D28*20%)+D28</f>
        <v>410611872.00000006</v>
      </c>
      <c r="F28" s="77">
        <f t="shared" si="2"/>
        <v>492734246.4000001</v>
      </c>
      <c r="G28" s="77">
        <f t="shared" si="2"/>
        <v>591281095.68000007</v>
      </c>
      <c r="H28" s="136">
        <f t="shared" si="2"/>
        <v>709537314.8160001</v>
      </c>
      <c r="I28" s="136">
        <f t="shared" si="2"/>
        <v>851444777.77920008</v>
      </c>
    </row>
    <row r="29" spans="1:13" x14ac:dyDescent="0.2">
      <c r="A29" s="134" t="s">
        <v>111</v>
      </c>
      <c r="B29" s="77">
        <f>-B19</f>
        <v>-42000000</v>
      </c>
      <c r="C29" s="77">
        <f>(B29*B21)+B29</f>
        <v>-47460000</v>
      </c>
      <c r="D29" s="77">
        <f>(C29*$B$22)+C29</f>
        <v>-50307600</v>
      </c>
      <c r="E29" s="77">
        <f t="shared" ref="E29:I29" si="3">(D29*$B$22)+D29</f>
        <v>-53326056</v>
      </c>
      <c r="F29" s="77">
        <f t="shared" si="3"/>
        <v>-56525619.359999999</v>
      </c>
      <c r="G29" s="77">
        <f t="shared" si="3"/>
        <v>-59917156.521600001</v>
      </c>
      <c r="H29" s="136">
        <f t="shared" si="3"/>
        <v>-63512185.912896</v>
      </c>
      <c r="I29" s="136">
        <f t="shared" si="3"/>
        <v>-67322917.067669764</v>
      </c>
    </row>
    <row r="30" spans="1:13" x14ac:dyDescent="0.2">
      <c r="A30" s="134" t="s">
        <v>112</v>
      </c>
      <c r="B30" s="77">
        <f>-$B$18*'Nomina fija'!$C$24</f>
        <v>-195600000</v>
      </c>
      <c r="C30" s="77">
        <f>-$B$18*'Nomina fija'!$C$24</f>
        <v>-195600000</v>
      </c>
      <c r="D30" s="77">
        <f>-$B$18*'Nomina fija'!$C$24</f>
        <v>-195600000</v>
      </c>
      <c r="E30" s="77">
        <f>-$B$18*'Nomina fija'!$C$24</f>
        <v>-195600000</v>
      </c>
      <c r="F30" s="77">
        <f>-$B$18*'Nomina fija'!$C$24</f>
        <v>-195600000</v>
      </c>
      <c r="G30" s="77">
        <f>-$B$18*'Nomina fija'!$C$24</f>
        <v>-195600000</v>
      </c>
      <c r="H30" s="136">
        <f>-$B$18*'Nomina fija'!$C$24</f>
        <v>-195600000</v>
      </c>
      <c r="I30" s="136">
        <f>-$B$18*'Nomina fija'!$C$24</f>
        <v>-195600000</v>
      </c>
    </row>
    <row r="31" spans="1:13" x14ac:dyDescent="0.2">
      <c r="A31" s="133"/>
      <c r="B31" s="133"/>
      <c r="C31" s="133"/>
      <c r="D31" s="133"/>
      <c r="E31" s="133"/>
      <c r="F31" s="133"/>
      <c r="G31" s="133"/>
      <c r="H31" s="137"/>
      <c r="I31" s="137"/>
    </row>
    <row r="32" spans="1:13" x14ac:dyDescent="0.2">
      <c r="A32" s="138" t="s">
        <v>109</v>
      </c>
      <c r="B32" s="77">
        <f>SUM(B29:B31)</f>
        <v>-237600000</v>
      </c>
      <c r="C32" s="77">
        <f>SUM(C28:C31)</f>
        <v>42087133.333333373</v>
      </c>
      <c r="D32" s="77">
        <f t="shared" ref="D32:G32" si="4">SUM(D28:D31)</f>
        <v>96268960.00000006</v>
      </c>
      <c r="E32" s="77">
        <f t="shared" si="4"/>
        <v>161685816.00000006</v>
      </c>
      <c r="F32" s="77">
        <f t="shared" si="4"/>
        <v>240608627.04000008</v>
      </c>
      <c r="G32" s="77">
        <f t="shared" si="4"/>
        <v>335763939.15840006</v>
      </c>
      <c r="H32" s="136">
        <f t="shared" ref="H32" si="5">SUM(H28:H31)</f>
        <v>450425128.90310407</v>
      </c>
      <c r="I32" s="136">
        <f t="shared" ref="I32" si="6">SUM(I28:I31)</f>
        <v>588521860.71153033</v>
      </c>
    </row>
    <row r="33" spans="1:10" x14ac:dyDescent="0.2">
      <c r="A33" s="133"/>
      <c r="B33" s="133"/>
      <c r="C33" s="133"/>
      <c r="D33" s="133"/>
      <c r="E33" s="133"/>
      <c r="F33" s="133"/>
      <c r="G33" s="133"/>
      <c r="H33" s="137"/>
      <c r="I33" s="137"/>
    </row>
    <row r="34" spans="1:10" x14ac:dyDescent="0.2">
      <c r="A34" s="133"/>
      <c r="B34" s="133"/>
      <c r="C34" s="133"/>
      <c r="D34" s="133"/>
      <c r="E34" s="133"/>
      <c r="F34" s="133"/>
      <c r="G34" s="133"/>
      <c r="H34" s="137"/>
      <c r="I34" s="137"/>
    </row>
    <row r="35" spans="1:10" x14ac:dyDescent="0.2">
      <c r="A35" s="133" t="s">
        <v>141</v>
      </c>
      <c r="B35" s="78">
        <f>FINANCACION!C9</f>
        <v>1064933872</v>
      </c>
      <c r="C35" s="78">
        <f>B35-C32</f>
        <v>1022846738.6666666</v>
      </c>
      <c r="D35" s="78">
        <f t="shared" ref="D35:I35" si="7">C35-D32</f>
        <v>926577778.66666651</v>
      </c>
      <c r="E35" s="78">
        <f t="shared" si="7"/>
        <v>764891962.66666651</v>
      </c>
      <c r="F35" s="78">
        <f t="shared" si="7"/>
        <v>524283335.62666643</v>
      </c>
      <c r="G35" s="78">
        <f t="shared" si="7"/>
        <v>188519396.46826637</v>
      </c>
      <c r="H35" s="139">
        <f t="shared" si="7"/>
        <v>-261905732.4348377</v>
      </c>
      <c r="I35" s="139">
        <f t="shared" si="7"/>
        <v>-850427593.14636803</v>
      </c>
    </row>
    <row r="40" spans="1:10" x14ac:dyDescent="0.2">
      <c r="A40" s="114"/>
      <c r="B40" s="114"/>
      <c r="C40" s="114"/>
      <c r="D40" s="114"/>
      <c r="E40" s="114"/>
      <c r="F40" s="114"/>
      <c r="G40" s="114"/>
      <c r="H40" s="114"/>
      <c r="I40" s="114"/>
      <c r="J40" s="114"/>
    </row>
    <row r="41" spans="1:10" x14ac:dyDescent="0.2">
      <c r="A41" s="285"/>
      <c r="B41" s="285"/>
      <c r="C41" s="285"/>
      <c r="D41" s="285"/>
      <c r="E41" s="285"/>
      <c r="F41" s="285"/>
      <c r="G41" s="285"/>
      <c r="H41" s="285"/>
      <c r="I41" s="285"/>
      <c r="J41" s="114"/>
    </row>
    <row r="42" spans="1:10" x14ac:dyDescent="0.2">
      <c r="A42" s="286"/>
      <c r="B42" s="285"/>
      <c r="C42" s="287"/>
      <c r="D42" s="287"/>
      <c r="E42" s="287"/>
      <c r="F42" s="287"/>
      <c r="G42" s="287"/>
      <c r="H42" s="287"/>
      <c r="I42" s="287"/>
      <c r="J42" s="114"/>
    </row>
    <row r="43" spans="1:10" x14ac:dyDescent="0.2">
      <c r="A43" s="286"/>
      <c r="B43" s="285"/>
      <c r="C43" s="288"/>
      <c r="D43" s="288"/>
      <c r="E43" s="288"/>
      <c r="F43" s="288"/>
      <c r="G43" s="288"/>
      <c r="H43" s="288"/>
      <c r="I43" s="287"/>
      <c r="J43" s="114"/>
    </row>
    <row r="44" spans="1:10" x14ac:dyDescent="0.2">
      <c r="A44" s="286"/>
      <c r="B44" s="289"/>
      <c r="C44" s="289"/>
      <c r="D44" s="289"/>
      <c r="E44" s="289"/>
      <c r="F44" s="289"/>
      <c r="G44" s="289"/>
      <c r="H44" s="289"/>
      <c r="I44" s="286"/>
      <c r="J44" s="114"/>
    </row>
    <row r="45" spans="1:10" x14ac:dyDescent="0.2">
      <c r="A45" s="286"/>
      <c r="B45" s="285"/>
      <c r="C45" s="290"/>
      <c r="D45" s="290"/>
      <c r="E45" s="290"/>
      <c r="F45" s="290"/>
      <c r="G45" s="290"/>
      <c r="H45" s="290"/>
      <c r="I45" s="290"/>
      <c r="J45" s="114"/>
    </row>
    <row r="46" spans="1:10" x14ac:dyDescent="0.2">
      <c r="A46" s="286"/>
      <c r="B46" s="290"/>
      <c r="C46" s="290"/>
      <c r="D46" s="290"/>
      <c r="E46" s="290"/>
      <c r="F46" s="290"/>
      <c r="G46" s="290"/>
      <c r="H46" s="290"/>
      <c r="I46" s="290"/>
      <c r="J46" s="114"/>
    </row>
    <row r="47" spans="1:10" x14ac:dyDescent="0.2">
      <c r="A47" s="286"/>
      <c r="B47" s="291"/>
      <c r="C47" s="290"/>
      <c r="D47" s="290"/>
      <c r="E47" s="290"/>
      <c r="F47" s="290"/>
      <c r="G47" s="290"/>
      <c r="H47" s="290"/>
      <c r="I47" s="290"/>
      <c r="J47" s="114"/>
    </row>
    <row r="48" spans="1:10" x14ac:dyDescent="0.2">
      <c r="A48" s="286"/>
      <c r="B48" s="290"/>
      <c r="C48" s="292"/>
      <c r="D48" s="292"/>
      <c r="E48" s="292"/>
      <c r="F48" s="292"/>
      <c r="G48" s="292"/>
      <c r="H48" s="292"/>
      <c r="I48" s="292"/>
      <c r="J48" s="114"/>
    </row>
    <row r="49" spans="1:10" x14ac:dyDescent="0.2">
      <c r="A49" s="285"/>
      <c r="B49" s="285"/>
      <c r="C49" s="285"/>
      <c r="D49" s="285"/>
      <c r="E49" s="285"/>
      <c r="F49" s="285"/>
      <c r="G49" s="285"/>
      <c r="H49" s="285"/>
      <c r="I49" s="285"/>
      <c r="J49" s="114"/>
    </row>
    <row r="50" spans="1:10" x14ac:dyDescent="0.2">
      <c r="A50" s="293"/>
      <c r="B50" s="293"/>
      <c r="C50" s="293"/>
      <c r="D50" s="293"/>
      <c r="E50" s="293"/>
      <c r="F50" s="293"/>
      <c r="G50" s="293"/>
      <c r="H50" s="293"/>
      <c r="I50" s="285"/>
      <c r="J50" s="114"/>
    </row>
    <row r="51" spans="1:10" x14ac:dyDescent="0.2">
      <c r="A51" s="294"/>
      <c r="B51" s="295"/>
      <c r="C51" s="296"/>
      <c r="D51" s="293"/>
      <c r="E51" s="293"/>
      <c r="F51" s="291"/>
      <c r="G51" s="293"/>
      <c r="H51" s="293"/>
      <c r="I51" s="285"/>
      <c r="J51" s="114"/>
    </row>
    <row r="52" spans="1:10" x14ac:dyDescent="0.2">
      <c r="A52" s="294"/>
      <c r="B52" s="295"/>
      <c r="C52" s="297"/>
      <c r="D52" s="298"/>
      <c r="E52" s="293"/>
      <c r="F52" s="293"/>
      <c r="G52" s="293"/>
      <c r="H52" s="293"/>
      <c r="I52" s="285"/>
      <c r="J52" s="114"/>
    </row>
    <row r="53" spans="1:10" x14ac:dyDescent="0.2">
      <c r="A53" s="293"/>
      <c r="B53" s="295"/>
      <c r="C53" s="297"/>
      <c r="D53" s="293"/>
      <c r="E53" s="293"/>
      <c r="F53" s="293"/>
      <c r="G53" s="293"/>
      <c r="H53" s="293"/>
      <c r="I53" s="291"/>
      <c r="J53" s="114"/>
    </row>
    <row r="54" spans="1:10" x14ac:dyDescent="0.2">
      <c r="A54" s="293"/>
      <c r="B54" s="295"/>
      <c r="C54" s="299"/>
      <c r="D54" s="293"/>
      <c r="E54" s="293"/>
      <c r="F54" s="293"/>
      <c r="G54" s="293"/>
      <c r="H54" s="293"/>
      <c r="I54" s="285"/>
      <c r="J54" s="114"/>
    </row>
    <row r="55" spans="1:10" x14ac:dyDescent="0.2">
      <c r="A55" s="294"/>
      <c r="B55" s="295"/>
      <c r="C55" s="299"/>
      <c r="D55" s="293"/>
      <c r="E55" s="293"/>
      <c r="F55" s="293"/>
      <c r="G55" s="293"/>
      <c r="H55" s="293"/>
      <c r="I55" s="285"/>
      <c r="J55" s="114"/>
    </row>
    <row r="56" spans="1:10" x14ac:dyDescent="0.2">
      <c r="A56" s="294"/>
      <c r="B56" s="293"/>
      <c r="C56" s="293"/>
      <c r="D56" s="293"/>
      <c r="E56" s="293"/>
      <c r="F56" s="293"/>
      <c r="G56" s="293"/>
      <c r="H56" s="293"/>
      <c r="I56" s="285"/>
      <c r="J56" s="114"/>
    </row>
    <row r="57" spans="1:10" x14ac:dyDescent="0.2">
      <c r="A57" s="114"/>
      <c r="B57" s="114"/>
      <c r="C57" s="114"/>
      <c r="D57" s="114"/>
      <c r="E57" s="114"/>
      <c r="F57" s="114"/>
      <c r="G57" s="114"/>
      <c r="H57" s="114"/>
      <c r="I57" s="114"/>
      <c r="J57" s="114"/>
    </row>
  </sheetData>
  <mergeCells count="2">
    <mergeCell ref="C3:H3"/>
    <mergeCell ref="C43:H43"/>
  </mergeCells>
  <phoneticPr fontId="1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BCABD-7CCA-4028-9608-4A2A7DFCAA70}">
  <dimension ref="A1:D14"/>
  <sheetViews>
    <sheetView zoomScale="130" zoomScaleNormal="130" workbookViewId="0">
      <selection activeCell="B14" sqref="B14"/>
    </sheetView>
  </sheetViews>
  <sheetFormatPr baseColWidth="10" defaultRowHeight="15" x14ac:dyDescent="0.25"/>
  <cols>
    <col min="2" max="2" width="34.5703125" customWidth="1"/>
    <col min="3" max="3" width="26" customWidth="1"/>
  </cols>
  <sheetData>
    <row r="1" spans="1:4" ht="15.75" thickBot="1" x14ac:dyDescent="0.3">
      <c r="A1" s="142"/>
      <c r="B1" s="142"/>
      <c r="C1" s="142"/>
      <c r="D1" s="142"/>
    </row>
    <row r="2" spans="1:4" ht="15.75" thickBot="1" x14ac:dyDescent="0.3">
      <c r="A2" s="142"/>
      <c r="B2" s="211" t="s">
        <v>91</v>
      </c>
      <c r="C2" s="212"/>
      <c r="D2" s="142"/>
    </row>
    <row r="3" spans="1:4" ht="15.75" thickBot="1" x14ac:dyDescent="0.3">
      <c r="A3" s="142"/>
      <c r="B3" s="213" t="s">
        <v>92</v>
      </c>
      <c r="C3" s="214">
        <v>964933872</v>
      </c>
      <c r="D3" s="142"/>
    </row>
    <row r="4" spans="1:4" ht="15.75" thickBot="1" x14ac:dyDescent="0.3">
      <c r="A4" s="142"/>
      <c r="B4" s="215" t="s">
        <v>89</v>
      </c>
      <c r="C4" s="216">
        <f>SUM(C3:C3)</f>
        <v>964933872</v>
      </c>
      <c r="D4" s="142"/>
    </row>
    <row r="5" spans="1:4" ht="15.75" thickBot="1" x14ac:dyDescent="0.3">
      <c r="A5" s="142"/>
      <c r="B5" s="142"/>
      <c r="C5" s="217"/>
      <c r="D5" s="142"/>
    </row>
    <row r="6" spans="1:4" ht="15.75" thickBot="1" x14ac:dyDescent="0.3">
      <c r="A6" s="142"/>
      <c r="B6" s="218" t="s">
        <v>93</v>
      </c>
      <c r="C6" s="219">
        <v>100000000</v>
      </c>
      <c r="D6" s="142"/>
    </row>
    <row r="7" spans="1:4" ht="15.75" thickBot="1" x14ac:dyDescent="0.3">
      <c r="A7" s="142"/>
      <c r="B7" s="215" t="s">
        <v>94</v>
      </c>
      <c r="C7" s="216">
        <f>SUM(C6:C6)</f>
        <v>100000000</v>
      </c>
      <c r="D7" s="142"/>
    </row>
    <row r="8" spans="1:4" ht="15.75" thickBot="1" x14ac:dyDescent="0.3">
      <c r="A8" s="142"/>
      <c r="B8" s="142"/>
      <c r="C8" s="220"/>
      <c r="D8" s="142"/>
    </row>
    <row r="9" spans="1:4" ht="15.75" thickBot="1" x14ac:dyDescent="0.3">
      <c r="A9" s="142"/>
      <c r="B9" s="215" t="s">
        <v>90</v>
      </c>
      <c r="C9" s="221">
        <f>SUM(C4+C7)</f>
        <v>1064933872</v>
      </c>
      <c r="D9" s="142"/>
    </row>
    <row r="10" spans="1:4" x14ac:dyDescent="0.25">
      <c r="A10" s="142"/>
      <c r="B10" s="142"/>
      <c r="C10" s="142"/>
      <c r="D10" s="142"/>
    </row>
    <row r="11" spans="1:4" x14ac:dyDescent="0.25">
      <c r="A11" s="142"/>
      <c r="B11" s="142"/>
      <c r="C11" s="142"/>
      <c r="D11" s="142"/>
    </row>
    <row r="12" spans="1:4" x14ac:dyDescent="0.25">
      <c r="A12" s="142"/>
      <c r="B12" s="142"/>
      <c r="C12" s="142"/>
      <c r="D12" s="142"/>
    </row>
    <row r="13" spans="1:4" x14ac:dyDescent="0.25">
      <c r="A13" s="142"/>
      <c r="B13" s="142"/>
      <c r="C13" s="142"/>
      <c r="D13" s="142"/>
    </row>
    <row r="14" spans="1:4" x14ac:dyDescent="0.25">
      <c r="B14" s="141"/>
      <c r="C14" s="140"/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0E75E-6A29-4F97-B8D7-A3B6EEFDB45F}">
  <dimension ref="A1:J99"/>
  <sheetViews>
    <sheetView topLeftCell="A6" zoomScale="77" zoomScaleNormal="77" workbookViewId="0">
      <selection activeCell="J10" sqref="J10"/>
    </sheetView>
  </sheetViews>
  <sheetFormatPr baseColWidth="10" defaultColWidth="9.140625" defaultRowHeight="15" x14ac:dyDescent="0.25"/>
  <cols>
    <col min="1" max="1" width="16" customWidth="1"/>
    <col min="2" max="2" width="32.28515625" customWidth="1"/>
    <col min="3" max="3" width="45.85546875" style="1" customWidth="1"/>
    <col min="4" max="5" width="13.42578125" style="1" customWidth="1"/>
    <col min="6" max="7" width="20" style="1" customWidth="1"/>
    <col min="8" max="8" width="18.7109375" style="1" customWidth="1"/>
    <col min="9" max="9" width="13.85546875" bestFit="1" customWidth="1"/>
    <col min="10" max="10" width="12.7109375" bestFit="1" customWidth="1"/>
  </cols>
  <sheetData>
    <row r="1" spans="1:10" ht="16.5" thickBot="1" x14ac:dyDescent="0.3">
      <c r="A1" s="38"/>
      <c r="B1" s="38"/>
      <c r="C1" s="39"/>
      <c r="D1" s="39"/>
      <c r="E1" s="39"/>
      <c r="F1" s="39"/>
      <c r="G1" s="39"/>
      <c r="H1" s="39"/>
    </row>
    <row r="2" spans="1:10" ht="15.75" x14ac:dyDescent="0.25">
      <c r="A2" s="38"/>
      <c r="B2" s="40" t="s">
        <v>104</v>
      </c>
      <c r="C2" s="41">
        <v>0.1</v>
      </c>
      <c r="D2" s="39"/>
      <c r="E2" s="39"/>
      <c r="F2" s="39"/>
      <c r="G2" s="39"/>
      <c r="H2" s="39"/>
    </row>
    <row r="3" spans="1:10" ht="16.5" thickBot="1" x14ac:dyDescent="0.3">
      <c r="A3" s="38"/>
      <c r="B3" s="42" t="s">
        <v>105</v>
      </c>
      <c r="C3" s="43">
        <v>0.2</v>
      </c>
      <c r="D3" s="39"/>
      <c r="E3" s="39"/>
      <c r="F3" s="39"/>
      <c r="G3" s="39"/>
      <c r="H3" s="39"/>
    </row>
    <row r="4" spans="1:10" ht="15.75" x14ac:dyDescent="0.25">
      <c r="A4" s="38"/>
      <c r="B4" s="38"/>
      <c r="C4" s="39"/>
      <c r="D4" s="39"/>
      <c r="E4" s="39"/>
      <c r="F4" s="39"/>
      <c r="G4" s="39"/>
      <c r="H4" s="39"/>
    </row>
    <row r="5" spans="1:10" ht="16.5" thickBot="1" x14ac:dyDescent="0.3">
      <c r="A5" s="38"/>
      <c r="B5" s="38"/>
      <c r="C5" s="39"/>
      <c r="D5" s="39"/>
      <c r="E5" s="39"/>
      <c r="F5" s="39"/>
      <c r="G5" s="39"/>
      <c r="H5" s="39"/>
    </row>
    <row r="6" spans="1:10" ht="16.5" thickBot="1" x14ac:dyDescent="0.3">
      <c r="A6" s="89" t="s">
        <v>106</v>
      </c>
      <c r="B6" s="90"/>
      <c r="C6" s="90"/>
      <c r="D6" s="90"/>
      <c r="E6" s="90"/>
      <c r="F6" s="90"/>
      <c r="G6" s="90"/>
      <c r="H6" s="91"/>
    </row>
    <row r="7" spans="1:10" s="13" customFormat="1" ht="16.5" thickBot="1" x14ac:dyDescent="0.3">
      <c r="A7" s="44" t="s">
        <v>47</v>
      </c>
      <c r="B7" s="45" t="s">
        <v>48</v>
      </c>
      <c r="C7" s="45" t="s">
        <v>49</v>
      </c>
      <c r="D7" s="45" t="s">
        <v>50</v>
      </c>
      <c r="E7" s="45" t="s">
        <v>51</v>
      </c>
      <c r="F7" s="45" t="s">
        <v>52</v>
      </c>
      <c r="G7" s="61" t="s">
        <v>103</v>
      </c>
      <c r="H7" s="46" t="s">
        <v>53</v>
      </c>
      <c r="I7" s="13" t="s">
        <v>134</v>
      </c>
    </row>
    <row r="8" spans="1:10" x14ac:dyDescent="0.25">
      <c r="A8" s="93" t="s">
        <v>55</v>
      </c>
      <c r="B8" s="83"/>
      <c r="C8" s="85" t="s">
        <v>56</v>
      </c>
      <c r="D8" s="86" t="s">
        <v>54</v>
      </c>
      <c r="E8" s="86">
        <v>6</v>
      </c>
      <c r="F8" s="88">
        <v>600000</v>
      </c>
      <c r="G8" s="47"/>
      <c r="H8" s="92">
        <f>SUM(F8-G10)*E8</f>
        <v>3240000</v>
      </c>
    </row>
    <row r="9" spans="1:10" x14ac:dyDescent="0.25">
      <c r="A9" s="93"/>
      <c r="B9" s="83"/>
      <c r="C9" s="85"/>
      <c r="D9" s="86"/>
      <c r="E9" s="86"/>
      <c r="F9" s="88"/>
      <c r="G9" s="59"/>
      <c r="H9" s="81"/>
    </row>
    <row r="10" spans="1:10" ht="15.75" x14ac:dyDescent="0.25">
      <c r="A10" s="93"/>
      <c r="B10" s="83"/>
      <c r="C10" s="85"/>
      <c r="D10" s="86"/>
      <c r="E10" s="86"/>
      <c r="F10" s="88"/>
      <c r="G10" s="60">
        <f>F8*C2</f>
        <v>60000</v>
      </c>
      <c r="H10" s="81"/>
      <c r="I10" s="118">
        <f>SUM(F8-G10)</f>
        <v>540000</v>
      </c>
      <c r="J10" s="118">
        <f>F8-I10</f>
        <v>60000</v>
      </c>
    </row>
    <row r="11" spans="1:10" x14ac:dyDescent="0.25">
      <c r="A11" s="93"/>
      <c r="B11" s="83"/>
      <c r="C11" s="85"/>
      <c r="D11" s="86"/>
      <c r="E11" s="86"/>
      <c r="F11" s="88"/>
      <c r="G11" s="48"/>
      <c r="H11" s="81"/>
    </row>
    <row r="12" spans="1:10" ht="15.75" x14ac:dyDescent="0.25">
      <c r="A12" s="93"/>
      <c r="B12" s="49" t="s">
        <v>57</v>
      </c>
      <c r="C12" s="85"/>
      <c r="D12" s="86"/>
      <c r="E12" s="86"/>
      <c r="F12" s="88"/>
      <c r="G12" s="47"/>
      <c r="H12" s="82"/>
    </row>
    <row r="13" spans="1:10" x14ac:dyDescent="0.25">
      <c r="A13" s="84" t="s">
        <v>58</v>
      </c>
      <c r="B13" s="83"/>
      <c r="C13" s="85" t="s">
        <v>59</v>
      </c>
      <c r="D13" s="86" t="s">
        <v>54</v>
      </c>
      <c r="E13" s="87">
        <v>4</v>
      </c>
      <c r="F13" s="95">
        <v>800000</v>
      </c>
      <c r="G13" s="50"/>
      <c r="H13" s="80">
        <f>SUM(F13-G15)*E13</f>
        <v>2880000</v>
      </c>
    </row>
    <row r="14" spans="1:10" x14ac:dyDescent="0.25">
      <c r="A14" s="84"/>
      <c r="B14" s="83"/>
      <c r="C14" s="85"/>
      <c r="D14" s="86"/>
      <c r="E14" s="87"/>
      <c r="F14" s="95"/>
      <c r="G14" s="50"/>
      <c r="H14" s="81"/>
    </row>
    <row r="15" spans="1:10" x14ac:dyDescent="0.25">
      <c r="A15" s="84"/>
      <c r="B15" s="83"/>
      <c r="C15" s="85"/>
      <c r="D15" s="86"/>
      <c r="E15" s="87"/>
      <c r="F15" s="95"/>
      <c r="G15" s="58">
        <f>F13*C2</f>
        <v>80000</v>
      </c>
      <c r="H15" s="81"/>
    </row>
    <row r="16" spans="1:10" x14ac:dyDescent="0.25">
      <c r="A16" s="84"/>
      <c r="B16" s="83"/>
      <c r="C16" s="85"/>
      <c r="D16" s="86"/>
      <c r="E16" s="87"/>
      <c r="F16" s="95"/>
      <c r="G16" s="50"/>
      <c r="H16" s="81"/>
    </row>
    <row r="17" spans="1:8" ht="15.75" x14ac:dyDescent="0.25">
      <c r="A17" s="84"/>
      <c r="B17" s="49" t="s">
        <v>60</v>
      </c>
      <c r="C17" s="85"/>
      <c r="D17" s="86"/>
      <c r="E17" s="87"/>
      <c r="F17" s="95"/>
      <c r="G17" s="50"/>
      <c r="H17" s="82"/>
    </row>
    <row r="18" spans="1:8" x14ac:dyDescent="0.25">
      <c r="A18" s="84"/>
      <c r="B18" s="83"/>
      <c r="C18" s="85" t="s">
        <v>61</v>
      </c>
      <c r="D18" s="86" t="s">
        <v>54</v>
      </c>
      <c r="E18" s="86">
        <v>2</v>
      </c>
      <c r="F18" s="88">
        <v>1500000</v>
      </c>
      <c r="G18" s="47"/>
      <c r="H18" s="80">
        <f>SUM(F18-G20)*E18</f>
        <v>2700000</v>
      </c>
    </row>
    <row r="19" spans="1:8" x14ac:dyDescent="0.25">
      <c r="A19" s="84"/>
      <c r="B19" s="83"/>
      <c r="C19" s="85"/>
      <c r="D19" s="86"/>
      <c r="E19" s="86"/>
      <c r="F19" s="88"/>
      <c r="G19" s="47"/>
      <c r="H19" s="81"/>
    </row>
    <row r="20" spans="1:8" x14ac:dyDescent="0.25">
      <c r="A20" s="84"/>
      <c r="B20" s="83"/>
      <c r="C20" s="85"/>
      <c r="D20" s="86"/>
      <c r="E20" s="86"/>
      <c r="F20" s="88"/>
      <c r="G20" s="47">
        <f>F18*C2</f>
        <v>150000</v>
      </c>
      <c r="H20" s="81"/>
    </row>
    <row r="21" spans="1:8" x14ac:dyDescent="0.25">
      <c r="A21" s="84"/>
      <c r="B21" s="83"/>
      <c r="C21" s="85"/>
      <c r="D21" s="86"/>
      <c r="E21" s="86"/>
      <c r="F21" s="88"/>
      <c r="G21" s="47"/>
      <c r="H21" s="81"/>
    </row>
    <row r="22" spans="1:8" ht="15.75" x14ac:dyDescent="0.25">
      <c r="A22" s="84"/>
      <c r="B22" s="49" t="s">
        <v>62</v>
      </c>
      <c r="C22" s="85"/>
      <c r="D22" s="86"/>
      <c r="E22" s="86"/>
      <c r="F22" s="88"/>
      <c r="G22" s="47"/>
      <c r="H22" s="82"/>
    </row>
    <row r="23" spans="1:8" x14ac:dyDescent="0.25">
      <c r="A23" s="84" t="s">
        <v>63</v>
      </c>
      <c r="B23" s="83"/>
      <c r="C23" s="85" t="s">
        <v>64</v>
      </c>
      <c r="D23" s="86" t="s">
        <v>54</v>
      </c>
      <c r="E23" s="86">
        <v>4</v>
      </c>
      <c r="F23" s="88">
        <v>350000</v>
      </c>
      <c r="G23" s="47"/>
      <c r="H23" s="80">
        <f>SUM(F23-G25)*E23</f>
        <v>1260000</v>
      </c>
    </row>
    <row r="24" spans="1:8" x14ac:dyDescent="0.25">
      <c r="A24" s="84"/>
      <c r="B24" s="83"/>
      <c r="C24" s="85"/>
      <c r="D24" s="86"/>
      <c r="E24" s="86"/>
      <c r="F24" s="88"/>
      <c r="G24" s="47"/>
      <c r="H24" s="81"/>
    </row>
    <row r="25" spans="1:8" x14ac:dyDescent="0.25">
      <c r="A25" s="84"/>
      <c r="B25" s="83"/>
      <c r="C25" s="85"/>
      <c r="D25" s="86"/>
      <c r="E25" s="86"/>
      <c r="F25" s="88"/>
      <c r="G25" s="47">
        <f>F23*C2</f>
        <v>35000</v>
      </c>
      <c r="H25" s="81"/>
    </row>
    <row r="26" spans="1:8" x14ac:dyDescent="0.25">
      <c r="A26" s="84"/>
      <c r="B26" s="83"/>
      <c r="C26" s="85"/>
      <c r="D26" s="86"/>
      <c r="E26" s="86"/>
      <c r="F26" s="88"/>
      <c r="G26" s="47"/>
      <c r="H26" s="81"/>
    </row>
    <row r="27" spans="1:8" ht="15.75" x14ac:dyDescent="0.25">
      <c r="A27" s="84"/>
      <c r="B27" s="49" t="s">
        <v>57</v>
      </c>
      <c r="C27" s="85"/>
      <c r="D27" s="86"/>
      <c r="E27" s="86"/>
      <c r="F27" s="88"/>
      <c r="G27" s="47"/>
      <c r="H27" s="82"/>
    </row>
    <row r="28" spans="1:8" x14ac:dyDescent="0.25">
      <c r="A28" s="93"/>
      <c r="B28" s="83"/>
      <c r="C28" s="85" t="s">
        <v>97</v>
      </c>
      <c r="D28" s="86" t="s">
        <v>54</v>
      </c>
      <c r="E28" s="86">
        <v>1</v>
      </c>
      <c r="F28" s="88">
        <v>800000</v>
      </c>
      <c r="G28" s="47"/>
      <c r="H28" s="80">
        <f>SUM(F28-G30)*E28</f>
        <v>720000</v>
      </c>
    </row>
    <row r="29" spans="1:8" x14ac:dyDescent="0.25">
      <c r="A29" s="93"/>
      <c r="B29" s="83"/>
      <c r="C29" s="85"/>
      <c r="D29" s="86"/>
      <c r="E29" s="86"/>
      <c r="F29" s="88"/>
      <c r="G29" s="47"/>
      <c r="H29" s="81"/>
    </row>
    <row r="30" spans="1:8" x14ac:dyDescent="0.25">
      <c r="A30" s="93"/>
      <c r="B30" s="83"/>
      <c r="C30" s="85"/>
      <c r="D30" s="86"/>
      <c r="E30" s="86"/>
      <c r="F30" s="88"/>
      <c r="G30" s="47">
        <f>F28*C2</f>
        <v>80000</v>
      </c>
      <c r="H30" s="81"/>
    </row>
    <row r="31" spans="1:8" x14ac:dyDescent="0.25">
      <c r="A31" s="93"/>
      <c r="B31" s="83"/>
      <c r="C31" s="85"/>
      <c r="D31" s="86"/>
      <c r="E31" s="86"/>
      <c r="F31" s="88"/>
      <c r="G31" s="47"/>
      <c r="H31" s="81"/>
    </row>
    <row r="32" spans="1:8" ht="15.75" x14ac:dyDescent="0.25">
      <c r="A32" s="93"/>
      <c r="B32" s="49" t="s">
        <v>85</v>
      </c>
      <c r="C32" s="85"/>
      <c r="D32" s="86"/>
      <c r="E32" s="86"/>
      <c r="F32" s="88"/>
      <c r="G32" s="47"/>
      <c r="H32" s="82"/>
    </row>
    <row r="33" spans="1:9" x14ac:dyDescent="0.25">
      <c r="A33" s="93" t="s">
        <v>66</v>
      </c>
      <c r="B33" s="83"/>
      <c r="C33" s="85" t="s">
        <v>67</v>
      </c>
      <c r="D33" s="86" t="s">
        <v>54</v>
      </c>
      <c r="E33" s="86">
        <v>1</v>
      </c>
      <c r="F33" s="88">
        <v>1000000</v>
      </c>
      <c r="G33" s="47"/>
      <c r="H33" s="80">
        <f>SUM(F33-G35)*E33</f>
        <v>900000</v>
      </c>
    </row>
    <row r="34" spans="1:9" x14ac:dyDescent="0.25">
      <c r="A34" s="93"/>
      <c r="B34" s="83"/>
      <c r="C34" s="85"/>
      <c r="D34" s="86"/>
      <c r="E34" s="86"/>
      <c r="F34" s="88"/>
      <c r="G34" s="47"/>
      <c r="H34" s="81"/>
    </row>
    <row r="35" spans="1:9" x14ac:dyDescent="0.25">
      <c r="A35" s="93"/>
      <c r="B35" s="83"/>
      <c r="C35" s="85"/>
      <c r="D35" s="86"/>
      <c r="E35" s="86"/>
      <c r="F35" s="88"/>
      <c r="G35" s="47">
        <f>F33*C2</f>
        <v>100000</v>
      </c>
      <c r="H35" s="81"/>
    </row>
    <row r="36" spans="1:9" x14ac:dyDescent="0.25">
      <c r="A36" s="93"/>
      <c r="B36" s="83"/>
      <c r="C36" s="85"/>
      <c r="D36" s="86"/>
      <c r="E36" s="86"/>
      <c r="F36" s="88"/>
      <c r="G36" s="47"/>
      <c r="H36" s="81"/>
    </row>
    <row r="37" spans="1:9" ht="15.75" x14ac:dyDescent="0.25">
      <c r="A37" s="93"/>
      <c r="B37" s="49" t="s">
        <v>86</v>
      </c>
      <c r="C37" s="85"/>
      <c r="D37" s="86"/>
      <c r="E37" s="86"/>
      <c r="F37" s="88"/>
      <c r="G37" s="47"/>
      <c r="H37" s="82"/>
    </row>
    <row r="38" spans="1:9" x14ac:dyDescent="0.25">
      <c r="A38" s="93"/>
      <c r="B38" s="83"/>
      <c r="C38" s="85" t="s">
        <v>31</v>
      </c>
      <c r="D38" s="86" t="s">
        <v>54</v>
      </c>
      <c r="E38" s="86">
        <v>1</v>
      </c>
      <c r="F38" s="88">
        <v>1000000</v>
      </c>
      <c r="G38" s="47"/>
      <c r="H38" s="80">
        <f>SUM(F38-G40)*E38</f>
        <v>800000</v>
      </c>
    </row>
    <row r="39" spans="1:9" x14ac:dyDescent="0.25">
      <c r="A39" s="93"/>
      <c r="B39" s="83"/>
      <c r="C39" s="85"/>
      <c r="D39" s="86"/>
      <c r="E39" s="86"/>
      <c r="F39" s="88"/>
      <c r="G39" s="47"/>
      <c r="H39" s="81"/>
    </row>
    <row r="40" spans="1:9" x14ac:dyDescent="0.25">
      <c r="A40" s="93"/>
      <c r="B40" s="83"/>
      <c r="C40" s="85"/>
      <c r="D40" s="86"/>
      <c r="E40" s="86"/>
      <c r="F40" s="88"/>
      <c r="G40" s="47">
        <f>F38*C3</f>
        <v>200000</v>
      </c>
      <c r="H40" s="81"/>
    </row>
    <row r="41" spans="1:9" x14ac:dyDescent="0.25">
      <c r="A41" s="93"/>
      <c r="B41" s="83"/>
      <c r="C41" s="85"/>
      <c r="D41" s="86"/>
      <c r="E41" s="86"/>
      <c r="F41" s="88"/>
      <c r="G41" s="47"/>
      <c r="H41" s="81"/>
    </row>
    <row r="42" spans="1:9" ht="15.75" x14ac:dyDescent="0.25">
      <c r="A42" s="93"/>
      <c r="B42" s="49" t="s">
        <v>68</v>
      </c>
      <c r="C42" s="85"/>
      <c r="D42" s="86"/>
      <c r="E42" s="86"/>
      <c r="F42" s="88"/>
      <c r="G42" s="47"/>
      <c r="H42" s="82"/>
    </row>
    <row r="43" spans="1:9" x14ac:dyDescent="0.25">
      <c r="A43" s="99" t="s">
        <v>69</v>
      </c>
      <c r="B43" s="83"/>
      <c r="C43" s="85" t="s">
        <v>70</v>
      </c>
      <c r="D43" s="86" t="s">
        <v>54</v>
      </c>
      <c r="E43" s="86">
        <v>6</v>
      </c>
      <c r="F43" s="88">
        <v>4500000</v>
      </c>
      <c r="G43" s="47"/>
      <c r="H43" s="80">
        <f>SUM(F43-G45)*E43</f>
        <v>21600000</v>
      </c>
    </row>
    <row r="44" spans="1:9" x14ac:dyDescent="0.25">
      <c r="A44" s="99"/>
      <c r="B44" s="83"/>
      <c r="C44" s="85"/>
      <c r="D44" s="86"/>
      <c r="E44" s="86"/>
      <c r="F44" s="88"/>
      <c r="G44" s="47"/>
      <c r="H44" s="81"/>
    </row>
    <row r="45" spans="1:9" x14ac:dyDescent="0.25">
      <c r="A45" s="99"/>
      <c r="B45" s="83"/>
      <c r="C45" s="85"/>
      <c r="D45" s="86"/>
      <c r="E45" s="86"/>
      <c r="F45" s="88"/>
      <c r="G45" s="47">
        <f>F43*C3</f>
        <v>900000</v>
      </c>
      <c r="H45" s="81"/>
      <c r="I45" s="117">
        <f>SUM(F43-G45)</f>
        <v>3600000</v>
      </c>
    </row>
    <row r="46" spans="1:9" x14ac:dyDescent="0.25">
      <c r="A46" s="99"/>
      <c r="B46" s="83"/>
      <c r="C46" s="85"/>
      <c r="D46" s="86"/>
      <c r="E46" s="86"/>
      <c r="F46" s="88"/>
      <c r="G46" s="47"/>
      <c r="H46" s="81"/>
    </row>
    <row r="47" spans="1:9" ht="15.75" x14ac:dyDescent="0.25">
      <c r="A47" s="99"/>
      <c r="B47" s="49" t="s">
        <v>87</v>
      </c>
      <c r="C47" s="85"/>
      <c r="D47" s="86"/>
      <c r="E47" s="86"/>
      <c r="F47" s="88"/>
      <c r="G47" s="47"/>
      <c r="H47" s="82"/>
    </row>
    <row r="48" spans="1:9" x14ac:dyDescent="0.25">
      <c r="A48" s="93" t="s">
        <v>65</v>
      </c>
      <c r="B48" s="83"/>
      <c r="C48" s="85" t="s">
        <v>71</v>
      </c>
      <c r="D48" s="86" t="s">
        <v>54</v>
      </c>
      <c r="E48" s="86">
        <v>2</v>
      </c>
      <c r="F48" s="88">
        <v>3500000</v>
      </c>
      <c r="G48" s="47"/>
      <c r="H48" s="80">
        <f>SUM(F48-G50)*E48</f>
        <v>5600000</v>
      </c>
    </row>
    <row r="49" spans="1:8" x14ac:dyDescent="0.25">
      <c r="A49" s="93"/>
      <c r="B49" s="83"/>
      <c r="C49" s="85"/>
      <c r="D49" s="86"/>
      <c r="E49" s="86"/>
      <c r="F49" s="88"/>
      <c r="G49" s="47"/>
      <c r="H49" s="81"/>
    </row>
    <row r="50" spans="1:8" x14ac:dyDescent="0.25">
      <c r="A50" s="93"/>
      <c r="B50" s="83"/>
      <c r="C50" s="85"/>
      <c r="D50" s="86"/>
      <c r="E50" s="86"/>
      <c r="F50" s="88"/>
      <c r="G50" s="47">
        <f>F48*C3</f>
        <v>700000</v>
      </c>
      <c r="H50" s="81"/>
    </row>
    <row r="51" spans="1:8" x14ac:dyDescent="0.25">
      <c r="A51" s="93"/>
      <c r="B51" s="83"/>
      <c r="C51" s="85"/>
      <c r="D51" s="86"/>
      <c r="E51" s="86"/>
      <c r="F51" s="88"/>
      <c r="G51" s="47"/>
      <c r="H51" s="81"/>
    </row>
    <row r="52" spans="1:8" ht="15.75" x14ac:dyDescent="0.25">
      <c r="A52" s="93"/>
      <c r="B52" s="49" t="s">
        <v>72</v>
      </c>
      <c r="C52" s="85"/>
      <c r="D52" s="86"/>
      <c r="E52" s="86"/>
      <c r="F52" s="88"/>
      <c r="G52" s="47"/>
      <c r="H52" s="82"/>
    </row>
    <row r="53" spans="1:8" x14ac:dyDescent="0.25">
      <c r="A53" s="84" t="s">
        <v>84</v>
      </c>
      <c r="B53" s="83"/>
      <c r="C53" s="85" t="s">
        <v>18</v>
      </c>
      <c r="D53" s="86" t="s">
        <v>54</v>
      </c>
      <c r="E53" s="86">
        <v>3</v>
      </c>
      <c r="F53" s="88">
        <v>5000000</v>
      </c>
      <c r="G53" s="47"/>
      <c r="H53" s="80">
        <f>SUM(F53-G55)*E53</f>
        <v>12000000</v>
      </c>
    </row>
    <row r="54" spans="1:8" x14ac:dyDescent="0.25">
      <c r="A54" s="84"/>
      <c r="B54" s="83"/>
      <c r="C54" s="85"/>
      <c r="D54" s="86"/>
      <c r="E54" s="86"/>
      <c r="F54" s="88"/>
      <c r="G54" s="47"/>
      <c r="H54" s="81"/>
    </row>
    <row r="55" spans="1:8" x14ac:dyDescent="0.25">
      <c r="A55" s="84"/>
      <c r="B55" s="83"/>
      <c r="C55" s="85"/>
      <c r="D55" s="86"/>
      <c r="E55" s="86"/>
      <c r="F55" s="88"/>
      <c r="G55" s="47">
        <f>F53*C3</f>
        <v>1000000</v>
      </c>
      <c r="H55" s="81"/>
    </row>
    <row r="56" spans="1:8" x14ac:dyDescent="0.25">
      <c r="A56" s="84"/>
      <c r="B56" s="83"/>
      <c r="C56" s="85"/>
      <c r="D56" s="86"/>
      <c r="E56" s="86"/>
      <c r="F56" s="88"/>
      <c r="G56" s="47"/>
      <c r="H56" s="81"/>
    </row>
    <row r="57" spans="1:8" ht="16.5" thickBot="1" x14ac:dyDescent="0.3">
      <c r="A57" s="102"/>
      <c r="B57" s="51" t="s">
        <v>73</v>
      </c>
      <c r="C57" s="103"/>
      <c r="D57" s="96"/>
      <c r="E57" s="96"/>
      <c r="F57" s="97"/>
      <c r="G57" s="52"/>
      <c r="H57" s="98"/>
    </row>
    <row r="58" spans="1:8" ht="16.5" thickBot="1" x14ac:dyDescent="0.3">
      <c r="A58" s="38"/>
      <c r="B58" s="38"/>
      <c r="C58" s="53"/>
      <c r="D58" s="54"/>
      <c r="E58" s="54"/>
      <c r="F58" s="55"/>
      <c r="G58" s="55"/>
      <c r="H58" s="54"/>
    </row>
    <row r="59" spans="1:8" ht="16.5" thickBot="1" x14ac:dyDescent="0.3">
      <c r="A59" s="38"/>
      <c r="B59" s="100" t="s">
        <v>74</v>
      </c>
      <c r="C59" s="101"/>
      <c r="D59" s="54"/>
      <c r="E59" s="54"/>
      <c r="F59" s="56"/>
      <c r="G59" s="56"/>
      <c r="H59" s="79">
        <f>SUM(H8:H57)</f>
        <v>51700000</v>
      </c>
    </row>
    <row r="60" spans="1:8" ht="15.75" x14ac:dyDescent="0.25">
      <c r="A60" s="38"/>
      <c r="B60" s="38"/>
      <c r="C60" s="53"/>
      <c r="D60" s="54"/>
      <c r="E60" s="54"/>
      <c r="F60" s="56"/>
      <c r="G60" s="56"/>
      <c r="H60" s="54"/>
    </row>
    <row r="61" spans="1:8" ht="15.75" x14ac:dyDescent="0.25">
      <c r="A61" s="38"/>
      <c r="B61" s="38"/>
      <c r="C61" s="38"/>
      <c r="D61" s="39"/>
      <c r="E61" s="39"/>
      <c r="F61" s="56"/>
      <c r="G61" s="56"/>
      <c r="H61" s="39"/>
    </row>
    <row r="62" spans="1:8" ht="15.75" x14ac:dyDescent="0.25">
      <c r="A62" s="38"/>
      <c r="B62" s="38"/>
      <c r="C62" s="38"/>
      <c r="D62" s="39"/>
      <c r="E62" s="39"/>
      <c r="F62" s="56"/>
      <c r="G62" s="56"/>
      <c r="H62" s="39"/>
    </row>
    <row r="63" spans="1:8" ht="15.75" x14ac:dyDescent="0.25">
      <c r="A63" s="38"/>
      <c r="B63" s="39"/>
      <c r="C63" s="94"/>
      <c r="D63" s="94"/>
      <c r="E63" s="39"/>
      <c r="F63" s="56"/>
      <c r="G63" s="56"/>
      <c r="H63" s="39"/>
    </row>
    <row r="64" spans="1:8" ht="15.75" x14ac:dyDescent="0.25">
      <c r="A64" s="38"/>
      <c r="B64" s="38"/>
      <c r="C64" s="38"/>
      <c r="D64" s="57"/>
      <c r="E64" s="39"/>
      <c r="F64" s="56"/>
      <c r="G64" s="56"/>
      <c r="H64" s="39"/>
    </row>
    <row r="65" spans="1:8" ht="15.75" x14ac:dyDescent="0.25">
      <c r="A65" s="38"/>
      <c r="B65" s="38"/>
      <c r="C65" s="38"/>
      <c r="D65" s="57"/>
      <c r="E65" s="39"/>
      <c r="F65" s="56"/>
      <c r="G65" s="56"/>
      <c r="H65" s="39"/>
    </row>
    <row r="66" spans="1:8" ht="15.75" x14ac:dyDescent="0.25">
      <c r="A66" s="38"/>
      <c r="B66" s="38"/>
      <c r="C66" s="38" t="s">
        <v>75</v>
      </c>
      <c r="D66" s="57"/>
      <c r="E66" s="39"/>
      <c r="F66" s="56"/>
      <c r="G66" s="56"/>
      <c r="H66" s="39"/>
    </row>
    <row r="67" spans="1:8" ht="15.75" x14ac:dyDescent="0.25">
      <c r="A67" s="38"/>
      <c r="B67" s="38"/>
      <c r="C67" s="38"/>
      <c r="D67" s="57"/>
      <c r="E67" s="39"/>
      <c r="F67" s="39"/>
      <c r="G67" s="39"/>
      <c r="H67" s="39"/>
    </row>
    <row r="68" spans="1:8" ht="15.75" x14ac:dyDescent="0.25">
      <c r="A68" s="38"/>
      <c r="B68" s="38"/>
      <c r="C68" s="38"/>
      <c r="D68" s="57"/>
      <c r="E68" s="39"/>
      <c r="F68" s="39"/>
      <c r="G68" s="39"/>
      <c r="H68" s="39"/>
    </row>
    <row r="69" spans="1:8" ht="15.75" x14ac:dyDescent="0.25">
      <c r="A69" s="38"/>
      <c r="B69" s="38"/>
      <c r="C69" s="38"/>
      <c r="D69" s="57"/>
      <c r="E69" s="39"/>
      <c r="F69" s="39"/>
      <c r="G69" s="39"/>
      <c r="H69" s="39"/>
    </row>
    <row r="70" spans="1:8" ht="15.75" x14ac:dyDescent="0.25">
      <c r="A70" s="38"/>
      <c r="B70" s="38"/>
      <c r="C70" s="38"/>
      <c r="D70" s="57"/>
      <c r="E70" s="39"/>
      <c r="F70" s="39"/>
      <c r="G70" s="39"/>
      <c r="H70" s="39"/>
    </row>
    <row r="71" spans="1:8" ht="15.75" x14ac:dyDescent="0.25">
      <c r="A71" s="38"/>
      <c r="B71" s="38"/>
      <c r="C71" s="38"/>
      <c r="D71" s="57"/>
      <c r="E71" s="39"/>
      <c r="F71" s="39"/>
      <c r="G71" s="39"/>
      <c r="H71" s="39"/>
    </row>
    <row r="72" spans="1:8" ht="15.75" x14ac:dyDescent="0.25">
      <c r="A72" s="38"/>
      <c r="B72" s="38"/>
      <c r="C72" s="38"/>
      <c r="D72" s="57"/>
      <c r="E72" s="39"/>
      <c r="F72" s="39"/>
      <c r="G72" s="39"/>
      <c r="H72" s="39"/>
    </row>
    <row r="73" spans="1:8" ht="15.75" x14ac:dyDescent="0.25">
      <c r="A73" s="38"/>
      <c r="B73" s="38"/>
      <c r="C73" s="38"/>
      <c r="D73" s="39"/>
      <c r="E73" s="39"/>
      <c r="F73" s="39"/>
      <c r="G73" s="39"/>
      <c r="H73" s="39"/>
    </row>
    <row r="74" spans="1:8" ht="15.75" x14ac:dyDescent="0.25">
      <c r="A74" s="38"/>
      <c r="B74" s="38"/>
      <c r="C74" s="38"/>
      <c r="D74" s="39"/>
      <c r="E74" s="39"/>
      <c r="F74" s="39"/>
      <c r="G74" s="39"/>
      <c r="H74" s="39"/>
    </row>
    <row r="75" spans="1:8" ht="15.75" x14ac:dyDescent="0.25">
      <c r="A75" s="38"/>
      <c r="B75" s="38"/>
      <c r="C75" s="38"/>
      <c r="D75" s="39"/>
      <c r="E75" s="39"/>
      <c r="F75" s="39"/>
      <c r="G75" s="39"/>
      <c r="H75" s="39"/>
    </row>
    <row r="76" spans="1:8" ht="15.75" x14ac:dyDescent="0.25">
      <c r="A76" s="38"/>
      <c r="B76" s="38"/>
      <c r="C76" s="38"/>
      <c r="D76" s="39"/>
      <c r="E76" s="39"/>
      <c r="F76" s="39"/>
      <c r="G76" s="39"/>
      <c r="H76" s="39"/>
    </row>
    <row r="77" spans="1:8" ht="15.75" x14ac:dyDescent="0.25">
      <c r="A77" s="38"/>
      <c r="B77" s="38"/>
      <c r="C77" s="38"/>
      <c r="D77" s="39"/>
      <c r="E77" s="39"/>
      <c r="F77" s="39"/>
      <c r="G77" s="39"/>
      <c r="H77" s="39"/>
    </row>
    <row r="78" spans="1:8" ht="15.75" x14ac:dyDescent="0.25">
      <c r="A78" s="38"/>
      <c r="B78" s="38"/>
      <c r="C78" s="38"/>
      <c r="D78" s="39"/>
      <c r="E78" s="39"/>
      <c r="F78" s="39"/>
      <c r="G78" s="39"/>
      <c r="H78" s="39"/>
    </row>
    <row r="79" spans="1:8" ht="15.75" x14ac:dyDescent="0.25">
      <c r="A79" s="38"/>
      <c r="B79" s="38"/>
      <c r="C79" s="38"/>
      <c r="D79" s="39"/>
      <c r="E79" s="39"/>
      <c r="F79" s="39"/>
      <c r="G79" s="39"/>
      <c r="H79" s="39"/>
    </row>
    <row r="80" spans="1:8" ht="15.75" x14ac:dyDescent="0.25">
      <c r="A80" s="38"/>
      <c r="B80" s="38"/>
      <c r="C80" s="38"/>
      <c r="D80" s="39"/>
      <c r="E80" s="39"/>
      <c r="F80" s="39"/>
      <c r="G80" s="39"/>
      <c r="H80" s="39"/>
    </row>
    <row r="81" spans="1:8" ht="15.75" x14ac:dyDescent="0.25">
      <c r="A81" s="38"/>
      <c r="B81" s="38"/>
      <c r="C81" s="38"/>
      <c r="D81" s="39"/>
      <c r="E81" s="39"/>
      <c r="F81" s="39"/>
      <c r="G81" s="39"/>
      <c r="H81" s="39"/>
    </row>
    <row r="82" spans="1:8" ht="15.75" x14ac:dyDescent="0.25">
      <c r="A82" s="38"/>
      <c r="B82" s="38"/>
      <c r="C82" s="38"/>
      <c r="D82" s="39"/>
      <c r="E82" s="39"/>
      <c r="F82" s="39"/>
      <c r="G82" s="39"/>
      <c r="H82" s="39"/>
    </row>
    <row r="83" spans="1:8" s="1" customFormat="1" ht="15.75" x14ac:dyDescent="0.25">
      <c r="A83" s="38"/>
      <c r="B83" s="38"/>
      <c r="C83" s="38"/>
      <c r="D83" s="39"/>
      <c r="E83" s="39"/>
      <c r="F83" s="39"/>
      <c r="G83" s="39"/>
      <c r="H83" s="39"/>
    </row>
    <row r="84" spans="1:8" s="1" customFormat="1" ht="15.75" x14ac:dyDescent="0.25">
      <c r="A84" s="38"/>
      <c r="B84" s="38"/>
      <c r="C84" s="38"/>
      <c r="D84" s="39"/>
      <c r="E84" s="39"/>
      <c r="F84" s="39"/>
      <c r="G84" s="39"/>
      <c r="H84" s="39"/>
    </row>
    <row r="85" spans="1:8" s="1" customFormat="1" ht="15.75" x14ac:dyDescent="0.25">
      <c r="A85" s="38"/>
      <c r="B85" s="38"/>
      <c r="C85" s="38"/>
      <c r="D85" s="39"/>
      <c r="E85" s="39"/>
      <c r="F85" s="39"/>
      <c r="G85" s="39"/>
      <c r="H85" s="39"/>
    </row>
    <row r="86" spans="1:8" s="1" customFormat="1" ht="15.75" x14ac:dyDescent="0.25">
      <c r="A86" s="38"/>
      <c r="B86" s="38"/>
      <c r="C86" s="38"/>
      <c r="D86" s="39"/>
      <c r="E86" s="39"/>
      <c r="F86" s="39"/>
      <c r="G86" s="39"/>
      <c r="H86" s="39"/>
    </row>
    <row r="87" spans="1:8" s="1" customFormat="1" ht="15.75" x14ac:dyDescent="0.25">
      <c r="A87" s="38"/>
      <c r="B87" s="38"/>
      <c r="C87" s="38"/>
      <c r="D87" s="39"/>
      <c r="E87" s="39"/>
      <c r="F87" s="39"/>
      <c r="G87" s="39"/>
      <c r="H87" s="39"/>
    </row>
    <row r="88" spans="1:8" s="1" customFormat="1" ht="15.75" x14ac:dyDescent="0.25">
      <c r="A88" s="38"/>
      <c r="B88" s="38"/>
      <c r="C88" s="38"/>
      <c r="D88" s="39"/>
      <c r="E88" s="39"/>
      <c r="F88" s="39"/>
      <c r="G88" s="39"/>
      <c r="H88" s="39"/>
    </row>
    <row r="89" spans="1:8" s="1" customFormat="1" ht="15.75" x14ac:dyDescent="0.25">
      <c r="A89" s="38"/>
      <c r="B89" s="38"/>
      <c r="C89" s="38"/>
      <c r="D89" s="39"/>
      <c r="E89" s="39"/>
      <c r="F89" s="39"/>
      <c r="G89" s="39"/>
      <c r="H89" s="39"/>
    </row>
    <row r="90" spans="1:8" s="1" customFormat="1" ht="15.75" x14ac:dyDescent="0.25">
      <c r="A90" s="38"/>
      <c r="B90" s="38"/>
      <c r="C90" s="38"/>
      <c r="D90" s="39"/>
      <c r="E90" s="39"/>
      <c r="F90" s="39"/>
      <c r="G90" s="39"/>
      <c r="H90" s="39"/>
    </row>
    <row r="91" spans="1:8" s="1" customFormat="1" ht="15.75" x14ac:dyDescent="0.25">
      <c r="A91" s="38"/>
      <c r="B91" s="38"/>
      <c r="C91" s="38"/>
      <c r="D91" s="39"/>
      <c r="E91" s="39"/>
      <c r="F91" s="39"/>
      <c r="G91" s="39"/>
      <c r="H91" s="39"/>
    </row>
    <row r="92" spans="1:8" s="1" customFormat="1" x14ac:dyDescent="0.25">
      <c r="A92"/>
      <c r="B92"/>
      <c r="C92"/>
    </row>
    <row r="93" spans="1:8" s="1" customFormat="1" x14ac:dyDescent="0.25">
      <c r="A93"/>
      <c r="B93"/>
      <c r="C93"/>
    </row>
    <row r="94" spans="1:8" s="1" customFormat="1" x14ac:dyDescent="0.25">
      <c r="A94"/>
      <c r="B94"/>
      <c r="C94"/>
    </row>
    <row r="95" spans="1:8" s="1" customFormat="1" x14ac:dyDescent="0.25">
      <c r="A95"/>
      <c r="B95"/>
      <c r="C95"/>
    </row>
    <row r="96" spans="1:8" s="1" customFormat="1" x14ac:dyDescent="0.25">
      <c r="A96"/>
      <c r="B96"/>
      <c r="C96"/>
    </row>
    <row r="97" spans="1:3" s="1" customFormat="1" x14ac:dyDescent="0.25">
      <c r="A97"/>
      <c r="B97"/>
      <c r="C97"/>
    </row>
    <row r="98" spans="1:3" s="1" customFormat="1" x14ac:dyDescent="0.25">
      <c r="A98"/>
      <c r="B98"/>
      <c r="C98"/>
    </row>
    <row r="99" spans="1:3" s="1" customFormat="1" x14ac:dyDescent="0.25">
      <c r="A99"/>
      <c r="B99"/>
      <c r="C99"/>
    </row>
  </sheetData>
  <mergeCells count="71">
    <mergeCell ref="B59:C59"/>
    <mergeCell ref="A53:A57"/>
    <mergeCell ref="B53:B56"/>
    <mergeCell ref="C53:C57"/>
    <mergeCell ref="D53:D57"/>
    <mergeCell ref="E53:E57"/>
    <mergeCell ref="F53:F57"/>
    <mergeCell ref="H53:H57"/>
    <mergeCell ref="H43:H47"/>
    <mergeCell ref="A48:A52"/>
    <mergeCell ref="B48:B51"/>
    <mergeCell ref="C48:C52"/>
    <mergeCell ref="D48:D52"/>
    <mergeCell ref="E48:E52"/>
    <mergeCell ref="F48:F52"/>
    <mergeCell ref="H48:H52"/>
    <mergeCell ref="A43:A47"/>
    <mergeCell ref="B43:B46"/>
    <mergeCell ref="C43:C47"/>
    <mergeCell ref="D43:D47"/>
    <mergeCell ref="E43:E47"/>
    <mergeCell ref="F43:F47"/>
    <mergeCell ref="D38:D42"/>
    <mergeCell ref="E38:E42"/>
    <mergeCell ref="F38:F42"/>
    <mergeCell ref="H38:H42"/>
    <mergeCell ref="H33:H37"/>
    <mergeCell ref="A33:A42"/>
    <mergeCell ref="B33:B36"/>
    <mergeCell ref="C33:C37"/>
    <mergeCell ref="D33:D37"/>
    <mergeCell ref="E33:E37"/>
    <mergeCell ref="F33:F37"/>
    <mergeCell ref="B38:B41"/>
    <mergeCell ref="C38:C42"/>
    <mergeCell ref="C63:D63"/>
    <mergeCell ref="F13:F17"/>
    <mergeCell ref="H23:H27"/>
    <mergeCell ref="A28:A32"/>
    <mergeCell ref="B28:B31"/>
    <mergeCell ref="C28:C32"/>
    <mergeCell ref="A23:A27"/>
    <mergeCell ref="B23:B26"/>
    <mergeCell ref="C23:C27"/>
    <mergeCell ref="D23:D27"/>
    <mergeCell ref="E23:E27"/>
    <mergeCell ref="F23:F27"/>
    <mergeCell ref="D28:D32"/>
    <mergeCell ref="E28:E32"/>
    <mergeCell ref="F28:F32"/>
    <mergeCell ref="H28:H32"/>
    <mergeCell ref="A6:H6"/>
    <mergeCell ref="H8:H12"/>
    <mergeCell ref="A8:A12"/>
    <mergeCell ref="B8:B11"/>
    <mergeCell ref="C8:C12"/>
    <mergeCell ref="D8:D12"/>
    <mergeCell ref="E8:E12"/>
    <mergeCell ref="F8:F12"/>
    <mergeCell ref="H13:H17"/>
    <mergeCell ref="B18:B21"/>
    <mergeCell ref="A13:A22"/>
    <mergeCell ref="B13:B16"/>
    <mergeCell ref="C13:C17"/>
    <mergeCell ref="D13:D17"/>
    <mergeCell ref="E13:E17"/>
    <mergeCell ref="D18:D22"/>
    <mergeCell ref="E18:E22"/>
    <mergeCell ref="F18:F22"/>
    <mergeCell ref="H18:H22"/>
    <mergeCell ref="C18:C2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D43F1-FDA9-4FD2-AA3C-DC4117551506}">
  <dimension ref="A1:J50"/>
  <sheetViews>
    <sheetView topLeftCell="A14" workbookViewId="0">
      <selection activeCell="M31" sqref="M31"/>
    </sheetView>
  </sheetViews>
  <sheetFormatPr baseColWidth="10" defaultRowHeight="15" x14ac:dyDescent="0.25"/>
  <cols>
    <col min="2" max="2" width="11.5703125" bestFit="1" customWidth="1"/>
    <col min="3" max="3" width="52.42578125" bestFit="1" customWidth="1"/>
    <col min="5" max="5" width="14.5703125" bestFit="1" customWidth="1"/>
    <col min="6" max="6" width="16.28515625" bestFit="1" customWidth="1"/>
    <col min="7" max="7" width="19.7109375" customWidth="1"/>
    <col min="8" max="8" width="14.5703125" bestFit="1" customWidth="1"/>
    <col min="9" max="9" width="15.5703125" bestFit="1" customWidth="1"/>
  </cols>
  <sheetData>
    <row r="1" spans="1:10" ht="15.75" thickBot="1" x14ac:dyDescent="0.3">
      <c r="A1" s="142"/>
      <c r="B1" s="142"/>
      <c r="C1" s="142" t="s">
        <v>106</v>
      </c>
      <c r="D1" s="142"/>
      <c r="E1" s="142"/>
      <c r="F1" s="142"/>
      <c r="G1" s="142"/>
      <c r="H1" s="142"/>
      <c r="I1" s="142"/>
      <c r="J1" s="142"/>
    </row>
    <row r="2" spans="1:10" s="73" customFormat="1" ht="31.5" x14ac:dyDescent="0.25">
      <c r="A2" s="171"/>
      <c r="B2" s="172" t="s">
        <v>46</v>
      </c>
      <c r="C2" s="173" t="s">
        <v>49</v>
      </c>
      <c r="D2" s="173" t="s">
        <v>50</v>
      </c>
      <c r="E2" s="173" t="s">
        <v>51</v>
      </c>
      <c r="F2" s="173" t="s">
        <v>52</v>
      </c>
      <c r="G2" s="174" t="s">
        <v>114</v>
      </c>
      <c r="H2" s="222" t="s">
        <v>135</v>
      </c>
      <c r="I2" s="171"/>
      <c r="J2" s="171"/>
    </row>
    <row r="3" spans="1:10" s="20" customFormat="1" x14ac:dyDescent="0.25">
      <c r="A3" s="148"/>
      <c r="B3" s="175">
        <v>1</v>
      </c>
      <c r="C3" s="176" t="s">
        <v>56</v>
      </c>
      <c r="D3" s="177" t="s">
        <v>54</v>
      </c>
      <c r="E3" s="177">
        <v>6</v>
      </c>
      <c r="F3" s="178">
        <v>600000</v>
      </c>
      <c r="G3" s="179">
        <f>'Check LIST ADM'!H8</f>
        <v>3240000</v>
      </c>
      <c r="H3" s="180">
        <f>250000</f>
        <v>250000</v>
      </c>
      <c r="I3" s="148"/>
      <c r="J3" s="148"/>
    </row>
    <row r="4" spans="1:10" s="20" customFormat="1" x14ac:dyDescent="0.25">
      <c r="A4" s="148"/>
      <c r="B4" s="175">
        <v>2</v>
      </c>
      <c r="C4" s="176" t="s">
        <v>59</v>
      </c>
      <c r="D4" s="177" t="s">
        <v>54</v>
      </c>
      <c r="E4" s="177">
        <v>4</v>
      </c>
      <c r="F4" s="178">
        <v>800000</v>
      </c>
      <c r="G4" s="179">
        <f>'Check LIST ADM'!H13</f>
        <v>2880000</v>
      </c>
      <c r="H4" s="180">
        <v>250000</v>
      </c>
      <c r="I4" s="148"/>
      <c r="J4" s="148"/>
    </row>
    <row r="5" spans="1:10" s="20" customFormat="1" x14ac:dyDescent="0.25">
      <c r="A5" s="148"/>
      <c r="B5" s="175">
        <v>3</v>
      </c>
      <c r="C5" s="176" t="s">
        <v>61</v>
      </c>
      <c r="D5" s="177" t="s">
        <v>54</v>
      </c>
      <c r="E5" s="177">
        <v>2</v>
      </c>
      <c r="F5" s="178">
        <v>1500000</v>
      </c>
      <c r="G5" s="179">
        <f>'Check LIST ADM'!H18</f>
        <v>2700000</v>
      </c>
      <c r="H5" s="148"/>
      <c r="I5" s="148"/>
      <c r="J5" s="148"/>
    </row>
    <row r="6" spans="1:10" s="20" customFormat="1" x14ac:dyDescent="0.25">
      <c r="A6" s="148"/>
      <c r="B6" s="175">
        <v>4</v>
      </c>
      <c r="C6" s="176" t="s">
        <v>64</v>
      </c>
      <c r="D6" s="177" t="s">
        <v>54</v>
      </c>
      <c r="E6" s="177">
        <v>4</v>
      </c>
      <c r="F6" s="178">
        <v>350000</v>
      </c>
      <c r="G6" s="179">
        <f>'Check LIST ADM'!H23</f>
        <v>1260000</v>
      </c>
      <c r="H6" s="148"/>
      <c r="I6" s="148"/>
      <c r="J6" s="148"/>
    </row>
    <row r="7" spans="1:10" s="20" customFormat="1" x14ac:dyDescent="0.25">
      <c r="A7" s="148"/>
      <c r="B7" s="175">
        <v>5</v>
      </c>
      <c r="C7" s="176" t="s">
        <v>97</v>
      </c>
      <c r="D7" s="177" t="s">
        <v>54</v>
      </c>
      <c r="E7" s="177">
        <v>1</v>
      </c>
      <c r="F7" s="178">
        <v>800000</v>
      </c>
      <c r="G7" s="179">
        <f>'Check LIST ADM'!H28</f>
        <v>720000</v>
      </c>
      <c r="H7" s="148"/>
      <c r="I7" s="148"/>
      <c r="J7" s="148"/>
    </row>
    <row r="8" spans="1:10" x14ac:dyDescent="0.25">
      <c r="A8" s="142"/>
      <c r="B8" s="175">
        <v>7</v>
      </c>
      <c r="C8" s="176" t="s">
        <v>67</v>
      </c>
      <c r="D8" s="177" t="s">
        <v>54</v>
      </c>
      <c r="E8" s="177">
        <v>1</v>
      </c>
      <c r="F8" s="178">
        <v>1000000</v>
      </c>
      <c r="G8" s="179">
        <f>'Check LIST ADM'!H33</f>
        <v>900000</v>
      </c>
      <c r="H8" s="142"/>
      <c r="I8" s="142"/>
      <c r="J8" s="142"/>
    </row>
    <row r="9" spans="1:10" x14ac:dyDescent="0.25">
      <c r="A9" s="142"/>
      <c r="B9" s="175">
        <v>8</v>
      </c>
      <c r="C9" s="176" t="s">
        <v>31</v>
      </c>
      <c r="D9" s="177" t="s">
        <v>54</v>
      </c>
      <c r="E9" s="177">
        <v>1</v>
      </c>
      <c r="F9" s="178">
        <v>1000000</v>
      </c>
      <c r="G9" s="179">
        <f>'Check LIST ADM'!H38</f>
        <v>800000</v>
      </c>
      <c r="H9" s="142"/>
      <c r="I9" s="142"/>
      <c r="J9" s="142"/>
    </row>
    <row r="10" spans="1:10" x14ac:dyDescent="0.25">
      <c r="A10" s="142"/>
      <c r="B10" s="175">
        <v>9</v>
      </c>
      <c r="C10" s="176" t="s">
        <v>70</v>
      </c>
      <c r="D10" s="177" t="s">
        <v>54</v>
      </c>
      <c r="E10" s="177">
        <v>6</v>
      </c>
      <c r="F10" s="178">
        <v>4500000</v>
      </c>
      <c r="G10" s="179">
        <f>'Check LIST ADM'!H43</f>
        <v>21600000</v>
      </c>
      <c r="H10" s="181">
        <v>1000000</v>
      </c>
      <c r="I10" s="181"/>
      <c r="J10" s="142"/>
    </row>
    <row r="11" spans="1:10" x14ac:dyDescent="0.25">
      <c r="A11" s="142"/>
      <c r="B11" s="175">
        <v>10</v>
      </c>
      <c r="C11" s="176" t="s">
        <v>71</v>
      </c>
      <c r="D11" s="177" t="s">
        <v>54</v>
      </c>
      <c r="E11" s="177">
        <v>2</v>
      </c>
      <c r="F11" s="178">
        <v>3500000</v>
      </c>
      <c r="G11" s="179">
        <f>'Check LIST ADM'!H48</f>
        <v>5600000</v>
      </c>
      <c r="H11" s="142"/>
      <c r="I11" s="142"/>
      <c r="J11" s="142"/>
    </row>
    <row r="12" spans="1:10" ht="15.75" thickBot="1" x14ac:dyDescent="0.3">
      <c r="A12" s="142"/>
      <c r="B12" s="182">
        <v>11</v>
      </c>
      <c r="C12" s="183" t="s">
        <v>18</v>
      </c>
      <c r="D12" s="184" t="s">
        <v>54</v>
      </c>
      <c r="E12" s="184">
        <v>3</v>
      </c>
      <c r="F12" s="185">
        <v>5000000</v>
      </c>
      <c r="G12" s="186">
        <f>'Check LIST ADM'!H53</f>
        <v>12000000</v>
      </c>
      <c r="H12" s="142"/>
      <c r="I12" s="142"/>
      <c r="J12" s="142"/>
    </row>
    <row r="13" spans="1:10" ht="15.75" thickBot="1" x14ac:dyDescent="0.3">
      <c r="A13" s="142"/>
      <c r="B13" s="142"/>
      <c r="C13" s="142"/>
      <c r="D13" s="142"/>
      <c r="E13" s="142"/>
      <c r="F13" s="187" t="s">
        <v>42</v>
      </c>
      <c r="G13" s="188">
        <f>SUM(G3:G12)</f>
        <v>51700000</v>
      </c>
      <c r="H13" s="189">
        <f>SUM(H3:H12)</f>
        <v>1500000</v>
      </c>
      <c r="I13" s="181"/>
      <c r="J13" s="142"/>
    </row>
    <row r="14" spans="1:10" x14ac:dyDescent="0.25">
      <c r="A14" s="142"/>
      <c r="B14" s="142"/>
      <c r="C14" s="142"/>
      <c r="D14" s="142"/>
      <c r="E14" s="142"/>
      <c r="F14" s="142"/>
      <c r="G14" s="142"/>
      <c r="H14" s="142"/>
      <c r="I14" s="142"/>
      <c r="J14" s="142"/>
    </row>
    <row r="15" spans="1:10" ht="15.75" thickBot="1" x14ac:dyDescent="0.3">
      <c r="A15" s="142"/>
      <c r="B15" s="142"/>
      <c r="C15" s="190"/>
      <c r="D15" s="142"/>
      <c r="E15" s="142"/>
      <c r="F15" s="142"/>
      <c r="G15" s="142"/>
      <c r="H15" s="142"/>
      <c r="I15" s="142"/>
      <c r="J15" s="142"/>
    </row>
    <row r="16" spans="1:10" ht="32.25" thickBot="1" x14ac:dyDescent="0.3">
      <c r="A16" s="142"/>
      <c r="B16" s="191" t="s">
        <v>46</v>
      </c>
      <c r="C16" s="192" t="s">
        <v>49</v>
      </c>
      <c r="D16" s="192" t="s">
        <v>50</v>
      </c>
      <c r="E16" s="192" t="s">
        <v>51</v>
      </c>
      <c r="F16" s="192" t="s">
        <v>52</v>
      </c>
      <c r="G16" s="193" t="s">
        <v>114</v>
      </c>
      <c r="H16" s="142"/>
      <c r="I16" s="142"/>
      <c r="J16" s="142"/>
    </row>
    <row r="17" spans="1:10" x14ac:dyDescent="0.25">
      <c r="A17" s="142"/>
      <c r="B17" s="194"/>
      <c r="C17" s="195" t="s">
        <v>115</v>
      </c>
      <c r="D17" s="196" t="s">
        <v>118</v>
      </c>
      <c r="E17" s="196">
        <v>1</v>
      </c>
      <c r="F17" s="197">
        <v>40000</v>
      </c>
      <c r="G17" s="198">
        <f>E17*F17</f>
        <v>40000</v>
      </c>
      <c r="H17" s="142"/>
      <c r="I17" s="142"/>
      <c r="J17" s="142"/>
    </row>
    <row r="18" spans="1:10" x14ac:dyDescent="0.25">
      <c r="A18" s="142"/>
      <c r="B18" s="69"/>
      <c r="C18" s="199" t="s">
        <v>116</v>
      </c>
      <c r="D18" s="200" t="s">
        <v>118</v>
      </c>
      <c r="E18" s="200">
        <v>1</v>
      </c>
      <c r="F18" s="201">
        <v>40000</v>
      </c>
      <c r="G18" s="202">
        <f>E18*F18</f>
        <v>40000</v>
      </c>
      <c r="H18" s="142"/>
      <c r="I18" s="142"/>
      <c r="J18" s="142"/>
    </row>
    <row r="19" spans="1:10" ht="15.75" thickBot="1" x14ac:dyDescent="0.3">
      <c r="A19" s="142"/>
      <c r="B19" s="203"/>
      <c r="C19" s="204" t="s">
        <v>117</v>
      </c>
      <c r="D19" s="205" t="s">
        <v>118</v>
      </c>
      <c r="E19" s="205">
        <v>1</v>
      </c>
      <c r="F19" s="206">
        <v>50000</v>
      </c>
      <c r="G19" s="207">
        <f>E19*F19</f>
        <v>50000</v>
      </c>
      <c r="H19" s="142"/>
      <c r="I19" s="142"/>
      <c r="J19" s="142"/>
    </row>
    <row r="20" spans="1:10" ht="15.75" thickBot="1" x14ac:dyDescent="0.3">
      <c r="A20" s="142"/>
      <c r="B20" s="142"/>
      <c r="C20" s="142"/>
      <c r="D20" s="142"/>
      <c r="E20" s="142"/>
      <c r="F20" s="208" t="s">
        <v>42</v>
      </c>
      <c r="G20" s="209">
        <f>SUM(G17:G19)</f>
        <v>130000</v>
      </c>
      <c r="H20" s="209">
        <f>G20</f>
        <v>130000</v>
      </c>
      <c r="I20" s="142"/>
      <c r="J20" s="142"/>
    </row>
    <row r="21" spans="1:10" ht="15.75" thickBot="1" x14ac:dyDescent="0.3">
      <c r="A21" s="142"/>
      <c r="B21" s="142"/>
      <c r="C21" s="142"/>
      <c r="D21" s="142"/>
      <c r="E21" s="142"/>
      <c r="F21" s="142"/>
      <c r="G21" s="142"/>
      <c r="H21" s="142"/>
      <c r="I21" s="142"/>
      <c r="J21" s="142"/>
    </row>
    <row r="22" spans="1:10" ht="15.75" thickBot="1" x14ac:dyDescent="0.3">
      <c r="A22" s="142"/>
      <c r="B22" s="142"/>
      <c r="C22" s="142"/>
      <c r="D22" s="142"/>
      <c r="E22" s="142"/>
      <c r="F22" s="187" t="s">
        <v>42</v>
      </c>
      <c r="G22" s="210">
        <f>G13+G20</f>
        <v>51830000</v>
      </c>
      <c r="H22" s="181">
        <f>H13+H20</f>
        <v>1630000</v>
      </c>
      <c r="I22" s="142"/>
      <c r="J22" s="142"/>
    </row>
    <row r="23" spans="1:10" x14ac:dyDescent="0.25">
      <c r="A23" s="142"/>
      <c r="B23" s="142"/>
      <c r="C23" s="142"/>
      <c r="D23" s="142"/>
      <c r="E23" s="142"/>
      <c r="F23" s="142"/>
      <c r="G23" s="142"/>
      <c r="H23" s="142"/>
      <c r="I23" s="142"/>
      <c r="J23" s="142"/>
    </row>
    <row r="24" spans="1:10" x14ac:dyDescent="0.25">
      <c r="A24" s="142"/>
      <c r="B24" s="142"/>
      <c r="C24" s="142"/>
      <c r="D24" s="142"/>
      <c r="E24" s="142"/>
      <c r="F24" s="142"/>
      <c r="G24" s="142"/>
      <c r="H24" s="142"/>
      <c r="I24" s="142"/>
      <c r="J24" s="142"/>
    </row>
    <row r="25" spans="1:10" x14ac:dyDescent="0.25">
      <c r="A25" s="142"/>
      <c r="B25" s="142"/>
      <c r="C25" s="142"/>
      <c r="D25" s="142"/>
      <c r="E25" s="142"/>
      <c r="F25" s="142"/>
      <c r="G25" s="142"/>
      <c r="H25" s="142"/>
      <c r="I25" s="142"/>
      <c r="J25" s="142"/>
    </row>
    <row r="26" spans="1:10" x14ac:dyDescent="0.25">
      <c r="A26" s="142"/>
      <c r="B26" s="142"/>
      <c r="C26" s="142"/>
      <c r="D26" s="142"/>
      <c r="E26" s="142"/>
      <c r="F26" s="142"/>
      <c r="G26" s="142"/>
      <c r="H26" s="142"/>
      <c r="I26" s="142"/>
      <c r="J26" s="142"/>
    </row>
    <row r="27" spans="1:10" x14ac:dyDescent="0.25">
      <c r="A27" s="142"/>
      <c r="B27" s="142"/>
      <c r="C27" s="142"/>
      <c r="D27" s="142"/>
      <c r="E27" s="142"/>
      <c r="F27" s="142"/>
      <c r="G27" s="142"/>
      <c r="H27" s="142"/>
      <c r="I27" s="142"/>
      <c r="J27" s="142"/>
    </row>
    <row r="28" spans="1:10" x14ac:dyDescent="0.25">
      <c r="A28" s="142"/>
      <c r="B28" s="142"/>
      <c r="C28" s="142"/>
      <c r="D28" s="142"/>
      <c r="E28" s="142"/>
      <c r="F28" s="233"/>
      <c r="G28" s="142"/>
      <c r="H28" s="142"/>
    </row>
    <row r="29" spans="1:10" x14ac:dyDescent="0.25">
      <c r="A29" s="142"/>
      <c r="B29" s="175">
        <v>1</v>
      </c>
      <c r="C29" s="176" t="s">
        <v>56</v>
      </c>
      <c r="D29" s="227" t="s">
        <v>54</v>
      </c>
      <c r="E29" s="229" t="s">
        <v>135</v>
      </c>
      <c r="F29" s="234"/>
      <c r="G29" s="142"/>
      <c r="H29" s="222"/>
    </row>
    <row r="30" spans="1:10" x14ac:dyDescent="0.25">
      <c r="A30" s="142"/>
      <c r="B30" s="175">
        <v>2</v>
      </c>
      <c r="C30" s="176" t="s">
        <v>59</v>
      </c>
      <c r="D30" s="227" t="s">
        <v>54</v>
      </c>
      <c r="E30" s="230">
        <f>250000</f>
        <v>250000</v>
      </c>
      <c r="F30" s="235"/>
      <c r="G30" s="142"/>
      <c r="H30" s="180"/>
    </row>
    <row r="31" spans="1:10" x14ac:dyDescent="0.25">
      <c r="A31" s="142"/>
      <c r="B31" s="175">
        <v>3</v>
      </c>
      <c r="C31" s="176" t="s">
        <v>61</v>
      </c>
      <c r="D31" s="227" t="s">
        <v>54</v>
      </c>
      <c r="E31" s="230">
        <v>250000</v>
      </c>
      <c r="F31" s="235"/>
      <c r="G31" s="142"/>
      <c r="H31" s="180"/>
    </row>
    <row r="32" spans="1:10" x14ac:dyDescent="0.25">
      <c r="A32" s="142"/>
      <c r="B32" s="175">
        <v>4</v>
      </c>
      <c r="C32" s="176" t="s">
        <v>64</v>
      </c>
      <c r="D32" s="227" t="s">
        <v>54</v>
      </c>
      <c r="E32" s="231"/>
      <c r="F32" s="236"/>
      <c r="G32" s="142"/>
      <c r="H32" s="148"/>
    </row>
    <row r="33" spans="1:8" x14ac:dyDescent="0.25">
      <c r="A33" s="142"/>
      <c r="B33" s="175">
        <v>5</v>
      </c>
      <c r="C33" s="176" t="s">
        <v>97</v>
      </c>
      <c r="D33" s="227" t="s">
        <v>54</v>
      </c>
      <c r="E33" s="231"/>
      <c r="F33" s="236"/>
      <c r="G33" s="142"/>
      <c r="H33" s="148"/>
    </row>
    <row r="34" spans="1:8" x14ac:dyDescent="0.25">
      <c r="A34" s="142"/>
      <c r="B34" s="175">
        <v>7</v>
      </c>
      <c r="C34" s="176" t="s">
        <v>67</v>
      </c>
      <c r="D34" s="227" t="s">
        <v>54</v>
      </c>
      <c r="E34" s="231"/>
      <c r="F34" s="236"/>
      <c r="G34" s="142"/>
      <c r="H34" s="148"/>
    </row>
    <row r="35" spans="1:8" x14ac:dyDescent="0.25">
      <c r="A35" s="142"/>
      <c r="B35" s="175">
        <v>8</v>
      </c>
      <c r="C35" s="176" t="s">
        <v>31</v>
      </c>
      <c r="D35" s="227" t="s">
        <v>54</v>
      </c>
      <c r="E35" s="199"/>
      <c r="F35" s="233"/>
      <c r="G35" s="142"/>
      <c r="H35" s="142"/>
    </row>
    <row r="36" spans="1:8" x14ac:dyDescent="0.25">
      <c r="A36" s="142"/>
      <c r="B36" s="175">
        <v>9</v>
      </c>
      <c r="C36" s="176" t="s">
        <v>70</v>
      </c>
      <c r="D36" s="227" t="s">
        <v>54</v>
      </c>
      <c r="E36" s="199"/>
      <c r="F36" s="233"/>
      <c r="G36" s="142"/>
      <c r="H36" s="142"/>
    </row>
    <row r="37" spans="1:8" x14ac:dyDescent="0.25">
      <c r="A37" s="142"/>
      <c r="B37" s="175">
        <v>10</v>
      </c>
      <c r="C37" s="176" t="s">
        <v>71</v>
      </c>
      <c r="D37" s="227" t="s">
        <v>54</v>
      </c>
      <c r="E37" s="232">
        <v>1000000</v>
      </c>
      <c r="F37" s="237"/>
      <c r="G37" s="142"/>
      <c r="H37" s="181"/>
    </row>
    <row r="38" spans="1:8" ht="15.75" thickBot="1" x14ac:dyDescent="0.3">
      <c r="A38" s="142"/>
      <c r="B38" s="182">
        <v>11</v>
      </c>
      <c r="C38" s="183" t="s">
        <v>18</v>
      </c>
      <c r="D38" s="228" t="s">
        <v>54</v>
      </c>
      <c r="E38" s="199"/>
      <c r="F38" s="233"/>
      <c r="G38" s="142"/>
      <c r="H38" s="142"/>
    </row>
    <row r="39" spans="1:8" ht="15.75" thickBot="1" x14ac:dyDescent="0.3">
      <c r="A39" s="142"/>
      <c r="B39" s="142"/>
      <c r="C39" s="142"/>
      <c r="D39" s="142"/>
      <c r="E39" s="199"/>
      <c r="F39" s="233"/>
      <c r="G39" s="142"/>
      <c r="H39" s="142"/>
    </row>
    <row r="40" spans="1:8" ht="15.75" thickBot="1" x14ac:dyDescent="0.3">
      <c r="A40" s="142"/>
      <c r="B40" s="142"/>
      <c r="C40" s="142"/>
      <c r="D40" s="142"/>
      <c r="E40" s="232">
        <f>SUM(E30:E39)</f>
        <v>1500000</v>
      </c>
      <c r="F40" s="237"/>
      <c r="G40" s="142"/>
      <c r="H40" s="189"/>
    </row>
    <row r="41" spans="1:8" x14ac:dyDescent="0.25">
      <c r="A41" s="142"/>
      <c r="B41" s="142"/>
      <c r="C41" s="142"/>
      <c r="D41" s="142"/>
      <c r="E41" s="142"/>
      <c r="F41" s="233"/>
      <c r="G41" s="142"/>
      <c r="H41" s="142"/>
    </row>
    <row r="43" spans="1:8" x14ac:dyDescent="0.25">
      <c r="H43" s="142"/>
    </row>
    <row r="44" spans="1:8" x14ac:dyDescent="0.25">
      <c r="H44" s="142"/>
    </row>
    <row r="45" spans="1:8" x14ac:dyDescent="0.25">
      <c r="H45" s="142"/>
    </row>
    <row r="46" spans="1:8" x14ac:dyDescent="0.25">
      <c r="H46" s="142"/>
    </row>
    <row r="47" spans="1:8" x14ac:dyDescent="0.25">
      <c r="H47" s="142"/>
    </row>
    <row r="48" spans="1:8" ht="15.75" thickBot="1" x14ac:dyDescent="0.3">
      <c r="H48" s="209">
        <f>G48</f>
        <v>0</v>
      </c>
    </row>
    <row r="49" spans="8:8" x14ac:dyDescent="0.25">
      <c r="H49" s="142"/>
    </row>
    <row r="50" spans="8:8" x14ac:dyDescent="0.25">
      <c r="H50" s="181">
        <f>H40+H48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D756-F709-427B-A365-DEE8FDD6B08E}">
  <dimension ref="A1:J24"/>
  <sheetViews>
    <sheetView workbookViewId="0">
      <selection activeCell="I21" sqref="I21"/>
    </sheetView>
  </sheetViews>
  <sheetFormatPr baseColWidth="10" defaultRowHeight="15" x14ac:dyDescent="0.25"/>
  <cols>
    <col min="1" max="1" width="7.28515625" customWidth="1"/>
    <col min="2" max="2" width="39.85546875" customWidth="1"/>
    <col min="3" max="4" width="19" bestFit="1" customWidth="1"/>
    <col min="5" max="5" width="22.42578125" customWidth="1"/>
    <col min="6" max="6" width="16.7109375" bestFit="1" customWidth="1"/>
    <col min="7" max="7" width="18.140625" bestFit="1" customWidth="1"/>
    <col min="8" max="9" width="18.140625" customWidth="1"/>
    <col min="10" max="10" width="29.5703125" customWidth="1"/>
  </cols>
  <sheetData>
    <row r="1" spans="1:10" ht="15.75" thickBot="1" x14ac:dyDescent="0.3"/>
    <row r="2" spans="1:10" x14ac:dyDescent="0.25">
      <c r="B2" s="15" t="s">
        <v>76</v>
      </c>
      <c r="C2" s="28">
        <v>8.3299999999999999E-2</v>
      </c>
      <c r="D2" s="19"/>
      <c r="E2" s="18"/>
      <c r="F2" s="19"/>
      <c r="G2" s="19"/>
      <c r="H2" s="19"/>
      <c r="I2" s="19"/>
    </row>
    <row r="3" spans="1:10" x14ac:dyDescent="0.25">
      <c r="B3" s="14" t="s">
        <v>21</v>
      </c>
      <c r="C3" s="29">
        <v>0.01</v>
      </c>
      <c r="D3" s="19"/>
      <c r="E3" s="18"/>
      <c r="F3" s="19"/>
      <c r="G3" s="19"/>
      <c r="H3" s="19"/>
      <c r="I3" s="19"/>
    </row>
    <row r="4" spans="1:10" x14ac:dyDescent="0.25">
      <c r="B4" s="14" t="s">
        <v>22</v>
      </c>
      <c r="C4" s="29">
        <v>7.3099999999999998E-2</v>
      </c>
      <c r="D4" s="19"/>
      <c r="E4" s="18"/>
      <c r="F4" s="19"/>
      <c r="G4" s="19"/>
      <c r="H4" s="19"/>
      <c r="I4" s="19"/>
    </row>
    <row r="5" spans="1:10" x14ac:dyDescent="0.25">
      <c r="B5" s="14" t="s">
        <v>23</v>
      </c>
      <c r="C5" s="29">
        <v>4.1700000000000001E-2</v>
      </c>
      <c r="D5" s="19"/>
      <c r="E5" s="18"/>
      <c r="F5" s="19"/>
      <c r="G5" s="19"/>
      <c r="H5" s="19"/>
      <c r="I5" s="19"/>
    </row>
    <row r="6" spans="1:10" x14ac:dyDescent="0.25">
      <c r="B6" s="14" t="s">
        <v>24</v>
      </c>
      <c r="C6" s="29">
        <v>0.02</v>
      </c>
      <c r="D6" s="19"/>
      <c r="E6" s="18"/>
      <c r="F6" s="19"/>
      <c r="G6" s="19"/>
      <c r="H6" s="19"/>
      <c r="I6" s="19"/>
    </row>
    <row r="7" spans="1:10" x14ac:dyDescent="0.25">
      <c r="B7" s="14" t="s">
        <v>25</v>
      </c>
      <c r="C7" s="29">
        <v>0.08</v>
      </c>
      <c r="D7" s="19"/>
      <c r="E7" s="18"/>
      <c r="F7" s="19"/>
      <c r="G7" s="19"/>
      <c r="H7" s="19"/>
      <c r="I7" s="19"/>
    </row>
    <row r="8" spans="1:10" x14ac:dyDescent="0.25">
      <c r="B8" s="14" t="s">
        <v>26</v>
      </c>
      <c r="C8" s="29">
        <v>0.125</v>
      </c>
      <c r="D8" s="19"/>
      <c r="E8" s="18"/>
      <c r="F8" s="19"/>
      <c r="G8" s="19"/>
      <c r="H8" s="19"/>
      <c r="I8" s="19"/>
    </row>
    <row r="9" spans="1:10" ht="15.75" thickBot="1" x14ac:dyDescent="0.3">
      <c r="B9" s="30" t="s">
        <v>77</v>
      </c>
      <c r="C9" s="31">
        <v>0.09</v>
      </c>
      <c r="D9" s="19"/>
      <c r="E9" s="18"/>
      <c r="F9" s="19"/>
      <c r="G9" s="19"/>
      <c r="H9" s="19"/>
      <c r="I9" s="19"/>
    </row>
    <row r="10" spans="1:10" ht="15.75" thickBot="1" x14ac:dyDescent="0.3">
      <c r="B10" s="32" t="s">
        <v>78</v>
      </c>
      <c r="C10" s="33">
        <f>SUM(C2:C9)</f>
        <v>0.52310000000000001</v>
      </c>
      <c r="D10" s="19"/>
      <c r="E10" s="18"/>
      <c r="F10" s="19"/>
      <c r="G10" s="19"/>
      <c r="H10" s="19"/>
    </row>
    <row r="11" spans="1:10" ht="15.75" thickBot="1" x14ac:dyDescent="0.3">
      <c r="B11" s="18"/>
      <c r="C11" s="18"/>
      <c r="D11" s="19"/>
      <c r="E11" s="18"/>
      <c r="F11" s="19"/>
      <c r="G11" s="19"/>
      <c r="H11" s="19"/>
    </row>
    <row r="12" spans="1:10" ht="15.75" thickBot="1" x14ac:dyDescent="0.3">
      <c r="B12" s="104" t="s">
        <v>29</v>
      </c>
      <c r="C12" s="105"/>
      <c r="D12" s="105"/>
      <c r="E12" s="105"/>
      <c r="F12" s="105"/>
      <c r="G12" s="105"/>
      <c r="H12" s="106"/>
    </row>
    <row r="13" spans="1:10" x14ac:dyDescent="0.25">
      <c r="B13" s="64" t="s">
        <v>79</v>
      </c>
      <c r="C13" s="65" t="s">
        <v>80</v>
      </c>
      <c r="D13" s="66" t="s">
        <v>81</v>
      </c>
      <c r="E13" s="65" t="s">
        <v>82</v>
      </c>
      <c r="F13" s="66" t="s">
        <v>83</v>
      </c>
      <c r="G13" s="66" t="s">
        <v>107</v>
      </c>
      <c r="H13" s="126" t="s">
        <v>108</v>
      </c>
      <c r="I13" s="129" t="s">
        <v>137</v>
      </c>
    </row>
    <row r="14" spans="1:10" x14ac:dyDescent="0.25">
      <c r="A14" t="s">
        <v>102</v>
      </c>
      <c r="B14" s="14" t="s">
        <v>100</v>
      </c>
      <c r="C14" s="22">
        <v>1</v>
      </c>
      <c r="D14" s="23">
        <v>8000000</v>
      </c>
      <c r="E14" s="24">
        <f>C10</f>
        <v>0.52310000000000001</v>
      </c>
      <c r="F14" s="62">
        <f>SUM(D14*E14)+D14</f>
        <v>12184800</v>
      </c>
      <c r="G14" s="22">
        <v>6</v>
      </c>
      <c r="H14" s="127">
        <f>F14*G14</f>
        <v>73108800</v>
      </c>
      <c r="I14" s="67"/>
    </row>
    <row r="15" spans="1:10" x14ac:dyDescent="0.25">
      <c r="B15" s="14" t="s">
        <v>99</v>
      </c>
      <c r="C15" s="22">
        <v>1</v>
      </c>
      <c r="D15" s="23">
        <v>8000000</v>
      </c>
      <c r="E15" s="24">
        <f>C10</f>
        <v>0.52310000000000001</v>
      </c>
      <c r="F15" s="62">
        <f>SUM(D15*E15)+D15</f>
        <v>12184800</v>
      </c>
      <c r="G15" s="22">
        <v>6</v>
      </c>
      <c r="H15" s="127">
        <f>F15*G15</f>
        <v>73108800</v>
      </c>
      <c r="I15" s="67"/>
    </row>
    <row r="16" spans="1:10" s="37" customFormat="1" x14ac:dyDescent="0.25">
      <c r="A16" s="37" t="s">
        <v>101</v>
      </c>
      <c r="B16" s="68" t="s">
        <v>27</v>
      </c>
      <c r="C16" s="34">
        <v>2</v>
      </c>
      <c r="D16" s="35">
        <f>SUM(4200000*C16)</f>
        <v>8400000</v>
      </c>
      <c r="E16" s="36">
        <f>C10</f>
        <v>0.52310000000000001</v>
      </c>
      <c r="F16" s="63">
        <f>SUM(D16*E16)+D16</f>
        <v>12794040</v>
      </c>
      <c r="G16" s="22">
        <v>6</v>
      </c>
      <c r="H16" s="127">
        <f>SUM(F16/2)*G16</f>
        <v>38382120</v>
      </c>
      <c r="I16" s="130">
        <f>D17*C21</f>
        <v>29400000</v>
      </c>
      <c r="J16"/>
    </row>
    <row r="17" spans="2:10" x14ac:dyDescent="0.25">
      <c r="B17" s="69" t="s">
        <v>28</v>
      </c>
      <c r="C17" s="22">
        <v>1</v>
      </c>
      <c r="D17" s="23">
        <v>4200000</v>
      </c>
      <c r="E17" s="24">
        <f>C10</f>
        <v>0.52310000000000001</v>
      </c>
      <c r="F17" s="62">
        <f>SUM(D17*E17)+D17</f>
        <v>6397020</v>
      </c>
      <c r="G17" s="22">
        <v>6</v>
      </c>
      <c r="H17" s="127">
        <f>SUM(F17/2)*G17</f>
        <v>19191060</v>
      </c>
      <c r="I17" s="130">
        <f>D17*C22</f>
        <v>8400000</v>
      </c>
      <c r="J17" s="1"/>
    </row>
    <row r="18" spans="2:10" ht="15.75" thickBot="1" x14ac:dyDescent="0.3">
      <c r="B18" s="21" t="s">
        <v>88</v>
      </c>
      <c r="C18" s="25">
        <v>1</v>
      </c>
      <c r="D18" s="26">
        <v>4200000</v>
      </c>
      <c r="E18" s="27">
        <f>C10</f>
        <v>0.52310000000000001</v>
      </c>
      <c r="F18" s="72">
        <f>SUM(D18*E18)+D18</f>
        <v>6397020</v>
      </c>
      <c r="G18" s="22">
        <v>6</v>
      </c>
      <c r="H18" s="128">
        <f>SUM(F18/2)*G18</f>
        <v>19191060</v>
      </c>
      <c r="I18" s="130">
        <f>D18*C23</f>
        <v>4200000</v>
      </c>
      <c r="J18" s="1"/>
    </row>
    <row r="19" spans="2:10" ht="15.75" thickBot="1" x14ac:dyDescent="0.3">
      <c r="B19" s="18"/>
      <c r="C19" s="18"/>
      <c r="D19" s="19"/>
      <c r="E19" s="18"/>
      <c r="F19" s="19"/>
      <c r="G19" s="19"/>
      <c r="H19" s="19"/>
    </row>
    <row r="20" spans="2:10" ht="15.75" thickBot="1" x14ac:dyDescent="0.3">
      <c r="B20" s="121" t="s">
        <v>139</v>
      </c>
      <c r="C20" s="119" t="s">
        <v>138</v>
      </c>
      <c r="D20" s="19"/>
      <c r="E20" s="132" t="s">
        <v>113</v>
      </c>
      <c r="F20" s="70"/>
      <c r="G20" s="70"/>
      <c r="H20" s="71">
        <f>SUM(H14:H19)</f>
        <v>222981840</v>
      </c>
      <c r="I20" s="71"/>
    </row>
    <row r="21" spans="2:10" x14ac:dyDescent="0.25">
      <c r="B21" s="122" t="s">
        <v>27</v>
      </c>
      <c r="C21" s="123">
        <v>7</v>
      </c>
      <c r="D21" s="19"/>
      <c r="E21" s="120" t="s">
        <v>140</v>
      </c>
      <c r="F21" s="19"/>
      <c r="G21" s="19"/>
      <c r="H21" s="19"/>
      <c r="I21" s="131">
        <f>SUM(I14:I19)</f>
        <v>42000000</v>
      </c>
    </row>
    <row r="22" spans="2:10" x14ac:dyDescent="0.25">
      <c r="B22" s="69" t="s">
        <v>28</v>
      </c>
      <c r="C22" s="124">
        <v>2</v>
      </c>
    </row>
    <row r="23" spans="2:10" ht="15.75" thickBot="1" x14ac:dyDescent="0.3">
      <c r="B23" s="21" t="s">
        <v>88</v>
      </c>
      <c r="C23" s="125">
        <v>1</v>
      </c>
    </row>
    <row r="24" spans="2:10" x14ac:dyDescent="0.25">
      <c r="C24">
        <f>SUM(C21:C23)</f>
        <v>10</v>
      </c>
    </row>
  </sheetData>
  <mergeCells count="1">
    <mergeCell ref="B12:H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6"/>
  <sheetViews>
    <sheetView workbookViewId="0">
      <selection activeCell="B22" sqref="B22:B38"/>
    </sheetView>
  </sheetViews>
  <sheetFormatPr baseColWidth="10" defaultColWidth="9.140625" defaultRowHeight="15" x14ac:dyDescent="0.25"/>
  <cols>
    <col min="1" max="1" width="5.85546875" customWidth="1"/>
    <col min="2" max="2" width="48.140625" customWidth="1"/>
    <col min="3" max="3" width="3.28515625" customWidth="1"/>
    <col min="4" max="4" width="15.7109375" bestFit="1" customWidth="1"/>
    <col min="5" max="5" width="16.28515625" bestFit="1" customWidth="1"/>
    <col min="6" max="6" width="3.5703125" customWidth="1"/>
    <col min="7" max="7" width="43.85546875" bestFit="1" customWidth="1"/>
  </cols>
  <sheetData>
    <row r="1" spans="2:7" ht="15.75" thickBot="1" x14ac:dyDescent="0.3"/>
    <row r="2" spans="2:7" ht="15.75" thickBot="1" x14ac:dyDescent="0.3">
      <c r="B2" s="111" t="s">
        <v>19</v>
      </c>
      <c r="C2" s="112"/>
      <c r="D2" s="112"/>
      <c r="E2" s="112"/>
      <c r="F2" s="112"/>
      <c r="G2" s="113"/>
    </row>
    <row r="3" spans="2:7" ht="15.75" thickBot="1" x14ac:dyDescent="0.3"/>
    <row r="4" spans="2:7" s="1" customFormat="1" ht="15.75" thickBot="1" x14ac:dyDescent="0.3">
      <c r="B4" s="12" t="s">
        <v>0</v>
      </c>
      <c r="C4" s="107"/>
      <c r="D4" s="7" t="s">
        <v>1</v>
      </c>
      <c r="E4" s="8" t="s">
        <v>2</v>
      </c>
      <c r="F4" s="108"/>
      <c r="G4" s="11" t="s">
        <v>3</v>
      </c>
    </row>
    <row r="5" spans="2:7" x14ac:dyDescent="0.25">
      <c r="B5" s="5" t="s">
        <v>6</v>
      </c>
      <c r="C5" s="107"/>
      <c r="D5" s="2" t="s">
        <v>15</v>
      </c>
      <c r="E5" s="109" t="s">
        <v>20</v>
      </c>
      <c r="F5" s="108"/>
      <c r="G5" s="10" t="s">
        <v>4</v>
      </c>
    </row>
    <row r="6" spans="2:7" x14ac:dyDescent="0.25">
      <c r="B6" s="6" t="s">
        <v>33</v>
      </c>
      <c r="C6" s="107"/>
      <c r="D6" s="3" t="s">
        <v>11</v>
      </c>
      <c r="E6" s="109"/>
      <c r="F6" s="108"/>
      <c r="G6" s="6" t="s">
        <v>16</v>
      </c>
    </row>
    <row r="7" spans="2:7" x14ac:dyDescent="0.25">
      <c r="B7" s="6" t="s">
        <v>32</v>
      </c>
      <c r="C7" s="107"/>
      <c r="D7" s="3" t="s">
        <v>12</v>
      </c>
      <c r="E7" s="109"/>
      <c r="F7" s="108"/>
      <c r="G7" s="6" t="s">
        <v>5</v>
      </c>
    </row>
    <row r="8" spans="2:7" ht="15.75" thickBot="1" x14ac:dyDescent="0.3">
      <c r="B8" s="6" t="s">
        <v>9</v>
      </c>
      <c r="C8" s="107"/>
      <c r="D8" s="3" t="s">
        <v>13</v>
      </c>
      <c r="E8" s="109"/>
      <c r="F8" s="108"/>
      <c r="G8" s="9" t="s">
        <v>17</v>
      </c>
    </row>
    <row r="9" spans="2:7" ht="15.75" thickBot="1" x14ac:dyDescent="0.3">
      <c r="B9" s="6" t="s">
        <v>8</v>
      </c>
      <c r="C9" s="107"/>
      <c r="D9" s="4" t="s">
        <v>14</v>
      </c>
      <c r="E9" s="110"/>
      <c r="F9" s="108"/>
    </row>
    <row r="10" spans="2:7" x14ac:dyDescent="0.25">
      <c r="B10" s="6" t="s">
        <v>31</v>
      </c>
      <c r="C10" s="107"/>
      <c r="F10" s="108"/>
    </row>
    <row r="11" spans="2:7" x14ac:dyDescent="0.25">
      <c r="B11" s="6" t="s">
        <v>7</v>
      </c>
      <c r="C11" s="107"/>
      <c r="F11" s="108"/>
    </row>
    <row r="12" spans="2:7" x14ac:dyDescent="0.25">
      <c r="B12" s="6" t="s">
        <v>18</v>
      </c>
      <c r="C12" s="107"/>
      <c r="F12" s="108"/>
    </row>
    <row r="13" spans="2:7" x14ac:dyDescent="0.25">
      <c r="B13" s="17" t="s">
        <v>30</v>
      </c>
      <c r="C13" s="107"/>
      <c r="F13" s="108"/>
    </row>
    <row r="14" spans="2:7" ht="15.75" thickBot="1" x14ac:dyDescent="0.3">
      <c r="B14" s="9" t="s">
        <v>10</v>
      </c>
      <c r="C14" s="107"/>
      <c r="F14" s="108"/>
    </row>
    <row r="15" spans="2:7" x14ac:dyDescent="0.25">
      <c r="B15" s="1"/>
    </row>
    <row r="16" spans="2:7" x14ac:dyDescent="0.25">
      <c r="B16" s="1"/>
    </row>
    <row r="24" spans="2:2" x14ac:dyDescent="0.25">
      <c r="B24" s="1"/>
    </row>
    <row r="25" spans="2:2" x14ac:dyDescent="0.25">
      <c r="B25" s="1"/>
    </row>
    <row r="26" spans="2:2" x14ac:dyDescent="0.25">
      <c r="B26" s="16"/>
    </row>
    <row r="27" spans="2:2" x14ac:dyDescent="0.25">
      <c r="B27" s="1"/>
    </row>
    <row r="28" spans="2:2" x14ac:dyDescent="0.25">
      <c r="B28" s="1"/>
    </row>
    <row r="29" spans="2:2" x14ac:dyDescent="0.25">
      <c r="B29" s="16"/>
    </row>
    <row r="30" spans="2:2" x14ac:dyDescent="0.25">
      <c r="B30" s="1"/>
    </row>
    <row r="31" spans="2:2" x14ac:dyDescent="0.25">
      <c r="B31" s="16"/>
    </row>
    <row r="32" spans="2:2" x14ac:dyDescent="0.25">
      <c r="B32" s="1"/>
    </row>
    <row r="33" spans="2:2" x14ac:dyDescent="0.25">
      <c r="B33" s="16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</sheetData>
  <mergeCells count="4">
    <mergeCell ref="C4:C14"/>
    <mergeCell ref="F4:F14"/>
    <mergeCell ref="E5:E9"/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Balance Inicial</vt:lpstr>
      <vt:lpstr>FLUJO DE CAJA </vt:lpstr>
      <vt:lpstr>FINANCACION</vt:lpstr>
      <vt:lpstr>Check LIST ADM</vt:lpstr>
      <vt:lpstr>Gastos Administrativos</vt:lpstr>
      <vt:lpstr>Nomina fija</vt:lpstr>
      <vt:lpstr>Entrada-salidas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 Caballero B</dc:creator>
  <cp:lastModifiedBy>Camilo</cp:lastModifiedBy>
  <dcterms:created xsi:type="dcterms:W3CDTF">2015-06-05T18:19:34Z</dcterms:created>
  <dcterms:modified xsi:type="dcterms:W3CDTF">2023-02-12T03:26:47Z</dcterms:modified>
</cp:coreProperties>
</file>