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dwinmolinamoya/Library/Mobile Documents/com~apple~CloudDocs/"/>
    </mc:Choice>
  </mc:AlternateContent>
  <xr:revisionPtr revIDLastSave="0" documentId="13_ncr:1_{DBCBB616-7F22-414D-A9F4-A37A0A7AF72B}" xr6:coauthVersionLast="47" xr6:coauthVersionMax="47" xr10:uidLastSave="{00000000-0000-0000-0000-000000000000}"/>
  <bookViews>
    <workbookView xWindow="760" yWindow="500" windowWidth="28040" windowHeight="16120" activeTab="1" xr2:uid="{329E24F1-C777-B04C-866C-E6AA9CE0B053}"/>
  </bookViews>
  <sheets>
    <sheet name="Punto de EQUILIBRIO" sheetId="7" r:id="rId1"/>
    <sheet name="Modelo Financiero" sheetId="5" r:id="rId2"/>
    <sheet name="Equipos y Herramientas" sheetId="4" r:id="rId3"/>
    <sheet name="Datos de Entrada" sheetId="1" r:id="rId4"/>
    <sheet name="Restauracion" sheetId="2" r:id="rId5"/>
    <sheet name="Conservacion" sheetId="6" r:id="rId6"/>
  </sheets>
  <externalReferences>
    <externalReference r:id="rId7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1" i="5" l="1"/>
  <c r="J102" i="5"/>
  <c r="H78" i="5" s="1"/>
  <c r="M86" i="5"/>
  <c r="M87" i="5"/>
  <c r="M88" i="5"/>
  <c r="M89" i="5"/>
  <c r="M90" i="5"/>
  <c r="M91" i="5"/>
  <c r="M92" i="5"/>
  <c r="M93" i="5"/>
  <c r="M94" i="5"/>
  <c r="M95" i="5"/>
  <c r="M96" i="5"/>
  <c r="M97" i="5"/>
  <c r="M98" i="5"/>
  <c r="M99" i="5"/>
  <c r="M100" i="5"/>
  <c r="M101" i="5"/>
  <c r="M102" i="5"/>
  <c r="M103" i="5"/>
  <c r="M104" i="5"/>
  <c r="M105" i="5"/>
  <c r="M106" i="5"/>
  <c r="M107" i="5"/>
  <c r="M108" i="5"/>
  <c r="M109" i="5"/>
  <c r="M110" i="5"/>
  <c r="M111" i="5"/>
  <c r="M112" i="5"/>
  <c r="M113" i="5"/>
  <c r="M114" i="5"/>
  <c r="M115" i="5"/>
  <c r="M116" i="5"/>
  <c r="M85" i="5"/>
  <c r="L77" i="5"/>
  <c r="M73" i="5" s="1"/>
  <c r="H72" i="5"/>
  <c r="H74" i="5"/>
  <c r="H75" i="5"/>
  <c r="H76" i="5"/>
  <c r="H77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H99" i="5"/>
  <c r="H100" i="5"/>
  <c r="H101" i="5"/>
  <c r="H73" i="5"/>
  <c r="C102" i="5"/>
  <c r="F29" i="1"/>
  <c r="F30" i="1"/>
  <c r="F31" i="1"/>
  <c r="F32" i="1"/>
  <c r="F33" i="1"/>
  <c r="F34" i="1"/>
  <c r="F35" i="1"/>
  <c r="F36" i="1"/>
  <c r="F28" i="1"/>
  <c r="D33" i="1"/>
  <c r="D30" i="1"/>
  <c r="C27" i="1"/>
  <c r="D27" i="1"/>
  <c r="F71" i="5"/>
  <c r="C106" i="5"/>
  <c r="C105" i="5"/>
  <c r="E71" i="5"/>
  <c r="H102" i="5" l="1"/>
  <c r="I76" i="5" s="1"/>
  <c r="I79" i="5"/>
  <c r="I86" i="5"/>
  <c r="I93" i="5"/>
  <c r="I100" i="5"/>
  <c r="I78" i="5"/>
  <c r="I85" i="5"/>
  <c r="I84" i="5"/>
  <c r="I98" i="5"/>
  <c r="I82" i="5"/>
  <c r="I72" i="5"/>
  <c r="I87" i="5"/>
  <c r="I94" i="5"/>
  <c r="I101" i="5"/>
  <c r="I77" i="5"/>
  <c r="I92" i="5"/>
  <c r="I99" i="5"/>
  <c r="I91" i="5"/>
  <c r="I75" i="5"/>
  <c r="I90" i="5"/>
  <c r="I74" i="5"/>
  <c r="I97" i="5"/>
  <c r="I89" i="5"/>
  <c r="I81" i="5"/>
  <c r="I96" i="5"/>
  <c r="I88" i="5"/>
  <c r="I80" i="5"/>
  <c r="I73" i="5"/>
  <c r="M72" i="5"/>
  <c r="M76" i="5"/>
  <c r="M75" i="5"/>
  <c r="M74" i="5"/>
  <c r="C41" i="5"/>
  <c r="C42" i="5" s="1"/>
  <c r="C43" i="5" s="1"/>
  <c r="C44" i="5" s="1"/>
  <c r="C45" i="5" s="1"/>
  <c r="C46" i="5" s="1"/>
  <c r="C47" i="5" s="1"/>
  <c r="C48" i="5" s="1"/>
  <c r="C49" i="5" s="1"/>
  <c r="C50" i="5" s="1"/>
  <c r="C51" i="5" s="1"/>
  <c r="C52" i="5" s="1"/>
  <c r="C53" i="5" s="1"/>
  <c r="C54" i="5" s="1"/>
  <c r="C55" i="5" s="1"/>
  <c r="C56" i="5" s="1"/>
  <c r="C57" i="5" s="1"/>
  <c r="C58" i="5" s="1"/>
  <c r="C59" i="5" s="1"/>
  <c r="C60" i="5" s="1"/>
  <c r="C61" i="5" s="1"/>
  <c r="AJ52" i="6"/>
  <c r="AJ53" i="6"/>
  <c r="AJ54" i="6"/>
  <c r="AJ57" i="6"/>
  <c r="AJ58" i="6"/>
  <c r="AJ59" i="6"/>
  <c r="AJ74" i="6"/>
  <c r="AJ47" i="6"/>
  <c r="AJ45" i="6"/>
  <c r="AJ44" i="6"/>
  <c r="AJ38" i="6"/>
  <c r="AJ39" i="6"/>
  <c r="AJ33" i="6"/>
  <c r="AJ76" i="6"/>
  <c r="C23" i="6"/>
  <c r="C22" i="6"/>
  <c r="C21" i="6"/>
  <c r="C20" i="6"/>
  <c r="C19" i="6"/>
  <c r="C19" i="2"/>
  <c r="E16" i="6"/>
  <c r="F16" i="6"/>
  <c r="G16" i="6"/>
  <c r="H16" i="6"/>
  <c r="I16" i="6"/>
  <c r="J16" i="6"/>
  <c r="K16" i="6"/>
  <c r="L16" i="6"/>
  <c r="M16" i="6"/>
  <c r="N16" i="6"/>
  <c r="O16" i="6"/>
  <c r="P16" i="6"/>
  <c r="Q16" i="6"/>
  <c r="R16" i="6"/>
  <c r="S16" i="6"/>
  <c r="T16" i="6"/>
  <c r="U16" i="6"/>
  <c r="V16" i="6"/>
  <c r="W16" i="6"/>
  <c r="X16" i="6"/>
  <c r="Y16" i="6"/>
  <c r="Z16" i="6"/>
  <c r="AA16" i="6"/>
  <c r="AB16" i="6"/>
  <c r="AC16" i="6"/>
  <c r="AD16" i="6"/>
  <c r="AE16" i="6"/>
  <c r="AF16" i="6"/>
  <c r="AG16" i="6"/>
  <c r="D16" i="6"/>
  <c r="AJ16" i="6" s="1"/>
  <c r="C13" i="6"/>
  <c r="C13" i="2"/>
  <c r="C5" i="6"/>
  <c r="AJ5" i="6" s="1"/>
  <c r="BG96" i="6"/>
  <c r="BF96" i="6"/>
  <c r="AZ96" i="6"/>
  <c r="BL96" i="6" s="1"/>
  <c r="AY96" i="6"/>
  <c r="BK96" i="6" s="1"/>
  <c r="AX96" i="6"/>
  <c r="BJ96" i="6" s="1"/>
  <c r="AW96" i="6"/>
  <c r="BI96" i="6" s="1"/>
  <c r="AU96" i="6"/>
  <c r="AT96" i="6"/>
  <c r="AS96" i="6"/>
  <c r="BE96" i="6" s="1"/>
  <c r="AR96" i="6"/>
  <c r="BD96" i="6" s="1"/>
  <c r="AQ96" i="6"/>
  <c r="BC96" i="6" s="1"/>
  <c r="AP96" i="6"/>
  <c r="BB96" i="6" s="1"/>
  <c r="AO96" i="6"/>
  <c r="BA96" i="6" s="1"/>
  <c r="BM96" i="6" s="1"/>
  <c r="AN96" i="6"/>
  <c r="AM96" i="6"/>
  <c r="AL96" i="6"/>
  <c r="AK96" i="6"/>
  <c r="AJ96" i="6"/>
  <c r="AV96" i="6" s="1"/>
  <c r="BH96" i="6" s="1"/>
  <c r="BK95" i="6"/>
  <c r="BG95" i="6"/>
  <c r="BF95" i="6"/>
  <c r="BE95" i="6"/>
  <c r="BD95" i="6"/>
  <c r="AY95" i="6"/>
  <c r="AX95" i="6"/>
  <c r="BJ95" i="6" s="1"/>
  <c r="AW95" i="6"/>
  <c r="BI95" i="6" s="1"/>
  <c r="AV95" i="6"/>
  <c r="BH95" i="6" s="1"/>
  <c r="AU95" i="6"/>
  <c r="AT95" i="6"/>
  <c r="AS95" i="6"/>
  <c r="AR95" i="6"/>
  <c r="AQ95" i="6"/>
  <c r="BC95" i="6" s="1"/>
  <c r="AP95" i="6"/>
  <c r="BB95" i="6" s="1"/>
  <c r="AO95" i="6"/>
  <c r="BA95" i="6" s="1"/>
  <c r="BM95" i="6" s="1"/>
  <c r="AN95" i="6"/>
  <c r="AZ95" i="6" s="1"/>
  <c r="BL95" i="6" s="1"/>
  <c r="AM95" i="6"/>
  <c r="AL95" i="6"/>
  <c r="AK95" i="6"/>
  <c r="AJ95" i="6"/>
  <c r="BJ94" i="6"/>
  <c r="BI94" i="6"/>
  <c r="BD94" i="6"/>
  <c r="BC94" i="6"/>
  <c r="BB94" i="6"/>
  <c r="AW94" i="6"/>
  <c r="AV94" i="6"/>
  <c r="BH94" i="6" s="1"/>
  <c r="AU94" i="6"/>
  <c r="BG94" i="6" s="1"/>
  <c r="AT94" i="6"/>
  <c r="BF94" i="6" s="1"/>
  <c r="AS94" i="6"/>
  <c r="BE94" i="6" s="1"/>
  <c r="AR94" i="6"/>
  <c r="AQ94" i="6"/>
  <c r="AP94" i="6"/>
  <c r="AO94" i="6"/>
  <c r="BA94" i="6" s="1"/>
  <c r="BM94" i="6" s="1"/>
  <c r="AN94" i="6"/>
  <c r="AZ94" i="6" s="1"/>
  <c r="BL94" i="6" s="1"/>
  <c r="AM94" i="6"/>
  <c r="AY94" i="6" s="1"/>
  <c r="BK94" i="6" s="1"/>
  <c r="AL94" i="6"/>
  <c r="AX94" i="6" s="1"/>
  <c r="AK94" i="6"/>
  <c r="AJ94" i="6"/>
  <c r="BO81" i="6"/>
  <c r="BN81" i="6"/>
  <c r="BO79" i="6"/>
  <c r="BN79" i="6"/>
  <c r="BM76" i="6"/>
  <c r="BL76" i="6"/>
  <c r="BK76" i="6"/>
  <c r="BJ76" i="6"/>
  <c r="BI76" i="6"/>
  <c r="BH76" i="6"/>
  <c r="BG76" i="6"/>
  <c r="BF76" i="6"/>
  <c r="BE76" i="6"/>
  <c r="BD76" i="6"/>
  <c r="BC76" i="6"/>
  <c r="BB76" i="6"/>
  <c r="BA76" i="6"/>
  <c r="AZ76" i="6"/>
  <c r="AY76" i="6"/>
  <c r="AX76" i="6"/>
  <c r="AW76" i="6"/>
  <c r="AV76" i="6"/>
  <c r="AU76" i="6"/>
  <c r="AT76" i="6"/>
  <c r="AS76" i="6"/>
  <c r="AR76" i="6"/>
  <c r="AQ76" i="6"/>
  <c r="AP76" i="6"/>
  <c r="AO76" i="6"/>
  <c r="AN76" i="6"/>
  <c r="AM76" i="6"/>
  <c r="AL76" i="6"/>
  <c r="AK76" i="6"/>
  <c r="F71" i="6"/>
  <c r="E71" i="6"/>
  <c r="D71" i="6"/>
  <c r="AG70" i="6"/>
  <c r="W70" i="6"/>
  <c r="M70" i="6"/>
  <c r="J70" i="6"/>
  <c r="H70" i="6"/>
  <c r="F70" i="6"/>
  <c r="E70" i="6"/>
  <c r="D70" i="6"/>
  <c r="AG68" i="6"/>
  <c r="W68" i="6"/>
  <c r="M68" i="6"/>
  <c r="J68" i="6"/>
  <c r="H68" i="6"/>
  <c r="F68" i="6"/>
  <c r="E68" i="6"/>
  <c r="D68" i="6"/>
  <c r="AG66" i="6"/>
  <c r="W66" i="6"/>
  <c r="M66" i="6"/>
  <c r="J66" i="6"/>
  <c r="H66" i="6"/>
  <c r="F66" i="6"/>
  <c r="E66" i="6"/>
  <c r="D66" i="6"/>
  <c r="BM45" i="6"/>
  <c r="BL45" i="6"/>
  <c r="BK45" i="6"/>
  <c r="BJ45" i="6"/>
  <c r="BI45" i="6"/>
  <c r="BH45" i="6"/>
  <c r="BG45" i="6"/>
  <c r="BF45" i="6"/>
  <c r="BE45" i="6"/>
  <c r="BD45" i="6"/>
  <c r="BC45" i="6"/>
  <c r="BB45" i="6"/>
  <c r="BA45" i="6"/>
  <c r="AZ45" i="6"/>
  <c r="AY45" i="6"/>
  <c r="AX45" i="6"/>
  <c r="AW45" i="6"/>
  <c r="AV45" i="6"/>
  <c r="AU45" i="6"/>
  <c r="AT45" i="6"/>
  <c r="AS45" i="6"/>
  <c r="AR45" i="6"/>
  <c r="AQ45" i="6"/>
  <c r="AP45" i="6"/>
  <c r="AO45" i="6"/>
  <c r="AN45" i="6"/>
  <c r="AM45" i="6"/>
  <c r="AL45" i="6"/>
  <c r="AK45" i="6"/>
  <c r="BM44" i="6"/>
  <c r="BL44" i="6"/>
  <c r="BK44" i="6"/>
  <c r="BJ44" i="6"/>
  <c r="BI44" i="6"/>
  <c r="BH44" i="6"/>
  <c r="BG44" i="6"/>
  <c r="BF44" i="6"/>
  <c r="BE44" i="6"/>
  <c r="BD44" i="6"/>
  <c r="BC44" i="6"/>
  <c r="BB44" i="6"/>
  <c r="BA44" i="6"/>
  <c r="AZ44" i="6"/>
  <c r="AY44" i="6"/>
  <c r="AX44" i="6"/>
  <c r="AW44" i="6"/>
  <c r="AV44" i="6"/>
  <c r="AU44" i="6"/>
  <c r="AT44" i="6"/>
  <c r="AS44" i="6"/>
  <c r="AR44" i="6"/>
  <c r="AQ44" i="6"/>
  <c r="AP44" i="6"/>
  <c r="AO44" i="6"/>
  <c r="AN44" i="6"/>
  <c r="AM44" i="6"/>
  <c r="AL44" i="6"/>
  <c r="AK44" i="6"/>
  <c r="AG27" i="6"/>
  <c r="W27" i="6"/>
  <c r="H27" i="6"/>
  <c r="D27" i="6"/>
  <c r="M27" i="6" s="1"/>
  <c r="D26" i="6"/>
  <c r="H26" i="6" s="1"/>
  <c r="AG25" i="6"/>
  <c r="W25" i="6"/>
  <c r="M25" i="6"/>
  <c r="D25" i="6"/>
  <c r="H25" i="6" s="1"/>
  <c r="AG24" i="6"/>
  <c r="AG32" i="6" s="1"/>
  <c r="W24" i="6"/>
  <c r="W32" i="6" s="1"/>
  <c r="M24" i="6"/>
  <c r="M32" i="6" s="1"/>
  <c r="H24" i="6"/>
  <c r="H32" i="6" s="1"/>
  <c r="D24" i="6"/>
  <c r="D32" i="6" s="1"/>
  <c r="AG23" i="6"/>
  <c r="W23" i="6"/>
  <c r="M23" i="6"/>
  <c r="H23" i="6"/>
  <c r="D23" i="6"/>
  <c r="AG22" i="6"/>
  <c r="W22" i="6"/>
  <c r="M22" i="6"/>
  <c r="H22" i="6"/>
  <c r="D22" i="6"/>
  <c r="AG21" i="6"/>
  <c r="W21" i="6"/>
  <c r="M21" i="6"/>
  <c r="H21" i="6"/>
  <c r="D21" i="6"/>
  <c r="AG20" i="6"/>
  <c r="W20" i="6"/>
  <c r="M20" i="6"/>
  <c r="H20" i="6"/>
  <c r="D20" i="6"/>
  <c r="D30" i="6" s="1"/>
  <c r="D19" i="6"/>
  <c r="C7" i="6"/>
  <c r="AC75" i="1"/>
  <c r="AG74" i="1"/>
  <c r="AG75" i="1" s="1"/>
  <c r="AF74" i="1"/>
  <c r="AF75" i="1" s="1"/>
  <c r="AE74" i="1"/>
  <c r="AE75" i="1" s="1"/>
  <c r="AD74" i="1"/>
  <c r="AD75" i="1" s="1"/>
  <c r="AC74" i="1"/>
  <c r="AB74" i="1"/>
  <c r="AB75" i="1" s="1"/>
  <c r="AA74" i="1"/>
  <c r="AA75" i="1" s="1"/>
  <c r="Z74" i="1"/>
  <c r="Z75" i="1" s="1"/>
  <c r="Y74" i="1"/>
  <c r="Y75" i="1" s="1"/>
  <c r="X74" i="1"/>
  <c r="X75" i="1" s="1"/>
  <c r="W74" i="1"/>
  <c r="W75" i="1" s="1"/>
  <c r="I83" i="5" l="1"/>
  <c r="I95" i="5"/>
  <c r="I102" i="5"/>
  <c r="M26" i="6"/>
  <c r="BN45" i="6"/>
  <c r="BN44" i="6"/>
  <c r="AJ20" i="6"/>
  <c r="AJ7" i="6"/>
  <c r="AJ23" i="6"/>
  <c r="AJ22" i="6"/>
  <c r="AJ19" i="6"/>
  <c r="AJ21" i="6"/>
  <c r="AJ13" i="6"/>
  <c r="AG26" i="6"/>
  <c r="W26" i="6"/>
  <c r="D29" i="6"/>
  <c r="D31" i="6"/>
  <c r="D28" i="6"/>
  <c r="AG28" i="6" l="1"/>
  <c r="W28" i="6"/>
  <c r="M28" i="6"/>
  <c r="H28" i="6"/>
  <c r="E5" i="2"/>
  <c r="F5" i="2"/>
  <c r="G5" i="2"/>
  <c r="H5" i="2"/>
  <c r="I5" i="2"/>
  <c r="J5" i="2"/>
  <c r="K5" i="2"/>
  <c r="L5" i="2"/>
  <c r="M5" i="2"/>
  <c r="N5" i="2"/>
  <c r="O5" i="2"/>
  <c r="P5" i="2"/>
  <c r="Q5" i="2"/>
  <c r="R5" i="2"/>
  <c r="S5" i="2"/>
  <c r="T5" i="2"/>
  <c r="U5" i="2"/>
  <c r="V5" i="2"/>
  <c r="W5" i="2"/>
  <c r="X5" i="2"/>
  <c r="Y5" i="2"/>
  <c r="Z5" i="2"/>
  <c r="AA5" i="2"/>
  <c r="AB5" i="2"/>
  <c r="AC5" i="2"/>
  <c r="AD5" i="2"/>
  <c r="AE5" i="2"/>
  <c r="AF5" i="2"/>
  <c r="AG5" i="2"/>
  <c r="D5" i="2"/>
  <c r="AJ81" i="2"/>
  <c r="AJ82" i="2"/>
  <c r="AJ83" i="2"/>
  <c r="AJ86" i="2"/>
  <c r="AJ87" i="2"/>
  <c r="AJ88" i="2"/>
  <c r="AJ76" i="2"/>
  <c r="AJ74" i="2"/>
  <c r="AJ73" i="2"/>
  <c r="AJ72" i="2"/>
  <c r="AJ71" i="2"/>
  <c r="AJ59" i="2"/>
  <c r="AJ60" i="2"/>
  <c r="D85" i="1"/>
  <c r="D84" i="1"/>
  <c r="V74" i="1"/>
  <c r="V75" i="1" s="1"/>
  <c r="U74" i="1"/>
  <c r="U75" i="1" s="1"/>
  <c r="T74" i="1"/>
  <c r="T75" i="1" s="1"/>
  <c r="S74" i="1"/>
  <c r="S75" i="1" s="1"/>
  <c r="R74" i="1"/>
  <c r="R75" i="1" s="1"/>
  <c r="Q74" i="1"/>
  <c r="Q75" i="1" s="1"/>
  <c r="P74" i="1"/>
  <c r="P75" i="1" s="1"/>
  <c r="O74" i="1"/>
  <c r="O75" i="1" s="1"/>
  <c r="N74" i="1"/>
  <c r="N75" i="1" s="1"/>
  <c r="M74" i="1"/>
  <c r="M75" i="1" s="1"/>
  <c r="L74" i="1"/>
  <c r="L75" i="1" s="1"/>
  <c r="K74" i="1"/>
  <c r="K75" i="1" s="1"/>
  <c r="J74" i="1"/>
  <c r="J75" i="1" s="1"/>
  <c r="I74" i="1"/>
  <c r="I75" i="1" s="1"/>
  <c r="H74" i="1"/>
  <c r="H75" i="1" s="1"/>
  <c r="G74" i="1"/>
  <c r="G75" i="1" s="1"/>
  <c r="F74" i="1"/>
  <c r="F75" i="1" s="1"/>
  <c r="E74" i="1"/>
  <c r="E75" i="1" s="1"/>
  <c r="D74" i="1"/>
  <c r="D75" i="1" s="1"/>
  <c r="I70" i="1"/>
  <c r="H70" i="1"/>
  <c r="G70" i="1"/>
  <c r="D76" i="1" l="1"/>
  <c r="AK87" i="2"/>
  <c r="AK76" i="2"/>
  <c r="AK73" i="2"/>
  <c r="AK57" i="6" l="1"/>
  <c r="AK54" i="6"/>
  <c r="AK59" i="6"/>
  <c r="AK52" i="6"/>
  <c r="AK47" i="6"/>
  <c r="AK53" i="6"/>
  <c r="AK39" i="6"/>
  <c r="AK58" i="6"/>
  <c r="AK38" i="6"/>
  <c r="AK33" i="6"/>
  <c r="AK74" i="6"/>
  <c r="AK22" i="6"/>
  <c r="AK13" i="6"/>
  <c r="AK21" i="6"/>
  <c r="AK19" i="6"/>
  <c r="AK23" i="6"/>
  <c r="AK20" i="6"/>
  <c r="AK7" i="6"/>
  <c r="AK16" i="6"/>
  <c r="AK5" i="6"/>
  <c r="AK81" i="2"/>
  <c r="E76" i="1"/>
  <c r="AL87" i="2" s="1"/>
  <c r="AK86" i="2"/>
  <c r="AK74" i="2"/>
  <c r="AK88" i="2"/>
  <c r="AK60" i="2"/>
  <c r="AK71" i="2"/>
  <c r="AK72" i="2"/>
  <c r="AK59" i="2"/>
  <c r="AK82" i="2"/>
  <c r="AK83" i="2"/>
  <c r="AL73" i="2" l="1"/>
  <c r="AL71" i="2"/>
  <c r="AL59" i="2"/>
  <c r="AL83" i="2"/>
  <c r="AL72" i="2"/>
  <c r="F76" i="1"/>
  <c r="AM33" i="6" s="1"/>
  <c r="AL88" i="2"/>
  <c r="AL82" i="2"/>
  <c r="AL76" i="2"/>
  <c r="AL81" i="2"/>
  <c r="AL86" i="2"/>
  <c r="AL74" i="2"/>
  <c r="AL60" i="2"/>
  <c r="AM58" i="6"/>
  <c r="AM20" i="6"/>
  <c r="AL52" i="6"/>
  <c r="AL57" i="6"/>
  <c r="AL54" i="6"/>
  <c r="AL59" i="6"/>
  <c r="AL47" i="6"/>
  <c r="AL58" i="6"/>
  <c r="AL38" i="6"/>
  <c r="AL33" i="6"/>
  <c r="AL74" i="6"/>
  <c r="AL39" i="6"/>
  <c r="AL53" i="6"/>
  <c r="AL7" i="6"/>
  <c r="AL23" i="6"/>
  <c r="AL16" i="6"/>
  <c r="AL21" i="6"/>
  <c r="AL22" i="6"/>
  <c r="AL13" i="6"/>
  <c r="AL19" i="6"/>
  <c r="AL5" i="6"/>
  <c r="AL20" i="6"/>
  <c r="AM82" i="2" l="1"/>
  <c r="AM87" i="2"/>
  <c r="AM53" i="6"/>
  <c r="AM57" i="6"/>
  <c r="AM72" i="2"/>
  <c r="AM60" i="2"/>
  <c r="AM5" i="6"/>
  <c r="AM74" i="2"/>
  <c r="AM86" i="2"/>
  <c r="AM7" i="6"/>
  <c r="G76" i="1"/>
  <c r="AN54" i="6" s="1"/>
  <c r="AM81" i="2"/>
  <c r="AM16" i="6"/>
  <c r="AM54" i="6"/>
  <c r="AM83" i="2"/>
  <c r="AM19" i="6"/>
  <c r="AM47" i="6"/>
  <c r="AM52" i="6"/>
  <c r="AM73" i="2"/>
  <c r="AM38" i="6"/>
  <c r="AM71" i="2"/>
  <c r="AM88" i="2"/>
  <c r="AM22" i="6"/>
  <c r="AM74" i="6"/>
  <c r="AM39" i="6"/>
  <c r="AM59" i="2"/>
  <c r="AM21" i="6"/>
  <c r="AM76" i="2"/>
  <c r="AM23" i="6"/>
  <c r="AM59" i="6"/>
  <c r="AM13" i="6"/>
  <c r="AN81" i="2"/>
  <c r="AN33" i="6" l="1"/>
  <c r="AN38" i="6"/>
  <c r="AN23" i="6"/>
  <c r="AN20" i="6"/>
  <c r="AN13" i="6"/>
  <c r="AN60" i="2"/>
  <c r="AN39" i="6"/>
  <c r="AN7" i="6"/>
  <c r="AN21" i="6"/>
  <c r="AN22" i="6"/>
  <c r="H76" i="1"/>
  <c r="AO74" i="6" s="1"/>
  <c r="AN57" i="6"/>
  <c r="AN83" i="2"/>
  <c r="AN58" i="6"/>
  <c r="AN59" i="2"/>
  <c r="AN71" i="2"/>
  <c r="AN19" i="6"/>
  <c r="AN74" i="6"/>
  <c r="AN82" i="2"/>
  <c r="AN53" i="6"/>
  <c r="AN73" i="2"/>
  <c r="AN52" i="6"/>
  <c r="AN5" i="6"/>
  <c r="AN87" i="2"/>
  <c r="AN47" i="6"/>
  <c r="AN86" i="2"/>
  <c r="AN59" i="6"/>
  <c r="AN72" i="2"/>
  <c r="AN88" i="2"/>
  <c r="AN74" i="2"/>
  <c r="AN76" i="2"/>
  <c r="AN16" i="6"/>
  <c r="AO7" i="6" l="1"/>
  <c r="AO54" i="6"/>
  <c r="AO47" i="6"/>
  <c r="AO83" i="2"/>
  <c r="AO22" i="6"/>
  <c r="AO88" i="2"/>
  <c r="AO19" i="6"/>
  <c r="AO16" i="6"/>
  <c r="I76" i="1"/>
  <c r="AP59" i="6" s="1"/>
  <c r="AO39" i="6"/>
  <c r="AO71" i="2"/>
  <c r="AO57" i="6"/>
  <c r="AO73" i="2"/>
  <c r="AO21" i="6"/>
  <c r="AO87" i="2"/>
  <c r="AO52" i="6"/>
  <c r="AO72" i="2"/>
  <c r="AO59" i="6"/>
  <c r="AO5" i="6"/>
  <c r="AO59" i="2"/>
  <c r="AO58" i="6"/>
  <c r="AO60" i="2"/>
  <c r="AO23" i="6"/>
  <c r="AO53" i="6"/>
  <c r="AO20" i="6"/>
  <c r="AO76" i="2"/>
  <c r="AO74" i="2"/>
  <c r="AO86" i="2"/>
  <c r="AO81" i="2"/>
  <c r="AO38" i="6"/>
  <c r="AO82" i="2"/>
  <c r="AO13" i="6"/>
  <c r="AO33" i="6"/>
  <c r="AP16" i="6"/>
  <c r="AP73" i="2"/>
  <c r="AP54" i="6" l="1"/>
  <c r="AP88" i="2"/>
  <c r="AP76" i="2"/>
  <c r="AP59" i="2"/>
  <c r="AP71" i="2"/>
  <c r="AP39" i="6"/>
  <c r="AP52" i="6"/>
  <c r="AP13" i="6"/>
  <c r="AP7" i="6"/>
  <c r="AP33" i="6"/>
  <c r="AP58" i="6"/>
  <c r="J76" i="1"/>
  <c r="AQ47" i="6" s="1"/>
  <c r="AP53" i="6"/>
  <c r="AP60" i="2"/>
  <c r="AP19" i="6"/>
  <c r="AP47" i="6"/>
  <c r="AP22" i="6"/>
  <c r="AP38" i="6"/>
  <c r="AP74" i="2"/>
  <c r="AP23" i="6"/>
  <c r="AP21" i="6"/>
  <c r="AP87" i="2"/>
  <c r="AP57" i="6"/>
  <c r="AP72" i="2"/>
  <c r="AP81" i="2"/>
  <c r="AP82" i="2"/>
  <c r="AP86" i="2"/>
  <c r="AP74" i="6"/>
  <c r="AP83" i="2"/>
  <c r="AP20" i="6"/>
  <c r="AP5" i="6"/>
  <c r="AQ59" i="6"/>
  <c r="AQ52" i="6"/>
  <c r="AQ33" i="6"/>
  <c r="AQ5" i="6"/>
  <c r="AQ16" i="6"/>
  <c r="AQ22" i="6"/>
  <c r="AQ60" i="2"/>
  <c r="AQ86" i="2"/>
  <c r="AQ81" i="2"/>
  <c r="AQ74" i="2"/>
  <c r="AQ59" i="2"/>
  <c r="AQ88" i="2"/>
  <c r="AQ72" i="2" l="1"/>
  <c r="AQ57" i="6"/>
  <c r="AQ87" i="2"/>
  <c r="AQ39" i="6"/>
  <c r="AQ73" i="2"/>
  <c r="AQ13" i="6"/>
  <c r="AQ71" i="2"/>
  <c r="AQ7" i="6"/>
  <c r="AQ74" i="6"/>
  <c r="AQ20" i="6"/>
  <c r="AQ82" i="2"/>
  <c r="AQ54" i="6"/>
  <c r="AQ23" i="6"/>
  <c r="AQ19" i="6"/>
  <c r="AQ53" i="6"/>
  <c r="AQ58" i="6"/>
  <c r="AQ83" i="2"/>
  <c r="K76" i="1"/>
  <c r="AR57" i="6" s="1"/>
  <c r="AQ76" i="2"/>
  <c r="AQ21" i="6"/>
  <c r="AQ38" i="6"/>
  <c r="AR54" i="6"/>
  <c r="AR59" i="6"/>
  <c r="AR47" i="6"/>
  <c r="AR74" i="6"/>
  <c r="AR39" i="6"/>
  <c r="AR33" i="6"/>
  <c r="AR53" i="6"/>
  <c r="AR58" i="6"/>
  <c r="AR38" i="6"/>
  <c r="AR13" i="6"/>
  <c r="AR23" i="6"/>
  <c r="AR21" i="6"/>
  <c r="AR20" i="6"/>
  <c r="AR22" i="6"/>
  <c r="AR16" i="6"/>
  <c r="AR5" i="6"/>
  <c r="AR82" i="2"/>
  <c r="AR72" i="2"/>
  <c r="AR60" i="2"/>
  <c r="AR86" i="2"/>
  <c r="AR81" i="2"/>
  <c r="AR76" i="2"/>
  <c r="AR83" i="2"/>
  <c r="AR74" i="2"/>
  <c r="AR71" i="2"/>
  <c r="AR88" i="2"/>
  <c r="AR73" i="2"/>
  <c r="AR59" i="2"/>
  <c r="L76" i="1"/>
  <c r="AR52" i="6" l="1"/>
  <c r="AR87" i="2"/>
  <c r="AR7" i="6"/>
  <c r="AR19" i="6"/>
  <c r="AS57" i="6"/>
  <c r="AS54" i="6"/>
  <c r="AS59" i="6"/>
  <c r="AS52" i="6"/>
  <c r="AS58" i="6"/>
  <c r="AS53" i="6"/>
  <c r="AS74" i="6"/>
  <c r="AS39" i="6"/>
  <c r="AS33" i="6"/>
  <c r="AS47" i="6"/>
  <c r="AS38" i="6"/>
  <c r="AS7" i="6"/>
  <c r="AS20" i="6"/>
  <c r="AS22" i="6"/>
  <c r="AS5" i="6"/>
  <c r="AS21" i="6"/>
  <c r="AS16" i="6"/>
  <c r="AS23" i="6"/>
  <c r="AS19" i="6"/>
  <c r="AS13" i="6"/>
  <c r="AS87" i="2"/>
  <c r="AS82" i="2"/>
  <c r="AS72" i="2"/>
  <c r="AS60" i="2"/>
  <c r="AS86" i="2"/>
  <c r="AS81" i="2"/>
  <c r="AS76" i="2"/>
  <c r="AS73" i="2"/>
  <c r="AS74" i="2"/>
  <c r="AS88" i="2"/>
  <c r="AS71" i="2"/>
  <c r="AS83" i="2"/>
  <c r="AS59" i="2"/>
  <c r="M76" i="1"/>
  <c r="AT52" i="6" l="1"/>
  <c r="AT57" i="6"/>
  <c r="AT54" i="6"/>
  <c r="AT58" i="6"/>
  <c r="AT53" i="6"/>
  <c r="AT74" i="6"/>
  <c r="AT39" i="6"/>
  <c r="AT33" i="6"/>
  <c r="AT38" i="6"/>
  <c r="AT59" i="6"/>
  <c r="AT47" i="6"/>
  <c r="AT21" i="6"/>
  <c r="AT22" i="6"/>
  <c r="AT20" i="6"/>
  <c r="AT7" i="6"/>
  <c r="AT13" i="6"/>
  <c r="AT23" i="6"/>
  <c r="AT16" i="6"/>
  <c r="AT5" i="6"/>
  <c r="AT19" i="6"/>
  <c r="AT73" i="2"/>
  <c r="AT87" i="2"/>
  <c r="AT82" i="2"/>
  <c r="AT81" i="2"/>
  <c r="AT76" i="2"/>
  <c r="AT83" i="2"/>
  <c r="AT88" i="2"/>
  <c r="AT74" i="2"/>
  <c r="AT86" i="2"/>
  <c r="AT72" i="2"/>
  <c r="AT71" i="2"/>
  <c r="AT60" i="2"/>
  <c r="AT59" i="2"/>
  <c r="N76" i="1"/>
  <c r="AU52" i="6" l="1"/>
  <c r="AU57" i="6"/>
  <c r="AU58" i="6"/>
  <c r="AU53" i="6"/>
  <c r="AU47" i="6"/>
  <c r="AU38" i="6"/>
  <c r="AU54" i="6"/>
  <c r="AU22" i="6"/>
  <c r="AU74" i="6"/>
  <c r="AU33" i="6"/>
  <c r="AU59" i="6"/>
  <c r="AU39" i="6"/>
  <c r="AU20" i="6"/>
  <c r="AU5" i="6"/>
  <c r="AU16" i="6"/>
  <c r="AU19" i="6"/>
  <c r="AU13" i="6"/>
  <c r="AU21" i="6"/>
  <c r="AU23" i="6"/>
  <c r="AU7" i="6"/>
  <c r="AU83" i="2"/>
  <c r="AU73" i="2"/>
  <c r="AU87" i="2"/>
  <c r="AU82" i="2"/>
  <c r="AU81" i="2"/>
  <c r="AU76" i="2"/>
  <c r="AU88" i="2"/>
  <c r="AU71" i="2"/>
  <c r="AU74" i="2"/>
  <c r="AU86" i="2"/>
  <c r="AU72" i="2"/>
  <c r="AU59" i="2"/>
  <c r="AU60" i="2"/>
  <c r="O76" i="1"/>
  <c r="AV58" i="6" l="1"/>
  <c r="AV52" i="6"/>
  <c r="AV53" i="6"/>
  <c r="AV47" i="6"/>
  <c r="AV38" i="6"/>
  <c r="AV57" i="6"/>
  <c r="AV59" i="6"/>
  <c r="AV54" i="6"/>
  <c r="AV22" i="6"/>
  <c r="AV74" i="6"/>
  <c r="AV33" i="6"/>
  <c r="AV39" i="6"/>
  <c r="AV21" i="6"/>
  <c r="AV16" i="6"/>
  <c r="AV5" i="6"/>
  <c r="AV7" i="6"/>
  <c r="AV23" i="6"/>
  <c r="AV20" i="6"/>
  <c r="AV13" i="6"/>
  <c r="AV19" i="6"/>
  <c r="AV76" i="2"/>
  <c r="AV88" i="2"/>
  <c r="AV71" i="2"/>
  <c r="AV59" i="2"/>
  <c r="AV83" i="2"/>
  <c r="AV73" i="2"/>
  <c r="AV82" i="2"/>
  <c r="AV81" i="2"/>
  <c r="AV74" i="2"/>
  <c r="AV86" i="2"/>
  <c r="AV60" i="2"/>
  <c r="AV87" i="2"/>
  <c r="AV72" i="2"/>
  <c r="P76" i="1"/>
  <c r="AW53" i="6" l="1"/>
  <c r="AW58" i="6"/>
  <c r="AW47" i="6"/>
  <c r="AW59" i="6"/>
  <c r="AW52" i="6"/>
  <c r="AW38" i="6"/>
  <c r="AW57" i="6"/>
  <c r="AW54" i="6"/>
  <c r="AW74" i="6"/>
  <c r="AW33" i="6"/>
  <c r="AW16" i="6"/>
  <c r="AW39" i="6"/>
  <c r="AW5" i="6"/>
  <c r="AW23" i="6"/>
  <c r="AW7" i="6"/>
  <c r="AW19" i="6"/>
  <c r="AW20" i="6"/>
  <c r="AW22" i="6"/>
  <c r="AW21" i="6"/>
  <c r="AW13" i="6"/>
  <c r="AW81" i="2"/>
  <c r="AW74" i="2"/>
  <c r="AW76" i="2"/>
  <c r="AW88" i="2"/>
  <c r="AW71" i="2"/>
  <c r="AW59" i="2"/>
  <c r="AW83" i="2"/>
  <c r="AW82" i="2"/>
  <c r="AW86" i="2"/>
  <c r="AW60" i="2"/>
  <c r="AW73" i="2"/>
  <c r="AW87" i="2"/>
  <c r="AW72" i="2"/>
  <c r="Q76" i="1"/>
  <c r="AX47" i="6" l="1"/>
  <c r="AX53" i="6"/>
  <c r="AX58" i="6"/>
  <c r="AX59" i="6"/>
  <c r="AX54" i="6"/>
  <c r="AX74" i="6"/>
  <c r="AX52" i="6"/>
  <c r="AX38" i="6"/>
  <c r="AX39" i="6"/>
  <c r="AX57" i="6"/>
  <c r="AX16" i="6"/>
  <c r="AX33" i="6"/>
  <c r="AX19" i="6"/>
  <c r="AX20" i="6"/>
  <c r="AX13" i="6"/>
  <c r="AX5" i="6"/>
  <c r="AX22" i="6"/>
  <c r="AX21" i="6"/>
  <c r="AX7" i="6"/>
  <c r="AX23" i="6"/>
  <c r="AX86" i="2"/>
  <c r="AX81" i="2"/>
  <c r="AX74" i="2"/>
  <c r="AX76" i="2"/>
  <c r="AX88" i="2"/>
  <c r="AX71" i="2"/>
  <c r="AX59" i="2"/>
  <c r="AX83" i="2"/>
  <c r="AX72" i="2"/>
  <c r="AX60" i="2"/>
  <c r="AX82" i="2"/>
  <c r="AX87" i="2"/>
  <c r="AX73" i="2"/>
  <c r="R76" i="1"/>
  <c r="AY59" i="6" l="1"/>
  <c r="AY47" i="6"/>
  <c r="AY53" i="6"/>
  <c r="AY54" i="6"/>
  <c r="AY74" i="6"/>
  <c r="AY39" i="6"/>
  <c r="AY58" i="6"/>
  <c r="AY52" i="6"/>
  <c r="AY38" i="6"/>
  <c r="AY33" i="6"/>
  <c r="AY20" i="6"/>
  <c r="AY57" i="6"/>
  <c r="AY19" i="6"/>
  <c r="AY16" i="6"/>
  <c r="AY13" i="6"/>
  <c r="AY21" i="6"/>
  <c r="AY7" i="6"/>
  <c r="AY23" i="6"/>
  <c r="AY5" i="6"/>
  <c r="AY22" i="6"/>
  <c r="AY72" i="2"/>
  <c r="AY86" i="2"/>
  <c r="AY81" i="2"/>
  <c r="AY74" i="2"/>
  <c r="AY76" i="2"/>
  <c r="AY83" i="2"/>
  <c r="AY82" i="2"/>
  <c r="AY87" i="2"/>
  <c r="AY71" i="2"/>
  <c r="AY73" i="2"/>
  <c r="AY59" i="2"/>
  <c r="AY88" i="2"/>
  <c r="AY60" i="2"/>
  <c r="S76" i="1"/>
  <c r="AZ54" i="6" l="1"/>
  <c r="AZ59" i="6"/>
  <c r="AZ47" i="6"/>
  <c r="AZ57" i="6"/>
  <c r="AZ53" i="6"/>
  <c r="AZ74" i="6"/>
  <c r="AZ58" i="6"/>
  <c r="AZ33" i="6"/>
  <c r="AZ52" i="6"/>
  <c r="AZ38" i="6"/>
  <c r="AZ39" i="6"/>
  <c r="AZ22" i="6"/>
  <c r="AZ21" i="6"/>
  <c r="AZ5" i="6"/>
  <c r="AZ7" i="6"/>
  <c r="AZ19" i="6"/>
  <c r="AZ23" i="6"/>
  <c r="AZ20" i="6"/>
  <c r="AZ16" i="6"/>
  <c r="AZ13" i="6"/>
  <c r="AZ82" i="2"/>
  <c r="AZ72" i="2"/>
  <c r="AZ60" i="2"/>
  <c r="AZ86" i="2"/>
  <c r="AZ81" i="2"/>
  <c r="AZ76" i="2"/>
  <c r="AZ83" i="2"/>
  <c r="AZ87" i="2"/>
  <c r="AZ71" i="2"/>
  <c r="AZ73" i="2"/>
  <c r="AZ59" i="2"/>
  <c r="AZ88" i="2"/>
  <c r="AZ74" i="2"/>
  <c r="T76" i="1"/>
  <c r="BA57" i="6" l="1"/>
  <c r="BA54" i="6"/>
  <c r="BA59" i="6"/>
  <c r="BA52" i="6"/>
  <c r="BA47" i="6"/>
  <c r="BA53" i="6"/>
  <c r="BA74" i="6"/>
  <c r="BA39" i="6"/>
  <c r="BA33" i="6"/>
  <c r="BA38" i="6"/>
  <c r="BA58" i="6"/>
  <c r="BA22" i="6"/>
  <c r="BA13" i="6"/>
  <c r="BA7" i="6"/>
  <c r="BA5" i="6"/>
  <c r="BA20" i="6"/>
  <c r="BA23" i="6"/>
  <c r="BA19" i="6"/>
  <c r="BA16" i="6"/>
  <c r="BA21" i="6"/>
  <c r="BA87" i="2"/>
  <c r="BA82" i="2"/>
  <c r="BA72" i="2"/>
  <c r="BA86" i="2"/>
  <c r="BA81" i="2"/>
  <c r="BA76" i="2"/>
  <c r="BA73" i="2"/>
  <c r="BA71" i="2"/>
  <c r="BA59" i="2"/>
  <c r="BA60" i="2"/>
  <c r="BA88" i="2"/>
  <c r="BA83" i="2"/>
  <c r="BA74" i="2"/>
  <c r="U76" i="1"/>
  <c r="BB52" i="6" l="1"/>
  <c r="BB57" i="6"/>
  <c r="BB54" i="6"/>
  <c r="BB59" i="6"/>
  <c r="BB47" i="6"/>
  <c r="BB53" i="6"/>
  <c r="BB39" i="6"/>
  <c r="BB33" i="6"/>
  <c r="BB58" i="6"/>
  <c r="BB74" i="6"/>
  <c r="BB22" i="6"/>
  <c r="BB38" i="6"/>
  <c r="BB19" i="6"/>
  <c r="BB7" i="6"/>
  <c r="BB23" i="6"/>
  <c r="BB20" i="6"/>
  <c r="BB21" i="6"/>
  <c r="BB13" i="6"/>
  <c r="BB5" i="6"/>
  <c r="BB16" i="6"/>
  <c r="BB73" i="2"/>
  <c r="BB87" i="2"/>
  <c r="BB82" i="2"/>
  <c r="BB81" i="2"/>
  <c r="BB76" i="2"/>
  <c r="BB83" i="2"/>
  <c r="BB71" i="2"/>
  <c r="BB59" i="2"/>
  <c r="BB60" i="2"/>
  <c r="BB72" i="2"/>
  <c r="BB86" i="2"/>
  <c r="BB74" i="2"/>
  <c r="BB88" i="2"/>
  <c r="V76" i="1"/>
  <c r="BC52" i="6" l="1"/>
  <c r="BC57" i="6"/>
  <c r="BC58" i="6"/>
  <c r="BC54" i="6"/>
  <c r="BC59" i="6"/>
  <c r="BC53" i="6"/>
  <c r="BC39" i="6"/>
  <c r="BC47" i="6"/>
  <c r="BC33" i="6"/>
  <c r="BC74" i="6"/>
  <c r="BC38" i="6"/>
  <c r="BC21" i="6"/>
  <c r="BC7" i="6"/>
  <c r="BC16" i="6"/>
  <c r="BC22" i="6"/>
  <c r="BC5" i="6"/>
  <c r="BC20" i="6"/>
  <c r="BC13" i="6"/>
  <c r="W76" i="1"/>
  <c r="BC23" i="6"/>
  <c r="BC19" i="6"/>
  <c r="BC83" i="2"/>
  <c r="BC73" i="2"/>
  <c r="BC87" i="2"/>
  <c r="BC82" i="2"/>
  <c r="BC81" i="2"/>
  <c r="BC76" i="2"/>
  <c r="BC88" i="2"/>
  <c r="BC71" i="2"/>
  <c r="BC19" i="2"/>
  <c r="BC72" i="2"/>
  <c r="BC86" i="2"/>
  <c r="BC60" i="2"/>
  <c r="BC74" i="2"/>
  <c r="BC59" i="2"/>
  <c r="AG68" i="1"/>
  <c r="AG69" i="1" s="1"/>
  <c r="AF68" i="1"/>
  <c r="AF69" i="1" s="1"/>
  <c r="AE68" i="1"/>
  <c r="AE69" i="1" s="1"/>
  <c r="AD68" i="1"/>
  <c r="AD69" i="1" s="1"/>
  <c r="AC68" i="1"/>
  <c r="AC69" i="1" s="1"/>
  <c r="AB68" i="1"/>
  <c r="AB69" i="1" s="1"/>
  <c r="AA68" i="1"/>
  <c r="AA69" i="1" s="1"/>
  <c r="Z68" i="1"/>
  <c r="Z69" i="1" s="1"/>
  <c r="Y68" i="1"/>
  <c r="Y69" i="1" s="1"/>
  <c r="X68" i="1"/>
  <c r="X69" i="1" s="1"/>
  <c r="W68" i="1"/>
  <c r="W69" i="1" s="1"/>
  <c r="W70" i="1" s="1"/>
  <c r="AI1" i="2"/>
  <c r="B8" i="5"/>
  <c r="C8" i="5"/>
  <c r="B9" i="5"/>
  <c r="C9" i="5"/>
  <c r="C7" i="5"/>
  <c r="B7" i="5"/>
  <c r="C52" i="2"/>
  <c r="C53" i="2"/>
  <c r="C55" i="2"/>
  <c r="C56" i="2"/>
  <c r="C57" i="2"/>
  <c r="C51" i="2"/>
  <c r="C17" i="4"/>
  <c r="C54" i="2" s="1"/>
  <c r="C49" i="2"/>
  <c r="C48" i="2"/>
  <c r="C47" i="2"/>
  <c r="C46" i="2"/>
  <c r="C45" i="2"/>
  <c r="C44" i="2"/>
  <c r="BC44" i="2" s="1"/>
  <c r="C43" i="2"/>
  <c r="C42" i="2"/>
  <c r="BC42" i="2" s="1"/>
  <c r="C41" i="2"/>
  <c r="C25" i="2"/>
  <c r="C25" i="6" s="1"/>
  <c r="C26" i="2"/>
  <c r="C26" i="6" s="1"/>
  <c r="C27" i="2"/>
  <c r="C27" i="6" s="1"/>
  <c r="C28" i="2"/>
  <c r="C28" i="6" s="1"/>
  <c r="C29" i="2"/>
  <c r="C29" i="6" s="1"/>
  <c r="C30" i="2"/>
  <c r="C30" i="6" s="1"/>
  <c r="C92" i="4"/>
  <c r="D92" i="4" s="1"/>
  <c r="D8" i="4"/>
  <c r="D9" i="4"/>
  <c r="D10" i="4"/>
  <c r="D11" i="4"/>
  <c r="D12" i="4"/>
  <c r="D13" i="4"/>
  <c r="C23" i="2"/>
  <c r="C22" i="2"/>
  <c r="C21" i="2"/>
  <c r="C20" i="2"/>
  <c r="G49" i="1"/>
  <c r="H47" i="1"/>
  <c r="H48" i="1"/>
  <c r="H46" i="1"/>
  <c r="D9" i="2"/>
  <c r="AG16" i="2"/>
  <c r="F16" i="2"/>
  <c r="AL16" i="2" s="1"/>
  <c r="G16" i="2"/>
  <c r="AM16" i="2" s="1"/>
  <c r="H16" i="2"/>
  <c r="AN16" i="2" s="1"/>
  <c r="I16" i="2"/>
  <c r="AO16" i="2" s="1"/>
  <c r="J16" i="2"/>
  <c r="AP16" i="2" s="1"/>
  <c r="K16" i="2"/>
  <c r="AQ16" i="2" s="1"/>
  <c r="L16" i="2"/>
  <c r="AR16" i="2" s="1"/>
  <c r="M16" i="2"/>
  <c r="AS16" i="2" s="1"/>
  <c r="N16" i="2"/>
  <c r="AT16" i="2" s="1"/>
  <c r="O16" i="2"/>
  <c r="AU16" i="2" s="1"/>
  <c r="P16" i="2"/>
  <c r="AV16" i="2" s="1"/>
  <c r="Q16" i="2"/>
  <c r="AW16" i="2" s="1"/>
  <c r="R16" i="2"/>
  <c r="AX16" i="2" s="1"/>
  <c r="S16" i="2"/>
  <c r="AY16" i="2" s="1"/>
  <c r="T16" i="2"/>
  <c r="AZ16" i="2" s="1"/>
  <c r="U16" i="2"/>
  <c r="BA16" i="2" s="1"/>
  <c r="V16" i="2"/>
  <c r="BB16" i="2" s="1"/>
  <c r="W16" i="2"/>
  <c r="BC16" i="2" s="1"/>
  <c r="X16" i="2"/>
  <c r="BD16" i="2" s="1"/>
  <c r="Y16" i="2"/>
  <c r="Z16" i="2"/>
  <c r="AA16" i="2"/>
  <c r="AB16" i="2"/>
  <c r="AC16" i="2"/>
  <c r="AD16" i="2"/>
  <c r="AE16" i="2"/>
  <c r="AF16" i="2"/>
  <c r="E16" i="2"/>
  <c r="AK16" i="2" s="1"/>
  <c r="D16" i="2"/>
  <c r="AJ16" i="2" s="1"/>
  <c r="C21" i="1"/>
  <c r="D23" i="1" s="1"/>
  <c r="C89" i="4"/>
  <c r="C87" i="4"/>
  <c r="D87" i="4" s="1"/>
  <c r="C86" i="4"/>
  <c r="D86" i="4" s="1"/>
  <c r="C85" i="4"/>
  <c r="D85" i="4" s="1"/>
  <c r="B89" i="4"/>
  <c r="D6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34" i="4"/>
  <c r="D7" i="4"/>
  <c r="D6" i="4"/>
  <c r="C54" i="1"/>
  <c r="BG124" i="2"/>
  <c r="AZ124" i="2"/>
  <c r="BL124" i="2" s="1"/>
  <c r="AY124" i="2"/>
  <c r="BK124" i="2" s="1"/>
  <c r="AU124" i="2"/>
  <c r="AT124" i="2"/>
  <c r="BF124" i="2" s="1"/>
  <c r="AS124" i="2"/>
  <c r="BE124" i="2" s="1"/>
  <c r="AR124" i="2"/>
  <c r="BD124" i="2" s="1"/>
  <c r="AQ124" i="2"/>
  <c r="BC124" i="2" s="1"/>
  <c r="AP124" i="2"/>
  <c r="BB124" i="2" s="1"/>
  <c r="AO124" i="2"/>
  <c r="BA124" i="2" s="1"/>
  <c r="BM124" i="2" s="1"/>
  <c r="AN124" i="2"/>
  <c r="AM124" i="2"/>
  <c r="AL124" i="2"/>
  <c r="AX124" i="2" s="1"/>
  <c r="BJ124" i="2" s="1"/>
  <c r="AK124" i="2"/>
  <c r="AW124" i="2" s="1"/>
  <c r="BI124" i="2" s="1"/>
  <c r="AJ124" i="2"/>
  <c r="AV124" i="2" s="1"/>
  <c r="BH124" i="2" s="1"/>
  <c r="AV123" i="2"/>
  <c r="BH123" i="2" s="1"/>
  <c r="AU123" i="2"/>
  <c r="BG123" i="2" s="1"/>
  <c r="AT123" i="2"/>
  <c r="BF123" i="2" s="1"/>
  <c r="AS123" i="2"/>
  <c r="BE123" i="2" s="1"/>
  <c r="AR123" i="2"/>
  <c r="BD123" i="2" s="1"/>
  <c r="AQ123" i="2"/>
  <c r="BC123" i="2" s="1"/>
  <c r="AP123" i="2"/>
  <c r="BB123" i="2" s="1"/>
  <c r="AO123" i="2"/>
  <c r="BA123" i="2" s="1"/>
  <c r="BM123" i="2" s="1"/>
  <c r="AN123" i="2"/>
  <c r="AZ123" i="2" s="1"/>
  <c r="BL123" i="2" s="1"/>
  <c r="AM123" i="2"/>
  <c r="AY123" i="2" s="1"/>
  <c r="BK123" i="2" s="1"/>
  <c r="AL123" i="2"/>
  <c r="AX123" i="2" s="1"/>
  <c r="BJ123" i="2" s="1"/>
  <c r="AK123" i="2"/>
  <c r="AW123" i="2" s="1"/>
  <c r="BI123" i="2" s="1"/>
  <c r="AJ123" i="2"/>
  <c r="BD122" i="2"/>
  <c r="AV122" i="2"/>
  <c r="BH122" i="2" s="1"/>
  <c r="AU122" i="2"/>
  <c r="BG122" i="2" s="1"/>
  <c r="AT122" i="2"/>
  <c r="BF122" i="2" s="1"/>
  <c r="AS122" i="2"/>
  <c r="BE122" i="2" s="1"/>
  <c r="AR122" i="2"/>
  <c r="AQ122" i="2"/>
  <c r="BC122" i="2" s="1"/>
  <c r="AP122" i="2"/>
  <c r="BB122" i="2" s="1"/>
  <c r="AO122" i="2"/>
  <c r="BA122" i="2" s="1"/>
  <c r="BM122" i="2" s="1"/>
  <c r="AN122" i="2"/>
  <c r="AZ122" i="2" s="1"/>
  <c r="BL122" i="2" s="1"/>
  <c r="AM122" i="2"/>
  <c r="AY122" i="2" s="1"/>
  <c r="BK122" i="2" s="1"/>
  <c r="AL122" i="2"/>
  <c r="AX122" i="2" s="1"/>
  <c r="BJ122" i="2" s="1"/>
  <c r="AK122" i="2"/>
  <c r="AW122" i="2" s="1"/>
  <c r="BI122" i="2" s="1"/>
  <c r="AJ122" i="2"/>
  <c r="BO111" i="2"/>
  <c r="BN111" i="2"/>
  <c r="BO109" i="2"/>
  <c r="BM106" i="2"/>
  <c r="BL106" i="2"/>
  <c r="BK106" i="2"/>
  <c r="BJ106" i="2"/>
  <c r="BI106" i="2"/>
  <c r="BH106" i="2"/>
  <c r="BG106" i="2"/>
  <c r="BF106" i="2"/>
  <c r="BE106" i="2"/>
  <c r="BD106" i="2"/>
  <c r="BC106" i="2"/>
  <c r="BB106" i="2"/>
  <c r="BA106" i="2"/>
  <c r="AZ106" i="2"/>
  <c r="AY106" i="2"/>
  <c r="AX106" i="2"/>
  <c r="AW106" i="2"/>
  <c r="AV106" i="2"/>
  <c r="AU106" i="2"/>
  <c r="AT106" i="2"/>
  <c r="AS106" i="2"/>
  <c r="AR106" i="2"/>
  <c r="AQ106" i="2"/>
  <c r="AP106" i="2"/>
  <c r="AO106" i="2"/>
  <c r="AN106" i="2"/>
  <c r="AM106" i="2"/>
  <c r="AL106" i="2"/>
  <c r="AK106" i="2"/>
  <c r="AJ106" i="2"/>
  <c r="F100" i="2"/>
  <c r="E100" i="2"/>
  <c r="D100" i="2"/>
  <c r="AG99" i="2"/>
  <c r="W99" i="2"/>
  <c r="M99" i="2"/>
  <c r="J99" i="2"/>
  <c r="H99" i="2"/>
  <c r="F99" i="2"/>
  <c r="E99" i="2"/>
  <c r="D99" i="2"/>
  <c r="AG97" i="2"/>
  <c r="W97" i="2"/>
  <c r="M97" i="2"/>
  <c r="J97" i="2"/>
  <c r="H97" i="2"/>
  <c r="F97" i="2"/>
  <c r="E97" i="2"/>
  <c r="D97" i="2"/>
  <c r="C97" i="2"/>
  <c r="AG95" i="2"/>
  <c r="W95" i="2"/>
  <c r="M95" i="2"/>
  <c r="J95" i="2"/>
  <c r="H95" i="2"/>
  <c r="F95" i="2"/>
  <c r="E95" i="2"/>
  <c r="D95" i="2"/>
  <c r="D51" i="2"/>
  <c r="E50" i="2"/>
  <c r="E58" i="2" s="1"/>
  <c r="D50" i="2"/>
  <c r="D58" i="2" s="1"/>
  <c r="F49" i="2"/>
  <c r="E49" i="2"/>
  <c r="D49" i="2"/>
  <c r="E48" i="2"/>
  <c r="D48" i="2"/>
  <c r="E47" i="2"/>
  <c r="D47" i="2"/>
  <c r="E46" i="2"/>
  <c r="D46" i="2"/>
  <c r="E45" i="2"/>
  <c r="D45" i="2"/>
  <c r="E44" i="2"/>
  <c r="D44" i="2"/>
  <c r="E43" i="2"/>
  <c r="D43" i="2"/>
  <c r="D42" i="2"/>
  <c r="D41" i="2"/>
  <c r="BM39" i="2"/>
  <c r="BL39" i="2"/>
  <c r="BK39" i="2"/>
  <c r="BJ39" i="2"/>
  <c r="BI39" i="2"/>
  <c r="BH39" i="2"/>
  <c r="BG39" i="2"/>
  <c r="BF39" i="2"/>
  <c r="BE39" i="2"/>
  <c r="BD39" i="2"/>
  <c r="BC39" i="2"/>
  <c r="BB39" i="2"/>
  <c r="BA39" i="2"/>
  <c r="AZ39" i="2"/>
  <c r="AY39" i="2"/>
  <c r="AX39" i="2"/>
  <c r="AW39" i="2"/>
  <c r="AV39" i="2"/>
  <c r="AU39" i="2"/>
  <c r="AT39" i="2"/>
  <c r="AS39" i="2"/>
  <c r="AR39" i="2"/>
  <c r="AQ39" i="2"/>
  <c r="AP39" i="2"/>
  <c r="AO39" i="2"/>
  <c r="AN39" i="2"/>
  <c r="AM39" i="2"/>
  <c r="AL39" i="2"/>
  <c r="AK39" i="2"/>
  <c r="AJ39" i="2"/>
  <c r="D27" i="2"/>
  <c r="W27" i="2" s="1"/>
  <c r="D26" i="2"/>
  <c r="D25" i="2"/>
  <c r="M25" i="2" s="1"/>
  <c r="AG24" i="2"/>
  <c r="AG32" i="2" s="1"/>
  <c r="W24" i="2"/>
  <c r="W32" i="2" s="1"/>
  <c r="M24" i="2"/>
  <c r="M32" i="2" s="1"/>
  <c r="H24" i="2"/>
  <c r="H32" i="2" s="1"/>
  <c r="D24" i="2"/>
  <c r="D32" i="2" s="1"/>
  <c r="AG23" i="2"/>
  <c r="W23" i="2"/>
  <c r="M23" i="2"/>
  <c r="H23" i="2"/>
  <c r="D23" i="2"/>
  <c r="AG22" i="2"/>
  <c r="W22" i="2"/>
  <c r="M22" i="2"/>
  <c r="H22" i="2"/>
  <c r="D22" i="2"/>
  <c r="AG21" i="2"/>
  <c r="W21" i="2"/>
  <c r="M21" i="2"/>
  <c r="H21" i="2"/>
  <c r="AN21" i="2" s="1"/>
  <c r="D21" i="2"/>
  <c r="AG20" i="2"/>
  <c r="W20" i="2"/>
  <c r="M20" i="2"/>
  <c r="H20" i="2"/>
  <c r="D20" i="2"/>
  <c r="D19" i="2"/>
  <c r="AJ19" i="2" s="1"/>
  <c r="AG9" i="2"/>
  <c r="AF9" i="2"/>
  <c r="AE9" i="2"/>
  <c r="AD9" i="2"/>
  <c r="AC9" i="2"/>
  <c r="AB9" i="2"/>
  <c r="AA9" i="2"/>
  <c r="Z9" i="2"/>
  <c r="Y9" i="2"/>
  <c r="X9" i="2"/>
  <c r="W9" i="2"/>
  <c r="V9" i="2"/>
  <c r="U9" i="2"/>
  <c r="T9" i="2"/>
  <c r="S9" i="2"/>
  <c r="R9" i="2"/>
  <c r="Q9" i="2"/>
  <c r="P9" i="2"/>
  <c r="O9" i="2"/>
  <c r="N9" i="2"/>
  <c r="M9" i="2"/>
  <c r="L9" i="2"/>
  <c r="K9" i="2"/>
  <c r="J9" i="2"/>
  <c r="I9" i="2"/>
  <c r="H9" i="2"/>
  <c r="G9" i="2"/>
  <c r="F9" i="2"/>
  <c r="E9" i="2"/>
  <c r="C14" i="1"/>
  <c r="C9" i="1"/>
  <c r="D11" i="1" s="1"/>
  <c r="C38" i="2" s="1"/>
  <c r="AN22" i="2" l="1"/>
  <c r="AJ42" i="2"/>
  <c r="AS22" i="2"/>
  <c r="AJ21" i="2"/>
  <c r="BC22" i="2"/>
  <c r="AJ45" i="2"/>
  <c r="AS23" i="2"/>
  <c r="BC21" i="2"/>
  <c r="AJ49" i="2"/>
  <c r="AS21" i="2"/>
  <c r="AK49" i="2"/>
  <c r="AJ48" i="2"/>
  <c r="AK48" i="2"/>
  <c r="AJ20" i="2"/>
  <c r="AN20" i="2"/>
  <c r="AS20" i="2"/>
  <c r="AJ22" i="2"/>
  <c r="AJ41" i="2"/>
  <c r="AL49" i="2"/>
  <c r="AN23" i="2"/>
  <c r="C24" i="2"/>
  <c r="AO24" i="2" s="1"/>
  <c r="C24" i="6"/>
  <c r="X76" i="1"/>
  <c r="BE25" i="6" s="1"/>
  <c r="BD58" i="6"/>
  <c r="BD52" i="6"/>
  <c r="BD53" i="6"/>
  <c r="BD38" i="6"/>
  <c r="BD54" i="6"/>
  <c r="BD57" i="6"/>
  <c r="BD74" i="6"/>
  <c r="BD59" i="6"/>
  <c r="BD39" i="6"/>
  <c r="BD16" i="6"/>
  <c r="BD47" i="6"/>
  <c r="BD33" i="6"/>
  <c r="BD20" i="6"/>
  <c r="BD21" i="6"/>
  <c r="BD5" i="6"/>
  <c r="BD23" i="6"/>
  <c r="BD22" i="6"/>
  <c r="BD13" i="6"/>
  <c r="BD7" i="6"/>
  <c r="BD19" i="6"/>
  <c r="BD87" i="2"/>
  <c r="BD74" i="2"/>
  <c r="BD83" i="2"/>
  <c r="BD72" i="2"/>
  <c r="BD73" i="2"/>
  <c r="BD59" i="2"/>
  <c r="BD60" i="2"/>
  <c r="BD81" i="2"/>
  <c r="BD82" i="2"/>
  <c r="BD88" i="2"/>
  <c r="BD71" i="2"/>
  <c r="BD76" i="2"/>
  <c r="BD86" i="2"/>
  <c r="AJ43" i="2"/>
  <c r="AK43" i="2"/>
  <c r="C32" i="2"/>
  <c r="AJ32" i="2" s="1"/>
  <c r="C37" i="2"/>
  <c r="C36" i="2"/>
  <c r="BC23" i="2"/>
  <c r="AJ23" i="2"/>
  <c r="AK44" i="2"/>
  <c r="AK30" i="6"/>
  <c r="AS30" i="6"/>
  <c r="BA30" i="6"/>
  <c r="AL30" i="6"/>
  <c r="AT30" i="6"/>
  <c r="BB30" i="6"/>
  <c r="AM30" i="6"/>
  <c r="AU30" i="6"/>
  <c r="BC30" i="6"/>
  <c r="AN30" i="6"/>
  <c r="AV30" i="6"/>
  <c r="BD30" i="6"/>
  <c r="AO30" i="6"/>
  <c r="AW30" i="6"/>
  <c r="AP30" i="6"/>
  <c r="AX30" i="6"/>
  <c r="AQ30" i="6"/>
  <c r="AY30" i="6"/>
  <c r="AJ30" i="6"/>
  <c r="AR30" i="6"/>
  <c r="AZ30" i="6"/>
  <c r="AL25" i="6"/>
  <c r="AT25" i="6"/>
  <c r="BB25" i="6"/>
  <c r="AM25" i="6"/>
  <c r="AU25" i="6"/>
  <c r="BC25" i="6"/>
  <c r="AJ25" i="6"/>
  <c r="AN25" i="6"/>
  <c r="AV25" i="6"/>
  <c r="BD25" i="6"/>
  <c r="AO25" i="6"/>
  <c r="AW25" i="6"/>
  <c r="AP25" i="6"/>
  <c r="AX25" i="6"/>
  <c r="AQ25" i="6"/>
  <c r="AY25" i="6"/>
  <c r="AR25" i="6"/>
  <c r="AZ25" i="6"/>
  <c r="AK25" i="6"/>
  <c r="AS25" i="6"/>
  <c r="BA25" i="6"/>
  <c r="AP29" i="6"/>
  <c r="AX29" i="6"/>
  <c r="AQ29" i="6"/>
  <c r="AY29" i="6"/>
  <c r="AR29" i="6"/>
  <c r="AZ29" i="6"/>
  <c r="AK29" i="6"/>
  <c r="AS29" i="6"/>
  <c r="BA29" i="6"/>
  <c r="AL29" i="6"/>
  <c r="AT29" i="6"/>
  <c r="BB29" i="6"/>
  <c r="AM29" i="6"/>
  <c r="AU29" i="6"/>
  <c r="BC29" i="6"/>
  <c r="AJ29" i="6"/>
  <c r="AN29" i="6"/>
  <c r="AV29" i="6"/>
  <c r="BD29" i="6"/>
  <c r="AO29" i="6"/>
  <c r="AW29" i="6"/>
  <c r="AM28" i="6"/>
  <c r="AU28" i="6"/>
  <c r="BC28" i="6"/>
  <c r="AN28" i="6"/>
  <c r="AV28" i="6"/>
  <c r="BD28" i="6"/>
  <c r="AO28" i="6"/>
  <c r="AW28" i="6"/>
  <c r="AP28" i="6"/>
  <c r="AX28" i="6"/>
  <c r="AQ28" i="6"/>
  <c r="AY28" i="6"/>
  <c r="AJ28" i="6"/>
  <c r="AR28" i="6"/>
  <c r="AZ28" i="6"/>
  <c r="AK28" i="6"/>
  <c r="AS28" i="6"/>
  <c r="BA28" i="6"/>
  <c r="AL28" i="6"/>
  <c r="AT28" i="6"/>
  <c r="BB28" i="6"/>
  <c r="AR27" i="6"/>
  <c r="AZ27" i="6"/>
  <c r="AK27" i="6"/>
  <c r="AS27" i="6"/>
  <c r="BA27" i="6"/>
  <c r="AL27" i="6"/>
  <c r="AT27" i="6"/>
  <c r="BB27" i="6"/>
  <c r="AM27" i="6"/>
  <c r="AU27" i="6"/>
  <c r="BC27" i="6"/>
  <c r="AJ27" i="6"/>
  <c r="AN27" i="6"/>
  <c r="AV27" i="6"/>
  <c r="BD27" i="6"/>
  <c r="AO27" i="6"/>
  <c r="AW27" i="6"/>
  <c r="AP27" i="6"/>
  <c r="AX27" i="6"/>
  <c r="AQ27" i="6"/>
  <c r="AY27" i="6"/>
  <c r="AO26" i="6"/>
  <c r="AW26" i="6"/>
  <c r="AP26" i="6"/>
  <c r="AX26" i="6"/>
  <c r="AQ26" i="6"/>
  <c r="AY26" i="6"/>
  <c r="AJ26" i="6"/>
  <c r="AR26" i="6"/>
  <c r="AZ26" i="6"/>
  <c r="AK26" i="6"/>
  <c r="AS26" i="6"/>
  <c r="BA26" i="6"/>
  <c r="AL26" i="6"/>
  <c r="AT26" i="6"/>
  <c r="BB26" i="6"/>
  <c r="AM26" i="6"/>
  <c r="AU26" i="6"/>
  <c r="BC26" i="6"/>
  <c r="AN26" i="6"/>
  <c r="AV26" i="6"/>
  <c r="BD26" i="6"/>
  <c r="AJ44" i="2"/>
  <c r="BD43" i="2"/>
  <c r="AL43" i="2"/>
  <c r="AM43" i="2"/>
  <c r="AN43" i="2"/>
  <c r="AO43" i="2"/>
  <c r="AP43" i="2"/>
  <c r="AQ43" i="2"/>
  <c r="AR43" i="2"/>
  <c r="AS43" i="2"/>
  <c r="AT43" i="2"/>
  <c r="AU43" i="2"/>
  <c r="AV43" i="2"/>
  <c r="AW43" i="2"/>
  <c r="AX43" i="2"/>
  <c r="AY43" i="2"/>
  <c r="AZ43" i="2"/>
  <c r="BA43" i="2"/>
  <c r="BB43" i="2"/>
  <c r="BC43" i="2"/>
  <c r="BD57" i="2"/>
  <c r="AM57" i="2"/>
  <c r="AN57" i="2"/>
  <c r="AO57" i="2"/>
  <c r="AP57" i="2"/>
  <c r="AQ57" i="2"/>
  <c r="AR57" i="2"/>
  <c r="AS57" i="2"/>
  <c r="AT57" i="2"/>
  <c r="AU57" i="2"/>
  <c r="AV57" i="2"/>
  <c r="AW57" i="2"/>
  <c r="AX57" i="2"/>
  <c r="AY57" i="2"/>
  <c r="AZ57" i="2"/>
  <c r="BA57" i="2"/>
  <c r="BB57" i="2"/>
  <c r="BC57" i="2"/>
  <c r="AK20" i="2"/>
  <c r="BD20" i="2"/>
  <c r="AL20" i="2"/>
  <c r="AM20" i="2"/>
  <c r="AO20" i="2"/>
  <c r="AP20" i="2"/>
  <c r="AQ20" i="2"/>
  <c r="AR20" i="2"/>
  <c r="AT20" i="2"/>
  <c r="AU20" i="2"/>
  <c r="AV20" i="2"/>
  <c r="AW20" i="2"/>
  <c r="AX20" i="2"/>
  <c r="AY20" i="2"/>
  <c r="AZ20" i="2"/>
  <c r="BA20" i="2"/>
  <c r="BB20" i="2"/>
  <c r="BD47" i="2"/>
  <c r="AL47" i="2"/>
  <c r="AM47" i="2"/>
  <c r="AN47" i="2"/>
  <c r="AO47" i="2"/>
  <c r="AP47" i="2"/>
  <c r="AQ47" i="2"/>
  <c r="AR47" i="2"/>
  <c r="AS47" i="2"/>
  <c r="AT47" i="2"/>
  <c r="AU47" i="2"/>
  <c r="AV47" i="2"/>
  <c r="AW47" i="2"/>
  <c r="AX47" i="2"/>
  <c r="AY47" i="2"/>
  <c r="AZ47" i="2"/>
  <c r="BA47" i="2"/>
  <c r="BB47" i="2"/>
  <c r="BC20" i="2"/>
  <c r="AK46" i="2"/>
  <c r="AK21" i="2"/>
  <c r="BD21" i="2"/>
  <c r="AL21" i="2"/>
  <c r="AM21" i="2"/>
  <c r="AO21" i="2"/>
  <c r="AP21" i="2"/>
  <c r="AQ21" i="2"/>
  <c r="AR21" i="2"/>
  <c r="AT21" i="2"/>
  <c r="AU21" i="2"/>
  <c r="AV21" i="2"/>
  <c r="AW21" i="2"/>
  <c r="AX21" i="2"/>
  <c r="AY21" i="2"/>
  <c r="AZ21" i="2"/>
  <c r="BA21" i="2"/>
  <c r="BB21" i="2"/>
  <c r="BD19" i="2"/>
  <c r="AK19" i="2"/>
  <c r="AL19" i="2"/>
  <c r="AM19" i="2"/>
  <c r="AN19" i="2"/>
  <c r="AO19" i="2"/>
  <c r="AP19" i="2"/>
  <c r="AQ19" i="2"/>
  <c r="AR19" i="2"/>
  <c r="AS19" i="2"/>
  <c r="AT19" i="2"/>
  <c r="AU19" i="2"/>
  <c r="AV19" i="2"/>
  <c r="AW19" i="2"/>
  <c r="AX19" i="2"/>
  <c r="AY19" i="2"/>
  <c r="AZ19" i="2"/>
  <c r="BA19" i="2"/>
  <c r="BB19" i="2"/>
  <c r="BD48" i="2"/>
  <c r="AL48" i="2"/>
  <c r="AM48" i="2"/>
  <c r="AN48" i="2"/>
  <c r="AO48" i="2"/>
  <c r="AP48" i="2"/>
  <c r="AQ48" i="2"/>
  <c r="AR48" i="2"/>
  <c r="AS48" i="2"/>
  <c r="AT48" i="2"/>
  <c r="AU48" i="2"/>
  <c r="AV48" i="2"/>
  <c r="AW48" i="2"/>
  <c r="AX48" i="2"/>
  <c r="AY48" i="2"/>
  <c r="AZ48" i="2"/>
  <c r="BA48" i="2"/>
  <c r="BB48" i="2"/>
  <c r="BC47" i="2"/>
  <c r="BD44" i="2"/>
  <c r="AL44" i="2"/>
  <c r="AM44" i="2"/>
  <c r="AN44" i="2"/>
  <c r="AO44" i="2"/>
  <c r="AP44" i="2"/>
  <c r="AQ44" i="2"/>
  <c r="AR44" i="2"/>
  <c r="AS44" i="2"/>
  <c r="AT44" i="2"/>
  <c r="AU44" i="2"/>
  <c r="AV44" i="2"/>
  <c r="AW44" i="2"/>
  <c r="AX44" i="2"/>
  <c r="AY44" i="2"/>
  <c r="AZ44" i="2"/>
  <c r="BA44" i="2"/>
  <c r="BB44" i="2"/>
  <c r="AJ46" i="2"/>
  <c r="AJ47" i="2"/>
  <c r="BD22" i="2"/>
  <c r="AK22" i="2"/>
  <c r="AL22" i="2"/>
  <c r="AM22" i="2"/>
  <c r="AO22" i="2"/>
  <c r="AP22" i="2"/>
  <c r="AQ22" i="2"/>
  <c r="AR22" i="2"/>
  <c r="AT22" i="2"/>
  <c r="AU22" i="2"/>
  <c r="AV22" i="2"/>
  <c r="AW22" i="2"/>
  <c r="AX22" i="2"/>
  <c r="AY22" i="2"/>
  <c r="AZ22" i="2"/>
  <c r="BA22" i="2"/>
  <c r="BB22" i="2"/>
  <c r="BD41" i="2"/>
  <c r="AK41" i="2"/>
  <c r="AL41" i="2"/>
  <c r="AM41" i="2"/>
  <c r="AN41" i="2"/>
  <c r="AO41" i="2"/>
  <c r="AP41" i="2"/>
  <c r="AQ41" i="2"/>
  <c r="AR41" i="2"/>
  <c r="AS41" i="2"/>
  <c r="AT41" i="2"/>
  <c r="AU41" i="2"/>
  <c r="AV41" i="2"/>
  <c r="AW41" i="2"/>
  <c r="AX41" i="2"/>
  <c r="AY41" i="2"/>
  <c r="AZ41" i="2"/>
  <c r="BA41" i="2"/>
  <c r="BB41" i="2"/>
  <c r="BD49" i="2"/>
  <c r="AM49" i="2"/>
  <c r="AN49" i="2"/>
  <c r="AO49" i="2"/>
  <c r="AP49" i="2"/>
  <c r="AQ49" i="2"/>
  <c r="AR49" i="2"/>
  <c r="AS49" i="2"/>
  <c r="AT49" i="2"/>
  <c r="AU49" i="2"/>
  <c r="AV49" i="2"/>
  <c r="AW49" i="2"/>
  <c r="AX49" i="2"/>
  <c r="AY49" i="2"/>
  <c r="AZ49" i="2"/>
  <c r="BA49" i="2"/>
  <c r="BB49" i="2"/>
  <c r="BC49" i="2"/>
  <c r="BC48" i="2"/>
  <c r="BD45" i="2"/>
  <c r="AL45" i="2"/>
  <c r="AM45" i="2"/>
  <c r="AN45" i="2"/>
  <c r="AO45" i="2"/>
  <c r="AP45" i="2"/>
  <c r="AQ45" i="2"/>
  <c r="AR45" i="2"/>
  <c r="AS45" i="2"/>
  <c r="AT45" i="2"/>
  <c r="AU45" i="2"/>
  <c r="AV45" i="2"/>
  <c r="AW45" i="2"/>
  <c r="AX45" i="2"/>
  <c r="AY45" i="2"/>
  <c r="AZ45" i="2"/>
  <c r="BA45" i="2"/>
  <c r="BB45" i="2"/>
  <c r="AK45" i="2"/>
  <c r="BD46" i="2"/>
  <c r="AL46" i="2"/>
  <c r="AM46" i="2"/>
  <c r="AN46" i="2"/>
  <c r="AO46" i="2"/>
  <c r="AP46" i="2"/>
  <c r="AQ46" i="2"/>
  <c r="AR46" i="2"/>
  <c r="AS46" i="2"/>
  <c r="AT46" i="2"/>
  <c r="AU46" i="2"/>
  <c r="AV46" i="2"/>
  <c r="AW46" i="2"/>
  <c r="AX46" i="2"/>
  <c r="AY46" i="2"/>
  <c r="AZ46" i="2"/>
  <c r="BA46" i="2"/>
  <c r="BB46" i="2"/>
  <c r="AK47" i="2"/>
  <c r="BD23" i="2"/>
  <c r="AK23" i="2"/>
  <c r="AL23" i="2"/>
  <c r="AM23" i="2"/>
  <c r="AO23" i="2"/>
  <c r="AP23" i="2"/>
  <c r="AQ23" i="2"/>
  <c r="AR23" i="2"/>
  <c r="AT23" i="2"/>
  <c r="AU23" i="2"/>
  <c r="AV23" i="2"/>
  <c r="AW23" i="2"/>
  <c r="AX23" i="2"/>
  <c r="AY23" i="2"/>
  <c r="AZ23" i="2"/>
  <c r="BA23" i="2"/>
  <c r="BB23" i="2"/>
  <c r="BD42" i="2"/>
  <c r="AK42" i="2"/>
  <c r="AL42" i="2"/>
  <c r="AM42" i="2"/>
  <c r="AN42" i="2"/>
  <c r="AO42" i="2"/>
  <c r="AP42" i="2"/>
  <c r="AQ42" i="2"/>
  <c r="AR42" i="2"/>
  <c r="AS42" i="2"/>
  <c r="AT42" i="2"/>
  <c r="AU42" i="2"/>
  <c r="AV42" i="2"/>
  <c r="AW42" i="2"/>
  <c r="AX42" i="2"/>
  <c r="AY42" i="2"/>
  <c r="AZ42" i="2"/>
  <c r="BA42" i="2"/>
  <c r="BB42" i="2"/>
  <c r="BC45" i="2"/>
  <c r="BC41" i="2"/>
  <c r="BC46" i="2"/>
  <c r="AO30" i="2"/>
  <c r="AW30" i="2"/>
  <c r="AQ30" i="2"/>
  <c r="AY30" i="2"/>
  <c r="AR30" i="2"/>
  <c r="AZ30" i="2"/>
  <c r="AN30" i="2"/>
  <c r="AV30" i="2"/>
  <c r="BD30" i="2"/>
  <c r="AU30" i="2"/>
  <c r="AX30" i="2"/>
  <c r="BB30" i="2"/>
  <c r="AM30" i="2"/>
  <c r="AP30" i="2"/>
  <c r="BA30" i="2"/>
  <c r="AL30" i="2"/>
  <c r="AS30" i="2"/>
  <c r="AT30" i="2"/>
  <c r="BC30" i="2"/>
  <c r="AL51" i="2"/>
  <c r="AT51" i="2"/>
  <c r="BB51" i="2"/>
  <c r="AU51" i="2"/>
  <c r="BC51" i="2"/>
  <c r="AN51" i="2"/>
  <c r="AV51" i="2"/>
  <c r="BD51" i="2"/>
  <c r="AO51" i="2"/>
  <c r="AW51" i="2"/>
  <c r="AJ51" i="2"/>
  <c r="AS51" i="2"/>
  <c r="BA51" i="2"/>
  <c r="AY51" i="2"/>
  <c r="AP51" i="2"/>
  <c r="AX51" i="2"/>
  <c r="AQ51" i="2"/>
  <c r="AR51" i="2"/>
  <c r="AZ51" i="2"/>
  <c r="AS56" i="2"/>
  <c r="BA56" i="2"/>
  <c r="AT56" i="2"/>
  <c r="BB56" i="2"/>
  <c r="AM56" i="2"/>
  <c r="AU56" i="2"/>
  <c r="BC56" i="2"/>
  <c r="AN56" i="2"/>
  <c r="AV56" i="2"/>
  <c r="BD56" i="2"/>
  <c r="AR56" i="2"/>
  <c r="AZ56" i="2"/>
  <c r="AL56" i="2"/>
  <c r="AP56" i="2"/>
  <c r="AQ56" i="2"/>
  <c r="AX56" i="2"/>
  <c r="AW56" i="2"/>
  <c r="AO56" i="2"/>
  <c r="AY56" i="2"/>
  <c r="AK26" i="2"/>
  <c r="BA26" i="2"/>
  <c r="AL26" i="2"/>
  <c r="AM26" i="2"/>
  <c r="AU26" i="2"/>
  <c r="AV26" i="2"/>
  <c r="BD26" i="2"/>
  <c r="AR26" i="2"/>
  <c r="AZ26" i="2"/>
  <c r="AJ26" i="2"/>
  <c r="AT26" i="2"/>
  <c r="AX26" i="2"/>
  <c r="AY26" i="2"/>
  <c r="AO26" i="2"/>
  <c r="BB26" i="2"/>
  <c r="AP26" i="2"/>
  <c r="AQ26" i="2"/>
  <c r="AW26" i="2"/>
  <c r="AP55" i="2"/>
  <c r="AX55" i="2"/>
  <c r="AY55" i="2"/>
  <c r="AR55" i="2"/>
  <c r="AZ55" i="2"/>
  <c r="AS55" i="2"/>
  <c r="BA55" i="2"/>
  <c r="AO55" i="2"/>
  <c r="AW55" i="2"/>
  <c r="AQ55" i="2"/>
  <c r="AV55" i="2"/>
  <c r="BD55" i="2"/>
  <c r="AN55" i="2"/>
  <c r="BB55" i="2"/>
  <c r="AL55" i="2"/>
  <c r="BC55" i="2"/>
  <c r="AM55" i="2"/>
  <c r="AT55" i="2"/>
  <c r="AU55" i="2"/>
  <c r="AM54" i="2"/>
  <c r="AU54" i="2"/>
  <c r="BC54" i="2"/>
  <c r="AV54" i="2"/>
  <c r="BD54" i="2"/>
  <c r="AO54" i="2"/>
  <c r="AW54" i="2"/>
  <c r="AP54" i="2"/>
  <c r="AX54" i="2"/>
  <c r="AL54" i="2"/>
  <c r="AT54" i="2"/>
  <c r="BB54" i="2"/>
  <c r="AN54" i="2"/>
  <c r="AS54" i="2"/>
  <c r="AQ54" i="2"/>
  <c r="AR54" i="2"/>
  <c r="AZ54" i="2"/>
  <c r="BA54" i="2"/>
  <c r="AY54" i="2"/>
  <c r="AQ28" i="2"/>
  <c r="AY28" i="2"/>
  <c r="BA28" i="2"/>
  <c r="AL28" i="2"/>
  <c r="AT28" i="2"/>
  <c r="BB28" i="2"/>
  <c r="AP28" i="2"/>
  <c r="AX28" i="2"/>
  <c r="AO28" i="2"/>
  <c r="AR28" i="2"/>
  <c r="AM28" i="2"/>
  <c r="AW28" i="2"/>
  <c r="AU28" i="2"/>
  <c r="BD28" i="2"/>
  <c r="AV28" i="2"/>
  <c r="AZ28" i="2"/>
  <c r="AP25" i="2"/>
  <c r="AX25" i="2"/>
  <c r="AY25" i="2"/>
  <c r="AR25" i="2"/>
  <c r="AZ25" i="2"/>
  <c r="AK25" i="2"/>
  <c r="AS25" i="2"/>
  <c r="BA25" i="2"/>
  <c r="AO25" i="2"/>
  <c r="AW25" i="2"/>
  <c r="AJ25" i="2"/>
  <c r="AQ25" i="2"/>
  <c r="AL25" i="2"/>
  <c r="BD25" i="2"/>
  <c r="AT25" i="2"/>
  <c r="AM25" i="2"/>
  <c r="BB25" i="2"/>
  <c r="AV25" i="2"/>
  <c r="AU25" i="2"/>
  <c r="AR53" i="2"/>
  <c r="AZ53" i="2"/>
  <c r="BA53" i="2"/>
  <c r="AS53" i="2"/>
  <c r="AL53" i="2"/>
  <c r="AT53" i="2"/>
  <c r="BB53" i="2"/>
  <c r="AM53" i="2"/>
  <c r="AU53" i="2"/>
  <c r="BC53" i="2"/>
  <c r="AQ53" i="2"/>
  <c r="AY53" i="2"/>
  <c r="AP53" i="2"/>
  <c r="BD53" i="2"/>
  <c r="AV53" i="2"/>
  <c r="AX53" i="2"/>
  <c r="AW53" i="2"/>
  <c r="AN53" i="2"/>
  <c r="AO53" i="2"/>
  <c r="AL29" i="2"/>
  <c r="AT29" i="2"/>
  <c r="BB29" i="2"/>
  <c r="AN29" i="2"/>
  <c r="AV29" i="2"/>
  <c r="BD29" i="2"/>
  <c r="AO29" i="2"/>
  <c r="AW29" i="2"/>
  <c r="AK29" i="2"/>
  <c r="AS29" i="2"/>
  <c r="BA29" i="2"/>
  <c r="AR29" i="2"/>
  <c r="AU29" i="2"/>
  <c r="AY29" i="2"/>
  <c r="AZ29" i="2"/>
  <c r="AM29" i="2"/>
  <c r="AX29" i="2"/>
  <c r="BC29" i="2"/>
  <c r="AQ29" i="2"/>
  <c r="AP29" i="2"/>
  <c r="AK97" i="2"/>
  <c r="AS97" i="2"/>
  <c r="BA97" i="2"/>
  <c r="AL97" i="2"/>
  <c r="AT97" i="2"/>
  <c r="BB97" i="2"/>
  <c r="AM97" i="2"/>
  <c r="AU97" i="2"/>
  <c r="BC97" i="2"/>
  <c r="AN97" i="2"/>
  <c r="AV97" i="2"/>
  <c r="BD97" i="2"/>
  <c r="AO97" i="2"/>
  <c r="AW97" i="2"/>
  <c r="AR97" i="2"/>
  <c r="AZ97" i="2"/>
  <c r="AJ97" i="2"/>
  <c r="AP97" i="2"/>
  <c r="AQ97" i="2"/>
  <c r="AX97" i="2"/>
  <c r="AY97" i="2"/>
  <c r="AV27" i="2"/>
  <c r="BD27" i="2"/>
  <c r="AP27" i="2"/>
  <c r="AX27" i="2"/>
  <c r="AQ27" i="2"/>
  <c r="AY27" i="2"/>
  <c r="AM27" i="2"/>
  <c r="AU27" i="2"/>
  <c r="BC27" i="2"/>
  <c r="AL27" i="2"/>
  <c r="BB27" i="2"/>
  <c r="AO27" i="2"/>
  <c r="AW27" i="2"/>
  <c r="AR27" i="2"/>
  <c r="AT27" i="2"/>
  <c r="AJ27" i="2"/>
  <c r="AZ27" i="2"/>
  <c r="AK27" i="2"/>
  <c r="BA27" i="2"/>
  <c r="M27" i="2"/>
  <c r="AS27" i="2" s="1"/>
  <c r="AO52" i="2"/>
  <c r="AW52" i="2"/>
  <c r="AP52" i="2"/>
  <c r="AX52" i="2"/>
  <c r="AQ52" i="2"/>
  <c r="AY52" i="2"/>
  <c r="AR52" i="2"/>
  <c r="AZ52" i="2"/>
  <c r="AN52" i="2"/>
  <c r="AV52" i="2"/>
  <c r="BD52" i="2"/>
  <c r="BA52" i="2"/>
  <c r="BB52" i="2"/>
  <c r="AL52" i="2"/>
  <c r="AS52" i="2"/>
  <c r="BC52" i="2"/>
  <c r="AM52" i="2"/>
  <c r="AT52" i="2"/>
  <c r="AU52" i="2"/>
  <c r="BD24" i="2"/>
  <c r="AY24" i="2"/>
  <c r="AX24" i="2"/>
  <c r="AZ24" i="2"/>
  <c r="AJ24" i="2"/>
  <c r="AM24" i="2"/>
  <c r="C6" i="5"/>
  <c r="AG27" i="2"/>
  <c r="D3" i="4"/>
  <c r="C50" i="2"/>
  <c r="C62" i="2"/>
  <c r="C15" i="1"/>
  <c r="C16" i="1"/>
  <c r="C62" i="6" s="1"/>
  <c r="C63" i="2"/>
  <c r="C17" i="1"/>
  <c r="C77" i="2" s="1"/>
  <c r="D89" i="4"/>
  <c r="D82" i="4" s="1"/>
  <c r="D24" i="1"/>
  <c r="C61" i="2"/>
  <c r="C31" i="2"/>
  <c r="C31" i="6" s="1"/>
  <c r="D22" i="1"/>
  <c r="C5" i="2"/>
  <c r="BC5" i="2" s="1"/>
  <c r="E28" i="2"/>
  <c r="AK28" i="2" s="1"/>
  <c r="D31" i="4"/>
  <c r="D10" i="1"/>
  <c r="C37" i="6" s="1"/>
  <c r="D12" i="1"/>
  <c r="D28" i="2"/>
  <c r="AJ28" i="2" s="1"/>
  <c r="W26" i="2"/>
  <c r="BC26" i="2" s="1"/>
  <c r="D31" i="2"/>
  <c r="M26" i="2"/>
  <c r="AS26" i="2" s="1"/>
  <c r="H26" i="2"/>
  <c r="AN26" i="2" s="1"/>
  <c r="AG26" i="2"/>
  <c r="D30" i="2"/>
  <c r="AJ30" i="2" s="1"/>
  <c r="D29" i="2"/>
  <c r="AJ29" i="2" s="1"/>
  <c r="H25" i="2"/>
  <c r="AN25" i="2" s="1"/>
  <c r="AG25" i="2"/>
  <c r="W25" i="2"/>
  <c r="BC25" i="2" s="1"/>
  <c r="D57" i="2"/>
  <c r="AJ57" i="2" s="1"/>
  <c r="D56" i="2"/>
  <c r="AJ56" i="2" s="1"/>
  <c r="D55" i="2"/>
  <c r="AJ55" i="2" s="1"/>
  <c r="D54" i="2"/>
  <c r="AJ54" i="2" s="1"/>
  <c r="D53" i="2"/>
  <c r="AJ53" i="2" s="1"/>
  <c r="D52" i="2"/>
  <c r="AJ52" i="2" s="1"/>
  <c r="E51" i="2"/>
  <c r="AK51" i="2" s="1"/>
  <c r="H27" i="2"/>
  <c r="AN27" i="2" s="1"/>
  <c r="BE29" i="2" l="1"/>
  <c r="BE26" i="2"/>
  <c r="BE23" i="2"/>
  <c r="BE27" i="2"/>
  <c r="BE44" i="2"/>
  <c r="BE16" i="2"/>
  <c r="BE29" i="6"/>
  <c r="BE27" i="6"/>
  <c r="BE41" i="2"/>
  <c r="BE26" i="6"/>
  <c r="BE30" i="6"/>
  <c r="BE56" i="2"/>
  <c r="BE20" i="2"/>
  <c r="BE43" i="2"/>
  <c r="BE55" i="2"/>
  <c r="BE97" i="2"/>
  <c r="BE52" i="2"/>
  <c r="BE28" i="2"/>
  <c r="BE46" i="2"/>
  <c r="BE49" i="2"/>
  <c r="BE19" i="2"/>
  <c r="BE25" i="2"/>
  <c r="BE54" i="2"/>
  <c r="BE30" i="2"/>
  <c r="BE42" i="2"/>
  <c r="BE47" i="2"/>
  <c r="BE45" i="2"/>
  <c r="BE51" i="2"/>
  <c r="BE22" i="2"/>
  <c r="BE21" i="2"/>
  <c r="BE53" i="2"/>
  <c r="BE48" i="2"/>
  <c r="BE57" i="2"/>
  <c r="BE28" i="6"/>
  <c r="AS32" i="2"/>
  <c r="AP24" i="2"/>
  <c r="BB24" i="2"/>
  <c r="AR24" i="2"/>
  <c r="AL24" i="2"/>
  <c r="BA24" i="2"/>
  <c r="BE24" i="2"/>
  <c r="AS24" i="2"/>
  <c r="AV24" i="2"/>
  <c r="AT24" i="2"/>
  <c r="AN24" i="2"/>
  <c r="AQ24" i="2"/>
  <c r="BC24" i="2"/>
  <c r="AW24" i="2"/>
  <c r="AU24" i="2"/>
  <c r="AK24" i="2"/>
  <c r="AN32" i="2"/>
  <c r="AR62" i="6"/>
  <c r="AZ62" i="6"/>
  <c r="AK62" i="6"/>
  <c r="AS62" i="6"/>
  <c r="BA62" i="6"/>
  <c r="AL62" i="6"/>
  <c r="AT62" i="6"/>
  <c r="BB62" i="6"/>
  <c r="AQ62" i="6"/>
  <c r="AY62" i="6"/>
  <c r="AP62" i="6"/>
  <c r="AU62" i="6"/>
  <c r="AV62" i="6"/>
  <c r="AJ62" i="6"/>
  <c r="AO62" i="6"/>
  <c r="BE62" i="6"/>
  <c r="AN62" i="6"/>
  <c r="AW62" i="6"/>
  <c r="AX62" i="6"/>
  <c r="AM62" i="6"/>
  <c r="BC62" i="6"/>
  <c r="BD62" i="6"/>
  <c r="C48" i="6"/>
  <c r="C89" i="2"/>
  <c r="C36" i="6"/>
  <c r="C55" i="6"/>
  <c r="C61" i="6"/>
  <c r="AL24" i="6"/>
  <c r="AT24" i="6"/>
  <c r="BB24" i="6"/>
  <c r="AM24" i="6"/>
  <c r="AU24" i="6"/>
  <c r="BC24" i="6"/>
  <c r="AN24" i="6"/>
  <c r="AV24" i="6"/>
  <c r="BD24" i="6"/>
  <c r="AJ24" i="6"/>
  <c r="AK24" i="6"/>
  <c r="AS24" i="6"/>
  <c r="BA24" i="6"/>
  <c r="AZ24" i="6"/>
  <c r="AO24" i="6"/>
  <c r="BE24" i="6"/>
  <c r="AP24" i="6"/>
  <c r="AQ24" i="6"/>
  <c r="AW24" i="6"/>
  <c r="AX24" i="6"/>
  <c r="AY24" i="6"/>
  <c r="AR24" i="6"/>
  <c r="C63" i="6"/>
  <c r="C9" i="6"/>
  <c r="C67" i="6"/>
  <c r="C49" i="6"/>
  <c r="C9" i="2"/>
  <c r="C60" i="6"/>
  <c r="C64" i="6"/>
  <c r="C50" i="6"/>
  <c r="Y76" i="1"/>
  <c r="BF63" i="2" s="1"/>
  <c r="BE53" i="6"/>
  <c r="BE58" i="6"/>
  <c r="BE47" i="6"/>
  <c r="BE38" i="6"/>
  <c r="BE57" i="6"/>
  <c r="BE74" i="6"/>
  <c r="BE54" i="6"/>
  <c r="BE52" i="6"/>
  <c r="BE39" i="6"/>
  <c r="BE59" i="6"/>
  <c r="BE20" i="6"/>
  <c r="BE33" i="6"/>
  <c r="BE22" i="6"/>
  <c r="BE19" i="6"/>
  <c r="BE5" i="6"/>
  <c r="BE16" i="6"/>
  <c r="BE13" i="6"/>
  <c r="BE23" i="6"/>
  <c r="BE7" i="6"/>
  <c r="BE21" i="6"/>
  <c r="BE82" i="2"/>
  <c r="BE88" i="2"/>
  <c r="BE71" i="2"/>
  <c r="BE86" i="2"/>
  <c r="BE83" i="2"/>
  <c r="BE72" i="2"/>
  <c r="BE76" i="2"/>
  <c r="BE73" i="2"/>
  <c r="BE59" i="2"/>
  <c r="BE74" i="2"/>
  <c r="BE81" i="2"/>
  <c r="BE87" i="2"/>
  <c r="BE60" i="2"/>
  <c r="AK37" i="6"/>
  <c r="AS37" i="6"/>
  <c r="BA37" i="6"/>
  <c r="AJ37" i="6"/>
  <c r="AL37" i="6"/>
  <c r="AT37" i="6"/>
  <c r="BB37" i="6"/>
  <c r="AM37" i="6"/>
  <c r="AU37" i="6"/>
  <c r="BC37" i="6"/>
  <c r="AR37" i="6"/>
  <c r="AZ37" i="6"/>
  <c r="AW37" i="6"/>
  <c r="AX37" i="6"/>
  <c r="AY37" i="6"/>
  <c r="AV37" i="6"/>
  <c r="AN37" i="6"/>
  <c r="AO37" i="6"/>
  <c r="AP37" i="6"/>
  <c r="AQ37" i="6"/>
  <c r="BD37" i="6"/>
  <c r="BE37" i="6"/>
  <c r="BF37" i="6"/>
  <c r="C6" i="2"/>
  <c r="AJ6" i="2" s="1"/>
  <c r="C12" i="2"/>
  <c r="AM12" i="2" s="1"/>
  <c r="C80" i="2"/>
  <c r="C70" i="2"/>
  <c r="C7" i="2"/>
  <c r="AJ7" i="2" s="1"/>
  <c r="C11" i="2"/>
  <c r="AS11" i="2" s="1"/>
  <c r="C69" i="2"/>
  <c r="C15" i="2"/>
  <c r="C8" i="2"/>
  <c r="AY8" i="2" s="1"/>
  <c r="C10" i="2"/>
  <c r="C95" i="2"/>
  <c r="C14" i="2"/>
  <c r="C68" i="2"/>
  <c r="C110" i="2"/>
  <c r="C69" i="6"/>
  <c r="C51" i="6"/>
  <c r="C73" i="6"/>
  <c r="C43" i="6"/>
  <c r="C12" i="6"/>
  <c r="C10" i="6"/>
  <c r="C72" i="6"/>
  <c r="C11" i="6"/>
  <c r="C41" i="6"/>
  <c r="C6" i="6"/>
  <c r="C71" i="6"/>
  <c r="C42" i="6"/>
  <c r="C15" i="6"/>
  <c r="C8" i="6"/>
  <c r="C14" i="6"/>
  <c r="C80" i="6"/>
  <c r="C66" i="6"/>
  <c r="C35" i="6"/>
  <c r="C79" i="2"/>
  <c r="C32" i="6"/>
  <c r="C78" i="2"/>
  <c r="C84" i="2"/>
  <c r="C56" i="6"/>
  <c r="C65" i="6"/>
  <c r="AN31" i="6"/>
  <c r="AV31" i="6"/>
  <c r="BD31" i="6"/>
  <c r="AO31" i="6"/>
  <c r="AW31" i="6"/>
  <c r="BE31" i="6"/>
  <c r="AP31" i="6"/>
  <c r="AX31" i="6"/>
  <c r="AQ31" i="6"/>
  <c r="AY31" i="6"/>
  <c r="AR31" i="6"/>
  <c r="AZ31" i="6"/>
  <c r="AK31" i="6"/>
  <c r="AS31" i="6"/>
  <c r="BA31" i="6"/>
  <c r="AL31" i="6"/>
  <c r="AT31" i="6"/>
  <c r="BB31" i="6"/>
  <c r="AM31" i="6"/>
  <c r="AU31" i="6"/>
  <c r="BC31" i="6"/>
  <c r="AJ31" i="6"/>
  <c r="AM7" i="2"/>
  <c r="AS7" i="2"/>
  <c r="BD38" i="2"/>
  <c r="AJ38" i="2"/>
  <c r="BE38" i="2"/>
  <c r="AK38" i="2"/>
  <c r="AL38" i="2"/>
  <c r="AM38" i="2"/>
  <c r="AN38" i="2"/>
  <c r="AO38" i="2"/>
  <c r="AP38" i="2"/>
  <c r="AQ38" i="2"/>
  <c r="AR38" i="2"/>
  <c r="AS38" i="2"/>
  <c r="AT38" i="2"/>
  <c r="AU38" i="2"/>
  <c r="AV38" i="2"/>
  <c r="AW38" i="2"/>
  <c r="AX38" i="2"/>
  <c r="AY38" i="2"/>
  <c r="AZ38" i="2"/>
  <c r="BA38" i="2"/>
  <c r="BB38" i="2"/>
  <c r="BC38" i="2"/>
  <c r="BC32" i="2"/>
  <c r="BD36" i="2"/>
  <c r="AJ36" i="2"/>
  <c r="BE36" i="2"/>
  <c r="AK36" i="2"/>
  <c r="AL36" i="2"/>
  <c r="AM36" i="2"/>
  <c r="AN36" i="2"/>
  <c r="AO36" i="2"/>
  <c r="AP36" i="2"/>
  <c r="AQ36" i="2"/>
  <c r="AR36" i="2"/>
  <c r="AS36" i="2"/>
  <c r="AT36" i="2"/>
  <c r="AU36" i="2"/>
  <c r="AV36" i="2"/>
  <c r="AW36" i="2"/>
  <c r="AX36" i="2"/>
  <c r="AY36" i="2"/>
  <c r="AZ36" i="2"/>
  <c r="BA36" i="2"/>
  <c r="BB36" i="2"/>
  <c r="BC36" i="2"/>
  <c r="G51" i="2"/>
  <c r="AM51" i="2" s="1"/>
  <c r="BD32" i="2"/>
  <c r="BE32" i="2"/>
  <c r="BF32" i="2"/>
  <c r="AK32" i="2"/>
  <c r="AL32" i="2"/>
  <c r="AM32" i="2"/>
  <c r="AO32" i="2"/>
  <c r="AP32" i="2"/>
  <c r="AQ32" i="2"/>
  <c r="AR32" i="2"/>
  <c r="AT32" i="2"/>
  <c r="AU32" i="2"/>
  <c r="AV32" i="2"/>
  <c r="AW32" i="2"/>
  <c r="AX32" i="2"/>
  <c r="AY32" i="2"/>
  <c r="AZ32" i="2"/>
  <c r="BA32" i="2"/>
  <c r="BB32" i="2"/>
  <c r="BD37" i="2"/>
  <c r="BE37" i="2"/>
  <c r="AJ37" i="2"/>
  <c r="AK37" i="2"/>
  <c r="AL37" i="2"/>
  <c r="AM37" i="2"/>
  <c r="AN37" i="2"/>
  <c r="AO37" i="2"/>
  <c r="AP37" i="2"/>
  <c r="AQ37" i="2"/>
  <c r="AR37" i="2"/>
  <c r="AS37" i="2"/>
  <c r="AT37" i="2"/>
  <c r="AU37" i="2"/>
  <c r="AV37" i="2"/>
  <c r="AW37" i="2"/>
  <c r="AX37" i="2"/>
  <c r="AY37" i="2"/>
  <c r="AZ37" i="2"/>
  <c r="BA37" i="2"/>
  <c r="BB37" i="2"/>
  <c r="BC37" i="2"/>
  <c r="AR31" i="2"/>
  <c r="AZ31" i="2"/>
  <c r="AL31" i="2"/>
  <c r="AT31" i="2"/>
  <c r="BB31" i="2"/>
  <c r="AM31" i="2"/>
  <c r="AU31" i="2"/>
  <c r="BC31" i="2"/>
  <c r="AQ31" i="2"/>
  <c r="AY31" i="2"/>
  <c r="AX31" i="2"/>
  <c r="AJ31" i="2"/>
  <c r="BE31" i="2"/>
  <c r="AS31" i="2"/>
  <c r="AK31" i="2"/>
  <c r="BA31" i="2"/>
  <c r="AP31" i="2"/>
  <c r="AN31" i="2"/>
  <c r="BD31" i="2"/>
  <c r="AV31" i="2"/>
  <c r="AW31" i="2"/>
  <c r="AO31" i="2"/>
  <c r="AQ63" i="2"/>
  <c r="AY63" i="2"/>
  <c r="BC63" i="2"/>
  <c r="AR63" i="2"/>
  <c r="AZ63" i="2"/>
  <c r="AK63" i="2"/>
  <c r="AS63" i="2"/>
  <c r="BA63" i="2"/>
  <c r="AM63" i="2"/>
  <c r="AL63" i="2"/>
  <c r="AT63" i="2"/>
  <c r="BB63" i="2"/>
  <c r="AN63" i="2"/>
  <c r="AV63" i="2"/>
  <c r="BD63" i="2"/>
  <c r="AO63" i="2"/>
  <c r="AW63" i="2"/>
  <c r="BE63" i="2"/>
  <c r="AJ63" i="2"/>
  <c r="AP63" i="2"/>
  <c r="AX63" i="2"/>
  <c r="AU63" i="2"/>
  <c r="AN62" i="2"/>
  <c r="AV62" i="2"/>
  <c r="BD62" i="2"/>
  <c r="AO62" i="2"/>
  <c r="AW62" i="2"/>
  <c r="BE62" i="2"/>
  <c r="AP62" i="2"/>
  <c r="AX62" i="2"/>
  <c r="AY62" i="2"/>
  <c r="AR62" i="2"/>
  <c r="AZ62" i="2"/>
  <c r="AK62" i="2"/>
  <c r="AS62" i="2"/>
  <c r="BA62" i="2"/>
  <c r="AJ62" i="2"/>
  <c r="AL62" i="2"/>
  <c r="AT62" i="2"/>
  <c r="BB62" i="2"/>
  <c r="AM62" i="2"/>
  <c r="AU62" i="2"/>
  <c r="BC62" i="2"/>
  <c r="AQ62" i="2"/>
  <c r="AR50" i="2"/>
  <c r="AZ50" i="2"/>
  <c r="AK50" i="2"/>
  <c r="AS50" i="2"/>
  <c r="BA50" i="2"/>
  <c r="AJ50" i="2"/>
  <c r="AL50" i="2"/>
  <c r="AT50" i="2"/>
  <c r="BB50" i="2"/>
  <c r="AM50" i="2"/>
  <c r="AU50" i="2"/>
  <c r="BC50" i="2"/>
  <c r="AN50" i="2"/>
  <c r="AV50" i="2"/>
  <c r="BD50" i="2"/>
  <c r="AO50" i="2"/>
  <c r="AW50" i="2"/>
  <c r="BE50" i="2"/>
  <c r="AP50" i="2"/>
  <c r="AX50" i="2"/>
  <c r="BF50" i="2"/>
  <c r="AQ50" i="2"/>
  <c r="AY50" i="2"/>
  <c r="AK61" i="2"/>
  <c r="AS61" i="2"/>
  <c r="BA61" i="2"/>
  <c r="BD61" i="2"/>
  <c r="AL61" i="2"/>
  <c r="AT61" i="2"/>
  <c r="BB61" i="2"/>
  <c r="AV61" i="2"/>
  <c r="AM61" i="2"/>
  <c r="AU61" i="2"/>
  <c r="BC61" i="2"/>
  <c r="AN61" i="2"/>
  <c r="AJ61" i="2"/>
  <c r="AO61" i="2"/>
  <c r="AW61" i="2"/>
  <c r="BE61" i="2"/>
  <c r="AP61" i="2"/>
  <c r="AX61" i="2"/>
  <c r="AQ61" i="2"/>
  <c r="AY61" i="2"/>
  <c r="AR61" i="2"/>
  <c r="AZ61" i="2"/>
  <c r="AM77" i="2"/>
  <c r="AU77" i="2"/>
  <c r="BC77" i="2"/>
  <c r="AJ77" i="2"/>
  <c r="AN77" i="2"/>
  <c r="AV77" i="2"/>
  <c r="BD77" i="2"/>
  <c r="AO77" i="2"/>
  <c r="AW77" i="2"/>
  <c r="BE77" i="2"/>
  <c r="AP77" i="2"/>
  <c r="AX77" i="2"/>
  <c r="AQ77" i="2"/>
  <c r="AY77" i="2"/>
  <c r="AR77" i="2"/>
  <c r="AZ77" i="2"/>
  <c r="AK77" i="2"/>
  <c r="AS77" i="2"/>
  <c r="BA77" i="2"/>
  <c r="AL77" i="2"/>
  <c r="AT77" i="2"/>
  <c r="BB77" i="2"/>
  <c r="AM5" i="2"/>
  <c r="AU5" i="2"/>
  <c r="AZ5" i="2"/>
  <c r="AN5" i="2"/>
  <c r="AV5" i="2"/>
  <c r="BD5" i="2"/>
  <c r="AO5" i="2"/>
  <c r="AW5" i="2"/>
  <c r="BE5" i="2"/>
  <c r="AP5" i="2"/>
  <c r="AX5" i="2"/>
  <c r="AJ5" i="2"/>
  <c r="AQ5" i="2"/>
  <c r="AY5" i="2"/>
  <c r="AR5" i="2"/>
  <c r="AK5" i="2"/>
  <c r="AS5" i="2"/>
  <c r="BA5" i="2"/>
  <c r="AL5" i="2"/>
  <c r="AT5" i="2"/>
  <c r="BB5" i="2"/>
  <c r="C94" i="2"/>
  <c r="C101" i="2"/>
  <c r="C100" i="2"/>
  <c r="C98" i="2"/>
  <c r="C102" i="2"/>
  <c r="D21" i="1"/>
  <c r="C58" i="2"/>
  <c r="C99" i="2"/>
  <c r="C65" i="2"/>
  <c r="C92" i="2"/>
  <c r="C96" i="2"/>
  <c r="C91" i="2"/>
  <c r="C85" i="2"/>
  <c r="C93" i="2"/>
  <c r="C90" i="2"/>
  <c r="E30" i="2"/>
  <c r="AK30" i="2" s="1"/>
  <c r="D9" i="1"/>
  <c r="H28" i="2"/>
  <c r="AN28" i="2" s="1"/>
  <c r="M28" i="2"/>
  <c r="AS28" i="2" s="1"/>
  <c r="AG28" i="2"/>
  <c r="W28" i="2"/>
  <c r="BC28" i="2" s="1"/>
  <c r="E56" i="2"/>
  <c r="AK56" i="2" s="1"/>
  <c r="E55" i="2"/>
  <c r="AK55" i="2" s="1"/>
  <c r="E54" i="2"/>
  <c r="AK54" i="2" s="1"/>
  <c r="E53" i="2"/>
  <c r="AK53" i="2" s="1"/>
  <c r="E52" i="2"/>
  <c r="AK52" i="2" s="1"/>
  <c r="E57" i="2"/>
  <c r="AK57" i="2" s="1"/>
  <c r="F57" i="2"/>
  <c r="AL57" i="2" s="1"/>
  <c r="BB11" i="2" l="1"/>
  <c r="BF36" i="2"/>
  <c r="BF38" i="2"/>
  <c r="BF24" i="6"/>
  <c r="BF31" i="2"/>
  <c r="BF37" i="2"/>
  <c r="BF35" i="2" s="1"/>
  <c r="AW8" i="2"/>
  <c r="AS6" i="2"/>
  <c r="BF31" i="6"/>
  <c r="BF62" i="2"/>
  <c r="AJ35" i="2"/>
  <c r="BF77" i="2"/>
  <c r="BF61" i="2"/>
  <c r="AP8" i="2"/>
  <c r="BA11" i="2"/>
  <c r="BF5" i="2"/>
  <c r="BF11" i="2"/>
  <c r="AT11" i="2"/>
  <c r="AR11" i="2"/>
  <c r="BA7" i="2"/>
  <c r="AL11" i="2"/>
  <c r="AU7" i="2"/>
  <c r="AZ11" i="2"/>
  <c r="AK11" i="2"/>
  <c r="AT7" i="2"/>
  <c r="AR8" i="2"/>
  <c r="AL6" i="2"/>
  <c r="BB8" i="2"/>
  <c r="AK6" i="2"/>
  <c r="BA18" i="2"/>
  <c r="BA8" i="2"/>
  <c r="AR18" i="2"/>
  <c r="AX8" i="2"/>
  <c r="AT6" i="2"/>
  <c r="BB18" i="2"/>
  <c r="AT18" i="2"/>
  <c r="BD8" i="2"/>
  <c r="AR12" i="2"/>
  <c r="AL7" i="2"/>
  <c r="BD18" i="2"/>
  <c r="AN8" i="2"/>
  <c r="BB6" i="2"/>
  <c r="BF12" i="2"/>
  <c r="BC7" i="2"/>
  <c r="AK7" i="2"/>
  <c r="AZ12" i="2"/>
  <c r="AQ8" i="2"/>
  <c r="BA6" i="2"/>
  <c r="BB7" i="2"/>
  <c r="BF7" i="2"/>
  <c r="AV6" i="2"/>
  <c r="AN6" i="2"/>
  <c r="BB12" i="2"/>
  <c r="AT12" i="2"/>
  <c r="AL12" i="2"/>
  <c r="AK8" i="2"/>
  <c r="AL8" i="2"/>
  <c r="BF8" i="2"/>
  <c r="BC6" i="2"/>
  <c r="AU6" i="2"/>
  <c r="AM6" i="2"/>
  <c r="BA12" i="2"/>
  <c r="AS12" i="2"/>
  <c r="AK12" i="2"/>
  <c r="AY35" i="2"/>
  <c r="AY12" i="2"/>
  <c r="AZ8" i="2"/>
  <c r="AZ6" i="2"/>
  <c r="BE6" i="2"/>
  <c r="BD12" i="2"/>
  <c r="AT8" i="2"/>
  <c r="AU8" i="2"/>
  <c r="AY6" i="2"/>
  <c r="AQ6" i="2"/>
  <c r="BD6" i="2"/>
  <c r="BD35" i="2"/>
  <c r="AW12" i="2"/>
  <c r="AO12" i="2"/>
  <c r="AJ12" i="2"/>
  <c r="BE12" i="2"/>
  <c r="AV8" i="2"/>
  <c r="AR6" i="2"/>
  <c r="AP12" i="2"/>
  <c r="AJ8" i="2"/>
  <c r="BE8" i="2"/>
  <c r="AM8" i="2"/>
  <c r="AX6" i="2"/>
  <c r="AP6" i="2"/>
  <c r="BF6" i="2"/>
  <c r="AV12" i="2"/>
  <c r="AN12" i="2"/>
  <c r="AQ35" i="2"/>
  <c r="AQ12" i="2"/>
  <c r="BC8" i="2"/>
  <c r="AX12" i="2"/>
  <c r="AU18" i="2"/>
  <c r="AS8" i="2"/>
  <c r="AO8" i="2"/>
  <c r="AW6" i="2"/>
  <c r="AO6" i="2"/>
  <c r="BC12" i="2"/>
  <c r="AU12" i="2"/>
  <c r="AZ7" i="2"/>
  <c r="AM14" i="2"/>
  <c r="AZ14" i="2"/>
  <c r="BD14" i="2"/>
  <c r="AP14" i="2"/>
  <c r="AO14" i="2"/>
  <c r="AL14" i="2"/>
  <c r="AS14" i="2"/>
  <c r="AU14" i="2"/>
  <c r="AQ14" i="2"/>
  <c r="AT14" i="2"/>
  <c r="AY14" i="2"/>
  <c r="BE14" i="2"/>
  <c r="BC14" i="2"/>
  <c r="AV14" i="2"/>
  <c r="AX14" i="2"/>
  <c r="AW14" i="2"/>
  <c r="AR14" i="2"/>
  <c r="BA14" i="2"/>
  <c r="BB14" i="2"/>
  <c r="AK14" i="2"/>
  <c r="AJ14" i="2"/>
  <c r="AN14" i="2"/>
  <c r="BF14" i="2"/>
  <c r="AM63" i="6"/>
  <c r="AU63" i="6"/>
  <c r="BC63" i="6"/>
  <c r="AN63" i="6"/>
  <c r="AV63" i="6"/>
  <c r="BD63" i="6"/>
  <c r="AO63" i="6"/>
  <c r="AW63" i="6"/>
  <c r="BE63" i="6"/>
  <c r="AL63" i="6"/>
  <c r="AT63" i="6"/>
  <c r="BB63" i="6"/>
  <c r="AS63" i="6"/>
  <c r="AX63" i="6"/>
  <c r="AY63" i="6"/>
  <c r="AR63" i="6"/>
  <c r="AQ63" i="6"/>
  <c r="AZ63" i="6"/>
  <c r="BA63" i="6"/>
  <c r="AP63" i="6"/>
  <c r="AK63" i="6"/>
  <c r="BF63" i="6"/>
  <c r="AJ63" i="6"/>
  <c r="BC11" i="2"/>
  <c r="AU11" i="2"/>
  <c r="AM11" i="2"/>
  <c r="BD11" i="2"/>
  <c r="AV7" i="2"/>
  <c r="AN7" i="2"/>
  <c r="BD7" i="2"/>
  <c r="AN6" i="6"/>
  <c r="AV6" i="6"/>
  <c r="BD6" i="6"/>
  <c r="AO6" i="6"/>
  <c r="AW6" i="6"/>
  <c r="BE6" i="6"/>
  <c r="AP6" i="6"/>
  <c r="AX6" i="6"/>
  <c r="BF6" i="6"/>
  <c r="AM6" i="6"/>
  <c r="AU6" i="6"/>
  <c r="BC6" i="6"/>
  <c r="AL6" i="6"/>
  <c r="BB6" i="6"/>
  <c r="AT6" i="6"/>
  <c r="AQ6" i="6"/>
  <c r="AR6" i="6"/>
  <c r="AJ6" i="6"/>
  <c r="AS6" i="6"/>
  <c r="AY6" i="6"/>
  <c r="AK6" i="6"/>
  <c r="BA6" i="6"/>
  <c r="AZ6" i="6"/>
  <c r="AR51" i="6"/>
  <c r="AW51" i="6"/>
  <c r="AN51" i="6"/>
  <c r="BB51" i="6"/>
  <c r="BA51" i="6"/>
  <c r="AM51" i="6"/>
  <c r="AP51" i="6"/>
  <c r="AO51" i="6"/>
  <c r="BC51" i="6"/>
  <c r="AT51" i="6"/>
  <c r="AS51" i="6"/>
  <c r="AX51" i="6"/>
  <c r="BF51" i="6"/>
  <c r="AJ51" i="6"/>
  <c r="AU51" i="6"/>
  <c r="AL51" i="6"/>
  <c r="AK51" i="6"/>
  <c r="C70" i="6"/>
  <c r="AZ51" i="6"/>
  <c r="BE51" i="6"/>
  <c r="AV51" i="6"/>
  <c r="AY51" i="6"/>
  <c r="AQ51" i="6"/>
  <c r="BD51" i="6"/>
  <c r="AR15" i="2"/>
  <c r="AZ15" i="2"/>
  <c r="BF15" i="2"/>
  <c r="AK15" i="2"/>
  <c r="AS15" i="2"/>
  <c r="BA15" i="2"/>
  <c r="BD15" i="2"/>
  <c r="AL15" i="2"/>
  <c r="AT15" i="2"/>
  <c r="BB15" i="2"/>
  <c r="BE15" i="2"/>
  <c r="AM15" i="2"/>
  <c r="AU15" i="2"/>
  <c r="BC15" i="2"/>
  <c r="AV15" i="2"/>
  <c r="AN15" i="2"/>
  <c r="AO15" i="2"/>
  <c r="AW15" i="2"/>
  <c r="AJ15" i="2"/>
  <c r="AP15" i="2"/>
  <c r="AX15" i="2"/>
  <c r="AQ15" i="2"/>
  <c r="AY15" i="2"/>
  <c r="Z76" i="1"/>
  <c r="BG14" i="2" s="1"/>
  <c r="BF47" i="6"/>
  <c r="BF53" i="6"/>
  <c r="BF58" i="6"/>
  <c r="BF59" i="6"/>
  <c r="BF38" i="6"/>
  <c r="BF57" i="6"/>
  <c r="BF74" i="6"/>
  <c r="BF54" i="6"/>
  <c r="BF33" i="6"/>
  <c r="BF5" i="6"/>
  <c r="BF16" i="6"/>
  <c r="BF39" i="6"/>
  <c r="BF52" i="6"/>
  <c r="BF21" i="6"/>
  <c r="BF20" i="6"/>
  <c r="BF7" i="6"/>
  <c r="BF23" i="6"/>
  <c r="BF19" i="6"/>
  <c r="BF13" i="6"/>
  <c r="BF22" i="6"/>
  <c r="BF60" i="2"/>
  <c r="BF82" i="2"/>
  <c r="BF88" i="2"/>
  <c r="BF71" i="2"/>
  <c r="BF83" i="2"/>
  <c r="BF73" i="2"/>
  <c r="BF59" i="2"/>
  <c r="BF76" i="2"/>
  <c r="BF81" i="2"/>
  <c r="BF87" i="2"/>
  <c r="BF74" i="2"/>
  <c r="BF72" i="2"/>
  <c r="BF86" i="2"/>
  <c r="BF44" i="2"/>
  <c r="BF45" i="2"/>
  <c r="BF23" i="2"/>
  <c r="BF28" i="6"/>
  <c r="BF43" i="2"/>
  <c r="BF57" i="2"/>
  <c r="BF20" i="2"/>
  <c r="BF19" i="2"/>
  <c r="BF46" i="2"/>
  <c r="BF55" i="2"/>
  <c r="BF29" i="2"/>
  <c r="BF41" i="2"/>
  <c r="BF49" i="2"/>
  <c r="BF52" i="2"/>
  <c r="BF25" i="6"/>
  <c r="BF22" i="2"/>
  <c r="BF30" i="2"/>
  <c r="BF27" i="2"/>
  <c r="BF24" i="2"/>
  <c r="BF42" i="2"/>
  <c r="BF25" i="2"/>
  <c r="BF51" i="2"/>
  <c r="BF53" i="2"/>
  <c r="BF27" i="6"/>
  <c r="BF48" i="2"/>
  <c r="BF97" i="2"/>
  <c r="BF28" i="2"/>
  <c r="BF16" i="2"/>
  <c r="BF26" i="2"/>
  <c r="BF26" i="6"/>
  <c r="BF47" i="2"/>
  <c r="BF54" i="2"/>
  <c r="BF30" i="6"/>
  <c r="BF29" i="6"/>
  <c r="BF21" i="2"/>
  <c r="BF56" i="2"/>
  <c r="AP64" i="6"/>
  <c r="AX64" i="6"/>
  <c r="BF64" i="6"/>
  <c r="AQ64" i="6"/>
  <c r="AY64" i="6"/>
  <c r="AR64" i="6"/>
  <c r="AZ64" i="6"/>
  <c r="AO64" i="6"/>
  <c r="AW64" i="6"/>
  <c r="BE64" i="6"/>
  <c r="AV64" i="6"/>
  <c r="AK64" i="6"/>
  <c r="BA64" i="6"/>
  <c r="AL64" i="6"/>
  <c r="BB64" i="6"/>
  <c r="AU64" i="6"/>
  <c r="AT64" i="6"/>
  <c r="BC64" i="6"/>
  <c r="BD64" i="6"/>
  <c r="AS64" i="6"/>
  <c r="AM64" i="6"/>
  <c r="AN64" i="6"/>
  <c r="AJ64" i="6"/>
  <c r="BF62" i="6"/>
  <c r="AN66" i="6"/>
  <c r="AV66" i="6"/>
  <c r="BD66" i="6"/>
  <c r="AO66" i="6"/>
  <c r="AW66" i="6"/>
  <c r="BE66" i="6"/>
  <c r="AP66" i="6"/>
  <c r="AX66" i="6"/>
  <c r="BF66" i="6"/>
  <c r="AM66" i="6"/>
  <c r="AU66" i="6"/>
  <c r="BC66" i="6"/>
  <c r="AJ66" i="6"/>
  <c r="AL66" i="6"/>
  <c r="BB66" i="6"/>
  <c r="AQ66" i="6"/>
  <c r="AR66" i="6"/>
  <c r="AK66" i="6"/>
  <c r="BA66" i="6"/>
  <c r="AZ66" i="6"/>
  <c r="AY66" i="6"/>
  <c r="AS66" i="6"/>
  <c r="AT66" i="6"/>
  <c r="AJ41" i="6"/>
  <c r="AT41" i="6"/>
  <c r="AQ41" i="6"/>
  <c r="BJ41" i="6"/>
  <c r="AS41" i="6"/>
  <c r="BH41" i="6"/>
  <c r="BI41" i="6"/>
  <c r="AR41" i="6"/>
  <c r="AZ41" i="6"/>
  <c r="BG41" i="6"/>
  <c r="BB41" i="6"/>
  <c r="AL41" i="6"/>
  <c r="AK41" i="6"/>
  <c r="BA41" i="6"/>
  <c r="BM41" i="6"/>
  <c r="BK41" i="6"/>
  <c r="BE41" i="6"/>
  <c r="BC41" i="6"/>
  <c r="AW41" i="6"/>
  <c r="AU41" i="6"/>
  <c r="AO41" i="6"/>
  <c r="AV41" i="6"/>
  <c r="AY41" i="6"/>
  <c r="BD41" i="6"/>
  <c r="BF41" i="6"/>
  <c r="AP41" i="6"/>
  <c r="AN41" i="6"/>
  <c r="AM41" i="6"/>
  <c r="BL41" i="6"/>
  <c r="AX41" i="6"/>
  <c r="AN69" i="6"/>
  <c r="AV69" i="6"/>
  <c r="BD69" i="6"/>
  <c r="AQ69" i="6"/>
  <c r="AZ69" i="6"/>
  <c r="AJ69" i="6"/>
  <c r="AR69" i="6"/>
  <c r="BA69" i="6"/>
  <c r="AS69" i="6"/>
  <c r="BB69" i="6"/>
  <c r="AP69" i="6"/>
  <c r="AY69" i="6"/>
  <c r="AX69" i="6"/>
  <c r="AK69" i="6"/>
  <c r="BC69" i="6"/>
  <c r="AL69" i="6"/>
  <c r="BE69" i="6"/>
  <c r="AW69" i="6"/>
  <c r="AT69" i="6"/>
  <c r="AM69" i="6"/>
  <c r="AU69" i="6"/>
  <c r="AO69" i="6"/>
  <c r="BF69" i="6"/>
  <c r="AQ50" i="6"/>
  <c r="AY50" i="6"/>
  <c r="AR50" i="6"/>
  <c r="AZ50" i="6"/>
  <c r="AK50" i="6"/>
  <c r="AS50" i="6"/>
  <c r="BA50" i="6"/>
  <c r="AP50" i="6"/>
  <c r="AX50" i="6"/>
  <c r="BF50" i="6"/>
  <c r="AO50" i="6"/>
  <c r="BE50" i="6"/>
  <c r="AT50" i="6"/>
  <c r="AU50" i="6"/>
  <c r="AN50" i="6"/>
  <c r="BD50" i="6"/>
  <c r="AJ50" i="6"/>
  <c r="AM50" i="6"/>
  <c r="AV50" i="6"/>
  <c r="AW50" i="6"/>
  <c r="AL50" i="6"/>
  <c r="C68" i="6"/>
  <c r="BB50" i="6"/>
  <c r="BC50" i="6"/>
  <c r="AL60" i="6"/>
  <c r="AT60" i="6"/>
  <c r="BB60" i="6"/>
  <c r="AM60" i="6"/>
  <c r="AU60" i="6"/>
  <c r="BC60" i="6"/>
  <c r="AN60" i="6"/>
  <c r="AV60" i="6"/>
  <c r="BD60" i="6"/>
  <c r="AK60" i="6"/>
  <c r="AS60" i="6"/>
  <c r="BA60" i="6"/>
  <c r="AZ60" i="6"/>
  <c r="AJ60" i="6"/>
  <c r="AO60" i="6"/>
  <c r="BE60" i="6"/>
  <c r="AP60" i="6"/>
  <c r="BF60" i="6"/>
  <c r="AY60" i="6"/>
  <c r="AQ60" i="6"/>
  <c r="AR60" i="6"/>
  <c r="AW60" i="6"/>
  <c r="AX60" i="6"/>
  <c r="AN49" i="6"/>
  <c r="AV49" i="6"/>
  <c r="BD49" i="6"/>
  <c r="AO49" i="6"/>
  <c r="AW49" i="6"/>
  <c r="BE49" i="6"/>
  <c r="AP49" i="6"/>
  <c r="AX49" i="6"/>
  <c r="BF49" i="6"/>
  <c r="AM49" i="6"/>
  <c r="AU49" i="6"/>
  <c r="BC49" i="6"/>
  <c r="AJ49" i="6"/>
  <c r="AL49" i="6"/>
  <c r="BB49" i="6"/>
  <c r="AQ49" i="6"/>
  <c r="AR49" i="6"/>
  <c r="AK49" i="6"/>
  <c r="BA49" i="6"/>
  <c r="AS49" i="6"/>
  <c r="AT49" i="6"/>
  <c r="AY49" i="6"/>
  <c r="AZ49" i="6"/>
  <c r="AJ80" i="6"/>
  <c r="BI80" i="6"/>
  <c r="AU80" i="6"/>
  <c r="BG80" i="6"/>
  <c r="BC80" i="6"/>
  <c r="BH80" i="6"/>
  <c r="AT80" i="6"/>
  <c r="AR80" i="6"/>
  <c r="BB80" i="6"/>
  <c r="BD80" i="6"/>
  <c r="AS80" i="6"/>
  <c r="BJ80" i="6"/>
  <c r="AV80" i="6"/>
  <c r="AK80" i="6"/>
  <c r="AN80" i="6"/>
  <c r="BA80" i="6"/>
  <c r="AZ80" i="6"/>
  <c r="BL80" i="6"/>
  <c r="BK80" i="6"/>
  <c r="AM80" i="6"/>
  <c r="AL80" i="6"/>
  <c r="AW80" i="6"/>
  <c r="AP80" i="6"/>
  <c r="BF80" i="6"/>
  <c r="BE80" i="6"/>
  <c r="BM80" i="6"/>
  <c r="AX80" i="6"/>
  <c r="AO80" i="6"/>
  <c r="AY80" i="6"/>
  <c r="AQ80" i="6"/>
  <c r="AP11" i="6"/>
  <c r="AJ11" i="6"/>
  <c r="BD11" i="6"/>
  <c r="AS11" i="6"/>
  <c r="AX11" i="6"/>
  <c r="AO11" i="6"/>
  <c r="BB11" i="6"/>
  <c r="AZ11" i="6"/>
  <c r="BE11" i="6"/>
  <c r="AV11" i="6"/>
  <c r="AK11" i="6"/>
  <c r="AT11" i="6"/>
  <c r="AY11" i="6"/>
  <c r="AL11" i="6"/>
  <c r="AQ11" i="6"/>
  <c r="AW11" i="6"/>
  <c r="AN11" i="6"/>
  <c r="AM11" i="6"/>
  <c r="BA11" i="6"/>
  <c r="BF11" i="6"/>
  <c r="BC11" i="6"/>
  <c r="AU11" i="6"/>
  <c r="AR11" i="6"/>
  <c r="BD110" i="2"/>
  <c r="BE110" i="2"/>
  <c r="BF110" i="2"/>
  <c r="AJ110" i="2"/>
  <c r="AK110" i="2"/>
  <c r="AL110" i="2"/>
  <c r="AM110" i="2"/>
  <c r="AN110" i="2"/>
  <c r="AO110" i="2"/>
  <c r="AP110" i="2"/>
  <c r="AQ110" i="2"/>
  <c r="AR110" i="2"/>
  <c r="AS110" i="2"/>
  <c r="AT110" i="2"/>
  <c r="AU110" i="2"/>
  <c r="AV110" i="2"/>
  <c r="AW110" i="2"/>
  <c r="AX110" i="2"/>
  <c r="AY110" i="2"/>
  <c r="AZ110" i="2"/>
  <c r="BA110" i="2"/>
  <c r="BB110" i="2"/>
  <c r="BC110" i="2"/>
  <c r="BC9" i="2"/>
  <c r="AM9" i="2"/>
  <c r="AU9" i="2"/>
  <c r="AN9" i="2"/>
  <c r="AV9" i="2"/>
  <c r="AY9" i="2"/>
  <c r="BF9" i="2"/>
  <c r="AO9" i="2"/>
  <c r="AW9" i="2"/>
  <c r="AP9" i="2"/>
  <c r="AX9" i="2"/>
  <c r="AQ9" i="2"/>
  <c r="BD9" i="2"/>
  <c r="AR9" i="2"/>
  <c r="AZ9" i="2"/>
  <c r="AK9" i="2"/>
  <c r="AS9" i="2"/>
  <c r="BA9" i="2"/>
  <c r="AJ9" i="2"/>
  <c r="BE9" i="2"/>
  <c r="AL9" i="2"/>
  <c r="AT9" i="2"/>
  <c r="BB9" i="2"/>
  <c r="AQ67" i="6"/>
  <c r="AK67" i="6"/>
  <c r="AS67" i="6"/>
  <c r="BA67" i="6"/>
  <c r="AP67" i="6"/>
  <c r="AX67" i="6"/>
  <c r="BF67" i="6"/>
  <c r="AO67" i="6"/>
  <c r="BB67" i="6"/>
  <c r="AR67" i="6"/>
  <c r="BC67" i="6"/>
  <c r="AT67" i="6"/>
  <c r="BD67" i="6"/>
  <c r="AN67" i="6"/>
  <c r="AZ67" i="6"/>
  <c r="AY67" i="6"/>
  <c r="AJ67" i="6"/>
  <c r="BE67" i="6"/>
  <c r="AW67" i="6"/>
  <c r="AV67" i="6"/>
  <c r="AL67" i="6"/>
  <c r="AM67" i="6"/>
  <c r="AU67" i="6"/>
  <c r="AQ72" i="6"/>
  <c r="AV72" i="6"/>
  <c r="AU72" i="6"/>
  <c r="AK72" i="6"/>
  <c r="AJ72" i="6"/>
  <c r="AN72" i="6"/>
  <c r="AM72" i="6"/>
  <c r="BA72" i="6"/>
  <c r="AZ72" i="6"/>
  <c r="AY72" i="6"/>
  <c r="AW72" i="6"/>
  <c r="BF72" i="6"/>
  <c r="BB72" i="6"/>
  <c r="AS72" i="6"/>
  <c r="AR72" i="6"/>
  <c r="BE72" i="6"/>
  <c r="AL72" i="6"/>
  <c r="AO72" i="6"/>
  <c r="AX72" i="6"/>
  <c r="AP72" i="6"/>
  <c r="BD72" i="6"/>
  <c r="BC72" i="6"/>
  <c r="AT72" i="6"/>
  <c r="AO9" i="6"/>
  <c r="AW9" i="6"/>
  <c r="BE9" i="6"/>
  <c r="AP9" i="6"/>
  <c r="AX9" i="6"/>
  <c r="BF9" i="6"/>
  <c r="AQ9" i="6"/>
  <c r="AY9" i="6"/>
  <c r="AT9" i="6"/>
  <c r="AZ9" i="6"/>
  <c r="AU9" i="6"/>
  <c r="AL9" i="6"/>
  <c r="AM9" i="6"/>
  <c r="AJ9" i="6"/>
  <c r="AN9" i="6"/>
  <c r="AK9" i="6"/>
  <c r="AV9" i="6"/>
  <c r="BB9" i="6"/>
  <c r="AS9" i="6"/>
  <c r="BD9" i="6"/>
  <c r="BA9" i="6"/>
  <c r="BC9" i="6"/>
  <c r="AR9" i="6"/>
  <c r="AJ18" i="2"/>
  <c r="AQ11" i="2"/>
  <c r="AR7" i="2"/>
  <c r="AL8" i="6"/>
  <c r="AT8" i="6"/>
  <c r="BB8" i="6"/>
  <c r="AJ8" i="6"/>
  <c r="AM8" i="6"/>
  <c r="AU8" i="6"/>
  <c r="BC8" i="6"/>
  <c r="AN8" i="6"/>
  <c r="AV8" i="6"/>
  <c r="BD8" i="6"/>
  <c r="AK8" i="6"/>
  <c r="AS8" i="6"/>
  <c r="BA8" i="6"/>
  <c r="AR8" i="6"/>
  <c r="BE8" i="6"/>
  <c r="AW8" i="6"/>
  <c r="AX8" i="6"/>
  <c r="AZ8" i="6"/>
  <c r="AO8" i="6"/>
  <c r="AQ8" i="6"/>
  <c r="AY8" i="6"/>
  <c r="AP8" i="6"/>
  <c r="BF8" i="6"/>
  <c r="AX11" i="2"/>
  <c r="AP11" i="2"/>
  <c r="BE11" i="2"/>
  <c r="AY7" i="2"/>
  <c r="AQ7" i="2"/>
  <c r="BE7" i="2"/>
  <c r="AO32" i="6"/>
  <c r="AO18" i="6" s="1"/>
  <c r="AW32" i="6"/>
  <c r="AW18" i="6" s="1"/>
  <c r="BE32" i="6"/>
  <c r="BE18" i="6" s="1"/>
  <c r="AP32" i="6"/>
  <c r="AP18" i="6" s="1"/>
  <c r="AX32" i="6"/>
  <c r="AX18" i="6" s="1"/>
  <c r="BF32" i="6"/>
  <c r="AQ32" i="6"/>
  <c r="AQ18" i="6" s="1"/>
  <c r="AY32" i="6"/>
  <c r="AY18" i="6" s="1"/>
  <c r="AN32" i="6"/>
  <c r="AN18" i="6" s="1"/>
  <c r="AV32" i="6"/>
  <c r="AV18" i="6" s="1"/>
  <c r="BD32" i="6"/>
  <c r="BD18" i="6" s="1"/>
  <c r="AM32" i="6"/>
  <c r="AM18" i="6" s="1"/>
  <c r="BC32" i="6"/>
  <c r="BC18" i="6" s="1"/>
  <c r="AR32" i="6"/>
  <c r="AR18" i="6" s="1"/>
  <c r="AU32" i="6"/>
  <c r="AU18" i="6" s="1"/>
  <c r="AS32" i="6"/>
  <c r="AS18" i="6" s="1"/>
  <c r="AZ32" i="6"/>
  <c r="AZ18" i="6" s="1"/>
  <c r="AJ32" i="6"/>
  <c r="AK32" i="6"/>
  <c r="AK18" i="6" s="1"/>
  <c r="BA32" i="6"/>
  <c r="BA18" i="6" s="1"/>
  <c r="AL32" i="6"/>
  <c r="AL18" i="6" s="1"/>
  <c r="BB32" i="6"/>
  <c r="BB18" i="6" s="1"/>
  <c r="AT32" i="6"/>
  <c r="AT18" i="6" s="1"/>
  <c r="AL15" i="6"/>
  <c r="AQ15" i="6"/>
  <c r="BE15" i="6"/>
  <c r="AN15" i="6"/>
  <c r="AM15" i="6"/>
  <c r="AK15" i="6"/>
  <c r="BF15" i="6"/>
  <c r="BC15" i="6"/>
  <c r="AW15" i="6"/>
  <c r="AR15" i="6"/>
  <c r="BG15" i="6"/>
  <c r="AZ15" i="6"/>
  <c r="AO15" i="6"/>
  <c r="AS15" i="6"/>
  <c r="BB15" i="6"/>
  <c r="BD15" i="6"/>
  <c r="AT15" i="6"/>
  <c r="AY15" i="6"/>
  <c r="AP15" i="6"/>
  <c r="AV15" i="6"/>
  <c r="AU15" i="6"/>
  <c r="BA15" i="6"/>
  <c r="AJ15" i="6"/>
  <c r="AX15" i="6"/>
  <c r="AK12" i="6"/>
  <c r="BE12" i="6"/>
  <c r="AP12" i="6"/>
  <c r="AQ12" i="6"/>
  <c r="AJ12" i="6"/>
  <c r="BF12" i="6"/>
  <c r="AW12" i="6"/>
  <c r="BC12" i="6"/>
  <c r="BB12" i="6"/>
  <c r="AM12" i="6"/>
  <c r="AV12" i="6"/>
  <c r="AY12" i="6"/>
  <c r="BA12" i="6"/>
  <c r="AZ12" i="6"/>
  <c r="AS12" i="6"/>
  <c r="AX12" i="6"/>
  <c r="AO12" i="6"/>
  <c r="AU12" i="6"/>
  <c r="AT12" i="6"/>
  <c r="BD12" i="6"/>
  <c r="AN12" i="6"/>
  <c r="AR12" i="6"/>
  <c r="AL12" i="6"/>
  <c r="AQ95" i="2"/>
  <c r="BA95" i="2"/>
  <c r="AW95" i="2"/>
  <c r="AV95" i="2"/>
  <c r="AM95" i="2"/>
  <c r="AN95" i="2"/>
  <c r="AY95" i="2"/>
  <c r="BE95" i="2"/>
  <c r="BC95" i="2"/>
  <c r="AU95" i="2"/>
  <c r="AK95" i="2"/>
  <c r="BG95" i="2"/>
  <c r="AL95" i="2"/>
  <c r="BD95" i="2"/>
  <c r="AZ95" i="2"/>
  <c r="AJ95" i="2"/>
  <c r="AR95" i="2"/>
  <c r="AT95" i="2"/>
  <c r="BB95" i="2"/>
  <c r="AP95" i="2"/>
  <c r="AX95" i="2"/>
  <c r="BF95" i="2"/>
  <c r="AO95" i="2"/>
  <c r="AS95" i="2"/>
  <c r="AO61" i="6"/>
  <c r="AW61" i="6"/>
  <c r="BE61" i="6"/>
  <c r="AP61" i="6"/>
  <c r="AX61" i="6"/>
  <c r="BF61" i="6"/>
  <c r="AQ61" i="6"/>
  <c r="AY61" i="6"/>
  <c r="AN61" i="6"/>
  <c r="AV61" i="6"/>
  <c r="BD61" i="6"/>
  <c r="AM61" i="6"/>
  <c r="BC61" i="6"/>
  <c r="AR61" i="6"/>
  <c r="AJ61" i="6"/>
  <c r="AS61" i="6"/>
  <c r="AL61" i="6"/>
  <c r="BB61" i="6"/>
  <c r="AK61" i="6"/>
  <c r="AT61" i="6"/>
  <c r="AU61" i="6"/>
  <c r="AZ61" i="6"/>
  <c r="BA61" i="6"/>
  <c r="AK48" i="6"/>
  <c r="AS48" i="6"/>
  <c r="BA48" i="6"/>
  <c r="AL48" i="6"/>
  <c r="AT48" i="6"/>
  <c r="BB48" i="6"/>
  <c r="AM48" i="6"/>
  <c r="AU48" i="6"/>
  <c r="BC48" i="6"/>
  <c r="AR48" i="6"/>
  <c r="AZ48" i="6"/>
  <c r="AY48" i="6"/>
  <c r="AN48" i="6"/>
  <c r="BD48" i="6"/>
  <c r="AO48" i="6"/>
  <c r="BE48" i="6"/>
  <c r="AX48" i="6"/>
  <c r="AP48" i="6"/>
  <c r="AQ48" i="6"/>
  <c r="BG48" i="6"/>
  <c r="AV48" i="6"/>
  <c r="AW48" i="6"/>
  <c r="AJ48" i="6"/>
  <c r="BF48" i="6"/>
  <c r="AW11" i="2"/>
  <c r="AO11" i="2"/>
  <c r="AJ11" i="2"/>
  <c r="AX7" i="2"/>
  <c r="AP7" i="2"/>
  <c r="AK65" i="6"/>
  <c r="AS65" i="6"/>
  <c r="BA65" i="6"/>
  <c r="AL65" i="6"/>
  <c r="AT65" i="6"/>
  <c r="BB65" i="6"/>
  <c r="AM65" i="6"/>
  <c r="AU65" i="6"/>
  <c r="BC65" i="6"/>
  <c r="AR65" i="6"/>
  <c r="AZ65" i="6"/>
  <c r="AY65" i="6"/>
  <c r="AN65" i="6"/>
  <c r="BD65" i="6"/>
  <c r="AO65" i="6"/>
  <c r="BE65" i="6"/>
  <c r="AX65" i="6"/>
  <c r="AW65" i="6"/>
  <c r="BF65" i="6"/>
  <c r="AV65" i="6"/>
  <c r="AJ65" i="6"/>
  <c r="AQ65" i="6"/>
  <c r="AP65" i="6"/>
  <c r="AJ42" i="6"/>
  <c r="BL42" i="6"/>
  <c r="AW42" i="6"/>
  <c r="BG42" i="6"/>
  <c r="BE42" i="6"/>
  <c r="BK42" i="6"/>
  <c r="AV42" i="6"/>
  <c r="BH42" i="6"/>
  <c r="AT42" i="6"/>
  <c r="AS42" i="6"/>
  <c r="AO42" i="6"/>
  <c r="AX42" i="6"/>
  <c r="AK42" i="6"/>
  <c r="BF42" i="6"/>
  <c r="AM42" i="6"/>
  <c r="BC42" i="6"/>
  <c r="AN42" i="6"/>
  <c r="BB42" i="6"/>
  <c r="AU42" i="6"/>
  <c r="BD42" i="6"/>
  <c r="AY42" i="6"/>
  <c r="AQ42" i="6"/>
  <c r="AZ42" i="6"/>
  <c r="BJ42" i="6"/>
  <c r="BI42" i="6"/>
  <c r="AR42" i="6"/>
  <c r="AL42" i="6"/>
  <c r="AP42" i="6"/>
  <c r="BA42" i="6"/>
  <c r="BM42" i="6"/>
  <c r="BE43" i="6"/>
  <c r="BH43" i="6"/>
  <c r="BI43" i="6"/>
  <c r="AU43" i="6"/>
  <c r="BL43" i="6"/>
  <c r="AJ43" i="6"/>
  <c r="AL43" i="6"/>
  <c r="AQ43" i="6"/>
  <c r="AY43" i="6"/>
  <c r="AN43" i="6"/>
  <c r="AK43" i="6"/>
  <c r="BB43" i="6"/>
  <c r="AW43" i="6"/>
  <c r="BK43" i="6"/>
  <c r="AS43" i="6"/>
  <c r="BC43" i="6"/>
  <c r="AT43" i="6"/>
  <c r="AX43" i="6"/>
  <c r="AO43" i="6"/>
  <c r="BG43" i="6"/>
  <c r="AP43" i="6"/>
  <c r="AM43" i="6"/>
  <c r="AZ43" i="6"/>
  <c r="AV43" i="6"/>
  <c r="BA43" i="6"/>
  <c r="BJ43" i="6"/>
  <c r="BM43" i="6"/>
  <c r="BF43" i="6"/>
  <c r="BD43" i="6"/>
  <c r="AR43" i="6"/>
  <c r="BC10" i="2"/>
  <c r="AQ10" i="2"/>
  <c r="AY10" i="2"/>
  <c r="AM10" i="2"/>
  <c r="AN10" i="2"/>
  <c r="AJ10" i="2"/>
  <c r="BE10" i="2"/>
  <c r="AR10" i="2"/>
  <c r="AZ10" i="2"/>
  <c r="AU10" i="2"/>
  <c r="AV10" i="2"/>
  <c r="AK10" i="2"/>
  <c r="AS10" i="2"/>
  <c r="BA10" i="2"/>
  <c r="AL10" i="2"/>
  <c r="AT10" i="2"/>
  <c r="BB10" i="2"/>
  <c r="BF10" i="2"/>
  <c r="AO10" i="2"/>
  <c r="AW10" i="2"/>
  <c r="BD10" i="2"/>
  <c r="AP10" i="2"/>
  <c r="AX10" i="2"/>
  <c r="AM55" i="6"/>
  <c r="AU55" i="6"/>
  <c r="BC55" i="6"/>
  <c r="AN55" i="6"/>
  <c r="AV55" i="6"/>
  <c r="BD55" i="6"/>
  <c r="AO55" i="6"/>
  <c r="AW55" i="6"/>
  <c r="BE55" i="6"/>
  <c r="AL55" i="6"/>
  <c r="AT55" i="6"/>
  <c r="BB55" i="6"/>
  <c r="AK55" i="6"/>
  <c r="BA55" i="6"/>
  <c r="AP55" i="6"/>
  <c r="BF55" i="6"/>
  <c r="AQ55" i="6"/>
  <c r="AZ55" i="6"/>
  <c r="AY55" i="6"/>
  <c r="AJ55" i="6"/>
  <c r="AX55" i="6"/>
  <c r="AR55" i="6"/>
  <c r="AS55" i="6"/>
  <c r="AQ14" i="6"/>
  <c r="AP14" i="6"/>
  <c r="AY14" i="6"/>
  <c r="AM14" i="6"/>
  <c r="AK14" i="6"/>
  <c r="AL14" i="6"/>
  <c r="BC14" i="6"/>
  <c r="AR14" i="6"/>
  <c r="AT14" i="6"/>
  <c r="AW14" i="6"/>
  <c r="BD14" i="6"/>
  <c r="AU14" i="6"/>
  <c r="BA14" i="6"/>
  <c r="AZ14" i="6"/>
  <c r="AS14" i="6"/>
  <c r="BE14" i="6"/>
  <c r="AX14" i="6"/>
  <c r="AO14" i="6"/>
  <c r="BG14" i="6"/>
  <c r="AV14" i="6"/>
  <c r="AN14" i="6"/>
  <c r="BB14" i="6"/>
  <c r="AJ14" i="6"/>
  <c r="BF14" i="6"/>
  <c r="AY11" i="2"/>
  <c r="AM10" i="6"/>
  <c r="AY10" i="6"/>
  <c r="BE10" i="6"/>
  <c r="BD10" i="6"/>
  <c r="AU10" i="6"/>
  <c r="AP10" i="6"/>
  <c r="AJ10" i="6"/>
  <c r="AT10" i="6"/>
  <c r="AZ10" i="6"/>
  <c r="AQ10" i="6"/>
  <c r="AW10" i="6"/>
  <c r="AV10" i="6"/>
  <c r="AX10" i="6"/>
  <c r="AR10" i="6"/>
  <c r="BF10" i="6"/>
  <c r="AO10" i="6"/>
  <c r="AN10" i="6"/>
  <c r="BC10" i="6"/>
  <c r="BA10" i="6"/>
  <c r="BB10" i="6"/>
  <c r="AL10" i="6"/>
  <c r="AS10" i="6"/>
  <c r="AK10" i="6"/>
  <c r="AV11" i="2"/>
  <c r="AN11" i="2"/>
  <c r="AW7" i="2"/>
  <c r="AO7" i="2"/>
  <c r="AP56" i="6"/>
  <c r="AX56" i="6"/>
  <c r="BF56" i="6"/>
  <c r="AQ56" i="6"/>
  <c r="AY56" i="6"/>
  <c r="AR56" i="6"/>
  <c r="AZ56" i="6"/>
  <c r="AO56" i="6"/>
  <c r="AW56" i="6"/>
  <c r="BE56" i="6"/>
  <c r="AN56" i="6"/>
  <c r="BD56" i="6"/>
  <c r="AS56" i="6"/>
  <c r="AT56" i="6"/>
  <c r="AM56" i="6"/>
  <c r="BC56" i="6"/>
  <c r="BB56" i="6"/>
  <c r="AJ56" i="6"/>
  <c r="BA56" i="6"/>
  <c r="AV56" i="6"/>
  <c r="AK56" i="6"/>
  <c r="AL56" i="6"/>
  <c r="AU56" i="6"/>
  <c r="AM35" i="6"/>
  <c r="AU35" i="6"/>
  <c r="BC35" i="6"/>
  <c r="AN35" i="6"/>
  <c r="AV35" i="6"/>
  <c r="BD35" i="6"/>
  <c r="AO35" i="6"/>
  <c r="AW35" i="6"/>
  <c r="BE35" i="6"/>
  <c r="AL35" i="6"/>
  <c r="AT35" i="6"/>
  <c r="BB35" i="6"/>
  <c r="AQ35" i="6"/>
  <c r="AR35" i="6"/>
  <c r="AS35" i="6"/>
  <c r="AP35" i="6"/>
  <c r="BF35" i="6"/>
  <c r="AJ35" i="6"/>
  <c r="BA35" i="6"/>
  <c r="AK35" i="6"/>
  <c r="AX35" i="6"/>
  <c r="AY35" i="6"/>
  <c r="AZ35" i="6"/>
  <c r="AN71" i="6"/>
  <c r="AT71" i="6"/>
  <c r="AS71" i="6"/>
  <c r="BF71" i="6"/>
  <c r="AJ71" i="6"/>
  <c r="AK71" i="6"/>
  <c r="AW71" i="6"/>
  <c r="AO71" i="6"/>
  <c r="BC71" i="6"/>
  <c r="AL71" i="6"/>
  <c r="AZ71" i="6"/>
  <c r="BD71" i="6"/>
  <c r="AX71" i="6"/>
  <c r="AY71" i="6"/>
  <c r="AU71" i="6"/>
  <c r="AR71" i="6"/>
  <c r="AV71" i="6"/>
  <c r="AP71" i="6"/>
  <c r="BB71" i="6"/>
  <c r="AQ71" i="6"/>
  <c r="AM71" i="6"/>
  <c r="BA71" i="6"/>
  <c r="BE71" i="6"/>
  <c r="AL73" i="6"/>
  <c r="AZ73" i="6"/>
  <c r="AO73" i="6"/>
  <c r="AR73" i="6"/>
  <c r="AS73" i="6"/>
  <c r="AV73" i="6"/>
  <c r="BA73" i="6"/>
  <c r="BF73" i="6"/>
  <c r="AY73" i="6"/>
  <c r="AQ73" i="6"/>
  <c r="AP73" i="6"/>
  <c r="AU73" i="6"/>
  <c r="AW73" i="6"/>
  <c r="AN73" i="6"/>
  <c r="AM73" i="6"/>
  <c r="AT73" i="6"/>
  <c r="AJ73" i="6"/>
  <c r="AK73" i="6"/>
  <c r="AX73" i="6"/>
  <c r="BD73" i="6"/>
  <c r="BC73" i="6"/>
  <c r="BE73" i="6"/>
  <c r="BB73" i="6"/>
  <c r="AP36" i="6"/>
  <c r="AX36" i="6"/>
  <c r="BF36" i="6"/>
  <c r="AQ36" i="6"/>
  <c r="AY36" i="6"/>
  <c r="AR36" i="6"/>
  <c r="AZ36" i="6"/>
  <c r="AO36" i="6"/>
  <c r="AW36" i="6"/>
  <c r="BE36" i="6"/>
  <c r="AT36" i="6"/>
  <c r="AU36" i="6"/>
  <c r="AV36" i="6"/>
  <c r="AS36" i="6"/>
  <c r="BD36" i="6"/>
  <c r="AN36" i="6"/>
  <c r="AK36" i="6"/>
  <c r="AM36" i="6"/>
  <c r="AL36" i="6"/>
  <c r="BA36" i="6"/>
  <c r="BB36" i="6"/>
  <c r="AJ36" i="6"/>
  <c r="BC36" i="6"/>
  <c r="BE18" i="2"/>
  <c r="AM18" i="2"/>
  <c r="AX18" i="2"/>
  <c r="AO18" i="2"/>
  <c r="AQ18" i="2"/>
  <c r="AL18" i="2"/>
  <c r="AZ35" i="2"/>
  <c r="AR35" i="2"/>
  <c r="AP35" i="2"/>
  <c r="BD69" i="2"/>
  <c r="BF69" i="2"/>
  <c r="AJ69" i="2"/>
  <c r="BE69" i="2"/>
  <c r="AK69" i="2"/>
  <c r="AL69" i="2"/>
  <c r="AM69" i="2"/>
  <c r="AN69" i="2"/>
  <c r="AO69" i="2"/>
  <c r="AP69" i="2"/>
  <c r="AQ69" i="2"/>
  <c r="AR69" i="2"/>
  <c r="AS69" i="2"/>
  <c r="AT69" i="2"/>
  <c r="AU69" i="2"/>
  <c r="AV69" i="2"/>
  <c r="AW69" i="2"/>
  <c r="AX69" i="2"/>
  <c r="AY69" i="2"/>
  <c r="AZ69" i="2"/>
  <c r="BA69" i="2"/>
  <c r="BB69" i="2"/>
  <c r="BC69" i="2"/>
  <c r="AW18" i="2"/>
  <c r="BE68" i="2"/>
  <c r="BF68" i="2"/>
  <c r="AJ68" i="2"/>
  <c r="BD68" i="2"/>
  <c r="AK68" i="2"/>
  <c r="AL68" i="2"/>
  <c r="AM68" i="2"/>
  <c r="AN68" i="2"/>
  <c r="AO68" i="2"/>
  <c r="AP68" i="2"/>
  <c r="AQ68" i="2"/>
  <c r="AR68" i="2"/>
  <c r="AS68" i="2"/>
  <c r="AT68" i="2"/>
  <c r="AU68" i="2"/>
  <c r="AV68" i="2"/>
  <c r="AW68" i="2"/>
  <c r="AX68" i="2"/>
  <c r="AY68" i="2"/>
  <c r="AZ68" i="2"/>
  <c r="BA68" i="2"/>
  <c r="BB68" i="2"/>
  <c r="BC68" i="2"/>
  <c r="BF101" i="2"/>
  <c r="BD101" i="2"/>
  <c r="AJ101" i="2"/>
  <c r="BE101" i="2"/>
  <c r="AK101" i="2"/>
  <c r="AL101" i="2"/>
  <c r="AM101" i="2"/>
  <c r="AN101" i="2"/>
  <c r="AO101" i="2"/>
  <c r="AP101" i="2"/>
  <c r="AQ101" i="2"/>
  <c r="AR101" i="2"/>
  <c r="AS101" i="2"/>
  <c r="AT101" i="2"/>
  <c r="AU101" i="2"/>
  <c r="AV101" i="2"/>
  <c r="AW101" i="2"/>
  <c r="AX101" i="2"/>
  <c r="AY101" i="2"/>
  <c r="AZ101" i="2"/>
  <c r="BA101" i="2"/>
  <c r="BB101" i="2"/>
  <c r="BC101" i="2"/>
  <c r="BA35" i="2"/>
  <c r="AS35" i="2"/>
  <c r="AK35" i="2"/>
  <c r="BD79" i="2"/>
  <c r="BE79" i="2"/>
  <c r="AJ79" i="2"/>
  <c r="BF79" i="2"/>
  <c r="AK79" i="2"/>
  <c r="AL79" i="2"/>
  <c r="AM79" i="2"/>
  <c r="AN79" i="2"/>
  <c r="AO79" i="2"/>
  <c r="AP79" i="2"/>
  <c r="AQ79" i="2"/>
  <c r="AR79" i="2"/>
  <c r="AS79" i="2"/>
  <c r="AT79" i="2"/>
  <c r="AU79" i="2"/>
  <c r="AV79" i="2"/>
  <c r="AW79" i="2"/>
  <c r="AX79" i="2"/>
  <c r="AY79" i="2"/>
  <c r="AZ79" i="2"/>
  <c r="BA79" i="2"/>
  <c r="BB79" i="2"/>
  <c r="BC79" i="2"/>
  <c r="AP18" i="2"/>
  <c r="AY18" i="2"/>
  <c r="AX35" i="2"/>
  <c r="BD70" i="2"/>
  <c r="AJ70" i="2"/>
  <c r="BE70" i="2"/>
  <c r="BF70" i="2"/>
  <c r="AK70" i="2"/>
  <c r="AL70" i="2"/>
  <c r="AM70" i="2"/>
  <c r="AN70" i="2"/>
  <c r="AO70" i="2"/>
  <c r="AP70" i="2"/>
  <c r="AQ70" i="2"/>
  <c r="AR70" i="2"/>
  <c r="AS70" i="2"/>
  <c r="AT70" i="2"/>
  <c r="AU70" i="2"/>
  <c r="AV70" i="2"/>
  <c r="AW70" i="2"/>
  <c r="AX70" i="2"/>
  <c r="AY70" i="2"/>
  <c r="AZ70" i="2"/>
  <c r="BA70" i="2"/>
  <c r="BB70" i="2"/>
  <c r="BC70" i="2"/>
  <c r="AJ102" i="2"/>
  <c r="BF102" i="2"/>
  <c r="AK102" i="2"/>
  <c r="BE102" i="2"/>
  <c r="BD102" i="2"/>
  <c r="AL102" i="2"/>
  <c r="AM102" i="2"/>
  <c r="AN102" i="2"/>
  <c r="AO102" i="2"/>
  <c r="AP102" i="2"/>
  <c r="AQ102" i="2"/>
  <c r="AR102" i="2"/>
  <c r="AS102" i="2"/>
  <c r="AT102" i="2"/>
  <c r="AU102" i="2"/>
  <c r="AV102" i="2"/>
  <c r="AW102" i="2"/>
  <c r="AX102" i="2"/>
  <c r="AY102" i="2"/>
  <c r="AZ102" i="2"/>
  <c r="BA102" i="2"/>
  <c r="BB102" i="2"/>
  <c r="BC102" i="2"/>
  <c r="AV18" i="2"/>
  <c r="AV35" i="2"/>
  <c r="AN35" i="2"/>
  <c r="AW35" i="2"/>
  <c r="AN18" i="2"/>
  <c r="BF65" i="2"/>
  <c r="BD65" i="2"/>
  <c r="BE65" i="2"/>
  <c r="AJ65" i="2"/>
  <c r="AK65" i="2"/>
  <c r="AL65" i="2"/>
  <c r="AM65" i="2"/>
  <c r="AN65" i="2"/>
  <c r="AO65" i="2"/>
  <c r="AP65" i="2"/>
  <c r="AQ65" i="2"/>
  <c r="AR65" i="2"/>
  <c r="AS65" i="2"/>
  <c r="AT65" i="2"/>
  <c r="AU65" i="2"/>
  <c r="AV65" i="2"/>
  <c r="AW65" i="2"/>
  <c r="AX65" i="2"/>
  <c r="AY65" i="2"/>
  <c r="AZ65" i="2"/>
  <c r="BA65" i="2"/>
  <c r="BB65" i="2"/>
  <c r="BC65" i="2"/>
  <c r="BD98" i="2"/>
  <c r="AJ98" i="2"/>
  <c r="BE98" i="2"/>
  <c r="BF98" i="2"/>
  <c r="AK98" i="2"/>
  <c r="AL98" i="2"/>
  <c r="AM98" i="2"/>
  <c r="AN98" i="2"/>
  <c r="AO98" i="2"/>
  <c r="AP98" i="2"/>
  <c r="AQ98" i="2"/>
  <c r="AR98" i="2"/>
  <c r="AS98" i="2"/>
  <c r="AT98" i="2"/>
  <c r="AU98" i="2"/>
  <c r="AV98" i="2"/>
  <c r="AW98" i="2"/>
  <c r="AX98" i="2"/>
  <c r="AY98" i="2"/>
  <c r="AZ98" i="2"/>
  <c r="BA98" i="2"/>
  <c r="BB98" i="2"/>
  <c r="BC98" i="2"/>
  <c r="AZ18" i="2"/>
  <c r="BC35" i="2"/>
  <c r="AU35" i="2"/>
  <c r="AM35" i="2"/>
  <c r="BF99" i="2"/>
  <c r="AJ99" i="2"/>
  <c r="BE99" i="2"/>
  <c r="BD99" i="2"/>
  <c r="AK99" i="2"/>
  <c r="AL99" i="2"/>
  <c r="AM99" i="2"/>
  <c r="AN99" i="2"/>
  <c r="AO99" i="2"/>
  <c r="AP99" i="2"/>
  <c r="AQ99" i="2"/>
  <c r="AR99" i="2"/>
  <c r="AS99" i="2"/>
  <c r="AT99" i="2"/>
  <c r="AU99" i="2"/>
  <c r="AV99" i="2"/>
  <c r="AW99" i="2"/>
  <c r="AX99" i="2"/>
  <c r="AY99" i="2"/>
  <c r="AZ99" i="2"/>
  <c r="BA99" i="2"/>
  <c r="BB99" i="2"/>
  <c r="BC99" i="2"/>
  <c r="BF58" i="2"/>
  <c r="BD58" i="2"/>
  <c r="BE58" i="2"/>
  <c r="BG58" i="2"/>
  <c r="AL58" i="2"/>
  <c r="AM58" i="2"/>
  <c r="AN58" i="2"/>
  <c r="AO58" i="2"/>
  <c r="AP58" i="2"/>
  <c r="AQ58" i="2"/>
  <c r="AR58" i="2"/>
  <c r="AS58" i="2"/>
  <c r="AT58" i="2"/>
  <c r="AU58" i="2"/>
  <c r="AV58" i="2"/>
  <c r="AW58" i="2"/>
  <c r="AX58" i="2"/>
  <c r="AY58" i="2"/>
  <c r="AZ58" i="2"/>
  <c r="BA58" i="2"/>
  <c r="BB58" i="2"/>
  <c r="BC58" i="2"/>
  <c r="AJ58" i="2"/>
  <c r="AK58" i="2"/>
  <c r="BF13" i="2"/>
  <c r="BG13" i="2"/>
  <c r="BE13" i="2"/>
  <c r="BD13" i="2"/>
  <c r="AJ13" i="2"/>
  <c r="AK13" i="2"/>
  <c r="AL13" i="2"/>
  <c r="AM13" i="2"/>
  <c r="AN13" i="2"/>
  <c r="AO13" i="2"/>
  <c r="AP13" i="2"/>
  <c r="AQ13" i="2"/>
  <c r="AR13" i="2"/>
  <c r="AS13" i="2"/>
  <c r="AT13" i="2"/>
  <c r="AU13" i="2"/>
  <c r="AV13" i="2"/>
  <c r="AW13" i="2"/>
  <c r="AX13" i="2"/>
  <c r="AY13" i="2"/>
  <c r="AZ13" i="2"/>
  <c r="BA13" i="2"/>
  <c r="BB13" i="2"/>
  <c r="BC13" i="2"/>
  <c r="AO35" i="2"/>
  <c r="BG80" i="2"/>
  <c r="AJ80" i="2"/>
  <c r="BF80" i="2"/>
  <c r="BD80" i="2"/>
  <c r="BE80" i="2"/>
  <c r="AK80" i="2"/>
  <c r="AL80" i="2"/>
  <c r="AM80" i="2"/>
  <c r="AN80" i="2"/>
  <c r="AO80" i="2"/>
  <c r="AP80" i="2"/>
  <c r="AQ80" i="2"/>
  <c r="AR80" i="2"/>
  <c r="AS80" i="2"/>
  <c r="AT80" i="2"/>
  <c r="AU80" i="2"/>
  <c r="AV80" i="2"/>
  <c r="AW80" i="2"/>
  <c r="AX80" i="2"/>
  <c r="AY80" i="2"/>
  <c r="AZ80" i="2"/>
  <c r="BA80" i="2"/>
  <c r="BB80" i="2"/>
  <c r="BC80" i="2"/>
  <c r="BD100" i="2"/>
  <c r="BE100" i="2"/>
  <c r="AJ100" i="2"/>
  <c r="BF100" i="2"/>
  <c r="AL100" i="2"/>
  <c r="AK100" i="2"/>
  <c r="AM100" i="2"/>
  <c r="AN100" i="2"/>
  <c r="AO100" i="2"/>
  <c r="AP100" i="2"/>
  <c r="AQ100" i="2"/>
  <c r="AR100" i="2"/>
  <c r="AS100" i="2"/>
  <c r="AT100" i="2"/>
  <c r="AU100" i="2"/>
  <c r="AV100" i="2"/>
  <c r="AW100" i="2"/>
  <c r="AX100" i="2"/>
  <c r="AY100" i="2"/>
  <c r="AZ100" i="2"/>
  <c r="BA100" i="2"/>
  <c r="BB100" i="2"/>
  <c r="BC100" i="2"/>
  <c r="BB35" i="2"/>
  <c r="AT35" i="2"/>
  <c r="AL35" i="2"/>
  <c r="BE35" i="2"/>
  <c r="AS18" i="2"/>
  <c r="AK18" i="2"/>
  <c r="BC18" i="2"/>
  <c r="AN96" i="2"/>
  <c r="AV96" i="2"/>
  <c r="BD96" i="2"/>
  <c r="AO96" i="2"/>
  <c r="AW96" i="2"/>
  <c r="BE96" i="2"/>
  <c r="AP96" i="2"/>
  <c r="AX96" i="2"/>
  <c r="BF96" i="2"/>
  <c r="AQ96" i="2"/>
  <c r="AY96" i="2"/>
  <c r="AJ96" i="2"/>
  <c r="AR96" i="2"/>
  <c r="AZ96" i="2"/>
  <c r="AK96" i="2"/>
  <c r="AS96" i="2"/>
  <c r="BA96" i="2"/>
  <c r="AL96" i="2"/>
  <c r="AT96" i="2"/>
  <c r="BB96" i="2"/>
  <c r="AM96" i="2"/>
  <c r="AU96" i="2"/>
  <c r="BC96" i="2"/>
  <c r="AR84" i="2"/>
  <c r="AZ84" i="2"/>
  <c r="AK84" i="2"/>
  <c r="AS84" i="2"/>
  <c r="BA84" i="2"/>
  <c r="AL84" i="2"/>
  <c r="AT84" i="2"/>
  <c r="BB84" i="2"/>
  <c r="AM84" i="2"/>
  <c r="AU84" i="2"/>
  <c r="BC84" i="2"/>
  <c r="AN84" i="2"/>
  <c r="AV84" i="2"/>
  <c r="BD84" i="2"/>
  <c r="AO84" i="2"/>
  <c r="AW84" i="2"/>
  <c r="BE84" i="2"/>
  <c r="AP84" i="2"/>
  <c r="AX84" i="2"/>
  <c r="BF84" i="2"/>
  <c r="AQ84" i="2"/>
  <c r="AY84" i="2"/>
  <c r="AJ84" i="2"/>
  <c r="AP94" i="2"/>
  <c r="AX94" i="2"/>
  <c r="BF94" i="2"/>
  <c r="AQ94" i="2"/>
  <c r="AY94" i="2"/>
  <c r="AJ94" i="2"/>
  <c r="AR94" i="2"/>
  <c r="AZ94" i="2"/>
  <c r="AK94" i="2"/>
  <c r="AS94" i="2"/>
  <c r="BA94" i="2"/>
  <c r="AL94" i="2"/>
  <c r="AT94" i="2"/>
  <c r="BB94" i="2"/>
  <c r="AM94" i="2"/>
  <c r="AU94" i="2"/>
  <c r="BC94" i="2"/>
  <c r="AN94" i="2"/>
  <c r="AV94" i="2"/>
  <c r="BD94" i="2"/>
  <c r="AO94" i="2"/>
  <c r="AW94" i="2"/>
  <c r="BE94" i="2"/>
  <c r="AR92" i="2"/>
  <c r="AZ92" i="2"/>
  <c r="AK92" i="2"/>
  <c r="AS92" i="2"/>
  <c r="BA92" i="2"/>
  <c r="AL92" i="2"/>
  <c r="AT92" i="2"/>
  <c r="BB92" i="2"/>
  <c r="AM92" i="2"/>
  <c r="AU92" i="2"/>
  <c r="BC92" i="2"/>
  <c r="AN92" i="2"/>
  <c r="AV92" i="2"/>
  <c r="BD92" i="2"/>
  <c r="AO92" i="2"/>
  <c r="AW92" i="2"/>
  <c r="BE92" i="2"/>
  <c r="AP92" i="2"/>
  <c r="AX92" i="2"/>
  <c r="BF92" i="2"/>
  <c r="AQ92" i="2"/>
  <c r="AY92" i="2"/>
  <c r="AJ92" i="2"/>
  <c r="AL90" i="2"/>
  <c r="AT90" i="2"/>
  <c r="BB90" i="2"/>
  <c r="AM90" i="2"/>
  <c r="AU90" i="2"/>
  <c r="BC90" i="2"/>
  <c r="AN90" i="2"/>
  <c r="AV90" i="2"/>
  <c r="BD90" i="2"/>
  <c r="AO90" i="2"/>
  <c r="AW90" i="2"/>
  <c r="BE90" i="2"/>
  <c r="AP90" i="2"/>
  <c r="AX90" i="2"/>
  <c r="BF90" i="2"/>
  <c r="AQ90" i="2"/>
  <c r="AY90" i="2"/>
  <c r="AJ90" i="2"/>
  <c r="AR90" i="2"/>
  <c r="AZ90" i="2"/>
  <c r="AK90" i="2"/>
  <c r="AS90" i="2"/>
  <c r="BA90" i="2"/>
  <c r="AO91" i="2"/>
  <c r="AW91" i="2"/>
  <c r="BE91" i="2"/>
  <c r="AP91" i="2"/>
  <c r="AX91" i="2"/>
  <c r="BF91" i="2"/>
  <c r="AQ91" i="2"/>
  <c r="AY91" i="2"/>
  <c r="AR91" i="2"/>
  <c r="AZ91" i="2"/>
  <c r="AK91" i="2"/>
  <c r="AS91" i="2"/>
  <c r="BA91" i="2"/>
  <c r="AL91" i="2"/>
  <c r="AT91" i="2"/>
  <c r="BB91" i="2"/>
  <c r="AM91" i="2"/>
  <c r="AU91" i="2"/>
  <c r="BC91" i="2"/>
  <c r="AJ91" i="2"/>
  <c r="AN91" i="2"/>
  <c r="AV91" i="2"/>
  <c r="BD91" i="2"/>
  <c r="AP78" i="2"/>
  <c r="AX78" i="2"/>
  <c r="BF78" i="2"/>
  <c r="AQ78" i="2"/>
  <c r="AY78" i="2"/>
  <c r="AJ78" i="2"/>
  <c r="AR78" i="2"/>
  <c r="AZ78" i="2"/>
  <c r="AK78" i="2"/>
  <c r="AS78" i="2"/>
  <c r="BA78" i="2"/>
  <c r="AL78" i="2"/>
  <c r="AT78" i="2"/>
  <c r="BB78" i="2"/>
  <c r="AM78" i="2"/>
  <c r="AU78" i="2"/>
  <c r="BC78" i="2"/>
  <c r="AN78" i="2"/>
  <c r="AV78" i="2"/>
  <c r="BD78" i="2"/>
  <c r="AO78" i="2"/>
  <c r="AW78" i="2"/>
  <c r="BE78" i="2"/>
  <c r="AQ89" i="2"/>
  <c r="AY89" i="2"/>
  <c r="BG89" i="2"/>
  <c r="AR89" i="2"/>
  <c r="AZ89" i="2"/>
  <c r="AK89" i="2"/>
  <c r="AS89" i="2"/>
  <c r="BA89" i="2"/>
  <c r="AL89" i="2"/>
  <c r="AT89" i="2"/>
  <c r="BB89" i="2"/>
  <c r="AM89" i="2"/>
  <c r="AU89" i="2"/>
  <c r="BC89" i="2"/>
  <c r="AJ89" i="2"/>
  <c r="AN89" i="2"/>
  <c r="AV89" i="2"/>
  <c r="BD89" i="2"/>
  <c r="AO89" i="2"/>
  <c r="AW89" i="2"/>
  <c r="BE89" i="2"/>
  <c r="AP89" i="2"/>
  <c r="AX89" i="2"/>
  <c r="BF89" i="2"/>
  <c r="AM93" i="2"/>
  <c r="AU93" i="2"/>
  <c r="BC93" i="2"/>
  <c r="AJ93" i="2"/>
  <c r="AN93" i="2"/>
  <c r="AV93" i="2"/>
  <c r="BD93" i="2"/>
  <c r="AO93" i="2"/>
  <c r="AW93" i="2"/>
  <c r="BE93" i="2"/>
  <c r="AP93" i="2"/>
  <c r="AX93" i="2"/>
  <c r="BF93" i="2"/>
  <c r="AQ93" i="2"/>
  <c r="AY93" i="2"/>
  <c r="AR93" i="2"/>
  <c r="AZ93" i="2"/>
  <c r="AK93" i="2"/>
  <c r="AS93" i="2"/>
  <c r="BA93" i="2"/>
  <c r="AL93" i="2"/>
  <c r="AT93" i="2"/>
  <c r="BB93" i="2"/>
  <c r="AM85" i="2"/>
  <c r="AU85" i="2"/>
  <c r="BC85" i="2"/>
  <c r="AJ85" i="2"/>
  <c r="AN85" i="2"/>
  <c r="AV85" i="2"/>
  <c r="BD85" i="2"/>
  <c r="AO85" i="2"/>
  <c r="AW85" i="2"/>
  <c r="BE85" i="2"/>
  <c r="AP85" i="2"/>
  <c r="AX85" i="2"/>
  <c r="BF85" i="2"/>
  <c r="AQ85" i="2"/>
  <c r="AY85" i="2"/>
  <c r="AR85" i="2"/>
  <c r="AZ85" i="2"/>
  <c r="AK85" i="2"/>
  <c r="AS85" i="2"/>
  <c r="BA85" i="2"/>
  <c r="AL85" i="2"/>
  <c r="AT85" i="2"/>
  <c r="BB85" i="2"/>
  <c r="C64" i="2"/>
  <c r="BG90" i="2" l="1"/>
  <c r="BG35" i="6"/>
  <c r="BG56" i="6"/>
  <c r="BG55" i="6"/>
  <c r="BG10" i="2"/>
  <c r="BG36" i="6"/>
  <c r="BG65" i="6"/>
  <c r="BN41" i="6"/>
  <c r="BN42" i="6"/>
  <c r="AJ34" i="6"/>
  <c r="AJ18" i="6"/>
  <c r="BN43" i="6"/>
  <c r="BG70" i="2"/>
  <c r="BG66" i="6"/>
  <c r="BG96" i="2"/>
  <c r="BE4" i="2"/>
  <c r="BG99" i="2"/>
  <c r="AV4" i="2"/>
  <c r="BG9" i="2"/>
  <c r="BG50" i="6"/>
  <c r="BG68" i="2"/>
  <c r="BG69" i="2"/>
  <c r="BG72" i="6"/>
  <c r="BG49" i="6"/>
  <c r="BG67" i="6"/>
  <c r="BG110" i="2"/>
  <c r="BG78" i="2"/>
  <c r="BG94" i="2"/>
  <c r="BG100" i="2"/>
  <c r="BG98" i="2"/>
  <c r="BG101" i="2"/>
  <c r="BE4" i="6"/>
  <c r="BG91" i="2"/>
  <c r="BG65" i="2"/>
  <c r="BG79" i="2"/>
  <c r="BG10" i="6"/>
  <c r="BG61" i="6"/>
  <c r="BG32" i="6"/>
  <c r="BG11" i="6"/>
  <c r="BG60" i="6"/>
  <c r="BA34" i="6"/>
  <c r="BG102" i="2"/>
  <c r="BG12" i="6"/>
  <c r="BG9" i="6"/>
  <c r="BG69" i="6"/>
  <c r="BF18" i="2"/>
  <c r="BG85" i="2"/>
  <c r="BG93" i="2"/>
  <c r="BG92" i="2"/>
  <c r="BG84" i="2"/>
  <c r="BG73" i="6"/>
  <c r="BG71" i="6"/>
  <c r="BG8" i="6"/>
  <c r="BG64" i="6"/>
  <c r="AZ4" i="2"/>
  <c r="AR4" i="2"/>
  <c r="BA4" i="6"/>
  <c r="BJ40" i="6"/>
  <c r="BK40" i="6"/>
  <c r="AQ34" i="6"/>
  <c r="AQ4" i="6"/>
  <c r="AY40" i="6"/>
  <c r="AV40" i="6"/>
  <c r="BC4" i="2"/>
  <c r="AU4" i="2"/>
  <c r="AM4" i="2"/>
  <c r="BE34" i="6"/>
  <c r="AM34" i="6"/>
  <c r="AL40" i="6"/>
  <c r="BF34" i="6"/>
  <c r="BB4" i="2"/>
  <c r="AW34" i="6"/>
  <c r="BG40" i="6"/>
  <c r="AT4" i="2"/>
  <c r="AL4" i="2"/>
  <c r="BA4" i="2"/>
  <c r="AS4" i="2"/>
  <c r="AK4" i="2"/>
  <c r="AO34" i="6"/>
  <c r="BE40" i="6"/>
  <c r="AZ40" i="6"/>
  <c r="AN4" i="2"/>
  <c r="AX34" i="6"/>
  <c r="AL4" i="6"/>
  <c r="AX4" i="6"/>
  <c r="AV4" i="6"/>
  <c r="AJ40" i="6"/>
  <c r="AW4" i="6"/>
  <c r="AH80" i="6"/>
  <c r="D34" i="1" s="1"/>
  <c r="AP40" i="6"/>
  <c r="BC40" i="6"/>
  <c r="AT40" i="6"/>
  <c r="AA76" i="1"/>
  <c r="BH64" i="2" s="1"/>
  <c r="BG59" i="6"/>
  <c r="BG47" i="6"/>
  <c r="BG53" i="6"/>
  <c r="BG54" i="6"/>
  <c r="BG74" i="6"/>
  <c r="BG57" i="6"/>
  <c r="BG39" i="6"/>
  <c r="BG52" i="6"/>
  <c r="BG58" i="6"/>
  <c r="BG33" i="6"/>
  <c r="BG38" i="6"/>
  <c r="BG16" i="6"/>
  <c r="BG5" i="6"/>
  <c r="BG21" i="6"/>
  <c r="BG22" i="6"/>
  <c r="BG20" i="6"/>
  <c r="BG23" i="6"/>
  <c r="BG7" i="6"/>
  <c r="BG13" i="6"/>
  <c r="BG19" i="6"/>
  <c r="BG81" i="2"/>
  <c r="BG87" i="2"/>
  <c r="BG74" i="2"/>
  <c r="BG60" i="2"/>
  <c r="BG73" i="2"/>
  <c r="BG82" i="2"/>
  <c r="BG88" i="2"/>
  <c r="BG71" i="2"/>
  <c r="BG83" i="2"/>
  <c r="BG72" i="2"/>
  <c r="BG76" i="2"/>
  <c r="BG86" i="2"/>
  <c r="BG59" i="2"/>
  <c r="BG16" i="2"/>
  <c r="BG26" i="6"/>
  <c r="BG43" i="2"/>
  <c r="BG21" i="2"/>
  <c r="BG41" i="2"/>
  <c r="BG30" i="2"/>
  <c r="BG27" i="2"/>
  <c r="BG45" i="2"/>
  <c r="BG56" i="2"/>
  <c r="BG54" i="2"/>
  <c r="BG97" i="2"/>
  <c r="BG30" i="6"/>
  <c r="BG29" i="6"/>
  <c r="BG47" i="2"/>
  <c r="BG48" i="2"/>
  <c r="BG46" i="2"/>
  <c r="BG26" i="2"/>
  <c r="BG55" i="2"/>
  <c r="BG52" i="2"/>
  <c r="BG24" i="2"/>
  <c r="BG42" i="2"/>
  <c r="BG22" i="2"/>
  <c r="BG25" i="2"/>
  <c r="BG28" i="2"/>
  <c r="BG29" i="2"/>
  <c r="BG51" i="2"/>
  <c r="BG28" i="6"/>
  <c r="BG53" i="2"/>
  <c r="BG25" i="6"/>
  <c r="BG49" i="2"/>
  <c r="BG27" i="6"/>
  <c r="BG57" i="2"/>
  <c r="BG20" i="2"/>
  <c r="BG19" i="2"/>
  <c r="BG44" i="2"/>
  <c r="BG23" i="2"/>
  <c r="BG36" i="2"/>
  <c r="BG8" i="2"/>
  <c r="BG63" i="2"/>
  <c r="BG24" i="6"/>
  <c r="BG37" i="2"/>
  <c r="BG31" i="2"/>
  <c r="BG5" i="2"/>
  <c r="BG31" i="6"/>
  <c r="BG62" i="6"/>
  <c r="BG38" i="2"/>
  <c r="BG7" i="2"/>
  <c r="BG12" i="2"/>
  <c r="BG11" i="2"/>
  <c r="BG37" i="6"/>
  <c r="BG32" i="2"/>
  <c r="BG61" i="2"/>
  <c r="BG6" i="2"/>
  <c r="BG50" i="2"/>
  <c r="BG77" i="2"/>
  <c r="BG62" i="2"/>
  <c r="BG51" i="6"/>
  <c r="BG6" i="6"/>
  <c r="AM4" i="6"/>
  <c r="AK34" i="6"/>
  <c r="AR34" i="6"/>
  <c r="BC34" i="6"/>
  <c r="BF40" i="6"/>
  <c r="AT70" i="6"/>
  <c r="AV70" i="6"/>
  <c r="AX70" i="6"/>
  <c r="AJ70" i="6"/>
  <c r="BB70" i="6"/>
  <c r="BD70" i="6"/>
  <c r="BF70" i="6"/>
  <c r="AQ70" i="6"/>
  <c r="AK70" i="6"/>
  <c r="AM70" i="6"/>
  <c r="AO70" i="6"/>
  <c r="AY70" i="6"/>
  <c r="AS70" i="6"/>
  <c r="AU70" i="6"/>
  <c r="AW70" i="6"/>
  <c r="BG70" i="6"/>
  <c r="BA70" i="6"/>
  <c r="BC70" i="6"/>
  <c r="BE70" i="6"/>
  <c r="AR70" i="6"/>
  <c r="AZ70" i="6"/>
  <c r="AL70" i="6"/>
  <c r="AN70" i="6"/>
  <c r="AP70" i="6"/>
  <c r="AU34" i="6"/>
  <c r="AK68" i="6"/>
  <c r="AK46" i="6" s="1"/>
  <c r="AS68" i="6"/>
  <c r="BA68" i="6"/>
  <c r="AR68" i="6"/>
  <c r="BB68" i="6"/>
  <c r="AT68" i="6"/>
  <c r="BC68" i="6"/>
  <c r="AL68" i="6"/>
  <c r="AU68" i="6"/>
  <c r="BD68" i="6"/>
  <c r="AQ68" i="6"/>
  <c r="AZ68" i="6"/>
  <c r="AJ68" i="6"/>
  <c r="AP68" i="6"/>
  <c r="AV68" i="6"/>
  <c r="AW68" i="6"/>
  <c r="AO68" i="6"/>
  <c r="BG68" i="6"/>
  <c r="BF68" i="6"/>
  <c r="AM68" i="6"/>
  <c r="AX68" i="6"/>
  <c r="AY68" i="6"/>
  <c r="BE68" i="6"/>
  <c r="AN68" i="6"/>
  <c r="BD40" i="6"/>
  <c r="AR40" i="6"/>
  <c r="AT4" i="6"/>
  <c r="BD4" i="6"/>
  <c r="BM40" i="6"/>
  <c r="BI40" i="6"/>
  <c r="BB4" i="6"/>
  <c r="AP4" i="6"/>
  <c r="AO4" i="6"/>
  <c r="AX40" i="6"/>
  <c r="BH40" i="6"/>
  <c r="AJ4" i="6"/>
  <c r="AY4" i="2"/>
  <c r="AQ4" i="2"/>
  <c r="AJ4" i="2"/>
  <c r="AP34" i="6"/>
  <c r="BB34" i="6"/>
  <c r="BD34" i="6"/>
  <c r="AY4" i="6"/>
  <c r="BL40" i="6"/>
  <c r="AO40" i="6"/>
  <c r="AK40" i="6"/>
  <c r="AS40" i="6"/>
  <c r="AX4" i="2"/>
  <c r="AP4" i="2"/>
  <c r="BF4" i="2"/>
  <c r="AZ34" i="6"/>
  <c r="AT34" i="6"/>
  <c r="AV34" i="6"/>
  <c r="BF4" i="6"/>
  <c r="AS4" i="6"/>
  <c r="AM40" i="6"/>
  <c r="AU40" i="6"/>
  <c r="BF18" i="6"/>
  <c r="AZ4" i="6"/>
  <c r="AR4" i="6"/>
  <c r="BC4" i="6"/>
  <c r="AW4" i="2"/>
  <c r="AO4" i="2"/>
  <c r="BD4" i="2"/>
  <c r="AY34" i="6"/>
  <c r="AS34" i="6"/>
  <c r="AL34" i="6"/>
  <c r="AN34" i="6"/>
  <c r="BA40" i="6"/>
  <c r="AN4" i="6"/>
  <c r="AK4" i="6"/>
  <c r="AN40" i="6"/>
  <c r="AW40" i="6"/>
  <c r="BB40" i="6"/>
  <c r="AQ40" i="6"/>
  <c r="BG15" i="2"/>
  <c r="AU4" i="6"/>
  <c r="BG63" i="6"/>
  <c r="AP67" i="2"/>
  <c r="AX67" i="2"/>
  <c r="BE67" i="2"/>
  <c r="BB67" i="2"/>
  <c r="AT67" i="2"/>
  <c r="AL67" i="2"/>
  <c r="BA67" i="2"/>
  <c r="AS67" i="2"/>
  <c r="AK67" i="2"/>
  <c r="AZ67" i="2"/>
  <c r="AR67" i="2"/>
  <c r="BF67" i="2"/>
  <c r="AY67" i="2"/>
  <c r="AQ67" i="2"/>
  <c r="AW67" i="2"/>
  <c r="AO67" i="2"/>
  <c r="BD67" i="2"/>
  <c r="BD64" i="2"/>
  <c r="BD40" i="2" s="1"/>
  <c r="BG64" i="2"/>
  <c r="BE64" i="2"/>
  <c r="BE40" i="2" s="1"/>
  <c r="BF64" i="2"/>
  <c r="BF40" i="2" s="1"/>
  <c r="AJ64" i="2"/>
  <c r="AK64" i="2"/>
  <c r="AK40" i="2" s="1"/>
  <c r="AL64" i="2"/>
  <c r="AL40" i="2" s="1"/>
  <c r="AM64" i="2"/>
  <c r="AM40" i="2" s="1"/>
  <c r="AN64" i="2"/>
  <c r="AN40" i="2" s="1"/>
  <c r="AO64" i="2"/>
  <c r="AO40" i="2" s="1"/>
  <c r="AP64" i="2"/>
  <c r="AP40" i="2" s="1"/>
  <c r="AQ64" i="2"/>
  <c r="AQ40" i="2" s="1"/>
  <c r="AR64" i="2"/>
  <c r="AR40" i="2" s="1"/>
  <c r="AS64" i="2"/>
  <c r="AS40" i="2" s="1"/>
  <c r="AT64" i="2"/>
  <c r="AT40" i="2" s="1"/>
  <c r="AU64" i="2"/>
  <c r="AU40" i="2" s="1"/>
  <c r="AV64" i="2"/>
  <c r="AV40" i="2" s="1"/>
  <c r="AW64" i="2"/>
  <c r="AW40" i="2" s="1"/>
  <c r="AX64" i="2"/>
  <c r="AX40" i="2" s="1"/>
  <c r="AY64" i="2"/>
  <c r="AY40" i="2" s="1"/>
  <c r="AZ64" i="2"/>
  <c r="AZ40" i="2" s="1"/>
  <c r="BA64" i="2"/>
  <c r="BA40" i="2" s="1"/>
  <c r="BB64" i="2"/>
  <c r="BB40" i="2" s="1"/>
  <c r="BC64" i="2"/>
  <c r="BC40" i="2" s="1"/>
  <c r="AV67" i="2"/>
  <c r="AN67" i="2"/>
  <c r="AJ67" i="2"/>
  <c r="BC67" i="2"/>
  <c r="AU67" i="2"/>
  <c r="AM67" i="2"/>
  <c r="AK75" i="2"/>
  <c r="AJ75" i="2"/>
  <c r="AL75" i="2"/>
  <c r="BH70" i="6" l="1"/>
  <c r="AJ46" i="6"/>
  <c r="AJ75" i="6" s="1"/>
  <c r="AN46" i="6"/>
  <c r="BC46" i="6"/>
  <c r="BC75" i="6" s="1"/>
  <c r="AV46" i="6"/>
  <c r="AV75" i="6" s="1"/>
  <c r="AV78" i="6" s="1"/>
  <c r="AT46" i="6"/>
  <c r="AT75" i="6" s="1"/>
  <c r="AT78" i="6" s="1"/>
  <c r="AZ46" i="6"/>
  <c r="AZ75" i="6" s="1"/>
  <c r="AZ79" i="6" s="1"/>
  <c r="AL46" i="6"/>
  <c r="AL75" i="6" s="1"/>
  <c r="AL78" i="6" s="1"/>
  <c r="AR46" i="6"/>
  <c r="AR75" i="6" s="1"/>
  <c r="AR79" i="6" s="1"/>
  <c r="BD46" i="6"/>
  <c r="BD75" i="6" s="1"/>
  <c r="BG67" i="2"/>
  <c r="AS46" i="6"/>
  <c r="AS75" i="6" s="1"/>
  <c r="BG4" i="6"/>
  <c r="AM46" i="6"/>
  <c r="AM75" i="6" s="1"/>
  <c r="AM81" i="6" s="1"/>
  <c r="BE46" i="6"/>
  <c r="BE75" i="6" s="1"/>
  <c r="BE81" i="6" s="1"/>
  <c r="AK75" i="6"/>
  <c r="AK81" i="6" s="1"/>
  <c r="AY46" i="6"/>
  <c r="AY75" i="6" s="1"/>
  <c r="AP46" i="6"/>
  <c r="AP75" i="6" s="1"/>
  <c r="AP78" i="6" s="1"/>
  <c r="AX46" i="6"/>
  <c r="AX75" i="6" s="1"/>
  <c r="AX81" i="6" s="1"/>
  <c r="BB46" i="6"/>
  <c r="BB75" i="6" s="1"/>
  <c r="BF46" i="6"/>
  <c r="BF75" i="6" s="1"/>
  <c r="BG34" i="6"/>
  <c r="AN75" i="6"/>
  <c r="AU46" i="6"/>
  <c r="AU75" i="6" s="1"/>
  <c r="AB76" i="1"/>
  <c r="BH54" i="6"/>
  <c r="BH59" i="6"/>
  <c r="BH47" i="6"/>
  <c r="BH57" i="6"/>
  <c r="BH52" i="6"/>
  <c r="BH74" i="6"/>
  <c r="BH58" i="6"/>
  <c r="BH33" i="6"/>
  <c r="BH38" i="6"/>
  <c r="BH39" i="6"/>
  <c r="BH53" i="6"/>
  <c r="BH23" i="6"/>
  <c r="BH16" i="6"/>
  <c r="BH21" i="6"/>
  <c r="BH22" i="6"/>
  <c r="BH19" i="6"/>
  <c r="BH13" i="6"/>
  <c r="BH7" i="6"/>
  <c r="BH20" i="6"/>
  <c r="BH5" i="6"/>
  <c r="BH59" i="2"/>
  <c r="BH72" i="2"/>
  <c r="BH81" i="2"/>
  <c r="BH87" i="2"/>
  <c r="BH74" i="2"/>
  <c r="BH88" i="2"/>
  <c r="BH83" i="2"/>
  <c r="BH60" i="2"/>
  <c r="BH82" i="2"/>
  <c r="BH76" i="2"/>
  <c r="BH86" i="2"/>
  <c r="BH73" i="2"/>
  <c r="BH71" i="2"/>
  <c r="BH25" i="6"/>
  <c r="BH28" i="6"/>
  <c r="BH19" i="2"/>
  <c r="BH44" i="2"/>
  <c r="BH53" i="2"/>
  <c r="BH27" i="2"/>
  <c r="BH25" i="2"/>
  <c r="BH97" i="2"/>
  <c r="BH24" i="2"/>
  <c r="BH43" i="2"/>
  <c r="BH20" i="2"/>
  <c r="BH51" i="2"/>
  <c r="BH26" i="2"/>
  <c r="BH48" i="2"/>
  <c r="BH55" i="2"/>
  <c r="BH16" i="2"/>
  <c r="BH21" i="2"/>
  <c r="BH41" i="2"/>
  <c r="BH54" i="2"/>
  <c r="BH27" i="6"/>
  <c r="BH57" i="2"/>
  <c r="BH47" i="2"/>
  <c r="BH45" i="2"/>
  <c r="BH28" i="2"/>
  <c r="BH29" i="2"/>
  <c r="BH52" i="2"/>
  <c r="BH42" i="2"/>
  <c r="BH26" i="6"/>
  <c r="BH29" i="6"/>
  <c r="BH30" i="6"/>
  <c r="BH22" i="2"/>
  <c r="BH46" i="2"/>
  <c r="BH23" i="2"/>
  <c r="BH49" i="2"/>
  <c r="BH30" i="2"/>
  <c r="BH56" i="2"/>
  <c r="BH37" i="6"/>
  <c r="BH32" i="2"/>
  <c r="BH37" i="2"/>
  <c r="BH77" i="2"/>
  <c r="BH63" i="2"/>
  <c r="BH62" i="2"/>
  <c r="BH50" i="2"/>
  <c r="BH36" i="2"/>
  <c r="BH62" i="6"/>
  <c r="BH24" i="6"/>
  <c r="BH61" i="2"/>
  <c r="BH8" i="2"/>
  <c r="BH11" i="2"/>
  <c r="BH5" i="2"/>
  <c r="BH31" i="2"/>
  <c r="BH7" i="2"/>
  <c r="BH31" i="6"/>
  <c r="BH38" i="2"/>
  <c r="BH12" i="2"/>
  <c r="BH6" i="2"/>
  <c r="BH14" i="2"/>
  <c r="BH67" i="6"/>
  <c r="BH70" i="2"/>
  <c r="BH91" i="2"/>
  <c r="BH78" i="2"/>
  <c r="BH100" i="2"/>
  <c r="BH89" i="2"/>
  <c r="BH63" i="6"/>
  <c r="BH9" i="6"/>
  <c r="BH12" i="6"/>
  <c r="BH10" i="6"/>
  <c r="BH73" i="6"/>
  <c r="BH102" i="2"/>
  <c r="BH85" i="2"/>
  <c r="BH68" i="2"/>
  <c r="BH94" i="2"/>
  <c r="BH93" i="2"/>
  <c r="BH6" i="6"/>
  <c r="BH11" i="6"/>
  <c r="BH110" i="2"/>
  <c r="BH8" i="6"/>
  <c r="BH61" i="6"/>
  <c r="BH10" i="2"/>
  <c r="BH14" i="6"/>
  <c r="BH69" i="2"/>
  <c r="BH98" i="2"/>
  <c r="BH99" i="2"/>
  <c r="BH92" i="2"/>
  <c r="BH80" i="2"/>
  <c r="BH51" i="6"/>
  <c r="BH60" i="6"/>
  <c r="BH72" i="6"/>
  <c r="BH32" i="6"/>
  <c r="BH58" i="2"/>
  <c r="BH15" i="2"/>
  <c r="BH69" i="6"/>
  <c r="BH49" i="6"/>
  <c r="BH65" i="6"/>
  <c r="BH71" i="6"/>
  <c r="BH64" i="6"/>
  <c r="BH66" i="6"/>
  <c r="BH48" i="6"/>
  <c r="BH9" i="2"/>
  <c r="BH95" i="2"/>
  <c r="BH56" i="6"/>
  <c r="BH101" i="2"/>
  <c r="BH79" i="2"/>
  <c r="BH65" i="2"/>
  <c r="BH50" i="6"/>
  <c r="BH15" i="6"/>
  <c r="BH55" i="6"/>
  <c r="BH35" i="6"/>
  <c r="BH36" i="6"/>
  <c r="BH96" i="2"/>
  <c r="BH90" i="2"/>
  <c r="BH13" i="2"/>
  <c r="BH84" i="2"/>
  <c r="AH40" i="6"/>
  <c r="BG35" i="2"/>
  <c r="BG18" i="6"/>
  <c r="BH68" i="6"/>
  <c r="BA46" i="6"/>
  <c r="BA75" i="6" s="1"/>
  <c r="AO46" i="6"/>
  <c r="AO75" i="6" s="1"/>
  <c r="AJ40" i="2"/>
  <c r="AJ105" i="2" s="1"/>
  <c r="BG40" i="2"/>
  <c r="AQ46" i="6"/>
  <c r="AQ75" i="6" s="1"/>
  <c r="BG18" i="2"/>
  <c r="BG4" i="2"/>
  <c r="AW46" i="6"/>
  <c r="AW75" i="6" s="1"/>
  <c r="BG46" i="6"/>
  <c r="AM75" i="2"/>
  <c r="AK105" i="2"/>
  <c r="AL105" i="2"/>
  <c r="C74" i="5" l="1"/>
  <c r="BC78" i="6"/>
  <c r="BC79" i="6"/>
  <c r="BC81" i="6"/>
  <c r="AZ78" i="6"/>
  <c r="AZ77" i="6" s="1"/>
  <c r="AZ81" i="6"/>
  <c r="AK79" i="6"/>
  <c r="AM79" i="6"/>
  <c r="BE79" i="6"/>
  <c r="AT81" i="6"/>
  <c r="AX78" i="6"/>
  <c r="AT79" i="6"/>
  <c r="AT77" i="6" s="1"/>
  <c r="AT98" i="6" s="1"/>
  <c r="AX79" i="6"/>
  <c r="AM78" i="6"/>
  <c r="BE78" i="6"/>
  <c r="AL79" i="6"/>
  <c r="AL77" i="6" s="1"/>
  <c r="AL81" i="6"/>
  <c r="C73" i="5"/>
  <c r="AR81" i="6"/>
  <c r="AV81" i="6"/>
  <c r="BC77" i="6"/>
  <c r="BC98" i="6" s="1"/>
  <c r="AR78" i="6"/>
  <c r="AR77" i="6" s="1"/>
  <c r="BD78" i="6"/>
  <c r="BD81" i="6"/>
  <c r="BD79" i="6"/>
  <c r="AS78" i="6"/>
  <c r="AS81" i="6"/>
  <c r="AS79" i="6"/>
  <c r="AV79" i="6"/>
  <c r="AV77" i="6" s="1"/>
  <c r="AK78" i="6"/>
  <c r="AP79" i="6"/>
  <c r="AP77" i="6" s="1"/>
  <c r="AP81" i="6"/>
  <c r="BH40" i="2"/>
  <c r="AU81" i="6"/>
  <c r="AU78" i="6"/>
  <c r="AU79" i="6"/>
  <c r="BH67" i="2"/>
  <c r="AC76" i="1"/>
  <c r="BI57" i="6"/>
  <c r="BI54" i="6"/>
  <c r="BI59" i="6"/>
  <c r="BI52" i="6"/>
  <c r="BI74" i="6"/>
  <c r="BI58" i="6"/>
  <c r="BI38" i="6"/>
  <c r="BI33" i="6"/>
  <c r="BI47" i="6"/>
  <c r="BI39" i="6"/>
  <c r="BI19" i="6"/>
  <c r="BI53" i="6"/>
  <c r="BI16" i="6"/>
  <c r="BI13" i="6"/>
  <c r="BI7" i="6"/>
  <c r="BI22" i="6"/>
  <c r="BI5" i="6"/>
  <c r="BI21" i="6"/>
  <c r="BI20" i="6"/>
  <c r="BI23" i="6"/>
  <c r="BI76" i="2"/>
  <c r="BI86" i="2"/>
  <c r="BI73" i="2"/>
  <c r="BI60" i="2"/>
  <c r="BI59" i="2"/>
  <c r="BI71" i="2"/>
  <c r="BI81" i="2"/>
  <c r="BI87" i="2"/>
  <c r="BI74" i="2"/>
  <c r="BI88" i="2"/>
  <c r="BI82" i="2"/>
  <c r="BI72" i="2"/>
  <c r="BI83" i="2"/>
  <c r="BI26" i="6"/>
  <c r="BI47" i="2"/>
  <c r="BI54" i="2"/>
  <c r="BI29" i="2"/>
  <c r="BI25" i="6"/>
  <c r="BI46" i="2"/>
  <c r="BI29" i="6"/>
  <c r="BI21" i="2"/>
  <c r="BI19" i="2"/>
  <c r="BI42" i="2"/>
  <c r="BI56" i="2"/>
  <c r="BI55" i="2"/>
  <c r="BI27" i="2"/>
  <c r="BI51" i="2"/>
  <c r="BI20" i="2"/>
  <c r="BI44" i="2"/>
  <c r="BI45" i="2"/>
  <c r="BI97" i="2"/>
  <c r="BI26" i="2"/>
  <c r="BI28" i="2"/>
  <c r="BI24" i="2"/>
  <c r="BI41" i="2"/>
  <c r="BI53" i="2"/>
  <c r="BI52" i="2"/>
  <c r="BI23" i="2"/>
  <c r="BI25" i="2"/>
  <c r="BI30" i="6"/>
  <c r="BI28" i="6"/>
  <c r="BI57" i="2"/>
  <c r="BI30" i="2"/>
  <c r="BI16" i="2"/>
  <c r="BI43" i="2"/>
  <c r="BI48" i="2"/>
  <c r="BI49" i="2"/>
  <c r="BI27" i="6"/>
  <c r="BI22" i="2"/>
  <c r="BI61" i="2"/>
  <c r="BI31" i="6"/>
  <c r="BI12" i="2"/>
  <c r="BI77" i="2"/>
  <c r="BI32" i="2"/>
  <c r="BI38" i="2"/>
  <c r="BI5" i="2"/>
  <c r="BI8" i="2"/>
  <c r="BI62" i="2"/>
  <c r="BI63" i="2"/>
  <c r="BI37" i="6"/>
  <c r="BI24" i="6"/>
  <c r="BI6" i="2"/>
  <c r="BI37" i="2"/>
  <c r="BI62" i="6"/>
  <c r="BI36" i="2"/>
  <c r="BI31" i="2"/>
  <c r="BI50" i="2"/>
  <c r="BI6" i="6"/>
  <c r="BI64" i="6"/>
  <c r="BI60" i="6"/>
  <c r="BI8" i="6"/>
  <c r="BI55" i="6"/>
  <c r="BI79" i="2"/>
  <c r="BI101" i="2"/>
  <c r="BI66" i="6"/>
  <c r="BI11" i="2"/>
  <c r="BI12" i="6"/>
  <c r="BI65" i="6"/>
  <c r="BI10" i="2"/>
  <c r="BI14" i="6"/>
  <c r="BI35" i="6"/>
  <c r="BI69" i="2"/>
  <c r="BI70" i="2"/>
  <c r="BI99" i="2"/>
  <c r="BI58" i="2"/>
  <c r="BI89" i="2"/>
  <c r="BI65" i="2"/>
  <c r="BI92" i="2"/>
  <c r="BI15" i="2"/>
  <c r="BI69" i="6"/>
  <c r="BI11" i="6"/>
  <c r="BI72" i="6"/>
  <c r="BI48" i="6"/>
  <c r="BI102" i="2"/>
  <c r="BI84" i="2"/>
  <c r="BI10" i="6"/>
  <c r="BI71" i="6"/>
  <c r="BI13" i="2"/>
  <c r="BI68" i="2"/>
  <c r="BI91" i="2"/>
  <c r="BI50" i="6"/>
  <c r="BI110" i="2"/>
  <c r="BI67" i="6"/>
  <c r="BI49" i="6"/>
  <c r="BI15" i="6"/>
  <c r="BI14" i="2"/>
  <c r="BI63" i="6"/>
  <c r="BI51" i="6"/>
  <c r="BI9" i="2"/>
  <c r="BI9" i="6"/>
  <c r="BI61" i="6"/>
  <c r="BI7" i="2"/>
  <c r="BI73" i="6"/>
  <c r="BI80" i="2"/>
  <c r="BI32" i="6"/>
  <c r="BI95" i="2"/>
  <c r="BI56" i="6"/>
  <c r="BI100" i="2"/>
  <c r="BI94" i="2"/>
  <c r="BI78" i="2"/>
  <c r="BI93" i="2"/>
  <c r="BI36" i="6"/>
  <c r="BI96" i="2"/>
  <c r="BI90" i="2"/>
  <c r="BI98" i="2"/>
  <c r="BI85" i="2"/>
  <c r="BI70" i="6"/>
  <c r="BI68" i="6"/>
  <c r="BI64" i="2"/>
  <c r="BA79" i="6"/>
  <c r="BA81" i="6"/>
  <c r="BA78" i="6"/>
  <c r="BA77" i="6" s="1"/>
  <c r="BA98" i="6" s="1"/>
  <c r="AO78" i="6"/>
  <c r="AO79" i="6"/>
  <c r="AO81" i="6"/>
  <c r="BH4" i="2"/>
  <c r="BH4" i="6"/>
  <c r="AQ78" i="6"/>
  <c r="AQ81" i="6"/>
  <c r="AQ79" i="6"/>
  <c r="AY79" i="6"/>
  <c r="AY78" i="6"/>
  <c r="AY81" i="6"/>
  <c r="AN78" i="6"/>
  <c r="AN81" i="6"/>
  <c r="AN79" i="6"/>
  <c r="AJ78" i="6"/>
  <c r="AJ79" i="6"/>
  <c r="BF81" i="6"/>
  <c r="BF79" i="6"/>
  <c r="BF78" i="6"/>
  <c r="BH18" i="6"/>
  <c r="BH35" i="2"/>
  <c r="BH18" i="2"/>
  <c r="BH34" i="6"/>
  <c r="BG75" i="6"/>
  <c r="BH46" i="6"/>
  <c r="BB78" i="6"/>
  <c r="BB81" i="6"/>
  <c r="BB79" i="6"/>
  <c r="AW79" i="6"/>
  <c r="AW78" i="6"/>
  <c r="AW77" i="6" s="1"/>
  <c r="AW81" i="6"/>
  <c r="C72" i="5"/>
  <c r="AJ108" i="2"/>
  <c r="AJ109" i="2"/>
  <c r="AL108" i="2"/>
  <c r="AL109" i="2"/>
  <c r="AK109" i="2"/>
  <c r="AK108" i="2"/>
  <c r="AM105" i="2"/>
  <c r="C75" i="5" s="1"/>
  <c r="AN75" i="2"/>
  <c r="AK111" i="2"/>
  <c r="AL111" i="2"/>
  <c r="AZ98" i="6" l="1"/>
  <c r="BE77" i="6"/>
  <c r="BE98" i="6" s="1"/>
  <c r="AM77" i="6"/>
  <c r="AM98" i="6" s="1"/>
  <c r="AX77" i="6"/>
  <c r="AX98" i="6" s="1"/>
  <c r="AK77" i="6"/>
  <c r="AK98" i="6" s="1"/>
  <c r="AL98" i="6"/>
  <c r="BF77" i="6"/>
  <c r="BF98" i="6" s="1"/>
  <c r="AS77" i="6"/>
  <c r="AS98" i="6" s="1"/>
  <c r="AU77" i="6"/>
  <c r="AU98" i="6" s="1"/>
  <c r="AR98" i="6"/>
  <c r="AW98" i="6"/>
  <c r="AV98" i="6"/>
  <c r="AO77" i="6"/>
  <c r="AO98" i="6" s="1"/>
  <c r="AP98" i="6"/>
  <c r="AY77" i="6"/>
  <c r="AY98" i="6" s="1"/>
  <c r="BB77" i="6"/>
  <c r="BB98" i="6" s="1"/>
  <c r="BH75" i="6"/>
  <c r="BH81" i="6" s="1"/>
  <c r="BI34" i="6"/>
  <c r="BI35" i="2"/>
  <c r="BD77" i="6"/>
  <c r="BD98" i="6" s="1"/>
  <c r="AJ77" i="6"/>
  <c r="BG81" i="6"/>
  <c r="BG79" i="6"/>
  <c r="BG78" i="6"/>
  <c r="BI4" i="2"/>
  <c r="BI18" i="2"/>
  <c r="BI46" i="6"/>
  <c r="AQ77" i="6"/>
  <c r="AQ98" i="6" s="1"/>
  <c r="AN77" i="6"/>
  <c r="AN98" i="6" s="1"/>
  <c r="AD76" i="1"/>
  <c r="BJ52" i="6"/>
  <c r="BJ57" i="6"/>
  <c r="BJ54" i="6"/>
  <c r="BJ58" i="6"/>
  <c r="BJ74" i="6"/>
  <c r="BJ53" i="6"/>
  <c r="BJ47" i="6"/>
  <c r="BJ39" i="6"/>
  <c r="BJ38" i="6"/>
  <c r="BJ33" i="6"/>
  <c r="BJ59" i="6"/>
  <c r="BJ19" i="6"/>
  <c r="BJ16" i="6"/>
  <c r="BJ13" i="6"/>
  <c r="BJ23" i="6"/>
  <c r="BJ22" i="6"/>
  <c r="BJ5" i="6"/>
  <c r="BJ7" i="6"/>
  <c r="BJ21" i="6"/>
  <c r="BJ20" i="6"/>
  <c r="BJ76" i="2"/>
  <c r="BJ86" i="2"/>
  <c r="BJ73" i="2"/>
  <c r="BJ60" i="2"/>
  <c r="BJ71" i="2"/>
  <c r="BJ59" i="2"/>
  <c r="BJ87" i="2"/>
  <c r="BJ82" i="2"/>
  <c r="BJ88" i="2"/>
  <c r="BJ83" i="2"/>
  <c r="BJ72" i="2"/>
  <c r="BJ81" i="2"/>
  <c r="BJ74" i="2"/>
  <c r="BJ16" i="2"/>
  <c r="BJ30" i="6"/>
  <c r="BJ28" i="6"/>
  <c r="BJ43" i="2"/>
  <c r="BJ21" i="2"/>
  <c r="BJ22" i="2"/>
  <c r="BJ30" i="2"/>
  <c r="BJ20" i="2"/>
  <c r="BJ44" i="2"/>
  <c r="BJ25" i="2"/>
  <c r="BJ27" i="2"/>
  <c r="BJ41" i="2"/>
  <c r="BJ55" i="2"/>
  <c r="BJ24" i="2"/>
  <c r="BJ46" i="2"/>
  <c r="BJ29" i="2"/>
  <c r="BJ53" i="2"/>
  <c r="BJ25" i="6"/>
  <c r="BJ47" i="2"/>
  <c r="BJ42" i="2"/>
  <c r="BJ56" i="2"/>
  <c r="BJ54" i="2"/>
  <c r="BJ52" i="2"/>
  <c r="BJ27" i="6"/>
  <c r="BJ49" i="2"/>
  <c r="BJ28" i="2"/>
  <c r="BJ23" i="2"/>
  <c r="BJ97" i="2"/>
  <c r="BJ26" i="6"/>
  <c r="BJ29" i="6"/>
  <c r="BJ57" i="2"/>
  <c r="BJ51" i="2"/>
  <c r="BJ45" i="2"/>
  <c r="BJ19" i="2"/>
  <c r="BJ48" i="2"/>
  <c r="BJ26" i="2"/>
  <c r="BJ24" i="6"/>
  <c r="BJ37" i="2"/>
  <c r="BJ77" i="2"/>
  <c r="BJ37" i="6"/>
  <c r="BJ32" i="2"/>
  <c r="BJ8" i="2"/>
  <c r="BJ62" i="2"/>
  <c r="BJ62" i="6"/>
  <c r="BJ31" i="2"/>
  <c r="BJ63" i="2"/>
  <c r="BJ50" i="2"/>
  <c r="BJ5" i="2"/>
  <c r="BJ12" i="2"/>
  <c r="BJ6" i="2"/>
  <c r="BJ31" i="6"/>
  <c r="BJ36" i="2"/>
  <c r="BJ38" i="2"/>
  <c r="BJ61" i="2"/>
  <c r="BJ32" i="6"/>
  <c r="BJ15" i="6"/>
  <c r="BJ14" i="6"/>
  <c r="BJ56" i="6"/>
  <c r="BJ71" i="6"/>
  <c r="BJ69" i="2"/>
  <c r="BJ68" i="2"/>
  <c r="BJ102" i="2"/>
  <c r="BJ100" i="2"/>
  <c r="BJ91" i="2"/>
  <c r="BJ85" i="2"/>
  <c r="BJ65" i="2"/>
  <c r="BJ64" i="6"/>
  <c r="BJ67" i="6"/>
  <c r="BJ72" i="6"/>
  <c r="BJ79" i="2"/>
  <c r="BJ13" i="2"/>
  <c r="BJ90" i="2"/>
  <c r="BJ73" i="6"/>
  <c r="BJ66" i="6"/>
  <c r="BJ50" i="6"/>
  <c r="BJ80" i="2"/>
  <c r="BJ92" i="2"/>
  <c r="BJ61" i="6"/>
  <c r="BJ35" i="6"/>
  <c r="BJ94" i="2"/>
  <c r="BJ78" i="2"/>
  <c r="BJ89" i="2"/>
  <c r="BJ84" i="2"/>
  <c r="BJ63" i="6"/>
  <c r="BJ49" i="6"/>
  <c r="BJ8" i="6"/>
  <c r="BJ51" i="6"/>
  <c r="BJ15" i="2"/>
  <c r="BJ60" i="6"/>
  <c r="BJ110" i="2"/>
  <c r="BJ9" i="6"/>
  <c r="BJ70" i="2"/>
  <c r="BJ14" i="2"/>
  <c r="BJ6" i="6"/>
  <c r="BJ7" i="2"/>
  <c r="BJ65" i="6"/>
  <c r="BJ55" i="6"/>
  <c r="BJ36" i="6"/>
  <c r="BJ101" i="2"/>
  <c r="BJ69" i="6"/>
  <c r="BJ9" i="2"/>
  <c r="BJ48" i="6"/>
  <c r="BJ10" i="2"/>
  <c r="BJ10" i="6"/>
  <c r="BJ11" i="6"/>
  <c r="BJ12" i="6"/>
  <c r="BJ95" i="2"/>
  <c r="BJ11" i="2"/>
  <c r="BJ99" i="2"/>
  <c r="BJ96" i="2"/>
  <c r="BJ58" i="2"/>
  <c r="BJ93" i="2"/>
  <c r="BJ98" i="2"/>
  <c r="BJ64" i="2"/>
  <c r="BJ70" i="6"/>
  <c r="BJ68" i="6"/>
  <c r="BI40" i="2"/>
  <c r="BI4" i="6"/>
  <c r="BI67" i="2"/>
  <c r="BI18" i="6"/>
  <c r="AJ107" i="2"/>
  <c r="AJ111" i="2" s="1"/>
  <c r="AM108" i="2"/>
  <c r="AM109" i="2"/>
  <c r="AK107" i="2"/>
  <c r="AN105" i="2"/>
  <c r="C76" i="5" s="1"/>
  <c r="AO75" i="2"/>
  <c r="AM111" i="2"/>
  <c r="AL107" i="2"/>
  <c r="AL126" i="2" s="1"/>
  <c r="BG77" i="6" l="1"/>
  <c r="BG98" i="6" s="1"/>
  <c r="BH78" i="6"/>
  <c r="BH79" i="6"/>
  <c r="BJ34" i="6"/>
  <c r="BJ46" i="6"/>
  <c r="BJ35" i="2"/>
  <c r="BJ67" i="2"/>
  <c r="BJ18" i="2"/>
  <c r="AJ81" i="6"/>
  <c r="AJ98" i="6" s="1"/>
  <c r="BJ4" i="2"/>
  <c r="BI75" i="6"/>
  <c r="AE76" i="1"/>
  <c r="BK52" i="6"/>
  <c r="BK57" i="6"/>
  <c r="BK58" i="6"/>
  <c r="BK53" i="6"/>
  <c r="BK47" i="6"/>
  <c r="BK59" i="6"/>
  <c r="BK74" i="6"/>
  <c r="BK39" i="6"/>
  <c r="BK38" i="6"/>
  <c r="BK54" i="6"/>
  <c r="BK33" i="6"/>
  <c r="BK16" i="6"/>
  <c r="BK19" i="6"/>
  <c r="BK21" i="6"/>
  <c r="BK13" i="6"/>
  <c r="BK23" i="6"/>
  <c r="BK20" i="6"/>
  <c r="BK5" i="6"/>
  <c r="BK22" i="6"/>
  <c r="BK7" i="6"/>
  <c r="BK83" i="2"/>
  <c r="BK72" i="2"/>
  <c r="BK81" i="2"/>
  <c r="BK74" i="2"/>
  <c r="BK60" i="2"/>
  <c r="BK88" i="2"/>
  <c r="BK59" i="2"/>
  <c r="BK76" i="2"/>
  <c r="BK86" i="2"/>
  <c r="BK73" i="2"/>
  <c r="BK82" i="2"/>
  <c r="BK71" i="2"/>
  <c r="BK87" i="2"/>
  <c r="BK16" i="2"/>
  <c r="BK26" i="6"/>
  <c r="BK19" i="2"/>
  <c r="BK48" i="2"/>
  <c r="BK42" i="2"/>
  <c r="BK56" i="2"/>
  <c r="BK29" i="2"/>
  <c r="BK27" i="2"/>
  <c r="BK24" i="2"/>
  <c r="BK29" i="6"/>
  <c r="BK44" i="2"/>
  <c r="BK51" i="2"/>
  <c r="BK52" i="2"/>
  <c r="BK43" i="2"/>
  <c r="BK57" i="2"/>
  <c r="BK26" i="2"/>
  <c r="BK97" i="2"/>
  <c r="BK46" i="2"/>
  <c r="BK25" i="2"/>
  <c r="BK53" i="2"/>
  <c r="BK54" i="2"/>
  <c r="BK55" i="2"/>
  <c r="BK30" i="6"/>
  <c r="BK47" i="2"/>
  <c r="BK22" i="2"/>
  <c r="BK41" i="2"/>
  <c r="BK49" i="2"/>
  <c r="BK25" i="6"/>
  <c r="BK28" i="6"/>
  <c r="BK30" i="2"/>
  <c r="BK27" i="6"/>
  <c r="BK20" i="2"/>
  <c r="BK21" i="2"/>
  <c r="BK45" i="2"/>
  <c r="BK23" i="2"/>
  <c r="BK28" i="2"/>
  <c r="BK12" i="2"/>
  <c r="BK50" i="2"/>
  <c r="BK62" i="6"/>
  <c r="BK37" i="2"/>
  <c r="BK8" i="2"/>
  <c r="BK38" i="2"/>
  <c r="BK6" i="2"/>
  <c r="BK32" i="2"/>
  <c r="BK61" i="2"/>
  <c r="BK31" i="6"/>
  <c r="BK63" i="2"/>
  <c r="BK5" i="2"/>
  <c r="BK62" i="2"/>
  <c r="BK77" i="2"/>
  <c r="BK24" i="6"/>
  <c r="BK11" i="2"/>
  <c r="BK37" i="6"/>
  <c r="BK36" i="2"/>
  <c r="BK31" i="2"/>
  <c r="BK60" i="6"/>
  <c r="BK72" i="6"/>
  <c r="BK8" i="6"/>
  <c r="BK69" i="2"/>
  <c r="BK73" i="6"/>
  <c r="BK80" i="2"/>
  <c r="BK64" i="6"/>
  <c r="BK69" i="6"/>
  <c r="BK11" i="6"/>
  <c r="BK67" i="6"/>
  <c r="BK32" i="6"/>
  <c r="BK95" i="2"/>
  <c r="BK65" i="6"/>
  <c r="BK55" i="6"/>
  <c r="BK14" i="6"/>
  <c r="BK68" i="2"/>
  <c r="BK89" i="2"/>
  <c r="BK93" i="2"/>
  <c r="BK71" i="6"/>
  <c r="BK96" i="2"/>
  <c r="BK102" i="2"/>
  <c r="BK91" i="2"/>
  <c r="BK6" i="6"/>
  <c r="BK48" i="6"/>
  <c r="BK10" i="2"/>
  <c r="BK79" i="2"/>
  <c r="BK84" i="2"/>
  <c r="BK98" i="2"/>
  <c r="BK58" i="2"/>
  <c r="BK100" i="2"/>
  <c r="BK92" i="2"/>
  <c r="BK15" i="2"/>
  <c r="BK14" i="2"/>
  <c r="BK50" i="6"/>
  <c r="BK51" i="6"/>
  <c r="BK49" i="6"/>
  <c r="BK110" i="2"/>
  <c r="BK9" i="2"/>
  <c r="BK9" i="6"/>
  <c r="BK15" i="6"/>
  <c r="BK70" i="2"/>
  <c r="BK66" i="6"/>
  <c r="BK12" i="6"/>
  <c r="BK61" i="6"/>
  <c r="BK10" i="6"/>
  <c r="BK101" i="2"/>
  <c r="BK65" i="2"/>
  <c r="BK99" i="2"/>
  <c r="BK63" i="6"/>
  <c r="BK7" i="2"/>
  <c r="BK35" i="6"/>
  <c r="BK36" i="6"/>
  <c r="BK13" i="2"/>
  <c r="BK94" i="2"/>
  <c r="BK78" i="2"/>
  <c r="BK85" i="2"/>
  <c r="BK56" i="6"/>
  <c r="BK90" i="2"/>
  <c r="BK68" i="6"/>
  <c r="BK64" i="2"/>
  <c r="BK70" i="6"/>
  <c r="BJ18" i="6"/>
  <c r="BJ40" i="2"/>
  <c r="BJ4" i="6"/>
  <c r="AJ126" i="2"/>
  <c r="AK126" i="2"/>
  <c r="AN108" i="2"/>
  <c r="AN109" i="2"/>
  <c r="AP75" i="2"/>
  <c r="AN111" i="2"/>
  <c r="AM107" i="2"/>
  <c r="AO105" i="2"/>
  <c r="C77" i="5" s="1"/>
  <c r="BH77" i="6" l="1"/>
  <c r="BH98" i="6" s="1"/>
  <c r="BI78" i="6"/>
  <c r="BI81" i="6"/>
  <c r="BI79" i="6"/>
  <c r="BK40" i="2"/>
  <c r="BK34" i="6"/>
  <c r="BK35" i="2"/>
  <c r="BJ75" i="6"/>
  <c r="BK4" i="6"/>
  <c r="BK18" i="2"/>
  <c r="BK67" i="2"/>
  <c r="AF76" i="1"/>
  <c r="BL58" i="6"/>
  <c r="BL52" i="6"/>
  <c r="BL53" i="6"/>
  <c r="BL47" i="6"/>
  <c r="BL38" i="6"/>
  <c r="BL57" i="6"/>
  <c r="BL59" i="6"/>
  <c r="BL74" i="6"/>
  <c r="BL39" i="6"/>
  <c r="BL16" i="6"/>
  <c r="BL5" i="6"/>
  <c r="BL54" i="6"/>
  <c r="BL33" i="6"/>
  <c r="BL23" i="6"/>
  <c r="BL19" i="6"/>
  <c r="BL22" i="6"/>
  <c r="BL13" i="6"/>
  <c r="BL21" i="6"/>
  <c r="BL7" i="6"/>
  <c r="BL20" i="6"/>
  <c r="BL86" i="2"/>
  <c r="BL73" i="2"/>
  <c r="BL60" i="2"/>
  <c r="BL83" i="2"/>
  <c r="BL72" i="2"/>
  <c r="BL76" i="2"/>
  <c r="BL74" i="2"/>
  <c r="BL59" i="2"/>
  <c r="BL87" i="2"/>
  <c r="BL81" i="2"/>
  <c r="BL82" i="2"/>
  <c r="BL88" i="2"/>
  <c r="BL71" i="2"/>
  <c r="BL30" i="6"/>
  <c r="BL22" i="2"/>
  <c r="BL41" i="2"/>
  <c r="BL45" i="2"/>
  <c r="BL24" i="2"/>
  <c r="BL25" i="2"/>
  <c r="BL29" i="2"/>
  <c r="BL52" i="2"/>
  <c r="BL21" i="2"/>
  <c r="BL28" i="2"/>
  <c r="BL51" i="2"/>
  <c r="BL48" i="2"/>
  <c r="BL42" i="2"/>
  <c r="BL55" i="2"/>
  <c r="BL53" i="2"/>
  <c r="BL56" i="2"/>
  <c r="BL97" i="2"/>
  <c r="BL28" i="6"/>
  <c r="BL49" i="2"/>
  <c r="BL23" i="2"/>
  <c r="BL26" i="2"/>
  <c r="BL25" i="6"/>
  <c r="BL20" i="2"/>
  <c r="BL19" i="2"/>
  <c r="BL30" i="2"/>
  <c r="BL27" i="6"/>
  <c r="BL26" i="6"/>
  <c r="BL43" i="2"/>
  <c r="BL16" i="2"/>
  <c r="BL57" i="2"/>
  <c r="BL44" i="2"/>
  <c r="BL46" i="2"/>
  <c r="BL27" i="2"/>
  <c r="BL29" i="6"/>
  <c r="BL54" i="2"/>
  <c r="BL47" i="2"/>
  <c r="BL24" i="6"/>
  <c r="BL5" i="2"/>
  <c r="BL62" i="6"/>
  <c r="BL38" i="2"/>
  <c r="BL37" i="2"/>
  <c r="BL32" i="2"/>
  <c r="BL62" i="2"/>
  <c r="BL31" i="6"/>
  <c r="BL12" i="2"/>
  <c r="BL50" i="2"/>
  <c r="BL6" i="2"/>
  <c r="BL61" i="2"/>
  <c r="BL31" i="2"/>
  <c r="BL37" i="6"/>
  <c r="BL36" i="2"/>
  <c r="BL8" i="2"/>
  <c r="BL63" i="2"/>
  <c r="BL77" i="2"/>
  <c r="BL50" i="6"/>
  <c r="BL12" i="6"/>
  <c r="BL102" i="2"/>
  <c r="BL58" i="2"/>
  <c r="BL35" i="6"/>
  <c r="BL79" i="2"/>
  <c r="BL94" i="2"/>
  <c r="BL89" i="2"/>
  <c r="BL15" i="2"/>
  <c r="BL67" i="6"/>
  <c r="BL65" i="6"/>
  <c r="BL36" i="6"/>
  <c r="BL101" i="2"/>
  <c r="BL65" i="2"/>
  <c r="BL98" i="2"/>
  <c r="BL96" i="2"/>
  <c r="BL90" i="2"/>
  <c r="BL91" i="2"/>
  <c r="BL85" i="2"/>
  <c r="BL84" i="2"/>
  <c r="BL11" i="2"/>
  <c r="BL51" i="6"/>
  <c r="BL49" i="6"/>
  <c r="BL15" i="6"/>
  <c r="BL10" i="6"/>
  <c r="BL69" i="2"/>
  <c r="BL80" i="2"/>
  <c r="BL92" i="2"/>
  <c r="BL13" i="2"/>
  <c r="BL63" i="6"/>
  <c r="BL64" i="6"/>
  <c r="BL66" i="6"/>
  <c r="BL11" i="6"/>
  <c r="BL9" i="6"/>
  <c r="BL78" i="2"/>
  <c r="BL93" i="2"/>
  <c r="BL60" i="6"/>
  <c r="BL110" i="2"/>
  <c r="BL8" i="6"/>
  <c r="BL7" i="2"/>
  <c r="BL14" i="2"/>
  <c r="BL32" i="6"/>
  <c r="BL95" i="2"/>
  <c r="BL55" i="6"/>
  <c r="BL71" i="6"/>
  <c r="BL73" i="6"/>
  <c r="BL9" i="2"/>
  <c r="BL61" i="6"/>
  <c r="BL56" i="6"/>
  <c r="BL6" i="6"/>
  <c r="BL69" i="6"/>
  <c r="BL72" i="6"/>
  <c r="BL48" i="6"/>
  <c r="BL10" i="2"/>
  <c r="BL14" i="6"/>
  <c r="BL68" i="2"/>
  <c r="BL70" i="2"/>
  <c r="BL99" i="2"/>
  <c r="BL100" i="2"/>
  <c r="BL70" i="6"/>
  <c r="BL68" i="6"/>
  <c r="BL64" i="2"/>
  <c r="BK4" i="2"/>
  <c r="BK18" i="6"/>
  <c r="BK46" i="6"/>
  <c r="AO108" i="2"/>
  <c r="AO109" i="2"/>
  <c r="AN107" i="2"/>
  <c r="AN126" i="2" s="1"/>
  <c r="AP105" i="2"/>
  <c r="AQ75" i="2"/>
  <c r="AM126" i="2"/>
  <c r="AO111" i="2"/>
  <c r="BL35" i="2" l="1"/>
  <c r="BL18" i="6"/>
  <c r="BL46" i="6"/>
  <c r="BL67" i="2"/>
  <c r="BL34" i="6"/>
  <c r="BJ81" i="6"/>
  <c r="BJ79" i="6"/>
  <c r="BJ78" i="6"/>
  <c r="BL4" i="2"/>
  <c r="BL18" i="2"/>
  <c r="BI77" i="6"/>
  <c r="BL40" i="2"/>
  <c r="BK75" i="6"/>
  <c r="BL4" i="6"/>
  <c r="AG76" i="1"/>
  <c r="BM53" i="6"/>
  <c r="BN53" i="6" s="1"/>
  <c r="BM58" i="6"/>
  <c r="BN58" i="6" s="1"/>
  <c r="BM47" i="6"/>
  <c r="BN47" i="6" s="1"/>
  <c r="BM59" i="6"/>
  <c r="BN59" i="6" s="1"/>
  <c r="BM52" i="6"/>
  <c r="BN52" i="6" s="1"/>
  <c r="BM38" i="6"/>
  <c r="BN38" i="6" s="1"/>
  <c r="BM57" i="6"/>
  <c r="BN57" i="6" s="1"/>
  <c r="BM54" i="6"/>
  <c r="BN54" i="6" s="1"/>
  <c r="BM33" i="6"/>
  <c r="BN33" i="6" s="1"/>
  <c r="BM74" i="6"/>
  <c r="BN74" i="6" s="1"/>
  <c r="BM39" i="6"/>
  <c r="BN39" i="6" s="1"/>
  <c r="BM21" i="6"/>
  <c r="BN21" i="6" s="1"/>
  <c r="BM5" i="6"/>
  <c r="BN5" i="6" s="1"/>
  <c r="BM23" i="6"/>
  <c r="BN23" i="6" s="1"/>
  <c r="BM7" i="6"/>
  <c r="BN7" i="6" s="1"/>
  <c r="BM19" i="6"/>
  <c r="BN19" i="6" s="1"/>
  <c r="BM13" i="6"/>
  <c r="BN13" i="6" s="1"/>
  <c r="BM16" i="6"/>
  <c r="BN16" i="6" s="1"/>
  <c r="BM20" i="6"/>
  <c r="BN20" i="6" s="1"/>
  <c r="BM22" i="6"/>
  <c r="BN22" i="6" s="1"/>
  <c r="BM82" i="2"/>
  <c r="BN82" i="2" s="1"/>
  <c r="BM88" i="2"/>
  <c r="BN88" i="2" s="1"/>
  <c r="BM71" i="2"/>
  <c r="BN71" i="2" s="1"/>
  <c r="BM76" i="2"/>
  <c r="BN76" i="2" s="1"/>
  <c r="BM86" i="2"/>
  <c r="BN86" i="2" s="1"/>
  <c r="BM83" i="2"/>
  <c r="BN83" i="2" s="1"/>
  <c r="BM72" i="2"/>
  <c r="BN72" i="2" s="1"/>
  <c r="BM74" i="2"/>
  <c r="BN74" i="2" s="1"/>
  <c r="BM81" i="2"/>
  <c r="BN81" i="2" s="1"/>
  <c r="BM87" i="2"/>
  <c r="BN87" i="2" s="1"/>
  <c r="BM60" i="2"/>
  <c r="BN60" i="2" s="1"/>
  <c r="BM73" i="2"/>
  <c r="BN73" i="2" s="1"/>
  <c r="BM59" i="2"/>
  <c r="BN59" i="2" s="1"/>
  <c r="BM27" i="6"/>
  <c r="BN27" i="6" s="1"/>
  <c r="BM57" i="2"/>
  <c r="BN57" i="2" s="1"/>
  <c r="BM46" i="2"/>
  <c r="BN46" i="2" s="1"/>
  <c r="BM53" i="2"/>
  <c r="BN53" i="2" s="1"/>
  <c r="BM52" i="2"/>
  <c r="BN52" i="2" s="1"/>
  <c r="BM21" i="2"/>
  <c r="BN21" i="2" s="1"/>
  <c r="BM44" i="2"/>
  <c r="BN44" i="2" s="1"/>
  <c r="BM41" i="2"/>
  <c r="BN41" i="2" s="1"/>
  <c r="BM49" i="2"/>
  <c r="BN49" i="2" s="1"/>
  <c r="BM51" i="2"/>
  <c r="BN51" i="2" s="1"/>
  <c r="BM20" i="2"/>
  <c r="BN20" i="2" s="1"/>
  <c r="BM24" i="2"/>
  <c r="BN24" i="2" s="1"/>
  <c r="BM29" i="6"/>
  <c r="BN29" i="6" s="1"/>
  <c r="BM26" i="6"/>
  <c r="BN26" i="6" s="1"/>
  <c r="BM56" i="2"/>
  <c r="BN56" i="2" s="1"/>
  <c r="BM97" i="2"/>
  <c r="BN97" i="2" s="1"/>
  <c r="BM30" i="2"/>
  <c r="BN30" i="2" s="1"/>
  <c r="BM45" i="2"/>
  <c r="BN45" i="2" s="1"/>
  <c r="BM55" i="2"/>
  <c r="BN55" i="2" s="1"/>
  <c r="BM29" i="2"/>
  <c r="BN29" i="2" s="1"/>
  <c r="BM23" i="2"/>
  <c r="BN23" i="2" s="1"/>
  <c r="BM47" i="2"/>
  <c r="BN47" i="2" s="1"/>
  <c r="BM42" i="2"/>
  <c r="BN42" i="2" s="1"/>
  <c r="BM54" i="2"/>
  <c r="BN54" i="2" s="1"/>
  <c r="BM30" i="6"/>
  <c r="BN30" i="6" s="1"/>
  <c r="BM19" i="2"/>
  <c r="BM48" i="2"/>
  <c r="BN48" i="2" s="1"/>
  <c r="BM22" i="2"/>
  <c r="BN22" i="2" s="1"/>
  <c r="BM28" i="6"/>
  <c r="BN28" i="6" s="1"/>
  <c r="BM16" i="2"/>
  <c r="BN16" i="2" s="1"/>
  <c r="C33" i="1" s="1"/>
  <c r="E33" i="1" s="1"/>
  <c r="BM25" i="6"/>
  <c r="BN25" i="6" s="1"/>
  <c r="BM43" i="2"/>
  <c r="BN43" i="2" s="1"/>
  <c r="BM31" i="2"/>
  <c r="BN31" i="2" s="1"/>
  <c r="BM62" i="2"/>
  <c r="BN62" i="2" s="1"/>
  <c r="BM38" i="2"/>
  <c r="BN38" i="2" s="1"/>
  <c r="BM61" i="2"/>
  <c r="BN61" i="2" s="1"/>
  <c r="BM12" i="2"/>
  <c r="BN12" i="2" s="1"/>
  <c r="BM37" i="2"/>
  <c r="BN37" i="2" s="1"/>
  <c r="BM50" i="2"/>
  <c r="BN50" i="2" s="1"/>
  <c r="BM27" i="2"/>
  <c r="BN27" i="2" s="1"/>
  <c r="BM37" i="6"/>
  <c r="BN37" i="6" s="1"/>
  <c r="BM36" i="2"/>
  <c r="BM8" i="2"/>
  <c r="BN8" i="2" s="1"/>
  <c r="BM6" i="2"/>
  <c r="BN6" i="2" s="1"/>
  <c r="BM62" i="6"/>
  <c r="BN62" i="6" s="1"/>
  <c r="BM32" i="2"/>
  <c r="BN32" i="2" s="1"/>
  <c r="BM5" i="2"/>
  <c r="BN5" i="2" s="1"/>
  <c r="BM31" i="6"/>
  <c r="BN31" i="6" s="1"/>
  <c r="D31" i="1" s="1"/>
  <c r="BM26" i="2"/>
  <c r="BN26" i="2" s="1"/>
  <c r="BM24" i="6"/>
  <c r="BN24" i="6" s="1"/>
  <c r="BM25" i="2"/>
  <c r="BN25" i="2" s="1"/>
  <c r="BM77" i="2"/>
  <c r="BN77" i="2" s="1"/>
  <c r="BM63" i="2"/>
  <c r="BN63" i="2" s="1"/>
  <c r="BM51" i="6"/>
  <c r="BN51" i="6" s="1"/>
  <c r="BM72" i="6"/>
  <c r="BN72" i="6" s="1"/>
  <c r="BM68" i="2"/>
  <c r="BM79" i="2"/>
  <c r="BN79" i="2" s="1"/>
  <c r="BM85" i="2"/>
  <c r="BN85" i="2" s="1"/>
  <c r="BM89" i="2"/>
  <c r="BN89" i="2" s="1"/>
  <c r="BM98" i="2"/>
  <c r="BN98" i="2" s="1"/>
  <c r="C30" i="1" s="1"/>
  <c r="E30" i="1" s="1"/>
  <c r="BM58" i="2"/>
  <c r="BN58" i="2" s="1"/>
  <c r="BM64" i="6"/>
  <c r="BN64" i="6" s="1"/>
  <c r="BM69" i="6"/>
  <c r="BN69" i="6" s="1"/>
  <c r="BM9" i="6"/>
  <c r="BN9" i="6" s="1"/>
  <c r="BM55" i="6"/>
  <c r="BN55" i="6" s="1"/>
  <c r="BM10" i="6"/>
  <c r="BN10" i="6" s="1"/>
  <c r="BM102" i="2"/>
  <c r="BN102" i="2" s="1"/>
  <c r="BM100" i="2"/>
  <c r="BN100" i="2" s="1"/>
  <c r="BM93" i="2"/>
  <c r="BN93" i="2" s="1"/>
  <c r="BM99" i="2"/>
  <c r="BN99" i="2" s="1"/>
  <c r="BM96" i="2"/>
  <c r="BN96" i="2" s="1"/>
  <c r="BM90" i="2"/>
  <c r="BN90" i="2" s="1"/>
  <c r="BM14" i="2"/>
  <c r="BN14" i="2" s="1"/>
  <c r="BM60" i="6"/>
  <c r="BN60" i="6" s="1"/>
  <c r="BM9" i="2"/>
  <c r="BN9" i="2" s="1"/>
  <c r="BM95" i="2"/>
  <c r="BN95" i="2" s="1"/>
  <c r="BM65" i="6"/>
  <c r="BN65" i="6" s="1"/>
  <c r="BM10" i="2"/>
  <c r="BN10" i="2" s="1"/>
  <c r="BM56" i="6"/>
  <c r="BN56" i="6" s="1"/>
  <c r="BM84" i="2"/>
  <c r="BN84" i="2" s="1"/>
  <c r="BM36" i="6"/>
  <c r="BN36" i="6" s="1"/>
  <c r="BM101" i="2"/>
  <c r="BN101" i="2" s="1"/>
  <c r="BM13" i="2"/>
  <c r="BM11" i="2"/>
  <c r="BN11" i="2" s="1"/>
  <c r="BM6" i="6"/>
  <c r="BN6" i="6" s="1"/>
  <c r="BM32" i="6"/>
  <c r="BN32" i="6" s="1"/>
  <c r="D32" i="1" s="1"/>
  <c r="BM50" i="6"/>
  <c r="BN50" i="6" s="1"/>
  <c r="BM67" i="6"/>
  <c r="BN67" i="6" s="1"/>
  <c r="BM61" i="6"/>
  <c r="BN61" i="6" s="1"/>
  <c r="BM48" i="6"/>
  <c r="BN48" i="6" s="1"/>
  <c r="BM14" i="6"/>
  <c r="BN14" i="6" s="1"/>
  <c r="BM73" i="6"/>
  <c r="BN73" i="6" s="1"/>
  <c r="BM7" i="2"/>
  <c r="BN7" i="2" s="1"/>
  <c r="BM15" i="2"/>
  <c r="BN15" i="2" s="1"/>
  <c r="BM8" i="6"/>
  <c r="BN8" i="6" s="1"/>
  <c r="BM49" i="6"/>
  <c r="BN49" i="6" s="1"/>
  <c r="BM11" i="6"/>
  <c r="BN11" i="6" s="1"/>
  <c r="BM110" i="2"/>
  <c r="BM15" i="6"/>
  <c r="BN15" i="6" s="1"/>
  <c r="BM12" i="6"/>
  <c r="BN12" i="6" s="1"/>
  <c r="BM28" i="2"/>
  <c r="BN28" i="2" s="1"/>
  <c r="BM71" i="6"/>
  <c r="BN71" i="6" s="1"/>
  <c r="BM63" i="6"/>
  <c r="BN63" i="6" s="1"/>
  <c r="BM66" i="6"/>
  <c r="BN66" i="6" s="1"/>
  <c r="BM35" i="6"/>
  <c r="BN35" i="6" s="1"/>
  <c r="BM69" i="2"/>
  <c r="BN69" i="2" s="1"/>
  <c r="BM65" i="2"/>
  <c r="BN65" i="2" s="1"/>
  <c r="BM80" i="2"/>
  <c r="BN80" i="2" s="1"/>
  <c r="BM94" i="2"/>
  <c r="BN94" i="2" s="1"/>
  <c r="BM91" i="2"/>
  <c r="BN91" i="2" s="1"/>
  <c r="BM78" i="2"/>
  <c r="BN78" i="2" s="1"/>
  <c r="BM70" i="2"/>
  <c r="BN70" i="2" s="1"/>
  <c r="BM92" i="2"/>
  <c r="BN92" i="2" s="1"/>
  <c r="BM70" i="6"/>
  <c r="BN70" i="6" s="1"/>
  <c r="BM64" i="2"/>
  <c r="BM68" i="6"/>
  <c r="BN68" i="6" s="1"/>
  <c r="AO107" i="2"/>
  <c r="AO126" i="2" s="1"/>
  <c r="AP109" i="2"/>
  <c r="AP108" i="2"/>
  <c r="AP111" i="2"/>
  <c r="AR75" i="2"/>
  <c r="AQ105" i="2"/>
  <c r="C79" i="5" s="1"/>
  <c r="C31" i="1" l="1"/>
  <c r="E31" i="1" s="1"/>
  <c r="D28" i="1"/>
  <c r="C32" i="1"/>
  <c r="E32" i="1" s="1"/>
  <c r="D29" i="1"/>
  <c r="BJ77" i="6"/>
  <c r="BM4" i="2"/>
  <c r="AH4" i="2" s="1"/>
  <c r="BM40" i="2"/>
  <c r="AH40" i="2" s="1"/>
  <c r="BN64" i="2"/>
  <c r="BM18" i="6"/>
  <c r="BI98" i="6"/>
  <c r="BN13" i="2"/>
  <c r="BL75" i="6"/>
  <c r="BM18" i="2"/>
  <c r="AH18" i="2" s="1"/>
  <c r="BN19" i="2"/>
  <c r="C28" i="1" s="1"/>
  <c r="E28" i="1" s="1"/>
  <c r="D14" i="5"/>
  <c r="AH131" i="2"/>
  <c r="D13" i="5"/>
  <c r="AH110" i="2"/>
  <c r="BN110" i="2"/>
  <c r="C34" i="1" s="1"/>
  <c r="E34" i="1" s="1"/>
  <c r="BM4" i="6"/>
  <c r="AH4" i="6" s="1"/>
  <c r="BM35" i="2"/>
  <c r="AH35" i="2" s="1"/>
  <c r="BN36" i="2"/>
  <c r="BM46" i="6"/>
  <c r="AH46" i="6" s="1"/>
  <c r="BM34" i="6"/>
  <c r="AH34" i="6" s="1"/>
  <c r="BM67" i="2"/>
  <c r="AH67" i="2" s="1"/>
  <c r="BN68" i="2"/>
  <c r="BK78" i="6"/>
  <c r="BK81" i="6"/>
  <c r="BK79" i="6"/>
  <c r="BJ98" i="6"/>
  <c r="AP107" i="2"/>
  <c r="AQ109" i="2"/>
  <c r="AQ108" i="2"/>
  <c r="AQ111" i="2"/>
  <c r="AS75" i="2"/>
  <c r="AR105" i="2"/>
  <c r="C80" i="5" s="1"/>
  <c r="C29" i="1" l="1"/>
  <c r="E29" i="1" s="1"/>
  <c r="C33" i="5"/>
  <c r="BK77" i="6"/>
  <c r="BK98" i="6" s="1"/>
  <c r="BL79" i="6"/>
  <c r="BL78" i="6"/>
  <c r="BL77" i="6" s="1"/>
  <c r="BL81" i="6"/>
  <c r="BM75" i="6"/>
  <c r="AH75" i="6" s="1"/>
  <c r="AH18" i="6"/>
  <c r="D25" i="5"/>
  <c r="D15" i="5"/>
  <c r="D19" i="5"/>
  <c r="D20" i="5"/>
  <c r="D26" i="5"/>
  <c r="AP126" i="2"/>
  <c r="C78" i="5"/>
  <c r="AR109" i="2"/>
  <c r="AR108" i="2"/>
  <c r="AQ107" i="2"/>
  <c r="AQ126" i="2" s="1"/>
  <c r="AS105" i="2"/>
  <c r="C81" i="5" s="1"/>
  <c r="AT75" i="2"/>
  <c r="AR111" i="2"/>
  <c r="D27" i="5" l="1"/>
  <c r="E14" i="5"/>
  <c r="AH41" i="6"/>
  <c r="AH48" i="6"/>
  <c r="AH35" i="6"/>
  <c r="AH6" i="6"/>
  <c r="BL98" i="6"/>
  <c r="D21" i="5"/>
  <c r="AH19" i="6"/>
  <c r="BM81" i="6"/>
  <c r="BM79" i="6"/>
  <c r="AH79" i="6" s="1"/>
  <c r="BM78" i="6"/>
  <c r="AH81" i="6"/>
  <c r="AS108" i="2"/>
  <c r="AS109" i="2"/>
  <c r="AS111" i="2"/>
  <c r="AR107" i="2"/>
  <c r="AR126" i="2" s="1"/>
  <c r="AU75" i="2"/>
  <c r="AT105" i="2"/>
  <c r="G14" i="5" l="1"/>
  <c r="D36" i="1"/>
  <c r="H14" i="5"/>
  <c r="H26" i="5" s="1"/>
  <c r="D38" i="1"/>
  <c r="BM77" i="6"/>
  <c r="AH78" i="6"/>
  <c r="G20" i="5"/>
  <c r="G26" i="5"/>
  <c r="E20" i="5"/>
  <c r="E26" i="5"/>
  <c r="C83" i="5"/>
  <c r="C82" i="5"/>
  <c r="AS107" i="2"/>
  <c r="AS126" i="2" s="1"/>
  <c r="AT108" i="2"/>
  <c r="AT109" i="2"/>
  <c r="AU105" i="2"/>
  <c r="AU111" i="2" s="1"/>
  <c r="AT111" i="2"/>
  <c r="AV75" i="2"/>
  <c r="F14" i="5" l="1"/>
  <c r="D35" i="1"/>
  <c r="D37" i="1" s="1"/>
  <c r="H20" i="5"/>
  <c r="F26" i="5"/>
  <c r="F20" i="5"/>
  <c r="BM98" i="6"/>
  <c r="AH77" i="6"/>
  <c r="AH99" i="6" s="1"/>
  <c r="AU108" i="2"/>
  <c r="AU109" i="2"/>
  <c r="AV105" i="2"/>
  <c r="C84" i="5" s="1"/>
  <c r="AT107" i="2"/>
  <c r="AT126" i="2" s="1"/>
  <c r="AW75" i="2"/>
  <c r="C14" i="5" l="1"/>
  <c r="AU107" i="2"/>
  <c r="AU126" i="2" s="1"/>
  <c r="AV108" i="2"/>
  <c r="AV109" i="2"/>
  <c r="AW105" i="2"/>
  <c r="C85" i="5" s="1"/>
  <c r="AV111" i="2"/>
  <c r="AX75" i="2"/>
  <c r="C20" i="5" l="1"/>
  <c r="C26" i="5"/>
  <c r="AW108" i="2"/>
  <c r="AW109" i="2"/>
  <c r="AV107" i="2"/>
  <c r="AV126" i="2" s="1"/>
  <c r="AY75" i="2"/>
  <c r="AW111" i="2"/>
  <c r="AX105" i="2"/>
  <c r="C86" i="5" s="1"/>
  <c r="AX109" i="2" l="1"/>
  <c r="AX108" i="2"/>
  <c r="AW107" i="2"/>
  <c r="AW126" i="2" s="1"/>
  <c r="AZ75" i="2"/>
  <c r="AY105" i="2"/>
  <c r="C87" i="5" s="1"/>
  <c r="AX111" i="2"/>
  <c r="AY109" i="2" l="1"/>
  <c r="AY108" i="2"/>
  <c r="AX107" i="2"/>
  <c r="AX126" i="2" s="1"/>
  <c r="AZ105" i="2"/>
  <c r="C88" i="5" s="1"/>
  <c r="AY111" i="2"/>
  <c r="BA75" i="2"/>
  <c r="AZ109" i="2" l="1"/>
  <c r="AZ108" i="2"/>
  <c r="BB75" i="2"/>
  <c r="BB105" i="2" s="1"/>
  <c r="C90" i="5" s="1"/>
  <c r="BA105" i="2"/>
  <c r="C89" i="5" s="1"/>
  <c r="AY107" i="2"/>
  <c r="AY126" i="2" s="1"/>
  <c r="AZ111" i="2"/>
  <c r="X70" i="1"/>
  <c r="BB108" i="2" l="1"/>
  <c r="BB109" i="2"/>
  <c r="BA109" i="2"/>
  <c r="BA108" i="2"/>
  <c r="BB111" i="2"/>
  <c r="BA111" i="2"/>
  <c r="BC75" i="2"/>
  <c r="AZ107" i="2"/>
  <c r="AZ126" i="2" s="1"/>
  <c r="Y70" i="1"/>
  <c r="BB107" i="2" l="1"/>
  <c r="BB126" i="2" s="1"/>
  <c r="BC105" i="2"/>
  <c r="C91" i="5" s="1"/>
  <c r="BD75" i="2"/>
  <c r="BA107" i="2"/>
  <c r="BA126" i="2" s="1"/>
  <c r="Z70" i="1"/>
  <c r="BC111" i="2" l="1"/>
  <c r="BC108" i="2"/>
  <c r="BC109" i="2"/>
  <c r="BD105" i="2"/>
  <c r="C92" i="5" s="1"/>
  <c r="BE75" i="2"/>
  <c r="AA70" i="1"/>
  <c r="BC107" i="2" l="1"/>
  <c r="BC126" i="2" s="1"/>
  <c r="BD108" i="2"/>
  <c r="BD109" i="2"/>
  <c r="BE105" i="2"/>
  <c r="C93" i="5" s="1"/>
  <c r="BF75" i="2"/>
  <c r="BD111" i="2"/>
  <c r="AB70" i="1"/>
  <c r="BE108" i="2" l="1"/>
  <c r="BE109" i="2"/>
  <c r="BE111" i="2"/>
  <c r="BF105" i="2"/>
  <c r="C94" i="5" s="1"/>
  <c r="BG75" i="2"/>
  <c r="BD107" i="2"/>
  <c r="BD126" i="2" s="1"/>
  <c r="AC70" i="1"/>
  <c r="BF109" i="2" l="1"/>
  <c r="BF108" i="2"/>
  <c r="BE107" i="2"/>
  <c r="BE126" i="2" s="1"/>
  <c r="BH75" i="2"/>
  <c r="BG105" i="2"/>
  <c r="C95" i="5" s="1"/>
  <c r="BF111" i="2"/>
  <c r="AD70" i="1"/>
  <c r="BG109" i="2" l="1"/>
  <c r="BG108" i="2"/>
  <c r="BH105" i="2"/>
  <c r="BI75" i="2"/>
  <c r="BF107" i="2"/>
  <c r="BF126" i="2" s="1"/>
  <c r="BG111" i="2"/>
  <c r="AE70" i="1"/>
  <c r="BH111" i="2" l="1"/>
  <c r="C96" i="5"/>
  <c r="BH109" i="2"/>
  <c r="BH108" i="2"/>
  <c r="BG107" i="2"/>
  <c r="BG126" i="2" s="1"/>
  <c r="BJ75" i="2"/>
  <c r="BI105" i="2"/>
  <c r="C97" i="5" s="1"/>
  <c r="AF70" i="1"/>
  <c r="BH107" i="2" l="1"/>
  <c r="BH126" i="2" s="1"/>
  <c r="BI109" i="2"/>
  <c r="BI108" i="2"/>
  <c r="BI111" i="2"/>
  <c r="BJ105" i="2"/>
  <c r="C98" i="5" s="1"/>
  <c r="BK75" i="2"/>
  <c r="AG70" i="1"/>
  <c r="BI107" i="2" l="1"/>
  <c r="BI126" i="2" s="1"/>
  <c r="BJ108" i="2"/>
  <c r="BJ109" i="2"/>
  <c r="BK105" i="2"/>
  <c r="C99" i="5" s="1"/>
  <c r="BL75" i="2"/>
  <c r="BL105" i="2" s="1"/>
  <c r="C100" i="5" s="1"/>
  <c r="BJ111" i="2"/>
  <c r="BL108" i="2" l="1"/>
  <c r="BL109" i="2"/>
  <c r="BK108" i="2"/>
  <c r="BK109" i="2"/>
  <c r="BJ107" i="2"/>
  <c r="BJ126" i="2" s="1"/>
  <c r="BL111" i="2"/>
  <c r="BK111" i="2"/>
  <c r="BM75" i="2"/>
  <c r="AH75" i="2" s="1"/>
  <c r="BL107" i="2" l="1"/>
  <c r="BL126" i="2" s="1"/>
  <c r="BK107" i="2"/>
  <c r="BK126" i="2" s="1"/>
  <c r="BM105" i="2"/>
  <c r="AH105" i="2" l="1"/>
  <c r="C101" i="5"/>
  <c r="BM108" i="2"/>
  <c r="BM109" i="2"/>
  <c r="BM111" i="2"/>
  <c r="AH111" i="2" s="1"/>
  <c r="C38" i="1" s="1"/>
  <c r="E38" i="1" s="1"/>
  <c r="H13" i="5" l="1"/>
  <c r="AH109" i="2"/>
  <c r="G13" i="5" s="1"/>
  <c r="G19" i="5" s="1"/>
  <c r="G21" i="5" s="1"/>
  <c r="BN109" i="2"/>
  <c r="C35" i="1" s="1"/>
  <c r="E35" i="1" s="1"/>
  <c r="AH108" i="2"/>
  <c r="F13" i="5" s="1"/>
  <c r="F15" i="5" s="1"/>
  <c r="BN108" i="2"/>
  <c r="C36" i="1" s="1"/>
  <c r="E36" i="1" s="1"/>
  <c r="E13" i="5"/>
  <c r="AH36" i="2"/>
  <c r="AH19" i="2"/>
  <c r="AH6" i="2"/>
  <c r="AH68" i="2"/>
  <c r="AH41" i="2"/>
  <c r="AH76" i="2"/>
  <c r="H15" i="5"/>
  <c r="H19" i="5"/>
  <c r="H21" i="5" s="1"/>
  <c r="H25" i="5"/>
  <c r="H27" i="5" s="1"/>
  <c r="G15" i="5"/>
  <c r="BM107" i="2"/>
  <c r="AH107" i="2" s="1"/>
  <c r="E37" i="1" l="1"/>
  <c r="C37" i="1"/>
  <c r="G25" i="5"/>
  <c r="G27" i="5" s="1"/>
  <c r="F25" i="5"/>
  <c r="F27" i="5" s="1"/>
  <c r="F19" i="5"/>
  <c r="F21" i="5" s="1"/>
  <c r="E15" i="5"/>
  <c r="E19" i="5"/>
  <c r="E21" i="5" s="1"/>
  <c r="E25" i="5"/>
  <c r="E27" i="5" s="1"/>
  <c r="BM126" i="2"/>
  <c r="AH127" i="2" s="1"/>
  <c r="AH134" i="2" l="1"/>
  <c r="C13" i="5"/>
  <c r="C19" i="5" s="1"/>
  <c r="C21" i="5" s="1"/>
  <c r="C15" i="5" l="1"/>
  <c r="D73" i="5" s="1"/>
  <c r="C25" i="5"/>
  <c r="C34" i="5"/>
  <c r="D75" i="5" l="1"/>
  <c r="D72" i="5"/>
  <c r="D74" i="5"/>
  <c r="D76" i="5"/>
  <c r="D102" i="5"/>
  <c r="E72" i="5"/>
  <c r="E73" i="5" s="1"/>
  <c r="F73" i="5" s="1"/>
  <c r="E53" i="5"/>
  <c r="E60" i="5"/>
  <c r="E51" i="5"/>
  <c r="E40" i="5"/>
  <c r="E56" i="5"/>
  <c r="E57" i="5"/>
  <c r="E54" i="5"/>
  <c r="E45" i="5"/>
  <c r="E58" i="5"/>
  <c r="E59" i="5"/>
  <c r="E61" i="5"/>
  <c r="E42" i="5"/>
  <c r="E52" i="5"/>
  <c r="E48" i="5"/>
  <c r="E50" i="5"/>
  <c r="E43" i="5"/>
  <c r="E55" i="5"/>
  <c r="E47" i="5"/>
  <c r="E41" i="5"/>
  <c r="E44" i="5"/>
  <c r="E46" i="5"/>
  <c r="E49" i="5"/>
  <c r="C35" i="5"/>
  <c r="C27" i="5"/>
  <c r="F72" i="5" l="1"/>
  <c r="D52" i="5"/>
  <c r="F52" i="5" s="1"/>
  <c r="D54" i="5"/>
  <c r="F54" i="5" s="1"/>
  <c r="D55" i="5"/>
  <c r="F55" i="5" s="1"/>
  <c r="D40" i="5"/>
  <c r="F40" i="5" s="1"/>
  <c r="D49" i="5"/>
  <c r="F49" i="5" s="1"/>
  <c r="D53" i="5"/>
  <c r="F53" i="5" s="1"/>
  <c r="D61" i="5"/>
  <c r="F61" i="5" s="1"/>
  <c r="D58" i="5"/>
  <c r="F58" i="5" s="1"/>
  <c r="D60" i="5"/>
  <c r="F60" i="5" s="1"/>
  <c r="D41" i="5"/>
  <c r="F41" i="5" s="1"/>
  <c r="D43" i="5"/>
  <c r="F43" i="5" s="1"/>
  <c r="D51" i="5"/>
  <c r="F51" i="5" s="1"/>
  <c r="D45" i="5"/>
  <c r="F45" i="5" s="1"/>
  <c r="D57" i="5"/>
  <c r="F57" i="5" s="1"/>
  <c r="D48" i="5"/>
  <c r="F48" i="5" s="1"/>
  <c r="D50" i="5"/>
  <c r="F50" i="5" s="1"/>
  <c r="C36" i="5"/>
  <c r="D46" i="5"/>
  <c r="F46" i="5" s="1"/>
  <c r="D56" i="5"/>
  <c r="F56" i="5" s="1"/>
  <c r="D59" i="5"/>
  <c r="F59" i="5" s="1"/>
  <c r="D42" i="5"/>
  <c r="F42" i="5" s="1"/>
  <c r="D44" i="5"/>
  <c r="F44" i="5" s="1"/>
  <c r="D47" i="5"/>
  <c r="F47" i="5" s="1"/>
  <c r="E74" i="5"/>
  <c r="F74" i="5" s="1"/>
  <c r="E75" i="5" l="1"/>
  <c r="F75" i="5" l="1"/>
  <c r="E76" i="5"/>
  <c r="F76" i="5" l="1"/>
  <c r="E77" i="5"/>
  <c r="F77" i="5" s="1"/>
  <c r="E78" i="5" l="1"/>
  <c r="F78" i="5" s="1"/>
  <c r="E79" i="5" l="1"/>
  <c r="F79" i="5" l="1"/>
  <c r="E80" i="5"/>
  <c r="F80" i="5" s="1"/>
  <c r="E81" i="5" l="1"/>
  <c r="F81" i="5" s="1"/>
  <c r="E82" i="5" l="1"/>
  <c r="F82" i="5" s="1"/>
  <c r="E83" i="5" l="1"/>
  <c r="F83" i="5" s="1"/>
  <c r="E84" i="5" l="1"/>
  <c r="F84" i="5" s="1"/>
  <c r="E85" i="5" l="1"/>
  <c r="F85" i="5" s="1"/>
  <c r="E86" i="5" l="1"/>
  <c r="F86" i="5" s="1"/>
  <c r="E87" i="5" l="1"/>
  <c r="F87" i="5" s="1"/>
  <c r="E88" i="5" l="1"/>
  <c r="F88" i="5" s="1"/>
  <c r="E89" i="5" l="1"/>
  <c r="F89" i="5" s="1"/>
  <c r="E90" i="5" l="1"/>
  <c r="F90" i="5" s="1"/>
  <c r="E91" i="5" l="1"/>
  <c r="F91" i="5" s="1"/>
  <c r="E92" i="5" l="1"/>
  <c r="F92" i="5" s="1"/>
  <c r="E93" i="5" l="1"/>
  <c r="F93" i="5" s="1"/>
  <c r="E94" i="5" l="1"/>
  <c r="F94" i="5" s="1"/>
  <c r="E95" i="5" l="1"/>
  <c r="F95" i="5" s="1"/>
  <c r="E96" i="5" l="1"/>
  <c r="F96" i="5" s="1"/>
  <c r="E97" i="5" l="1"/>
  <c r="F97" i="5" s="1"/>
  <c r="E98" i="5" l="1"/>
  <c r="F98" i="5" s="1"/>
  <c r="E99" i="5" l="1"/>
  <c r="F99" i="5" s="1"/>
  <c r="E100" i="5" l="1"/>
  <c r="F100" i="5" s="1"/>
  <c r="E101" i="5" l="1"/>
  <c r="F101" i="5" l="1"/>
  <c r="C108" i="5" s="1"/>
  <c r="C109" i="5"/>
  <c r="C113" i="5"/>
  <c r="E102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92" authorId="0" shapeId="0" xr:uid="{87860CB5-99A2-8847-BC88-A421DCA0F815}">
      <text>
        <r>
          <rPr>
            <sz val="11"/>
            <color rgb="FF000000"/>
            <rFont val="Calibri"/>
            <family val="2"/>
          </rPr>
          <t xml:space="preserve">======
</t>
        </r>
        <r>
          <rPr>
            <sz val="11"/>
            <color rgb="FF000000"/>
            <rFont val="Calibri"/>
            <family val="2"/>
          </rPr>
          <t xml:space="preserve">ID#AAAAZdKBthc
</t>
        </r>
        <r>
          <rPr>
            <sz val="11"/>
            <color rgb="FF000000"/>
            <rFont val="Calibri"/>
            <family val="2"/>
          </rPr>
          <t xml:space="preserve">tc={BB9CA7F5-64FE-D54B-ACE2-537072752DAD}    (2022-05-21 21:25:15)
</t>
        </r>
        <r>
          <rPr>
            <sz val="11"/>
            <color rgb="FF000000"/>
            <rFont val="Calibri"/>
            <family val="2"/>
          </rPr>
          <t xml:space="preserve">[Threaded comment]
</t>
        </r>
        <r>
          <rPr>
            <sz val="11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 xml:space="preserve">Your version of Excel allows you to read this threaded comment; however, any edits to it will get removed if the file is opened in a newer version of Excel. Learn more: https://go.microsoft.com/fwlink/?linkid=870924
</t>
        </r>
        <r>
          <rPr>
            <sz val="11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 xml:space="preserve">Comment:
</t>
        </r>
        <r>
          <rPr>
            <sz val="11"/>
            <color rgb="FF000000"/>
            <rFont val="Calibri"/>
            <family val="2"/>
          </rPr>
          <t xml:space="preserve">    Ajuste. Profesionales necesarios según grupo faunistico</t>
        </r>
      </text>
    </comment>
    <comment ref="A95" authorId="0" shapeId="0" xr:uid="{7D9DA083-EA32-5C46-885D-62B648B51394}">
      <text>
        <r>
          <rPr>
            <sz val="11"/>
            <color rgb="FF000000"/>
            <rFont val="Calibri"/>
            <family val="2"/>
          </rPr>
          <t xml:space="preserve">======
</t>
        </r>
        <r>
          <rPr>
            <sz val="11"/>
            <color rgb="FF000000"/>
            <rFont val="Calibri"/>
            <family val="2"/>
          </rPr>
          <t xml:space="preserve">ID#AAAAZdKBthY
</t>
        </r>
        <r>
          <rPr>
            <sz val="11"/>
            <color rgb="FF000000"/>
            <rFont val="Calibri"/>
            <family val="2"/>
          </rPr>
          <t xml:space="preserve">tc={4519EFC3-7268-D54C-ACD8-E0091946B585}    (2022-05-21 21:25:15)
</t>
        </r>
        <r>
          <rPr>
            <sz val="11"/>
            <color rgb="FF000000"/>
            <rFont val="Calibri"/>
            <family val="2"/>
          </rPr>
          <t xml:space="preserve">[Threaded comment]
</t>
        </r>
        <r>
          <rPr>
            <sz val="11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 xml:space="preserve">Your version of Excel allows you to read this threaded comment; however, any edits to it will get removed if the file is opened in a newer version of Excel. Learn more: https://go.microsoft.com/fwlink/?linkid=870924
</t>
        </r>
        <r>
          <rPr>
            <sz val="11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 xml:space="preserve">Comment:
</t>
        </r>
        <r>
          <rPr>
            <sz val="11"/>
            <color rgb="FF000000"/>
            <rFont val="Calibri"/>
            <family val="2"/>
          </rPr>
          <t xml:space="preserve">    Ajustar cantidad de rubros, según ajuste en profesionales biología y suelos:
</t>
        </r>
        <r>
          <rPr>
            <sz val="11"/>
            <color rgb="FF000000"/>
            <rFont val="Calibri"/>
            <family val="2"/>
          </rPr>
          <t xml:space="preserve">1. Aux de campo
</t>
        </r>
        <r>
          <rPr>
            <sz val="11"/>
            <color rgb="FF000000"/>
            <rFont val="Calibri"/>
            <family val="2"/>
          </rPr>
          <t>2. Viaticos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63" authorId="0" shapeId="0" xr:uid="{648511A5-0699-0448-8DC4-781E417C802B}">
      <text>
        <r>
          <rPr>
            <sz val="11"/>
            <color rgb="FF000000"/>
            <rFont val="Calibri"/>
            <family val="2"/>
          </rPr>
          <t xml:space="preserve">======
</t>
        </r>
        <r>
          <rPr>
            <sz val="11"/>
            <color rgb="FF000000"/>
            <rFont val="Calibri"/>
            <family val="2"/>
          </rPr>
          <t xml:space="preserve">ID#AAAAZdKBthc
</t>
        </r>
        <r>
          <rPr>
            <sz val="11"/>
            <color rgb="FF000000"/>
            <rFont val="Calibri"/>
            <family val="2"/>
          </rPr>
          <t xml:space="preserve">tc={BB9CA7F5-64FE-D54B-ACE2-537072752DAD}    (2022-05-21 21:25:15)
</t>
        </r>
        <r>
          <rPr>
            <sz val="11"/>
            <color rgb="FF000000"/>
            <rFont val="Calibri"/>
            <family val="2"/>
          </rPr>
          <t xml:space="preserve">[Threaded comment]
</t>
        </r>
        <r>
          <rPr>
            <sz val="11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 xml:space="preserve">Your version of Excel allows you to read this threaded comment; however, any edits to it will get removed if the file is opened in a newer version of Excel. Learn more: https://go.microsoft.com/fwlink/?linkid=870924
</t>
        </r>
        <r>
          <rPr>
            <sz val="11"/>
            <color rgb="FF000000"/>
            <rFont val="Calibri"/>
            <family val="2"/>
          </rPr>
          <t xml:space="preserve">
</t>
        </r>
        <r>
          <rPr>
            <sz val="11"/>
            <color rgb="FF000000"/>
            <rFont val="Calibri"/>
            <family val="2"/>
          </rPr>
          <t xml:space="preserve">Comment:
</t>
        </r>
        <r>
          <rPr>
            <sz val="11"/>
            <color rgb="FF000000"/>
            <rFont val="Calibri"/>
            <family val="2"/>
          </rPr>
          <t xml:space="preserve">    Ajuste. Profesionales necesarios según grupo faunistico</t>
        </r>
      </text>
    </comment>
    <comment ref="A66" authorId="0" shapeId="0" xr:uid="{99EE369C-FF23-B747-A97E-6349278BAF5A}">
      <text>
        <r>
          <rPr>
            <sz val="11"/>
            <color theme="1"/>
            <rFont val="Calibri"/>
            <family val="2"/>
            <scheme val="minor"/>
          </rPr>
          <t>======
ID#AAAAZdKBthY
tc={4519EFC3-7268-D54C-ACD8-E0091946B585}    (2022-05-21 21:25:15)
[Threaded comment]
Your version of Excel allows you to read this threaded comment; however, any edits to it will get removed if the file is opened in a newer version of Excel. Learn more: https://go.microsoft.com/fwlink/?linkid=870924
Comment:
    Ajustar cantidad de rubros, según ajuste en profesionales biología y suelos:
1. Aux de campo
2. Viaticos</t>
        </r>
      </text>
    </comment>
  </commentList>
</comments>
</file>

<file path=xl/sharedStrings.xml><?xml version="1.0" encoding="utf-8"?>
<sst xmlns="http://schemas.openxmlformats.org/spreadsheetml/2006/main" count="532" uniqueCount="247">
  <si>
    <t>Inflacion Estimada Año 1</t>
  </si>
  <si>
    <t>Area Efectiva ha</t>
  </si>
  <si>
    <t>Area Efectiva %</t>
  </si>
  <si>
    <t>Area de Conservacion ha</t>
  </si>
  <si>
    <t>Area de Restauracion ha</t>
  </si>
  <si>
    <t>Area Sostenible ha</t>
  </si>
  <si>
    <t>Area Total Predio ha</t>
  </si>
  <si>
    <t>Insumos requeridos y precios de referencia para la restauración</t>
  </si>
  <si>
    <t>Insumo requerido</t>
  </si>
  <si>
    <t>Unidad de medida</t>
  </si>
  <si>
    <t>Precio</t>
  </si>
  <si>
    <t>Cantidades requeridas por Año</t>
  </si>
  <si>
    <t>Valor presente</t>
  </si>
  <si>
    <t>Costos totales para la restauración</t>
  </si>
  <si>
    <t>Coordinación general del proyecto</t>
  </si>
  <si>
    <t>Mes</t>
  </si>
  <si>
    <t>Coordinador de Banco de Habitat</t>
  </si>
  <si>
    <t>Gastos de representación</t>
  </si>
  <si>
    <t>Asistencia técnica (para zonificación predial y gestión social)</t>
  </si>
  <si>
    <t>Asistencia técnica (para seguimiento, control y protección)</t>
  </si>
  <si>
    <t>Viáticos</t>
  </si>
  <si>
    <t>Días</t>
  </si>
  <si>
    <t>Herramientas (guadaña y machetes)</t>
  </si>
  <si>
    <t>Unidad</t>
  </si>
  <si>
    <t>Equipos monitoreo fauna</t>
  </si>
  <si>
    <t>Equipos conservación fauna</t>
  </si>
  <si>
    <t>Insumos para el mantenimiento</t>
  </si>
  <si>
    <t>Señalizaciones (rotulos informativa del proyecto y dos educativas)</t>
  </si>
  <si>
    <t>Instalaciones operativas en campo</t>
  </si>
  <si>
    <t>Incentivo Propietario</t>
  </si>
  <si>
    <t>Ha</t>
  </si>
  <si>
    <t>Aislamiento y mantenimiento de cerca</t>
  </si>
  <si>
    <t xml:space="preserve">Trazado </t>
  </si>
  <si>
    <t>Jornal</t>
  </si>
  <si>
    <t>Ahoyado</t>
  </si>
  <si>
    <t>Acarreo de materiales</t>
  </si>
  <si>
    <t>Hincado</t>
  </si>
  <si>
    <t>Templado y grapado</t>
  </si>
  <si>
    <t>Profesional responsable</t>
  </si>
  <si>
    <t>Día</t>
  </si>
  <si>
    <t>Alambre de púas</t>
  </si>
  <si>
    <t>Metro</t>
  </si>
  <si>
    <t>Postes</t>
  </si>
  <si>
    <t>Poste</t>
  </si>
  <si>
    <t>Pie de amigo</t>
  </si>
  <si>
    <t>Grapas</t>
  </si>
  <si>
    <t>Kilo</t>
  </si>
  <si>
    <t>Ahoyador manual</t>
  </si>
  <si>
    <t>Palín</t>
  </si>
  <si>
    <t>Transporte de materiales</t>
  </si>
  <si>
    <t>Viaje</t>
  </si>
  <si>
    <t>Control y protección</t>
  </si>
  <si>
    <t>Adecuación de caminos</t>
  </si>
  <si>
    <t xml:space="preserve">Protección de incendios </t>
  </si>
  <si>
    <t>Guardabosques</t>
  </si>
  <si>
    <t>Establecimiento y mantenimiento del proceso de restauración</t>
  </si>
  <si>
    <t>Preparación del terreno</t>
  </si>
  <si>
    <t>Trazado</t>
  </si>
  <si>
    <t>Plateo o limpieza</t>
  </si>
  <si>
    <t>Aplicación de fertilizantes y correctivos</t>
  </si>
  <si>
    <t>Control fitosanitario</t>
  </si>
  <si>
    <t>Siembra</t>
  </si>
  <si>
    <t>Riego</t>
  </si>
  <si>
    <t>Plántulas</t>
  </si>
  <si>
    <t>Planta</t>
  </si>
  <si>
    <t>Caldolomita</t>
  </si>
  <si>
    <t>Hidroretenedor</t>
  </si>
  <si>
    <t>Fertilizantes</t>
  </si>
  <si>
    <t>Insecticidas</t>
  </si>
  <si>
    <t>Litro</t>
  </si>
  <si>
    <t>Transpote de materiales</t>
  </si>
  <si>
    <t>Transporte de agua</t>
  </si>
  <si>
    <t>Implementación estrategias conservación de fauna</t>
  </si>
  <si>
    <t>Profesional Biología (mamiferos)</t>
  </si>
  <si>
    <t>Profesional Biología (aves)</t>
  </si>
  <si>
    <t>Profesional Biología (hérpetos)</t>
  </si>
  <si>
    <t>Transporte</t>
  </si>
  <si>
    <t>Dotación de infraestructura en espacios de producción</t>
  </si>
  <si>
    <t>Pasos de ganado</t>
  </si>
  <si>
    <t>Abrevaderos</t>
  </si>
  <si>
    <t>Traslados de infraestructuras</t>
  </si>
  <si>
    <t>Monitoreo del Banco de Hábitat</t>
  </si>
  <si>
    <t>Monitoreo, reporte y seguimiento del BH</t>
  </si>
  <si>
    <t>Informe</t>
  </si>
  <si>
    <t>Profesional forestal</t>
  </si>
  <si>
    <t>Profesional SIG</t>
  </si>
  <si>
    <t>Evaluación del cumplimiento de hitos (cliente)</t>
  </si>
  <si>
    <t>Evaluación del estado de conservación</t>
  </si>
  <si>
    <t>Profesional Forestal</t>
  </si>
  <si>
    <t>Profesional hidrobiológicos</t>
  </si>
  <si>
    <t>Profesional Suelos</t>
  </si>
  <si>
    <t>Auxiliares de campo</t>
  </si>
  <si>
    <t>Tiquetes</t>
  </si>
  <si>
    <t>Boleto</t>
  </si>
  <si>
    <t>Transporte vehicular</t>
  </si>
  <si>
    <t>Monitoreo suelos</t>
  </si>
  <si>
    <t>Monitoreo aguas</t>
  </si>
  <si>
    <t>Imagen satelital</t>
  </si>
  <si>
    <t>Imagen</t>
  </si>
  <si>
    <t>Subtotal operativos</t>
  </si>
  <si>
    <t>Gastos administrativos</t>
  </si>
  <si>
    <t>Gastos generales de administración</t>
  </si>
  <si>
    <t>%</t>
  </si>
  <si>
    <t>Gastos de imprevistos</t>
  </si>
  <si>
    <t>Gastos fiduciarios</t>
  </si>
  <si>
    <t>Utilidad empresarial</t>
  </si>
  <si>
    <t>Valor presente Total</t>
  </si>
  <si>
    <t>Areas Efectivas</t>
  </si>
  <si>
    <t>Seguridad Social, Parafiscales, EPP y Otros</t>
  </si>
  <si>
    <t>Participacion</t>
  </si>
  <si>
    <t>Dedicacion</t>
  </si>
  <si>
    <t xml:space="preserve">Salario </t>
  </si>
  <si>
    <t>Jornal Dia</t>
  </si>
  <si>
    <t>Tecnico Mes</t>
  </si>
  <si>
    <t>Profesional Mes</t>
  </si>
  <si>
    <t>Coordinador Mes</t>
  </si>
  <si>
    <t>PERSONAL</t>
  </si>
  <si>
    <t>Hectareas</t>
  </si>
  <si>
    <t>Conservacion</t>
  </si>
  <si>
    <t>Restauracion</t>
  </si>
  <si>
    <t>Monitores y Rep</t>
  </si>
  <si>
    <t>Alimentacion</t>
  </si>
  <si>
    <t>Hospedaje</t>
  </si>
  <si>
    <t>Hidratacion</t>
  </si>
  <si>
    <t>Gastos de Representacion Mes</t>
  </si>
  <si>
    <t>Viaticos Día</t>
  </si>
  <si>
    <t>Herramientas</t>
  </si>
  <si>
    <t>Guadaña</t>
  </si>
  <si>
    <t>Machete</t>
  </si>
  <si>
    <t>Trampa tomahawk</t>
  </si>
  <si>
    <t>Trampa Sherman</t>
  </si>
  <si>
    <t xml:space="preserve">Red de niebla 30x2.5mt </t>
  </si>
  <si>
    <t>Bara x und</t>
  </si>
  <si>
    <t>Estuche baras</t>
  </si>
  <si>
    <t>Camara trampa</t>
  </si>
  <si>
    <t>Gancho herpetologico</t>
  </si>
  <si>
    <t>Tenazas</t>
  </si>
  <si>
    <t>Bolsas de tela</t>
  </si>
  <si>
    <t>Lupa 40px Luz - UV</t>
  </si>
  <si>
    <t xml:space="preserve">Binoculares </t>
  </si>
  <si>
    <t>Linterna manos libres</t>
  </si>
  <si>
    <t>Libreta de campo</t>
  </si>
  <si>
    <t xml:space="preserve">Radio motorola vx80 </t>
  </si>
  <si>
    <t xml:space="preserve">BAteria AA </t>
  </si>
  <si>
    <t>Bateria AAA</t>
  </si>
  <si>
    <t>Guantes nitrilo</t>
  </si>
  <si>
    <t xml:space="preserve">Cargador bateria </t>
  </si>
  <si>
    <t xml:space="preserve">Memoria </t>
  </si>
  <si>
    <t>GPS Garmin + estuche</t>
  </si>
  <si>
    <t>Estuche camara + gualla</t>
  </si>
  <si>
    <t>Gramera digital 1000g 0.1</t>
  </si>
  <si>
    <t>Gramera digital 200g 0.02</t>
  </si>
  <si>
    <t>Balanza de resorte pesola. lightline</t>
  </si>
  <si>
    <t>Balanza de resorte pesola. microline</t>
  </si>
  <si>
    <t>Balanza de resorte pesola. medioline</t>
  </si>
  <si>
    <t>Calibrador digital</t>
  </si>
  <si>
    <t>Cantidad</t>
  </si>
  <si>
    <t>Valor Unidad</t>
  </si>
  <si>
    <t>Total</t>
  </si>
  <si>
    <t>Materiales Fauna Monitoreo</t>
  </si>
  <si>
    <t>Collar satelital</t>
  </si>
  <si>
    <t>Cargo unico activacion</t>
  </si>
  <si>
    <t>Transmisor VHF</t>
  </si>
  <si>
    <t>MEcanismo mecanico de caida</t>
  </si>
  <si>
    <t>Revesitmiento interior total</t>
  </si>
  <si>
    <t>VHF oculto bolsa canguro</t>
  </si>
  <si>
    <t>Revestimiento nylon balistico</t>
  </si>
  <si>
    <t>Trampa tomahawk felinos</t>
  </si>
  <si>
    <t>Kit cerbatana</t>
  </si>
  <si>
    <t xml:space="preserve">Anillos aluminio  x 15 plastico - </t>
  </si>
  <si>
    <t>PTTs Solares para Rastreo de Fauna Silvestre desde 5 g</t>
  </si>
  <si>
    <t>Telefono satelital iridium</t>
  </si>
  <si>
    <t>Caldolomita gr</t>
  </si>
  <si>
    <t>Hidroretenedor gramos</t>
  </si>
  <si>
    <t>Fertilizante (Compuesto triple 15)</t>
  </si>
  <si>
    <t>Humus</t>
  </si>
  <si>
    <t>Insecticida (ml)</t>
  </si>
  <si>
    <t>Elementos menores (fertilizante)</t>
  </si>
  <si>
    <t>Agua para riego por planta</t>
  </si>
  <si>
    <t>Plantas por viaje (restauración)</t>
  </si>
  <si>
    <t>Insumos x ha</t>
  </si>
  <si>
    <t>Remuneracion Propietario Total Predio ha</t>
  </si>
  <si>
    <t>Camioneta</t>
  </si>
  <si>
    <t>dia</t>
  </si>
  <si>
    <t xml:space="preserve">Area de Conservacion </t>
  </si>
  <si>
    <t>Paso de Ganao</t>
  </si>
  <si>
    <t>Barevederos</t>
  </si>
  <si>
    <t>Tiquete Aereo</t>
  </si>
  <si>
    <t>Area Predio</t>
  </si>
  <si>
    <t>Remuneracion 
Propietario</t>
  </si>
  <si>
    <t>Restauracion Ha</t>
  </si>
  <si>
    <t>Conservacion Ha</t>
  </si>
  <si>
    <t>Proyección a 30 años</t>
  </si>
  <si>
    <t>Inflación a 30 años</t>
  </si>
  <si>
    <t>Inflación a 30 años %</t>
  </si>
  <si>
    <t>Datos de IPC año corrido para comparar</t>
  </si>
  <si>
    <t>IPC AÑO 2021, MES 12</t>
  </si>
  <si>
    <t>Base Diciembre de 2018 = 100,00</t>
  </si>
  <si>
    <t>En año corrido</t>
  </si>
  <si>
    <t>Promedio historico</t>
  </si>
  <si>
    <t>Promedio de los últimos 10 años</t>
  </si>
  <si>
    <t>Metas de inflación (BanRep)</t>
  </si>
  <si>
    <t>Inflación esperada</t>
  </si>
  <si>
    <t>Valor
BH</t>
  </si>
  <si>
    <t>COSTOS</t>
  </si>
  <si>
    <t>Administracion</t>
  </si>
  <si>
    <t>Imprevistod</t>
  </si>
  <si>
    <t>Utilidad</t>
  </si>
  <si>
    <t>Insumos requeridos y precios de referencia para la conservación</t>
  </si>
  <si>
    <t>Asistencia técnica (para zonificaicón predial y gestión social)</t>
  </si>
  <si>
    <t>Asistencia técnica (para seguimiento)</t>
  </si>
  <si>
    <t>Protección de incendios</t>
  </si>
  <si>
    <t>Tasa de descuento</t>
  </si>
  <si>
    <t xml:space="preserve">Restauracion </t>
  </si>
  <si>
    <t>Restauracion Año</t>
  </si>
  <si>
    <t>Conservacion Año</t>
  </si>
  <si>
    <t>Costos fijos</t>
  </si>
  <si>
    <t>Costos Variables</t>
  </si>
  <si>
    <t>Precio Venta</t>
  </si>
  <si>
    <t>Punto de equilibrio</t>
  </si>
  <si>
    <t>Ventas Ha</t>
  </si>
  <si>
    <t>Ventas Restauracion</t>
  </si>
  <si>
    <t>Costos</t>
  </si>
  <si>
    <t>PUNTO DE EQUILIBRIO</t>
  </si>
  <si>
    <t>FLUJO DE CAJAS</t>
  </si>
  <si>
    <t>Año</t>
  </si>
  <si>
    <t>Inversion</t>
  </si>
  <si>
    <t>Ingresos</t>
  </si>
  <si>
    <t>Saldo</t>
  </si>
  <si>
    <t>VPN</t>
  </si>
  <si>
    <t>Años</t>
  </si>
  <si>
    <t>Inversion Inicial</t>
  </si>
  <si>
    <t>Tasa Descuento</t>
  </si>
  <si>
    <t>VP</t>
  </si>
  <si>
    <t>TIR</t>
  </si>
  <si>
    <t xml:space="preserve">Area de Restauracion </t>
  </si>
  <si>
    <t>Area Sostenible</t>
  </si>
  <si>
    <t>Personal</t>
  </si>
  <si>
    <t>INSUMOS Y HERRAMIENTAS</t>
  </si>
  <si>
    <t>TIQUETES AEREOS</t>
  </si>
  <si>
    <t>VEHICULOS</t>
  </si>
  <si>
    <t>VIATICOS</t>
  </si>
  <si>
    <t>GASTOS FIDUCIAROS</t>
  </si>
  <si>
    <t xml:space="preserve">ADMINISTRACION </t>
  </si>
  <si>
    <t>IMPREVISTOS</t>
  </si>
  <si>
    <t>PROPIETARIO PREDIO</t>
  </si>
  <si>
    <t>PAGO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</si>
</sst>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8" formatCode="&quot;$&quot;#,##0.00;[Red]\-&quot;$&quot;#,##0.00"/>
    <numFmt numFmtId="42" formatCode="_-&quot;$&quot;* #,##0_-;\-&quot;$&quot;* #,##0_-;_-&quot;$&quot;* &quot;-&quot;_-;_-@_-"/>
    <numFmt numFmtId="44" formatCode="_-&quot;$&quot;* #,##0.00_-;\-&quot;$&quot;* #,##0.00_-;_-&quot;$&quot;* &quot;-&quot;??_-;_-@_-"/>
    <numFmt numFmtId="164" formatCode="_(* #,##0_);_(* \(#,##0\);_(* &quot;-&quot;??_);_(@_)"/>
    <numFmt numFmtId="165" formatCode="_-* #,##0_-;\-* #,##0_-;_-* &quot;-&quot;??_-;_-@"/>
    <numFmt numFmtId="166" formatCode="_-* #,##0.00_-;\-* #,##0.00_-;_-* &quot;-&quot;??_-;_-@"/>
    <numFmt numFmtId="167" formatCode="_-&quot;$&quot;* #,##0.00_-;\-&quot;$&quot;* #,##0.00_-;_-&quot;$&quot;* &quot;-&quot;_-;_-@_-"/>
    <numFmt numFmtId="168" formatCode="_-* #,##0.000_-;\-* #,##0.000_-;_-* &quot;-&quot;??_-;_-@"/>
    <numFmt numFmtId="169" formatCode="0.000"/>
    <numFmt numFmtId="170" formatCode="_-&quot;$&quot;\ * #,##0_-;\-&quot;$&quot;\ * #,##0_-;_-&quot;$&quot;\ * &quot;-&quot;??_-;_-@_-"/>
    <numFmt numFmtId="171" formatCode="0.0"/>
    <numFmt numFmtId="172" formatCode="0.000%"/>
  </numFmts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</font>
    <font>
      <sz val="11"/>
      <name val="Arial"/>
      <family val="2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name val="Arial"/>
      <family val="2"/>
    </font>
    <font>
      <b/>
      <sz val="10"/>
      <color theme="1"/>
      <name val="Arial"/>
      <family val="2"/>
    </font>
    <font>
      <b/>
      <i/>
      <sz val="11"/>
      <color theme="1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12"/>
      <color theme="0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CCFF"/>
        <bgColor rgb="FFCCCCFF"/>
      </patternFill>
    </fill>
    <fill>
      <patternFill patternType="solid">
        <fgColor rgb="FFCCFFCC"/>
        <bgColor rgb="FFCCFFCC"/>
      </patternFill>
    </fill>
    <fill>
      <patternFill patternType="solid">
        <fgColor rgb="FFA8D08D"/>
        <bgColor rgb="FFA8D08D"/>
      </patternFill>
    </fill>
    <fill>
      <patternFill patternType="solid">
        <fgColor rgb="FF8EAADB"/>
        <bgColor rgb="FF8EAADB"/>
      </patternFill>
    </fill>
    <fill>
      <patternFill patternType="solid">
        <fgColor rgb="FFAEABAB"/>
        <bgColor rgb="FFAEABAB"/>
      </patternFill>
    </fill>
    <fill>
      <patternFill patternType="solid">
        <fgColor rgb="FF00FFFF"/>
        <bgColor rgb="FF00FFFF"/>
      </patternFill>
    </fill>
    <fill>
      <patternFill patternType="solid">
        <fgColor theme="7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9" tint="0.59999389629810485"/>
        <bgColor theme="0"/>
      </patternFill>
    </fill>
    <fill>
      <patternFill patternType="solid">
        <fgColor theme="7"/>
        <bgColor rgb="FFCCFF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CCFFCC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CCFFCC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-0.249977111117893"/>
        <bgColor rgb="FFCCFFCC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27">
    <xf numFmtId="0" fontId="0" fillId="0" borderId="0" xfId="0"/>
    <xf numFmtId="0" fontId="0" fillId="3" borderId="0" xfId="0" applyFill="1"/>
    <xf numFmtId="0" fontId="0" fillId="3" borderId="0" xfId="0" applyFill="1" applyAlignment="1">
      <alignment horizontal="center"/>
    </xf>
    <xf numFmtId="164" fontId="4" fillId="4" borderId="0" xfId="0" applyNumberFormat="1" applyFont="1" applyFill="1" applyAlignment="1">
      <alignment vertical="top" wrapText="1"/>
    </xf>
    <xf numFmtId="165" fontId="0" fillId="0" borderId="0" xfId="0" applyNumberFormat="1"/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4" fillId="5" borderId="0" xfId="0" applyFont="1" applyFill="1" applyAlignment="1">
      <alignment horizontal="center" vertical="top" wrapText="1"/>
    </xf>
    <xf numFmtId="0" fontId="5" fillId="5" borderId="0" xfId="0" applyFont="1" applyFill="1" applyAlignment="1">
      <alignment vertical="top" wrapText="1"/>
    </xf>
    <xf numFmtId="0" fontId="5" fillId="5" borderId="0" xfId="0" applyFont="1" applyFill="1" applyAlignment="1">
      <alignment vertical="center" wrapText="1"/>
    </xf>
    <xf numFmtId="0" fontId="6" fillId="5" borderId="0" xfId="0" applyFont="1" applyFill="1"/>
    <xf numFmtId="164" fontId="4" fillId="4" borderId="0" xfId="0" applyNumberFormat="1" applyFont="1" applyFill="1" applyAlignment="1">
      <alignment vertical="center" wrapText="1"/>
    </xf>
    <xf numFmtId="0" fontId="7" fillId="0" borderId="0" xfId="0" applyFont="1" applyAlignment="1">
      <alignment vertical="top" wrapText="1"/>
    </xf>
    <xf numFmtId="165" fontId="7" fillId="0" borderId="0" xfId="0" applyNumberFormat="1" applyFont="1" applyAlignment="1">
      <alignment vertical="top" wrapText="1"/>
    </xf>
    <xf numFmtId="0" fontId="7" fillId="0" borderId="0" xfId="0" applyFont="1" applyAlignment="1">
      <alignment vertical="center" wrapText="1"/>
    </xf>
    <xf numFmtId="164" fontId="8" fillId="0" borderId="0" xfId="0" applyNumberFormat="1" applyFont="1"/>
    <xf numFmtId="0" fontId="9" fillId="0" borderId="0" xfId="0" applyFont="1"/>
    <xf numFmtId="0" fontId="5" fillId="0" borderId="0" xfId="0" applyFont="1" applyAlignment="1">
      <alignment vertical="top" wrapText="1"/>
    </xf>
    <xf numFmtId="3" fontId="5" fillId="0" borderId="0" xfId="0" applyNumberFormat="1" applyFont="1" applyAlignment="1">
      <alignment vertical="top" wrapText="1"/>
    </xf>
    <xf numFmtId="0" fontId="5" fillId="0" borderId="0" xfId="0" applyFont="1" applyAlignment="1">
      <alignment vertical="center" wrapText="1"/>
    </xf>
    <xf numFmtId="165" fontId="5" fillId="0" borderId="0" xfId="0" applyNumberFormat="1" applyFont="1" applyAlignment="1">
      <alignment vertical="top" wrapText="1"/>
    </xf>
    <xf numFmtId="0" fontId="8" fillId="0" borderId="0" xfId="0" applyFont="1"/>
    <xf numFmtId="164" fontId="11" fillId="4" borderId="0" xfId="0" applyNumberFormat="1" applyFont="1" applyFill="1"/>
    <xf numFmtId="165" fontId="5" fillId="0" borderId="0" xfId="0" applyNumberFormat="1" applyFont="1" applyAlignment="1">
      <alignment vertical="center" wrapText="1"/>
    </xf>
    <xf numFmtId="0" fontId="12" fillId="0" borderId="0" xfId="0" applyFont="1" applyAlignment="1">
      <alignment vertical="top" wrapText="1"/>
    </xf>
    <xf numFmtId="164" fontId="6" fillId="0" borderId="0" xfId="0" applyNumberFormat="1" applyFont="1"/>
    <xf numFmtId="164" fontId="12" fillId="4" borderId="0" xfId="0" applyNumberFormat="1" applyFont="1" applyFill="1" applyAlignment="1">
      <alignment vertical="top" wrapText="1"/>
    </xf>
    <xf numFmtId="4" fontId="5" fillId="0" borderId="0" xfId="0" applyNumberFormat="1" applyFont="1" applyAlignment="1">
      <alignment vertical="top" wrapText="1"/>
    </xf>
    <xf numFmtId="0" fontId="12" fillId="0" borderId="0" xfId="0" applyFont="1" applyAlignment="1">
      <alignment vertical="center" wrapText="1"/>
    </xf>
    <xf numFmtId="164" fontId="12" fillId="4" borderId="0" xfId="0" applyNumberFormat="1" applyFont="1" applyFill="1" applyAlignment="1">
      <alignment vertical="center" wrapText="1"/>
    </xf>
    <xf numFmtId="0" fontId="4" fillId="4" borderId="0" xfId="0" applyFont="1" applyFill="1" applyAlignment="1">
      <alignment vertical="top" wrapText="1"/>
    </xf>
    <xf numFmtId="0" fontId="4" fillId="4" borderId="0" xfId="0" applyFont="1" applyFill="1" applyAlignment="1">
      <alignment vertical="center" wrapText="1"/>
    </xf>
    <xf numFmtId="165" fontId="11" fillId="4" borderId="0" xfId="0" applyNumberFormat="1" applyFont="1" applyFill="1"/>
    <xf numFmtId="0" fontId="11" fillId="4" borderId="0" xfId="0" applyFont="1" applyFill="1"/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right" vertical="center" wrapText="1"/>
    </xf>
    <xf numFmtId="0" fontId="5" fillId="0" borderId="0" xfId="0" applyFont="1" applyAlignment="1">
      <alignment horizontal="right" vertical="top" wrapText="1"/>
    </xf>
    <xf numFmtId="0" fontId="6" fillId="0" borderId="0" xfId="0" applyFont="1"/>
    <xf numFmtId="0" fontId="4" fillId="6" borderId="0" xfId="0" applyFont="1" applyFill="1" applyAlignment="1">
      <alignment horizontal="left" vertical="top" wrapText="1"/>
    </xf>
    <xf numFmtId="0" fontId="5" fillId="6" borderId="0" xfId="0" applyFont="1" applyFill="1" applyAlignment="1">
      <alignment vertical="top" wrapText="1"/>
    </xf>
    <xf numFmtId="3" fontId="5" fillId="6" borderId="0" xfId="0" applyNumberFormat="1" applyFont="1" applyFill="1" applyAlignment="1">
      <alignment vertical="top" wrapText="1"/>
    </xf>
    <xf numFmtId="0" fontId="5" fillId="6" borderId="0" xfId="0" applyFont="1" applyFill="1" applyAlignment="1">
      <alignment vertical="center" wrapText="1"/>
    </xf>
    <xf numFmtId="165" fontId="13" fillId="6" borderId="0" xfId="0" applyNumberFormat="1" applyFont="1" applyFill="1"/>
    <xf numFmtId="165" fontId="6" fillId="0" borderId="0" xfId="0" applyNumberFormat="1" applyFont="1"/>
    <xf numFmtId="9" fontId="4" fillId="0" borderId="0" xfId="0" applyNumberFormat="1" applyFont="1" applyAlignment="1">
      <alignment vertical="top" wrapText="1"/>
    </xf>
    <xf numFmtId="9" fontId="5" fillId="0" borderId="0" xfId="0" applyNumberFormat="1" applyFont="1" applyAlignment="1">
      <alignment vertical="top" wrapText="1"/>
    </xf>
    <xf numFmtId="3" fontId="4" fillId="7" borderId="0" xfId="0" applyNumberFormat="1" applyFont="1" applyFill="1" applyAlignment="1">
      <alignment vertical="top" wrapText="1"/>
    </xf>
    <xf numFmtId="0" fontId="4" fillId="7" borderId="0" xfId="0" applyFont="1" applyFill="1" applyAlignment="1">
      <alignment vertical="top" wrapText="1"/>
    </xf>
    <xf numFmtId="9" fontId="4" fillId="7" borderId="0" xfId="0" applyNumberFormat="1" applyFont="1" applyFill="1" applyAlignment="1">
      <alignment vertical="top" wrapText="1"/>
    </xf>
    <xf numFmtId="0" fontId="4" fillId="7" borderId="0" xfId="0" applyFont="1" applyFill="1" applyAlignment="1">
      <alignment vertical="center" wrapText="1"/>
    </xf>
    <xf numFmtId="165" fontId="13" fillId="7" borderId="0" xfId="0" applyNumberFormat="1" applyFont="1" applyFill="1"/>
    <xf numFmtId="164" fontId="13" fillId="8" borderId="0" xfId="0" applyNumberFormat="1" applyFont="1" applyFill="1"/>
    <xf numFmtId="165" fontId="4" fillId="9" borderId="0" xfId="0" applyNumberFormat="1" applyFont="1" applyFill="1" applyAlignment="1">
      <alignment vertical="top" wrapText="1"/>
    </xf>
    <xf numFmtId="0" fontId="14" fillId="0" borderId="0" xfId="0" applyFont="1" applyAlignment="1">
      <alignment vertic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9" fontId="0" fillId="3" borderId="1" xfId="3" applyFont="1" applyFill="1" applyBorder="1"/>
    <xf numFmtId="9" fontId="0" fillId="3" borderId="0" xfId="3" applyFont="1" applyFill="1" applyBorder="1"/>
    <xf numFmtId="42" fontId="0" fillId="3" borderId="0" xfId="2" applyFont="1" applyFill="1"/>
    <xf numFmtId="42" fontId="0" fillId="3" borderId="1" xfId="2" applyFont="1" applyFill="1" applyBorder="1"/>
    <xf numFmtId="0" fontId="0" fillId="3" borderId="3" xfId="0" applyFill="1" applyBorder="1"/>
    <xf numFmtId="0" fontId="0" fillId="3" borderId="7" xfId="0" applyFill="1" applyBorder="1"/>
    <xf numFmtId="42" fontId="0" fillId="3" borderId="11" xfId="2" applyFont="1" applyFill="1" applyBorder="1"/>
    <xf numFmtId="42" fontId="0" fillId="3" borderId="13" xfId="2" applyFont="1" applyFill="1" applyBorder="1"/>
    <xf numFmtId="42" fontId="0" fillId="3" borderId="14" xfId="2" applyFont="1" applyFill="1" applyBorder="1"/>
    <xf numFmtId="9" fontId="0" fillId="3" borderId="1" xfId="3" applyFont="1" applyFill="1" applyBorder="1" applyAlignment="1">
      <alignment horizontal="center"/>
    </xf>
    <xf numFmtId="0" fontId="0" fillId="3" borderId="9" xfId="0" applyFill="1" applyBorder="1"/>
    <xf numFmtId="9" fontId="0" fillId="3" borderId="13" xfId="3" applyFont="1" applyFill="1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 applyAlignment="1">
      <alignment horizontal="center"/>
    </xf>
    <xf numFmtId="9" fontId="0" fillId="3" borderId="14" xfId="3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9" fontId="0" fillId="3" borderId="18" xfId="3" applyFont="1" applyFill="1" applyBorder="1" applyAlignment="1">
      <alignment horizontal="center"/>
    </xf>
    <xf numFmtId="42" fontId="0" fillId="3" borderId="0" xfId="0" applyNumberFormat="1" applyFill="1"/>
    <xf numFmtId="9" fontId="0" fillId="10" borderId="25" xfId="0" applyNumberFormat="1" applyFill="1" applyBorder="1" applyAlignment="1">
      <alignment horizontal="center"/>
    </xf>
    <xf numFmtId="0" fontId="0" fillId="10" borderId="23" xfId="0" applyFill="1" applyBorder="1" applyAlignment="1">
      <alignment horizontal="center"/>
    </xf>
    <xf numFmtId="0" fontId="0" fillId="10" borderId="26" xfId="0" applyFill="1" applyBorder="1" applyAlignment="1">
      <alignment horizontal="center"/>
    </xf>
    <xf numFmtId="9" fontId="0" fillId="3" borderId="11" xfId="3" applyFont="1" applyFill="1" applyBorder="1" applyAlignment="1">
      <alignment horizontal="center"/>
    </xf>
    <xf numFmtId="0" fontId="0" fillId="3" borderId="20" xfId="0" applyFill="1" applyBorder="1"/>
    <xf numFmtId="0" fontId="7" fillId="0" borderId="27" xfId="0" applyFont="1" applyBorder="1" applyAlignment="1">
      <alignment vertical="top" wrapText="1"/>
    </xf>
    <xf numFmtId="0" fontId="7" fillId="0" borderId="27" xfId="0" applyFont="1" applyBorder="1" applyAlignment="1">
      <alignment vertical="center" wrapText="1"/>
    </xf>
    <xf numFmtId="0" fontId="7" fillId="0" borderId="28" xfId="0" applyFont="1" applyBorder="1" applyAlignment="1">
      <alignment vertical="top" wrapText="1"/>
    </xf>
    <xf numFmtId="9" fontId="0" fillId="3" borderId="9" xfId="3" applyFont="1" applyFill="1" applyBorder="1" applyAlignment="1">
      <alignment horizontal="center"/>
    </xf>
    <xf numFmtId="9" fontId="0" fillId="3" borderId="10" xfId="3" applyFont="1" applyFill="1" applyBorder="1" applyAlignment="1">
      <alignment horizontal="center"/>
    </xf>
    <xf numFmtId="0" fontId="0" fillId="10" borderId="3" xfId="0" applyFill="1" applyBorder="1"/>
    <xf numFmtId="42" fontId="0" fillId="10" borderId="4" xfId="0" applyNumberFormat="1" applyFill="1" applyBorder="1"/>
    <xf numFmtId="0" fontId="0" fillId="10" borderId="5" xfId="0" applyFill="1" applyBorder="1"/>
    <xf numFmtId="42" fontId="0" fillId="10" borderId="6" xfId="0" applyNumberFormat="1" applyFill="1" applyBorder="1"/>
    <xf numFmtId="42" fontId="0" fillId="3" borderId="12" xfId="2" applyFont="1" applyFill="1" applyBorder="1"/>
    <xf numFmtId="42" fontId="0" fillId="0" borderId="0" xfId="0" applyNumberFormat="1"/>
    <xf numFmtId="42" fontId="0" fillId="10" borderId="17" xfId="2" applyFont="1" applyFill="1" applyBorder="1"/>
    <xf numFmtId="42" fontId="0" fillId="3" borderId="1" xfId="2" applyFont="1" applyFill="1" applyBorder="1" applyAlignment="1">
      <alignment horizontal="center"/>
    </xf>
    <xf numFmtId="0" fontId="0" fillId="3" borderId="1" xfId="2" applyNumberFormat="1" applyFont="1" applyFill="1" applyBorder="1" applyAlignment="1">
      <alignment horizontal="center"/>
    </xf>
    <xf numFmtId="42" fontId="0" fillId="3" borderId="0" xfId="2" applyFont="1" applyFill="1" applyAlignment="1">
      <alignment horizontal="center"/>
    </xf>
    <xf numFmtId="0" fontId="0" fillId="3" borderId="0" xfId="2" applyNumberFormat="1" applyFont="1" applyFill="1" applyBorder="1" applyAlignment="1">
      <alignment horizontal="center"/>
    </xf>
    <xf numFmtId="42" fontId="0" fillId="3" borderId="0" xfId="2" applyFont="1" applyFill="1" applyBorder="1"/>
    <xf numFmtId="0" fontId="0" fillId="10" borderId="0" xfId="0" applyFill="1" applyAlignment="1">
      <alignment horizontal="right"/>
    </xf>
    <xf numFmtId="0" fontId="6" fillId="0" borderId="30" xfId="0" applyFont="1" applyBorder="1"/>
    <xf numFmtId="1" fontId="6" fillId="0" borderId="1" xfId="0" applyNumberFormat="1" applyFont="1" applyBorder="1" applyAlignment="1">
      <alignment horizontal="center"/>
    </xf>
    <xf numFmtId="167" fontId="0" fillId="3" borderId="1" xfId="2" applyNumberFormat="1" applyFont="1" applyFill="1" applyBorder="1"/>
    <xf numFmtId="2" fontId="6" fillId="0" borderId="1" xfId="0" applyNumberFormat="1" applyFont="1" applyBorder="1" applyAlignment="1">
      <alignment horizontal="center"/>
    </xf>
    <xf numFmtId="9" fontId="0" fillId="3" borderId="1" xfId="0" applyNumberFormat="1" applyFill="1" applyBorder="1" applyAlignment="1">
      <alignment horizontal="center"/>
    </xf>
    <xf numFmtId="0" fontId="0" fillId="10" borderId="7" xfId="0" applyFill="1" applyBorder="1"/>
    <xf numFmtId="9" fontId="0" fillId="10" borderId="2" xfId="0" applyNumberFormat="1" applyFill="1" applyBorder="1" applyAlignment="1">
      <alignment horizontal="center"/>
    </xf>
    <xf numFmtId="9" fontId="0" fillId="10" borderId="18" xfId="3" applyFont="1" applyFill="1" applyBorder="1" applyAlignment="1">
      <alignment horizontal="center"/>
    </xf>
    <xf numFmtId="9" fontId="0" fillId="3" borderId="11" xfId="0" applyNumberFormat="1" applyFill="1" applyBorder="1" applyAlignment="1">
      <alignment horizontal="center"/>
    </xf>
    <xf numFmtId="165" fontId="7" fillId="10" borderId="0" xfId="0" applyNumberFormat="1" applyFont="1" applyFill="1" applyAlignment="1">
      <alignment vertical="top" wrapText="1"/>
    </xf>
    <xf numFmtId="9" fontId="0" fillId="3" borderId="20" xfId="0" applyNumberFormat="1" applyFill="1" applyBorder="1"/>
    <xf numFmtId="42" fontId="0" fillId="3" borderId="13" xfId="0" applyNumberFormat="1" applyFill="1" applyBorder="1"/>
    <xf numFmtId="42" fontId="0" fillId="3" borderId="14" xfId="0" applyNumberFormat="1" applyFill="1" applyBorder="1"/>
    <xf numFmtId="0" fontId="5" fillId="0" borderId="1" xfId="0" applyFont="1" applyBorder="1" applyAlignment="1">
      <alignment vertical="top" wrapText="1"/>
    </xf>
    <xf numFmtId="165" fontId="5" fillId="0" borderId="1" xfId="0" applyNumberFormat="1" applyFont="1" applyBorder="1" applyAlignment="1">
      <alignment vertical="center" wrapText="1"/>
    </xf>
    <xf numFmtId="3" fontId="5" fillId="0" borderId="1" xfId="0" applyNumberFormat="1" applyFont="1" applyBorder="1" applyAlignment="1">
      <alignment vertical="top" wrapText="1"/>
    </xf>
    <xf numFmtId="0" fontId="0" fillId="3" borderId="1" xfId="2" applyNumberFormat="1" applyFont="1" applyFill="1" applyBorder="1" applyAlignment="1"/>
    <xf numFmtId="42" fontId="0" fillId="3" borderId="1" xfId="2" applyFont="1" applyFill="1" applyBorder="1" applyAlignment="1"/>
    <xf numFmtId="42" fontId="5" fillId="0" borderId="1" xfId="2" applyFont="1" applyBorder="1" applyAlignment="1">
      <alignment vertical="top" wrapText="1"/>
    </xf>
    <xf numFmtId="42" fontId="0" fillId="3" borderId="4" xfId="2" applyFont="1" applyFill="1" applyBorder="1"/>
    <xf numFmtId="0" fontId="5" fillId="0" borderId="1" xfId="0" applyFont="1" applyBorder="1" applyAlignment="1">
      <alignment horizontal="left" vertical="top" wrapText="1"/>
    </xf>
    <xf numFmtId="10" fontId="0" fillId="10" borderId="0" xfId="3" applyNumberFormat="1" applyFont="1" applyFill="1" applyAlignment="1">
      <alignment horizontal="right"/>
    </xf>
    <xf numFmtId="0" fontId="16" fillId="11" borderId="31" xfId="0" applyFont="1" applyFill="1" applyBorder="1"/>
    <xf numFmtId="0" fontId="16" fillId="11" borderId="32" xfId="0" applyFont="1" applyFill="1" applyBorder="1"/>
    <xf numFmtId="0" fontId="16" fillId="11" borderId="33" xfId="0" applyFont="1" applyFill="1" applyBorder="1"/>
    <xf numFmtId="0" fontId="16" fillId="11" borderId="34" xfId="0" applyFont="1" applyFill="1" applyBorder="1"/>
    <xf numFmtId="0" fontId="16" fillId="11" borderId="0" xfId="0" applyFont="1" applyFill="1"/>
    <xf numFmtId="168" fontId="16" fillId="11" borderId="0" xfId="0" applyNumberFormat="1" applyFont="1" applyFill="1"/>
    <xf numFmtId="169" fontId="16" fillId="11" borderId="0" xfId="0" applyNumberFormat="1" applyFont="1" applyFill="1"/>
    <xf numFmtId="169" fontId="16" fillId="11" borderId="35" xfId="0" applyNumberFormat="1" applyFont="1" applyFill="1" applyBorder="1"/>
    <xf numFmtId="0" fontId="16" fillId="12" borderId="36" xfId="0" applyFont="1" applyFill="1" applyBorder="1"/>
    <xf numFmtId="0" fontId="16" fillId="12" borderId="37" xfId="0" applyFont="1" applyFill="1" applyBorder="1"/>
    <xf numFmtId="10" fontId="16" fillId="12" borderId="37" xfId="0" applyNumberFormat="1" applyFont="1" applyFill="1" applyBorder="1"/>
    <xf numFmtId="10" fontId="16" fillId="12" borderId="38" xfId="0" applyNumberFormat="1" applyFont="1" applyFill="1" applyBorder="1"/>
    <xf numFmtId="0" fontId="16" fillId="12" borderId="0" xfId="0" applyFont="1" applyFill="1"/>
    <xf numFmtId="10" fontId="16" fillId="12" borderId="0" xfId="0" applyNumberFormat="1" applyFont="1" applyFill="1"/>
    <xf numFmtId="170" fontId="16" fillId="11" borderId="0" xfId="1" applyNumberFormat="1" applyFont="1" applyFill="1" applyBorder="1"/>
    <xf numFmtId="170" fontId="16" fillId="11" borderId="0" xfId="0" applyNumberFormat="1" applyFont="1" applyFill="1"/>
    <xf numFmtId="0" fontId="11" fillId="11" borderId="0" xfId="0" applyFont="1" applyFill="1" applyAlignment="1">
      <alignment horizontal="left"/>
    </xf>
    <xf numFmtId="0" fontId="17" fillId="11" borderId="0" xfId="0" applyFont="1" applyFill="1"/>
    <xf numFmtId="0" fontId="11" fillId="11" borderId="0" xfId="0" applyFont="1" applyFill="1" applyAlignment="1">
      <alignment horizontal="right"/>
    </xf>
    <xf numFmtId="0" fontId="11" fillId="11" borderId="29" xfId="0" applyFont="1" applyFill="1" applyBorder="1" applyAlignment="1">
      <alignment horizontal="center"/>
    </xf>
    <xf numFmtId="171" fontId="17" fillId="11" borderId="29" xfId="0" applyNumberFormat="1" applyFont="1" applyFill="1" applyBorder="1" applyAlignment="1">
      <alignment horizontal="left"/>
    </xf>
    <xf numFmtId="2" fontId="17" fillId="11" borderId="29" xfId="0" applyNumberFormat="1" applyFont="1" applyFill="1" applyBorder="1" applyAlignment="1">
      <alignment horizontal="center"/>
    </xf>
    <xf numFmtId="0" fontId="17" fillId="11" borderId="39" xfId="0" applyFont="1" applyFill="1" applyBorder="1"/>
    <xf numFmtId="2" fontId="17" fillId="11" borderId="39" xfId="0" applyNumberFormat="1" applyFont="1" applyFill="1" applyBorder="1"/>
    <xf numFmtId="0" fontId="16" fillId="11" borderId="29" xfId="0" applyFont="1" applyFill="1" applyBorder="1"/>
    <xf numFmtId="2" fontId="16" fillId="11" borderId="29" xfId="0" applyNumberFormat="1" applyFont="1" applyFill="1" applyBorder="1"/>
    <xf numFmtId="0" fontId="17" fillId="11" borderId="0" xfId="0" applyFont="1" applyFill="1" applyAlignment="1">
      <alignment vertical="center" wrapText="1"/>
    </xf>
    <xf numFmtId="9" fontId="17" fillId="11" borderId="29" xfId="0" applyNumberFormat="1" applyFont="1" applyFill="1" applyBorder="1" applyAlignment="1">
      <alignment vertical="center" wrapText="1"/>
    </xf>
    <xf numFmtId="0" fontId="11" fillId="11" borderId="0" xfId="0" applyFont="1" applyFill="1" applyAlignment="1">
      <alignment vertical="center" wrapText="1"/>
    </xf>
    <xf numFmtId="166" fontId="17" fillId="11" borderId="0" xfId="0" applyNumberFormat="1" applyFont="1" applyFill="1"/>
    <xf numFmtId="166" fontId="17" fillId="11" borderId="31" xfId="0" applyNumberFormat="1" applyFont="1" applyFill="1" applyBorder="1"/>
    <xf numFmtId="166" fontId="17" fillId="11" borderId="32" xfId="0" applyNumberFormat="1" applyFont="1" applyFill="1" applyBorder="1"/>
    <xf numFmtId="166" fontId="17" fillId="11" borderId="33" xfId="0" applyNumberFormat="1" applyFont="1" applyFill="1" applyBorder="1"/>
    <xf numFmtId="166" fontId="17" fillId="11" borderId="34" xfId="0" applyNumberFormat="1" applyFont="1" applyFill="1" applyBorder="1"/>
    <xf numFmtId="166" fontId="17" fillId="11" borderId="35" xfId="0" applyNumberFormat="1" applyFont="1" applyFill="1" applyBorder="1"/>
    <xf numFmtId="166" fontId="16" fillId="11" borderId="0" xfId="0" applyNumberFormat="1" applyFont="1" applyFill="1"/>
    <xf numFmtId="14" fontId="16" fillId="11" borderId="34" xfId="0" applyNumberFormat="1" applyFont="1" applyFill="1" applyBorder="1"/>
    <xf numFmtId="10" fontId="17" fillId="11" borderId="0" xfId="0" applyNumberFormat="1" applyFont="1" applyFill="1"/>
    <xf numFmtId="10" fontId="17" fillId="11" borderId="35" xfId="0" applyNumberFormat="1" applyFont="1" applyFill="1" applyBorder="1"/>
    <xf numFmtId="166" fontId="17" fillId="11" borderId="36" xfId="0" applyNumberFormat="1" applyFont="1" applyFill="1" applyBorder="1"/>
    <xf numFmtId="172" fontId="17" fillId="11" borderId="37" xfId="0" applyNumberFormat="1" applyFont="1" applyFill="1" applyBorder="1"/>
    <xf numFmtId="172" fontId="17" fillId="11" borderId="38" xfId="0" applyNumberFormat="1" applyFont="1" applyFill="1" applyBorder="1"/>
    <xf numFmtId="166" fontId="11" fillId="11" borderId="0" xfId="0" applyNumberFormat="1" applyFont="1" applyFill="1"/>
    <xf numFmtId="164" fontId="0" fillId="0" borderId="0" xfId="0" applyNumberFormat="1"/>
    <xf numFmtId="170" fontId="0" fillId="3" borderId="0" xfId="0" applyNumberFormat="1" applyFill="1"/>
    <xf numFmtId="10" fontId="0" fillId="0" borderId="0" xfId="3" applyNumberFormat="1" applyFont="1"/>
    <xf numFmtId="9" fontId="5" fillId="0" borderId="0" xfId="3" applyFont="1" applyAlignment="1">
      <alignment vertical="top" wrapText="1"/>
    </xf>
    <xf numFmtId="10" fontId="5" fillId="0" borderId="0" xfId="3" applyNumberFormat="1" applyFont="1" applyAlignment="1">
      <alignment vertical="top" wrapText="1"/>
    </xf>
    <xf numFmtId="165" fontId="5" fillId="10" borderId="0" xfId="0" applyNumberFormat="1" applyFont="1" applyFill="1" applyAlignment="1">
      <alignment vertical="top" wrapText="1"/>
    </xf>
    <xf numFmtId="164" fontId="5" fillId="0" borderId="0" xfId="0" applyNumberFormat="1" applyFont="1" applyAlignment="1">
      <alignment vertical="top" wrapText="1"/>
    </xf>
    <xf numFmtId="0" fontId="0" fillId="10" borderId="3" xfId="0" applyFill="1" applyBorder="1" applyAlignment="1">
      <alignment horizontal="center"/>
    </xf>
    <xf numFmtId="0" fontId="0" fillId="10" borderId="4" xfId="0" applyFill="1" applyBorder="1" applyAlignment="1">
      <alignment horizontal="center"/>
    </xf>
    <xf numFmtId="164" fontId="8" fillId="5" borderId="0" xfId="0" applyNumberFormat="1" applyFont="1" applyFill="1"/>
    <xf numFmtId="0" fontId="5" fillId="10" borderId="0" xfId="0" applyFont="1" applyFill="1" applyAlignment="1">
      <alignment vertical="top" wrapText="1"/>
    </xf>
    <xf numFmtId="3" fontId="5" fillId="10" borderId="0" xfId="0" applyNumberFormat="1" applyFont="1" applyFill="1" applyAlignment="1">
      <alignment vertical="top" wrapText="1"/>
    </xf>
    <xf numFmtId="0" fontId="5" fillId="10" borderId="0" xfId="0" applyFont="1" applyFill="1" applyAlignment="1">
      <alignment vertical="center" wrapText="1"/>
    </xf>
    <xf numFmtId="0" fontId="0" fillId="10" borderId="0" xfId="0" applyFill="1"/>
    <xf numFmtId="0" fontId="5" fillId="13" borderId="0" xfId="0" applyFont="1" applyFill="1" applyAlignment="1">
      <alignment vertical="top" wrapText="1"/>
    </xf>
    <xf numFmtId="0" fontId="5" fillId="10" borderId="0" xfId="0" applyFont="1" applyFill="1" applyAlignment="1">
      <alignment horizontal="left" vertical="top" wrapText="1"/>
    </xf>
    <xf numFmtId="0" fontId="5" fillId="10" borderId="0" xfId="0" applyFont="1" applyFill="1" applyAlignment="1">
      <alignment horizontal="right" vertical="center" wrapText="1"/>
    </xf>
    <xf numFmtId="0" fontId="5" fillId="10" borderId="0" xfId="0" applyFont="1" applyFill="1" applyAlignment="1">
      <alignment horizontal="right" vertical="top" wrapText="1"/>
    </xf>
    <xf numFmtId="0" fontId="6" fillId="10" borderId="0" xfId="0" applyFont="1" applyFill="1"/>
    <xf numFmtId="0" fontId="7" fillId="0" borderId="0" xfId="0" applyFont="1" applyFill="1" applyAlignment="1">
      <alignment vertical="top" wrapText="1"/>
    </xf>
    <xf numFmtId="165" fontId="7" fillId="0" borderId="0" xfId="0" applyNumberFormat="1" applyFont="1" applyFill="1" applyAlignment="1">
      <alignment vertical="top" wrapText="1"/>
    </xf>
    <xf numFmtId="0" fontId="7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top" wrapText="1"/>
    </xf>
    <xf numFmtId="164" fontId="8" fillId="0" borderId="0" xfId="0" applyNumberFormat="1" applyFont="1" applyFill="1"/>
    <xf numFmtId="0" fontId="8" fillId="0" borderId="0" xfId="0" applyFont="1" applyFill="1"/>
    <xf numFmtId="0" fontId="9" fillId="0" borderId="0" xfId="0" applyFont="1" applyFill="1"/>
    <xf numFmtId="3" fontId="7" fillId="0" borderId="0" xfId="0" applyNumberFormat="1" applyFont="1" applyFill="1" applyAlignment="1">
      <alignment vertical="top" wrapText="1"/>
    </xf>
    <xf numFmtId="0" fontId="5" fillId="0" borderId="0" xfId="0" applyFont="1" applyFill="1" applyAlignment="1">
      <alignment vertical="top" wrapText="1"/>
    </xf>
    <xf numFmtId="164" fontId="7" fillId="0" borderId="0" xfId="0" applyNumberFormat="1" applyFont="1" applyFill="1" applyAlignment="1">
      <alignment vertical="center" wrapText="1"/>
    </xf>
    <xf numFmtId="0" fontId="9" fillId="0" borderId="0" xfId="0" applyFont="1" applyFill="1" applyAlignment="1">
      <alignment vertical="center"/>
    </xf>
    <xf numFmtId="8" fontId="7" fillId="0" borderId="0" xfId="0" applyNumberFormat="1" applyFont="1" applyFill="1" applyAlignment="1">
      <alignment vertical="top" wrapText="1"/>
    </xf>
    <xf numFmtId="0" fontId="10" fillId="0" borderId="0" xfId="0" applyFont="1" applyFill="1" applyAlignment="1">
      <alignment horizontal="center" vertical="top" wrapText="1"/>
    </xf>
    <xf numFmtId="3" fontId="5" fillId="0" borderId="0" xfId="0" applyNumberFormat="1" applyFont="1" applyFill="1" applyAlignment="1">
      <alignment vertical="top" wrapText="1"/>
    </xf>
    <xf numFmtId="0" fontId="5" fillId="0" borderId="0" xfId="0" applyFont="1" applyFill="1" applyAlignment="1">
      <alignment vertical="center" wrapText="1"/>
    </xf>
    <xf numFmtId="0" fontId="0" fillId="0" borderId="0" xfId="0" applyFill="1"/>
    <xf numFmtId="165" fontId="5" fillId="0" borderId="0" xfId="0" applyNumberFormat="1" applyFont="1" applyFill="1" applyAlignment="1">
      <alignment vertical="top" wrapText="1"/>
    </xf>
    <xf numFmtId="165" fontId="5" fillId="0" borderId="0" xfId="0" applyNumberFormat="1" applyFont="1" applyFill="1" applyAlignment="1">
      <alignment vertical="center" wrapText="1"/>
    </xf>
    <xf numFmtId="0" fontId="12" fillId="0" borderId="0" xfId="0" applyFont="1" applyFill="1" applyAlignment="1">
      <alignment vertical="top" wrapText="1"/>
    </xf>
    <xf numFmtId="1" fontId="5" fillId="0" borderId="0" xfId="0" applyNumberFormat="1" applyFont="1" applyFill="1" applyAlignment="1">
      <alignment vertical="top" wrapText="1"/>
    </xf>
    <xf numFmtId="166" fontId="5" fillId="0" borderId="0" xfId="0" applyNumberFormat="1" applyFont="1" applyFill="1" applyAlignment="1">
      <alignment vertical="top" wrapText="1"/>
    </xf>
    <xf numFmtId="166" fontId="5" fillId="0" borderId="0" xfId="0" applyNumberFormat="1" applyFont="1" applyFill="1" applyAlignment="1">
      <alignment vertical="center" wrapText="1"/>
    </xf>
    <xf numFmtId="0" fontId="14" fillId="0" borderId="0" xfId="0" applyFont="1" applyFill="1"/>
    <xf numFmtId="0" fontId="5" fillId="0" borderId="0" xfId="0" applyFont="1" applyFill="1" applyAlignment="1">
      <alignment horizontal="left" vertical="top" wrapText="1"/>
    </xf>
    <xf numFmtId="165" fontId="5" fillId="0" borderId="0" xfId="0" applyNumberFormat="1" applyFont="1" applyFill="1" applyAlignment="1">
      <alignment horizontal="right" vertical="center" wrapText="1"/>
    </xf>
    <xf numFmtId="165" fontId="5" fillId="0" borderId="0" xfId="0" applyNumberFormat="1" applyFont="1" applyFill="1" applyAlignment="1">
      <alignment horizontal="right" vertical="top" wrapText="1"/>
    </xf>
    <xf numFmtId="0" fontId="5" fillId="0" borderId="0" xfId="0" applyFont="1" applyFill="1" applyAlignment="1">
      <alignment horizontal="right" vertical="top" wrapText="1"/>
    </xf>
    <xf numFmtId="0" fontId="6" fillId="0" borderId="0" xfId="0" applyFont="1" applyFill="1"/>
    <xf numFmtId="0" fontId="5" fillId="0" borderId="0" xfId="0" applyFont="1" applyFill="1" applyAlignment="1">
      <alignment horizontal="right" vertical="center" wrapText="1"/>
    </xf>
    <xf numFmtId="164" fontId="6" fillId="5" borderId="0" xfId="0" applyNumberFormat="1" applyFont="1" applyFill="1"/>
    <xf numFmtId="164" fontId="6" fillId="10" borderId="0" xfId="0" applyNumberFormat="1" applyFont="1" applyFill="1"/>
    <xf numFmtId="164" fontId="6" fillId="13" borderId="0" xfId="0" applyNumberFormat="1" applyFont="1" applyFill="1"/>
    <xf numFmtId="0" fontId="6" fillId="13" borderId="0" xfId="0" applyFont="1" applyFill="1"/>
    <xf numFmtId="1" fontId="5" fillId="10" borderId="0" xfId="0" applyNumberFormat="1" applyFont="1" applyFill="1" applyAlignment="1">
      <alignment vertical="top" wrapText="1"/>
    </xf>
    <xf numFmtId="3" fontId="7" fillId="10" borderId="0" xfId="0" applyNumberFormat="1" applyFont="1" applyFill="1" applyAlignment="1">
      <alignment vertical="top" wrapText="1"/>
    </xf>
    <xf numFmtId="165" fontId="5" fillId="10" borderId="0" xfId="0" applyNumberFormat="1" applyFont="1" applyFill="1" applyAlignment="1">
      <alignment horizontal="right" vertical="center" wrapText="1"/>
    </xf>
    <xf numFmtId="165" fontId="5" fillId="10" borderId="0" xfId="0" applyNumberFormat="1" applyFont="1" applyFill="1" applyAlignment="1">
      <alignment horizontal="right" vertical="top" wrapText="1"/>
    </xf>
    <xf numFmtId="42" fontId="0" fillId="3" borderId="43" xfId="2" applyFont="1" applyFill="1" applyBorder="1"/>
    <xf numFmtId="42" fontId="0" fillId="3" borderId="44" xfId="2" applyFont="1" applyFill="1" applyBorder="1"/>
    <xf numFmtId="42" fontId="0" fillId="3" borderId="8" xfId="2" applyFont="1" applyFill="1" applyBorder="1"/>
    <xf numFmtId="0" fontId="0" fillId="3" borderId="27" xfId="0" applyFill="1" applyBorder="1"/>
    <xf numFmtId="0" fontId="0" fillId="3" borderId="28" xfId="0" applyFill="1" applyBorder="1"/>
    <xf numFmtId="9" fontId="0" fillId="10" borderId="3" xfId="0" applyNumberFormat="1" applyFill="1" applyBorder="1" applyAlignment="1">
      <alignment horizontal="center"/>
    </xf>
    <xf numFmtId="0" fontId="5" fillId="14" borderId="0" xfId="0" applyFont="1" applyFill="1" applyAlignment="1">
      <alignment vertical="top" wrapText="1"/>
    </xf>
    <xf numFmtId="165" fontId="5" fillId="14" borderId="0" xfId="0" applyNumberFormat="1" applyFont="1" applyFill="1" applyAlignment="1">
      <alignment vertical="top" wrapText="1"/>
    </xf>
    <xf numFmtId="164" fontId="6" fillId="14" borderId="0" xfId="0" applyNumberFormat="1" applyFont="1" applyFill="1"/>
    <xf numFmtId="164" fontId="6" fillId="15" borderId="0" xfId="0" applyNumberFormat="1" applyFont="1" applyFill="1"/>
    <xf numFmtId="0" fontId="6" fillId="15" borderId="0" xfId="0" applyFont="1" applyFill="1"/>
    <xf numFmtId="0" fontId="0" fillId="14" borderId="0" xfId="0" applyFill="1"/>
    <xf numFmtId="0" fontId="7" fillId="14" borderId="0" xfId="0" applyFont="1" applyFill="1" applyAlignment="1">
      <alignment vertical="top" wrapText="1"/>
    </xf>
    <xf numFmtId="165" fontId="7" fillId="14" borderId="0" xfId="0" applyNumberFormat="1" applyFont="1" applyFill="1" applyAlignment="1">
      <alignment vertical="top" wrapText="1"/>
    </xf>
    <xf numFmtId="0" fontId="9" fillId="14" borderId="0" xfId="0" applyFont="1" applyFill="1"/>
    <xf numFmtId="3" fontId="5" fillId="14" borderId="0" xfId="0" applyNumberFormat="1" applyFont="1" applyFill="1" applyAlignment="1">
      <alignment vertical="top" wrapText="1"/>
    </xf>
    <xf numFmtId="0" fontId="5" fillId="15" borderId="0" xfId="0" applyFont="1" applyFill="1" applyAlignment="1">
      <alignment vertical="top" wrapText="1"/>
    </xf>
    <xf numFmtId="0" fontId="12" fillId="14" borderId="0" xfId="0" applyFont="1" applyFill="1" applyAlignment="1">
      <alignment vertical="top" wrapText="1"/>
    </xf>
    <xf numFmtId="0" fontId="5" fillId="14" borderId="0" xfId="0" applyFont="1" applyFill="1" applyAlignment="1">
      <alignment horizontal="left" vertical="top" wrapText="1"/>
    </xf>
    <xf numFmtId="0" fontId="5" fillId="16" borderId="0" xfId="0" applyFont="1" applyFill="1" applyAlignment="1">
      <alignment horizontal="left" vertical="top" wrapText="1"/>
    </xf>
    <xf numFmtId="0" fontId="5" fillId="16" borderId="0" xfId="0" applyFont="1" applyFill="1" applyAlignment="1">
      <alignment vertical="top" wrapText="1"/>
    </xf>
    <xf numFmtId="3" fontId="5" fillId="16" borderId="0" xfId="0" applyNumberFormat="1" applyFont="1" applyFill="1" applyAlignment="1">
      <alignment vertical="top" wrapText="1"/>
    </xf>
    <xf numFmtId="0" fontId="5" fillId="17" borderId="0" xfId="0" applyFont="1" applyFill="1" applyAlignment="1">
      <alignment vertical="top" wrapText="1"/>
    </xf>
    <xf numFmtId="164" fontId="6" fillId="16" borderId="0" xfId="0" applyNumberFormat="1" applyFont="1" applyFill="1"/>
    <xf numFmtId="164" fontId="6" fillId="17" borderId="0" xfId="0" applyNumberFormat="1" applyFont="1" applyFill="1"/>
    <xf numFmtId="0" fontId="0" fillId="16" borderId="0" xfId="0" applyFill="1"/>
    <xf numFmtId="0" fontId="5" fillId="18" borderId="0" xfId="0" applyFont="1" applyFill="1" applyAlignment="1">
      <alignment vertical="top" wrapText="1"/>
    </xf>
    <xf numFmtId="3" fontId="5" fillId="18" borderId="0" xfId="0" applyNumberFormat="1" applyFont="1" applyFill="1" applyAlignment="1">
      <alignment vertical="top" wrapText="1"/>
    </xf>
    <xf numFmtId="164" fontId="6" fillId="18" borderId="0" xfId="0" applyNumberFormat="1" applyFont="1" applyFill="1"/>
    <xf numFmtId="164" fontId="6" fillId="19" borderId="0" xfId="0" applyNumberFormat="1" applyFont="1" applyFill="1"/>
    <xf numFmtId="0" fontId="6" fillId="19" borderId="0" xfId="0" applyFont="1" applyFill="1"/>
    <xf numFmtId="0" fontId="0" fillId="18" borderId="0" xfId="0" applyFill="1"/>
    <xf numFmtId="165" fontId="5" fillId="18" borderId="0" xfId="0" applyNumberFormat="1" applyFont="1" applyFill="1" applyAlignment="1">
      <alignment vertical="top" wrapText="1"/>
    </xf>
    <xf numFmtId="0" fontId="12" fillId="18" borderId="0" xfId="0" applyFont="1" applyFill="1" applyAlignment="1">
      <alignment vertical="top" wrapText="1"/>
    </xf>
    <xf numFmtId="0" fontId="5" fillId="19" borderId="0" xfId="0" applyFont="1" applyFill="1" applyAlignment="1">
      <alignment vertical="top" wrapText="1"/>
    </xf>
    <xf numFmtId="0" fontId="5" fillId="18" borderId="0" xfId="0" applyFont="1" applyFill="1" applyAlignment="1">
      <alignment horizontal="left" vertical="top" wrapText="1"/>
    </xf>
    <xf numFmtId="9" fontId="0" fillId="10" borderId="45" xfId="0" applyNumberFormat="1" applyFill="1" applyBorder="1" applyAlignment="1">
      <alignment horizontal="center"/>
    </xf>
    <xf numFmtId="0" fontId="0" fillId="10" borderId="42" xfId="0" applyFill="1" applyBorder="1" applyAlignment="1">
      <alignment horizontal="center"/>
    </xf>
    <xf numFmtId="42" fontId="0" fillId="3" borderId="46" xfId="0" applyNumberFormat="1" applyFill="1" applyBorder="1"/>
    <xf numFmtId="42" fontId="0" fillId="3" borderId="42" xfId="0" applyNumberFormat="1" applyFill="1" applyBorder="1"/>
    <xf numFmtId="42" fontId="0" fillId="3" borderId="3" xfId="0" applyNumberFormat="1" applyFill="1" applyBorder="1"/>
    <xf numFmtId="42" fontId="0" fillId="3" borderId="45" xfId="0" applyNumberFormat="1" applyFill="1" applyBorder="1"/>
    <xf numFmtId="0" fontId="0" fillId="10" borderId="15" xfId="0" applyFill="1" applyBorder="1" applyAlignment="1">
      <alignment horizontal="right"/>
    </xf>
    <xf numFmtId="0" fontId="0" fillId="10" borderId="16" xfId="0" applyFill="1" applyBorder="1" applyAlignment="1">
      <alignment horizontal="right"/>
    </xf>
    <xf numFmtId="0" fontId="0" fillId="10" borderId="15" xfId="0" applyFill="1" applyBorder="1" applyAlignment="1">
      <alignment horizontal="center"/>
    </xf>
    <xf numFmtId="0" fontId="0" fillId="10" borderId="16" xfId="0" applyFill="1" applyBorder="1" applyAlignment="1">
      <alignment horizontal="center"/>
    </xf>
    <xf numFmtId="0" fontId="16" fillId="11" borderId="0" xfId="0" applyFont="1" applyFill="1" applyAlignment="1">
      <alignment horizontal="center"/>
    </xf>
    <xf numFmtId="0" fontId="8" fillId="0" borderId="0" xfId="0" applyFont="1"/>
    <xf numFmtId="0" fontId="0" fillId="2" borderId="27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9" fontId="0" fillId="2" borderId="1" xfId="3" applyFont="1" applyFill="1" applyBorder="1" applyAlignment="1">
      <alignment horizontal="center"/>
    </xf>
    <xf numFmtId="9" fontId="0" fillId="2" borderId="11" xfId="3" applyFont="1" applyFill="1" applyBorder="1" applyAlignment="1">
      <alignment horizontal="center"/>
    </xf>
    <xf numFmtId="0" fontId="2" fillId="10" borderId="22" xfId="0" applyFont="1" applyFill="1" applyBorder="1" applyAlignment="1">
      <alignment horizontal="center" vertical="center"/>
    </xf>
    <xf numFmtId="0" fontId="2" fillId="10" borderId="24" xfId="0" applyFont="1" applyFill="1" applyBorder="1" applyAlignment="1">
      <alignment horizontal="center" vertical="center"/>
    </xf>
    <xf numFmtId="9" fontId="0" fillId="2" borderId="7" xfId="0" applyNumberFormat="1" applyFill="1" applyBorder="1" applyAlignment="1">
      <alignment horizontal="center"/>
    </xf>
    <xf numFmtId="9" fontId="0" fillId="2" borderId="8" xfId="0" applyNumberFormat="1" applyFill="1" applyBorder="1" applyAlignment="1">
      <alignment horizontal="center"/>
    </xf>
    <xf numFmtId="9" fontId="0" fillId="2" borderId="12" xfId="0" applyNumberFormat="1" applyFill="1" applyBorder="1" applyAlignment="1">
      <alignment horizontal="center"/>
    </xf>
    <xf numFmtId="0" fontId="0" fillId="10" borderId="17" xfId="0" applyFill="1" applyBorder="1" applyAlignment="1">
      <alignment horizontal="center"/>
    </xf>
    <xf numFmtId="0" fontId="2" fillId="10" borderId="20" xfId="0" applyFont="1" applyFill="1" applyBorder="1" applyAlignment="1">
      <alignment horizontal="center"/>
    </xf>
    <xf numFmtId="0" fontId="2" fillId="10" borderId="21" xfId="0" applyFont="1" applyFill="1" applyBorder="1" applyAlignment="1">
      <alignment horizontal="center"/>
    </xf>
    <xf numFmtId="0" fontId="2" fillId="10" borderId="19" xfId="0" applyFont="1" applyFill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0" fillId="0" borderId="0" xfId="0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42" fontId="0" fillId="3" borderId="47" xfId="0" applyNumberFormat="1" applyFill="1" applyBorder="1"/>
    <xf numFmtId="42" fontId="0" fillId="3" borderId="48" xfId="0" applyNumberFormat="1" applyFill="1" applyBorder="1"/>
    <xf numFmtId="42" fontId="0" fillId="3" borderId="49" xfId="0" applyNumberFormat="1" applyFill="1" applyBorder="1"/>
    <xf numFmtId="0" fontId="18" fillId="10" borderId="1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/>
    </xf>
    <xf numFmtId="42" fontId="18" fillId="3" borderId="1" xfId="2" applyFont="1" applyFill="1" applyBorder="1"/>
    <xf numFmtId="9" fontId="18" fillId="3" borderId="1" xfId="3" applyNumberFormat="1" applyFont="1" applyFill="1" applyBorder="1"/>
    <xf numFmtId="0" fontId="18" fillId="3" borderId="0" xfId="0" applyFont="1" applyFill="1"/>
    <xf numFmtId="42" fontId="18" fillId="3" borderId="1" xfId="0" applyNumberFormat="1" applyFont="1" applyFill="1" applyBorder="1"/>
    <xf numFmtId="9" fontId="18" fillId="3" borderId="1" xfId="0" applyNumberFormat="1" applyFont="1" applyFill="1" applyBorder="1"/>
    <xf numFmtId="9" fontId="18" fillId="3" borderId="1" xfId="3" applyFont="1" applyFill="1" applyBorder="1" applyAlignment="1">
      <alignment horizontal="center"/>
    </xf>
    <xf numFmtId="42" fontId="18" fillId="10" borderId="1" xfId="2" applyFont="1" applyFill="1" applyBorder="1" applyAlignment="1">
      <alignment horizontal="center" vertical="center"/>
    </xf>
    <xf numFmtId="0" fontId="18" fillId="3" borderId="1" xfId="0" applyFont="1" applyFill="1" applyBorder="1"/>
    <xf numFmtId="1" fontId="18" fillId="3" borderId="1" xfId="0" applyNumberFormat="1" applyFont="1" applyFill="1" applyBorder="1" applyAlignment="1">
      <alignment horizontal="center" vertical="center"/>
    </xf>
    <xf numFmtId="0" fontId="18" fillId="3" borderId="0" xfId="0" applyFont="1" applyFill="1" applyAlignment="1">
      <alignment horizontal="center"/>
    </xf>
    <xf numFmtId="171" fontId="18" fillId="3" borderId="1" xfId="0" applyNumberFormat="1" applyFont="1" applyFill="1" applyBorder="1" applyAlignment="1">
      <alignment horizontal="center" vertical="center"/>
    </xf>
    <xf numFmtId="42" fontId="18" fillId="3" borderId="0" xfId="0" applyNumberFormat="1" applyFont="1" applyFill="1"/>
    <xf numFmtId="0" fontId="18" fillId="10" borderId="7" xfId="0" applyFont="1" applyFill="1" applyBorder="1" applyAlignment="1">
      <alignment horizontal="center" vertical="center" wrapText="1"/>
    </xf>
    <xf numFmtId="0" fontId="18" fillId="10" borderId="8" xfId="0" applyFont="1" applyFill="1" applyBorder="1" applyAlignment="1">
      <alignment horizontal="center" vertical="center" wrapText="1"/>
    </xf>
    <xf numFmtId="0" fontId="18" fillId="10" borderId="8" xfId="0" applyFont="1" applyFill="1" applyBorder="1" applyAlignment="1">
      <alignment horizontal="center" vertical="center"/>
    </xf>
    <xf numFmtId="0" fontId="18" fillId="10" borderId="12" xfId="0" applyFont="1" applyFill="1" applyBorder="1" applyAlignment="1">
      <alignment horizontal="center" vertical="center"/>
    </xf>
    <xf numFmtId="0" fontId="18" fillId="3" borderId="40" xfId="0" applyFont="1" applyFill="1" applyBorder="1"/>
    <xf numFmtId="42" fontId="18" fillId="3" borderId="9" xfId="2" applyFont="1" applyFill="1" applyBorder="1"/>
    <xf numFmtId="42" fontId="18" fillId="3" borderId="13" xfId="0" applyNumberFormat="1" applyFont="1" applyFill="1" applyBorder="1"/>
    <xf numFmtId="42" fontId="18" fillId="3" borderId="0" xfId="2" applyFont="1" applyFill="1"/>
    <xf numFmtId="42" fontId="18" fillId="3" borderId="0" xfId="3" applyNumberFormat="1" applyFont="1" applyFill="1"/>
    <xf numFmtId="0" fontId="18" fillId="3" borderId="41" xfId="0" applyFont="1" applyFill="1" applyBorder="1"/>
    <xf numFmtId="42" fontId="18" fillId="3" borderId="10" xfId="0" applyNumberFormat="1" applyFont="1" applyFill="1" applyBorder="1"/>
    <xf numFmtId="42" fontId="18" fillId="3" borderId="11" xfId="0" applyNumberFormat="1" applyFont="1" applyFill="1" applyBorder="1"/>
    <xf numFmtId="42" fontId="18" fillId="3" borderId="14" xfId="0" applyNumberFormat="1" applyFont="1" applyFill="1" applyBorder="1"/>
    <xf numFmtId="0" fontId="18" fillId="10" borderId="1" xfId="0" applyFont="1" applyFill="1" applyBorder="1" applyAlignment="1">
      <alignment horizontal="center" vertical="center" wrapText="1"/>
    </xf>
    <xf numFmtId="0" fontId="18" fillId="10" borderId="0" xfId="0" applyFont="1" applyFill="1" applyAlignment="1">
      <alignment horizontal="center"/>
    </xf>
    <xf numFmtId="0" fontId="18" fillId="10" borderId="1" xfId="0" applyFont="1" applyFill="1" applyBorder="1"/>
    <xf numFmtId="1" fontId="18" fillId="3" borderId="1" xfId="0" applyNumberFormat="1" applyFont="1" applyFill="1" applyBorder="1" applyAlignment="1">
      <alignment horizontal="center"/>
    </xf>
    <xf numFmtId="0" fontId="18" fillId="10" borderId="1" xfId="0" applyFont="1" applyFill="1" applyBorder="1" applyAlignment="1">
      <alignment horizontal="center"/>
    </xf>
    <xf numFmtId="9" fontId="18" fillId="3" borderId="0" xfId="3" applyFont="1" applyFill="1"/>
    <xf numFmtId="9" fontId="18" fillId="3" borderId="0" xfId="2" applyNumberFormat="1" applyFont="1" applyFill="1"/>
    <xf numFmtId="9" fontId="18" fillId="3" borderId="0" xfId="0" applyNumberFormat="1" applyFont="1" applyFill="1"/>
    <xf numFmtId="8" fontId="18" fillId="3" borderId="0" xfId="0" applyNumberFormat="1" applyFont="1" applyFill="1"/>
    <xf numFmtId="42" fontId="19" fillId="3" borderId="0" xfId="0" applyNumberFormat="1" applyFont="1" applyFill="1"/>
    <xf numFmtId="9" fontId="19" fillId="3" borderId="0" xfId="3" applyFont="1" applyFill="1"/>
    <xf numFmtId="0" fontId="19" fillId="3" borderId="0" xfId="0" applyFont="1" applyFill="1"/>
  </cellXfs>
  <cellStyles count="4">
    <cellStyle name="Moneda" xfId="1" builtinId="4"/>
    <cellStyle name="Moneda [0]" xfId="2" builtinId="7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2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worksheet" Target="worksheets/sheet5.xml"/><Relationship Id="rId11" Type="http://schemas.openxmlformats.org/officeDocument/2006/relationships/calcChain" Target="calcChain.xml"/><Relationship Id="rId5" Type="http://schemas.openxmlformats.org/officeDocument/2006/relationships/worksheet" Target="worksheets/sheet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Punto de Equilibrio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'Modelo Financiero'!$D$39</c:f>
              <c:strCache>
                <c:ptCount val="1"/>
                <c:pt idx="0">
                  <c:v>Ventas Restauracion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'Modelo Financiero'!$C$40:$C$61</c:f>
              <c:numCache>
                <c:formatCode>General</c:formatCode>
                <c:ptCount val="22"/>
                <c:pt idx="0">
                  <c:v>13</c:v>
                </c:pt>
                <c:pt idx="1">
                  <c:v>26</c:v>
                </c:pt>
                <c:pt idx="2">
                  <c:v>39</c:v>
                </c:pt>
                <c:pt idx="3">
                  <c:v>52</c:v>
                </c:pt>
                <c:pt idx="4">
                  <c:v>65</c:v>
                </c:pt>
                <c:pt idx="5">
                  <c:v>78</c:v>
                </c:pt>
                <c:pt idx="6">
                  <c:v>91</c:v>
                </c:pt>
                <c:pt idx="7">
                  <c:v>104</c:v>
                </c:pt>
                <c:pt idx="8">
                  <c:v>117</c:v>
                </c:pt>
                <c:pt idx="9">
                  <c:v>130</c:v>
                </c:pt>
                <c:pt idx="10">
                  <c:v>143</c:v>
                </c:pt>
                <c:pt idx="11">
                  <c:v>156</c:v>
                </c:pt>
                <c:pt idx="12">
                  <c:v>169</c:v>
                </c:pt>
                <c:pt idx="13">
                  <c:v>182</c:v>
                </c:pt>
                <c:pt idx="14">
                  <c:v>195</c:v>
                </c:pt>
                <c:pt idx="15">
                  <c:v>208</c:v>
                </c:pt>
                <c:pt idx="16">
                  <c:v>221</c:v>
                </c:pt>
                <c:pt idx="17">
                  <c:v>234</c:v>
                </c:pt>
                <c:pt idx="18">
                  <c:v>247</c:v>
                </c:pt>
                <c:pt idx="19">
                  <c:v>260</c:v>
                </c:pt>
                <c:pt idx="20">
                  <c:v>273</c:v>
                </c:pt>
                <c:pt idx="21">
                  <c:v>286</c:v>
                </c:pt>
              </c:numCache>
            </c:numRef>
          </c:cat>
          <c:val>
            <c:numRef>
              <c:f>'Modelo Financiero'!$D$40:$D$61</c:f>
              <c:numCache>
                <c:formatCode>_("$"* #,##0_);_("$"* \(#,##0\);_("$"* "-"_);_(@_)</c:formatCode>
                <c:ptCount val="22"/>
                <c:pt idx="0">
                  <c:v>2577806851.1333985</c:v>
                </c:pt>
                <c:pt idx="1">
                  <c:v>5155613702.2667971</c:v>
                </c:pt>
                <c:pt idx="2">
                  <c:v>7733420553.4001961</c:v>
                </c:pt>
                <c:pt idx="3">
                  <c:v>10311227404.533594</c:v>
                </c:pt>
                <c:pt idx="4">
                  <c:v>12889034255.666994</c:v>
                </c:pt>
                <c:pt idx="5">
                  <c:v>15466841106.800392</c:v>
                </c:pt>
                <c:pt idx="6">
                  <c:v>18044647957.933792</c:v>
                </c:pt>
                <c:pt idx="7">
                  <c:v>20622454809.067188</c:v>
                </c:pt>
                <c:pt idx="8">
                  <c:v>23200261660.200588</c:v>
                </c:pt>
                <c:pt idx="9">
                  <c:v>25778068511.333988</c:v>
                </c:pt>
                <c:pt idx="10">
                  <c:v>28355875362.467384</c:v>
                </c:pt>
                <c:pt idx="11">
                  <c:v>30933682213.600784</c:v>
                </c:pt>
                <c:pt idx="12">
                  <c:v>33511489064.734184</c:v>
                </c:pt>
                <c:pt idx="13">
                  <c:v>36089295915.867584</c:v>
                </c:pt>
                <c:pt idx="14">
                  <c:v>38667102767.000977</c:v>
                </c:pt>
                <c:pt idx="15">
                  <c:v>41244909618.134377</c:v>
                </c:pt>
                <c:pt idx="16">
                  <c:v>43822716469.267776</c:v>
                </c:pt>
                <c:pt idx="17">
                  <c:v>46400523320.401176</c:v>
                </c:pt>
                <c:pt idx="18">
                  <c:v>48978330171.534576</c:v>
                </c:pt>
                <c:pt idx="19">
                  <c:v>51556137022.667976</c:v>
                </c:pt>
                <c:pt idx="20">
                  <c:v>54133943873.801369</c:v>
                </c:pt>
                <c:pt idx="21">
                  <c:v>56711750724.934769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91-594C-9479-E4288F94EA99}"/>
            </c:ext>
          </c:extLst>
        </c:ser>
        <c:ser>
          <c:idx val="1"/>
          <c:order val="1"/>
          <c:tx>
            <c:strRef>
              <c:f>'Modelo Financiero'!$E$39</c:f>
              <c:strCache>
                <c:ptCount val="1"/>
                <c:pt idx="0">
                  <c:v>Costos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'Modelo Financiero'!$C$40:$C$61</c:f>
              <c:numCache>
                <c:formatCode>General</c:formatCode>
                <c:ptCount val="22"/>
                <c:pt idx="0">
                  <c:v>13</c:v>
                </c:pt>
                <c:pt idx="1">
                  <c:v>26</c:v>
                </c:pt>
                <c:pt idx="2">
                  <c:v>39</c:v>
                </c:pt>
                <c:pt idx="3">
                  <c:v>52</c:v>
                </c:pt>
                <c:pt idx="4">
                  <c:v>65</c:v>
                </c:pt>
                <c:pt idx="5">
                  <c:v>78</c:v>
                </c:pt>
                <c:pt idx="6">
                  <c:v>91</c:v>
                </c:pt>
                <c:pt idx="7">
                  <c:v>104</c:v>
                </c:pt>
                <c:pt idx="8">
                  <c:v>117</c:v>
                </c:pt>
                <c:pt idx="9">
                  <c:v>130</c:v>
                </c:pt>
                <c:pt idx="10">
                  <c:v>143</c:v>
                </c:pt>
                <c:pt idx="11">
                  <c:v>156</c:v>
                </c:pt>
                <c:pt idx="12">
                  <c:v>169</c:v>
                </c:pt>
                <c:pt idx="13">
                  <c:v>182</c:v>
                </c:pt>
                <c:pt idx="14">
                  <c:v>195</c:v>
                </c:pt>
                <c:pt idx="15">
                  <c:v>208</c:v>
                </c:pt>
                <c:pt idx="16">
                  <c:v>221</c:v>
                </c:pt>
                <c:pt idx="17">
                  <c:v>234</c:v>
                </c:pt>
                <c:pt idx="18">
                  <c:v>247</c:v>
                </c:pt>
                <c:pt idx="19">
                  <c:v>260</c:v>
                </c:pt>
                <c:pt idx="20">
                  <c:v>273</c:v>
                </c:pt>
                <c:pt idx="21">
                  <c:v>286</c:v>
                </c:pt>
              </c:numCache>
            </c:numRef>
          </c:cat>
          <c:val>
            <c:numRef>
              <c:f>'Modelo Financiero'!$E$40:$E$61</c:f>
              <c:numCache>
                <c:formatCode>_("$"* #,##0_);_("$"* \(#,##0\);_("$"* "-"_);_(@_)</c:formatCode>
                <c:ptCount val="22"/>
                <c:pt idx="0">
                  <c:v>6471783270.3513575</c:v>
                </c:pt>
                <c:pt idx="1">
                  <c:v>7636396036.4998055</c:v>
                </c:pt>
                <c:pt idx="2">
                  <c:v>8801008802.6482525</c:v>
                </c:pt>
                <c:pt idx="3">
                  <c:v>9965621568.7966995</c:v>
                </c:pt>
                <c:pt idx="4">
                  <c:v>11130234334.945148</c:v>
                </c:pt>
                <c:pt idx="5">
                  <c:v>12294847101.093597</c:v>
                </c:pt>
                <c:pt idx="6">
                  <c:v>13459459867.242044</c:v>
                </c:pt>
                <c:pt idx="7">
                  <c:v>14624072633.390491</c:v>
                </c:pt>
                <c:pt idx="8">
                  <c:v>15788685399.53894</c:v>
                </c:pt>
                <c:pt idx="9">
                  <c:v>16953298165.687387</c:v>
                </c:pt>
                <c:pt idx="10">
                  <c:v>18117910931.835838</c:v>
                </c:pt>
                <c:pt idx="11">
                  <c:v>19282523697.984283</c:v>
                </c:pt>
                <c:pt idx="12">
                  <c:v>20447136464.132729</c:v>
                </c:pt>
                <c:pt idx="13">
                  <c:v>21611749230.281181</c:v>
                </c:pt>
                <c:pt idx="14">
                  <c:v>22776361996.429626</c:v>
                </c:pt>
                <c:pt idx="15">
                  <c:v>23940974762.578072</c:v>
                </c:pt>
                <c:pt idx="16">
                  <c:v>25105587528.726524</c:v>
                </c:pt>
                <c:pt idx="17">
                  <c:v>26270200294.874969</c:v>
                </c:pt>
                <c:pt idx="18">
                  <c:v>27434813061.023422</c:v>
                </c:pt>
                <c:pt idx="19">
                  <c:v>28599425827.171867</c:v>
                </c:pt>
                <c:pt idx="20">
                  <c:v>29764038593.320312</c:v>
                </c:pt>
                <c:pt idx="21">
                  <c:v>30928651359.468765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91-594C-9479-E4288F94EA99}"/>
            </c:ext>
          </c:extLst>
        </c:ser>
        <c:ser>
          <c:idx val="2"/>
          <c:order val="2"/>
          <c:tx>
            <c:strRef>
              <c:f>'Modelo Financiero'!$F$39</c:f>
              <c:strCache>
                <c:ptCount val="1"/>
                <c:pt idx="0">
                  <c:v>Utilidad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'Modelo Financiero'!$C$40:$C$61</c:f>
              <c:numCache>
                <c:formatCode>General</c:formatCode>
                <c:ptCount val="22"/>
                <c:pt idx="0">
                  <c:v>13</c:v>
                </c:pt>
                <c:pt idx="1">
                  <c:v>26</c:v>
                </c:pt>
                <c:pt idx="2">
                  <c:v>39</c:v>
                </c:pt>
                <c:pt idx="3">
                  <c:v>52</c:v>
                </c:pt>
                <c:pt idx="4">
                  <c:v>65</c:v>
                </c:pt>
                <c:pt idx="5">
                  <c:v>78</c:v>
                </c:pt>
                <c:pt idx="6">
                  <c:v>91</c:v>
                </c:pt>
                <c:pt idx="7">
                  <c:v>104</c:v>
                </c:pt>
                <c:pt idx="8">
                  <c:v>117</c:v>
                </c:pt>
                <c:pt idx="9">
                  <c:v>130</c:v>
                </c:pt>
                <c:pt idx="10">
                  <c:v>143</c:v>
                </c:pt>
                <c:pt idx="11">
                  <c:v>156</c:v>
                </c:pt>
                <c:pt idx="12">
                  <c:v>169</c:v>
                </c:pt>
                <c:pt idx="13">
                  <c:v>182</c:v>
                </c:pt>
                <c:pt idx="14">
                  <c:v>195</c:v>
                </c:pt>
                <c:pt idx="15">
                  <c:v>208</c:v>
                </c:pt>
                <c:pt idx="16">
                  <c:v>221</c:v>
                </c:pt>
                <c:pt idx="17">
                  <c:v>234</c:v>
                </c:pt>
                <c:pt idx="18">
                  <c:v>247</c:v>
                </c:pt>
                <c:pt idx="19">
                  <c:v>260</c:v>
                </c:pt>
                <c:pt idx="20">
                  <c:v>273</c:v>
                </c:pt>
                <c:pt idx="21">
                  <c:v>286</c:v>
                </c:pt>
              </c:numCache>
            </c:numRef>
          </c:cat>
          <c:val>
            <c:numRef>
              <c:f>'Modelo Financiero'!$F$40:$F$61</c:f>
              <c:numCache>
                <c:formatCode>_("$"* #,##0_);_("$"* \(#,##0\);_("$"* "-"_);_(@_)</c:formatCode>
                <c:ptCount val="22"/>
                <c:pt idx="0">
                  <c:v>-3893976419.2179589</c:v>
                </c:pt>
                <c:pt idx="1">
                  <c:v>-2480782334.2330084</c:v>
                </c:pt>
                <c:pt idx="2">
                  <c:v>-1067588249.2480564</c:v>
                </c:pt>
                <c:pt idx="3">
                  <c:v>345605835.73689461</c:v>
                </c:pt>
                <c:pt idx="4">
                  <c:v>1758799920.7218456</c:v>
                </c:pt>
                <c:pt idx="5">
                  <c:v>3171994005.7067947</c:v>
                </c:pt>
                <c:pt idx="6">
                  <c:v>4585188090.6917477</c:v>
                </c:pt>
                <c:pt idx="7">
                  <c:v>5998382175.6766968</c:v>
                </c:pt>
                <c:pt idx="8">
                  <c:v>7411576260.6616478</c:v>
                </c:pt>
                <c:pt idx="9">
                  <c:v>8824770345.6466007</c:v>
                </c:pt>
                <c:pt idx="10">
                  <c:v>10237964430.631546</c:v>
                </c:pt>
                <c:pt idx="11">
                  <c:v>11651158515.616501</c:v>
                </c:pt>
                <c:pt idx="12">
                  <c:v>13064352600.601456</c:v>
                </c:pt>
                <c:pt idx="13">
                  <c:v>14477546685.586403</c:v>
                </c:pt>
                <c:pt idx="14">
                  <c:v>15890740770.57135</c:v>
                </c:pt>
                <c:pt idx="15">
                  <c:v>17303934855.556305</c:v>
                </c:pt>
                <c:pt idx="16">
                  <c:v>18717128940.541252</c:v>
                </c:pt>
                <c:pt idx="17">
                  <c:v>20130323025.526207</c:v>
                </c:pt>
                <c:pt idx="18">
                  <c:v>21543517110.511154</c:v>
                </c:pt>
                <c:pt idx="19">
                  <c:v>22956711195.496109</c:v>
                </c:pt>
                <c:pt idx="20">
                  <c:v>24369905280.481056</c:v>
                </c:pt>
                <c:pt idx="21">
                  <c:v>25783099365.466003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91-594C-9479-E4288F94EA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98916575"/>
        <c:axId val="1698931327"/>
      </c:lineChart>
      <c:catAx>
        <c:axId val="16989165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8931327"/>
        <c:crosses val="autoZero"/>
        <c:auto val="1"/>
        <c:lblAlgn val="ctr"/>
        <c:lblOffset val="100"/>
        <c:noMultiLvlLbl val="0"/>
      </c:catAx>
      <c:valAx>
        <c:axId val="16989313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_);_(&quot;$&quot;* \(#,##0\);_(&quot;$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89165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26D358C-D54F-7147-85B8-742C04FD1D77}">
  <sheetPr/>
  <sheetViews>
    <sheetView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2051" cy="6284872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85B0608-2946-721D-362F-D441061322F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0.24425</cdr:x>
      <cdr:y>0.06884</cdr:y>
    </cdr:from>
    <cdr:to>
      <cdr:x>0.26162</cdr:x>
      <cdr:y>0.85005</cdr:y>
    </cdr:to>
    <cdr:cxnSp macro="">
      <cdr:nvCxnSpPr>
        <cdr:cNvPr id="3" name="Conector recto 2">
          <a:extLst xmlns:a="http://schemas.openxmlformats.org/drawingml/2006/main">
            <a:ext uri="{FF2B5EF4-FFF2-40B4-BE49-F238E27FC236}">
              <a16:creationId xmlns:a16="http://schemas.microsoft.com/office/drawing/2014/main" id="{D1744503-CC51-187B-E3F5-4A0088A49ED9}"/>
            </a:ext>
          </a:extLst>
        </cdr:cNvPr>
        <cdr:cNvCxnSpPr/>
      </cdr:nvCxnSpPr>
      <cdr:spPr>
        <a:xfrm xmlns:a="http://schemas.openxmlformats.org/drawingml/2006/main" flipH="1">
          <a:off x="2116667" y="432742"/>
          <a:ext cx="150518" cy="4910666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dwinmolinamoya/Downloads/Estructura%20de%20costos%20Modelo%20de%20Habitat_20220913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lación"/>
      <sheetName val="Parámetros"/>
      <sheetName val="Restauración"/>
      <sheetName val="Conservación"/>
      <sheetName val="Uso Sostenible"/>
    </sheetNames>
    <sheetDataSet>
      <sheetData sheetId="0">
        <row r="32">
          <cell r="B32">
            <v>0</v>
          </cell>
          <cell r="C32">
            <v>4.3813668282068868E-2</v>
          </cell>
          <cell r="D32">
            <v>4.478851077667001E-2</v>
          </cell>
          <cell r="E32">
            <v>4.5636058166229926E-2</v>
          </cell>
          <cell r="F32">
            <v>4.6356310450748617E-2</v>
          </cell>
          <cell r="G32">
            <v>4.6949267630226089E-2</v>
          </cell>
          <cell r="H32">
            <v>4.741492970466233E-2</v>
          </cell>
          <cell r="I32">
            <v>4.7753296674057345E-2</v>
          </cell>
          <cell r="J32">
            <v>4.7964368538411135E-2</v>
          </cell>
          <cell r="K32">
            <v>4.80481452977237E-2</v>
          </cell>
          <cell r="L32">
            <v>4.800462695199504E-2</v>
          </cell>
          <cell r="M32">
            <v>4.7833813501225161E-2</v>
          </cell>
          <cell r="N32">
            <v>4.7535704945414051E-2</v>
          </cell>
          <cell r="O32">
            <v>4.7110301284561715E-2</v>
          </cell>
          <cell r="P32">
            <v>4.6557602518668154E-2</v>
          </cell>
          <cell r="Q32">
            <v>4.5877608647733367E-2</v>
          </cell>
          <cell r="R32">
            <v>4.5070319671757356E-2</v>
          </cell>
          <cell r="S32">
            <v>4.4135735590740119E-2</v>
          </cell>
          <cell r="T32">
            <v>4.3073856404681657E-2</v>
          </cell>
          <cell r="U32">
            <v>4.188468211358197E-2</v>
          </cell>
          <cell r="V32">
            <v>4.0568212717441057E-2</v>
          </cell>
          <cell r="W32">
            <v>3.912444821625892E-2</v>
          </cell>
          <cell r="X32">
            <v>3.7553388610035564E-2</v>
          </cell>
          <cell r="Y32">
            <v>3.5855033898770976E-2</v>
          </cell>
          <cell r="Z32">
            <v>3.4029384082465162E-2</v>
          </cell>
          <cell r="AA32">
            <v>3.2076439161118124E-2</v>
          </cell>
          <cell r="AB32">
            <v>2.999619913472986E-2</v>
          </cell>
          <cell r="AC32">
            <v>2.7788664003300372E-2</v>
          </cell>
          <cell r="AD32">
            <v>2.5453833766829664E-2</v>
          </cell>
          <cell r="AE32">
            <v>2.2991708425317725E-2</v>
          </cell>
        </row>
        <row r="33">
          <cell r="C33">
            <v>4.3813668282068868E-2</v>
          </cell>
          <cell r="D33">
            <v>9.0564528012755607E-2</v>
          </cell>
          <cell r="E33">
            <v>0.14033359424717262</v>
          </cell>
          <cell r="F33">
            <v>0.1931952523595124</v>
          </cell>
          <cell r="G33">
            <v>0.24921489559765431</v>
          </cell>
          <cell r="H33">
            <v>0.3084463320584343</v>
          </cell>
          <cell r="I33">
            <v>0.37092895793530278</v>
          </cell>
          <cell r="J33">
            <v>0.43668469971369173</v>
          </cell>
          <cell r="K33">
            <v>0.5057147349125517</v>
          </cell>
          <cell r="L33">
            <v>0.57799600905815107</v>
          </cell>
          <cell r="M33">
            <v>0.65347757586111621</v>
          </cell>
          <cell r="N33">
            <v>0.73207679804110892</v>
          </cell>
          <cell r="O33">
            <v>0.81367545784482465</v>
          </cell>
          <cell r="P33">
            <v>0.89811583890902758</v>
          </cell>
          <cell r="Q33">
            <v>0.98519685453455996</v>
          </cell>
          <cell r="R33">
            <v>1.0746703113798</v>
          </cell>
          <cell r="S33">
            <v>1.1662374116808172</v>
          </cell>
          <cell r="T33">
            <v>1.2595456108900063</v>
          </cell>
          <cell r="U33">
            <v>1.3541859605232736</v>
          </cell>
          <cell r="V33">
            <v>1.4496910773461953</v>
          </cell>
          <cell r="W33">
            <v>1.545533889047658</v>
          </cell>
          <cell r="X33">
            <v>1.6411273124030799</v>
          </cell>
          <cell r="Y33">
            <v>1.7358250217202618</v>
          </cell>
          <cell r="Z33">
            <v>1.8289234621667996</v>
          </cell>
          <cell r="AA33">
            <v>1.9196652534924525</v>
          </cell>
          <cell r="AB33">
            <v>2.007244113842964</v>
          </cell>
          <cell r="AC33">
            <v>2.0908114100984485</v>
          </cell>
          <cell r="AD33">
            <v>2.1694844099357149</v>
          </cell>
          <cell r="AE33">
            <v>2.2423562713475471</v>
          </cell>
        </row>
      </sheetData>
      <sheetData sheetId="1">
        <row r="17">
          <cell r="D17">
            <v>9.2462726147681057E-2</v>
          </cell>
        </row>
        <row r="18">
          <cell r="C18">
            <v>154</v>
          </cell>
          <cell r="D18">
            <v>0.90753727385231897</v>
          </cell>
        </row>
        <row r="23">
          <cell r="E23">
            <v>656.5315870116093</v>
          </cell>
        </row>
        <row r="24">
          <cell r="E24">
            <v>6443.9684129883908</v>
          </cell>
        </row>
        <row r="28">
          <cell r="C28">
            <v>400</v>
          </cell>
        </row>
        <row r="30">
          <cell r="C30">
            <v>3</v>
          </cell>
        </row>
        <row r="31">
          <cell r="C31">
            <v>4</v>
          </cell>
        </row>
        <row r="32">
          <cell r="C32">
            <v>30</v>
          </cell>
        </row>
        <row r="33">
          <cell r="C33">
            <v>230</v>
          </cell>
        </row>
        <row r="34">
          <cell r="C34">
            <v>330</v>
          </cell>
        </row>
        <row r="35">
          <cell r="C35">
            <v>0.3</v>
          </cell>
        </row>
        <row r="41">
          <cell r="C41">
            <v>3750000</v>
          </cell>
        </row>
        <row r="42">
          <cell r="C42">
            <v>0.63</v>
          </cell>
        </row>
        <row r="46">
          <cell r="C46">
            <v>70</v>
          </cell>
        </row>
        <row r="47">
          <cell r="C47">
            <v>5</v>
          </cell>
        </row>
        <row r="48">
          <cell r="C48">
            <v>75</v>
          </cell>
        </row>
        <row r="50">
          <cell r="C50">
            <v>0.33333333333333331</v>
          </cell>
        </row>
        <row r="53">
          <cell r="C53">
            <v>500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9D378-0D6E-3841-B46E-50F82C270E74}">
  <dimension ref="B6:O116"/>
  <sheetViews>
    <sheetView tabSelected="1" topLeftCell="A84" zoomScaleNormal="100" workbookViewId="0">
      <selection activeCell="I115" sqref="I115"/>
    </sheetView>
  </sheetViews>
  <sheetFormatPr baseColWidth="10" defaultRowHeight="16" x14ac:dyDescent="0.2"/>
  <cols>
    <col min="1" max="1" width="10.83203125" style="292"/>
    <col min="2" max="2" width="21.6640625" style="292" bestFit="1" customWidth="1"/>
    <col min="3" max="4" width="19.6640625" style="292" bestFit="1" customWidth="1"/>
    <col min="5" max="5" width="19.1640625" style="292" bestFit="1" customWidth="1"/>
    <col min="6" max="6" width="19.6640625" style="292" customWidth="1"/>
    <col min="7" max="7" width="15.1640625" style="292" bestFit="1" customWidth="1"/>
    <col min="8" max="8" width="18.33203125" style="292" bestFit="1" customWidth="1"/>
    <col min="9" max="9" width="7.5" style="292" bestFit="1" customWidth="1"/>
    <col min="10" max="10" width="17" style="292" bestFit="1" customWidth="1"/>
    <col min="11" max="11" width="12.6640625" style="292" bestFit="1" customWidth="1"/>
    <col min="12" max="12" width="18.33203125" style="292" bestFit="1" customWidth="1"/>
    <col min="13" max="13" width="11" style="299" bestFit="1" customWidth="1"/>
    <col min="14" max="16384" width="10.83203125" style="292"/>
  </cols>
  <sheetData>
    <row r="6" spans="2:11" x14ac:dyDescent="0.2">
      <c r="B6" s="297" t="s">
        <v>188</v>
      </c>
      <c r="C6" s="298">
        <f>'Datos de Entrada'!C9</f>
        <v>232.7</v>
      </c>
    </row>
    <row r="7" spans="2:11" x14ac:dyDescent="0.2">
      <c r="B7" s="297" t="str">
        <f>'Datos de Entrada'!B10</f>
        <v xml:space="preserve">Area de Conservacion </v>
      </c>
      <c r="C7" s="300">
        <f>'Datos de Entrada'!C10</f>
        <v>15.7</v>
      </c>
      <c r="I7" s="301"/>
    </row>
    <row r="8" spans="2:11" x14ac:dyDescent="0.2">
      <c r="B8" s="297" t="str">
        <f>'Datos de Entrada'!B11</f>
        <v xml:space="preserve">Area de Restauracion </v>
      </c>
      <c r="C8" s="300">
        <f>'Datos de Entrada'!C11</f>
        <v>154</v>
      </c>
    </row>
    <row r="9" spans="2:11" x14ac:dyDescent="0.2">
      <c r="B9" s="297" t="str">
        <f>'Datos de Entrada'!B12</f>
        <v>Area Sostenible</v>
      </c>
      <c r="C9" s="300">
        <f>'Datos de Entrada'!C12</f>
        <v>63</v>
      </c>
    </row>
    <row r="11" spans="2:11" ht="17" thickBot="1" x14ac:dyDescent="0.25"/>
    <row r="12" spans="2:11" ht="35" thickBot="1" x14ac:dyDescent="0.25">
      <c r="C12" s="302" t="s">
        <v>203</v>
      </c>
      <c r="D12" s="303" t="s">
        <v>189</v>
      </c>
      <c r="E12" s="303" t="s">
        <v>204</v>
      </c>
      <c r="F12" s="304" t="s">
        <v>205</v>
      </c>
      <c r="G12" s="304" t="s">
        <v>206</v>
      </c>
      <c r="H12" s="305" t="s">
        <v>207</v>
      </c>
    </row>
    <row r="13" spans="2:11" x14ac:dyDescent="0.2">
      <c r="B13" s="306" t="s">
        <v>213</v>
      </c>
      <c r="C13" s="307">
        <f>Restauracion!AH127</f>
        <v>15326244912.514427</v>
      </c>
      <c r="D13" s="290">
        <f>SUM(Restauracion!AJ16:BM16)</f>
        <v>1265830151.2279537</v>
      </c>
      <c r="E13" s="293">
        <f>Restauracion!AH105-D13+Restauracion!AH110</f>
        <v>11806748467.654821</v>
      </c>
      <c r="F13" s="293">
        <f>Restauracion!AH108</f>
        <v>705314674.62543106</v>
      </c>
      <c r="G13" s="293">
        <f>Restauracion!AH109</f>
        <v>352657337.31271553</v>
      </c>
      <c r="H13" s="308">
        <f>Restauracion!AH111</f>
        <v>1195694281.6935079</v>
      </c>
      <c r="I13" s="309"/>
      <c r="J13" s="310"/>
    </row>
    <row r="14" spans="2:11" ht="17" thickBot="1" x14ac:dyDescent="0.25">
      <c r="B14" s="311" t="s">
        <v>118</v>
      </c>
      <c r="C14" s="307">
        <f>Conservacion!AH99</f>
        <v>1550716692.3207474</v>
      </c>
      <c r="D14" s="293">
        <f>SUM(Conservacion!AJ16:BM16)</f>
        <v>201140820.97130081</v>
      </c>
      <c r="E14" s="293">
        <f>Conservacion!AH75+Conservacion!AH80-D14</f>
        <v>1122973136.2808695</v>
      </c>
      <c r="F14" s="293">
        <f>Conservacion!AH78</f>
        <v>62741752.801411614</v>
      </c>
      <c r="G14" s="293">
        <f>Conservacion!AH79</f>
        <v>37645051.680846967</v>
      </c>
      <c r="H14" s="308">
        <f>Conservacion!AH81</f>
        <v>126215930.58631849</v>
      </c>
      <c r="I14" s="309"/>
      <c r="J14" s="301"/>
      <c r="K14" s="301"/>
    </row>
    <row r="15" spans="2:11" ht="17" thickBot="1" x14ac:dyDescent="0.25">
      <c r="C15" s="312">
        <f>SUM(C13:C14)</f>
        <v>16876961604.835175</v>
      </c>
      <c r="D15" s="313">
        <f t="shared" ref="D15:H15" si="0">SUM(D13:D14)</f>
        <v>1466970972.1992545</v>
      </c>
      <c r="E15" s="313">
        <f t="shared" si="0"/>
        <v>12929721603.935692</v>
      </c>
      <c r="F15" s="313">
        <f t="shared" si="0"/>
        <v>768056427.42684269</v>
      </c>
      <c r="G15" s="313">
        <f t="shared" si="0"/>
        <v>390302388.99356252</v>
      </c>
      <c r="H15" s="314">
        <f t="shared" si="0"/>
        <v>1321910212.2798264</v>
      </c>
      <c r="I15" s="309"/>
      <c r="J15" s="301"/>
    </row>
    <row r="16" spans="2:11" x14ac:dyDescent="0.2">
      <c r="C16" s="301"/>
    </row>
    <row r="17" spans="2:8" x14ac:dyDescent="0.2">
      <c r="C17" s="301"/>
    </row>
    <row r="18" spans="2:8" ht="34" x14ac:dyDescent="0.2">
      <c r="C18" s="315" t="s">
        <v>203</v>
      </c>
      <c r="D18" s="315" t="s">
        <v>189</v>
      </c>
      <c r="E18" s="315" t="s">
        <v>204</v>
      </c>
      <c r="F18" s="288" t="s">
        <v>205</v>
      </c>
      <c r="G18" s="288" t="s">
        <v>206</v>
      </c>
      <c r="H18" s="288" t="s">
        <v>207</v>
      </c>
    </row>
    <row r="19" spans="2:8" x14ac:dyDescent="0.2">
      <c r="B19" s="297" t="s">
        <v>214</v>
      </c>
      <c r="C19" s="293">
        <f>C13/30</f>
        <v>510874830.41714758</v>
      </c>
      <c r="D19" s="293">
        <f t="shared" ref="D19:H20" si="1">D13/30</f>
        <v>42194338.374265119</v>
      </c>
      <c r="E19" s="293">
        <f t="shared" si="1"/>
        <v>393558282.25516069</v>
      </c>
      <c r="F19" s="293">
        <f t="shared" si="1"/>
        <v>23510489.154181037</v>
      </c>
      <c r="G19" s="293">
        <f t="shared" si="1"/>
        <v>11755244.577090519</v>
      </c>
      <c r="H19" s="293">
        <f t="shared" si="1"/>
        <v>39856476.056450263</v>
      </c>
    </row>
    <row r="20" spans="2:8" x14ac:dyDescent="0.2">
      <c r="B20" s="297" t="s">
        <v>215</v>
      </c>
      <c r="C20" s="293">
        <f>C14/30</f>
        <v>51690556.410691582</v>
      </c>
      <c r="D20" s="293">
        <f t="shared" si="1"/>
        <v>6704694.0323766936</v>
      </c>
      <c r="E20" s="293">
        <f t="shared" si="1"/>
        <v>37432437.876028985</v>
      </c>
      <c r="F20" s="293">
        <f t="shared" si="1"/>
        <v>2091391.7600470537</v>
      </c>
      <c r="G20" s="293">
        <f t="shared" si="1"/>
        <v>1254835.0560282322</v>
      </c>
      <c r="H20" s="293">
        <f t="shared" si="1"/>
        <v>4207197.6862106165</v>
      </c>
    </row>
    <row r="21" spans="2:8" x14ac:dyDescent="0.2">
      <c r="C21" s="293">
        <f>SUM(C19:C20)</f>
        <v>562565386.82783914</v>
      </c>
      <c r="D21" s="293">
        <f t="shared" ref="D21:H21" si="2">SUM(D19:D20)</f>
        <v>48899032.406641811</v>
      </c>
      <c r="E21" s="293">
        <f t="shared" si="2"/>
        <v>430990720.1311897</v>
      </c>
      <c r="F21" s="293">
        <f t="shared" si="2"/>
        <v>25601880.914228089</v>
      </c>
      <c r="G21" s="293">
        <f t="shared" si="2"/>
        <v>13010079.633118751</v>
      </c>
      <c r="H21" s="293">
        <f t="shared" si="2"/>
        <v>44063673.74266088</v>
      </c>
    </row>
    <row r="22" spans="2:8" x14ac:dyDescent="0.2">
      <c r="C22" s="301"/>
    </row>
    <row r="23" spans="2:8" x14ac:dyDescent="0.2">
      <c r="C23" s="301"/>
    </row>
    <row r="24" spans="2:8" ht="34" x14ac:dyDescent="0.2">
      <c r="C24" s="315" t="s">
        <v>203</v>
      </c>
      <c r="D24" s="315" t="s">
        <v>189</v>
      </c>
      <c r="E24" s="315" t="s">
        <v>204</v>
      </c>
      <c r="F24" s="288" t="s">
        <v>205</v>
      </c>
      <c r="G24" s="288" t="s">
        <v>206</v>
      </c>
      <c r="H24" s="288" t="s">
        <v>207</v>
      </c>
    </row>
    <row r="25" spans="2:8" x14ac:dyDescent="0.2">
      <c r="B25" s="297" t="s">
        <v>190</v>
      </c>
      <c r="C25" s="293">
        <f>C13/$C$8</f>
        <v>99521070.860483289</v>
      </c>
      <c r="D25" s="293">
        <f t="shared" ref="D25:H26" si="3">D13/$C$8</f>
        <v>8219676.3066750234</v>
      </c>
      <c r="E25" s="293">
        <f t="shared" si="3"/>
        <v>76667197.84191443</v>
      </c>
      <c r="F25" s="293">
        <f t="shared" si="3"/>
        <v>4579965.4196456559</v>
      </c>
      <c r="G25" s="293">
        <f t="shared" si="3"/>
        <v>2289982.709822828</v>
      </c>
      <c r="H25" s="293">
        <f t="shared" si="3"/>
        <v>7764248.5824253764</v>
      </c>
    </row>
    <row r="26" spans="2:8" x14ac:dyDescent="0.2">
      <c r="B26" s="297" t="s">
        <v>191</v>
      </c>
      <c r="C26" s="293">
        <f>C14/$C$7</f>
        <v>98771763.842085823</v>
      </c>
      <c r="D26" s="293">
        <f t="shared" si="3"/>
        <v>1306109.2270863689</v>
      </c>
      <c r="E26" s="293">
        <f t="shared" si="3"/>
        <v>7292033.3524731789</v>
      </c>
      <c r="F26" s="293">
        <f t="shared" si="3"/>
        <v>407413.97922994557</v>
      </c>
      <c r="G26" s="293">
        <f t="shared" si="3"/>
        <v>244448.38753796733</v>
      </c>
      <c r="H26" s="293">
        <f t="shared" si="3"/>
        <v>819583.96484622394</v>
      </c>
    </row>
    <row r="27" spans="2:8" x14ac:dyDescent="0.2">
      <c r="C27" s="293">
        <f>SUM(C25:C26)</f>
        <v>198292834.70256913</v>
      </c>
      <c r="D27" s="293">
        <f t="shared" ref="D27:H27" si="4">SUM(D25:D26)</f>
        <v>9525785.5337613933</v>
      </c>
      <c r="E27" s="293">
        <f t="shared" si="4"/>
        <v>83959231.194387615</v>
      </c>
      <c r="F27" s="293">
        <f t="shared" si="4"/>
        <v>4987379.3988756016</v>
      </c>
      <c r="G27" s="293">
        <f t="shared" si="4"/>
        <v>2534431.0973607954</v>
      </c>
      <c r="H27" s="293">
        <f t="shared" si="4"/>
        <v>8583832.5472716</v>
      </c>
    </row>
    <row r="31" spans="2:8" x14ac:dyDescent="0.2">
      <c r="B31" s="316" t="s">
        <v>223</v>
      </c>
      <c r="C31" s="316"/>
      <c r="D31" s="316"/>
      <c r="E31" s="316"/>
      <c r="F31" s="316"/>
      <c r="G31" s="316"/>
      <c r="H31" s="316"/>
    </row>
    <row r="33" spans="2:8" x14ac:dyDescent="0.2">
      <c r="B33" s="317" t="s">
        <v>216</v>
      </c>
      <c r="C33" s="290">
        <f>(Restauracion!AH4)+(Conservacion!AH4)</f>
        <v>5307170504.2029095</v>
      </c>
      <c r="D33" s="309"/>
      <c r="E33" s="309"/>
      <c r="F33" s="301"/>
      <c r="H33" s="301"/>
    </row>
    <row r="34" spans="2:8" x14ac:dyDescent="0.2">
      <c r="B34" s="317" t="s">
        <v>217</v>
      </c>
      <c r="C34" s="293">
        <f>((C13-(Restauracion!AH4)-F13-G13-H13)/C8+((C14-(Conservacion!AH4)-F14-G14-H14)/C7))</f>
        <v>89585597.396034449</v>
      </c>
      <c r="D34" s="301"/>
      <c r="E34" s="301"/>
      <c r="F34" s="301"/>
      <c r="H34" s="301"/>
    </row>
    <row r="35" spans="2:8" x14ac:dyDescent="0.2">
      <c r="B35" s="317" t="s">
        <v>218</v>
      </c>
      <c r="C35" s="293">
        <f>C25+C26</f>
        <v>198292834.70256913</v>
      </c>
      <c r="D35" s="301"/>
      <c r="E35" s="301"/>
    </row>
    <row r="36" spans="2:8" x14ac:dyDescent="0.2">
      <c r="B36" s="317" t="s">
        <v>219</v>
      </c>
      <c r="C36" s="318">
        <f>(C33/(C35-C34))</f>
        <v>48.820765164306877</v>
      </c>
    </row>
    <row r="37" spans="2:8" x14ac:dyDescent="0.2">
      <c r="E37" s="301"/>
    </row>
    <row r="39" spans="2:8" x14ac:dyDescent="0.2">
      <c r="C39" s="319" t="s">
        <v>220</v>
      </c>
      <c r="D39" s="319" t="s">
        <v>221</v>
      </c>
      <c r="E39" s="288" t="s">
        <v>222</v>
      </c>
      <c r="F39" s="319" t="s">
        <v>207</v>
      </c>
    </row>
    <row r="40" spans="2:8" x14ac:dyDescent="0.2">
      <c r="C40" s="289">
        <v>13</v>
      </c>
      <c r="D40" s="290">
        <f>($C$35*C40)</f>
        <v>2577806851.1333985</v>
      </c>
      <c r="E40" s="293">
        <f>($C$33+($C$34*C40))</f>
        <v>6471783270.3513575</v>
      </c>
      <c r="F40" s="293">
        <f>D40-E40</f>
        <v>-3893976419.2179589</v>
      </c>
    </row>
    <row r="41" spans="2:8" x14ac:dyDescent="0.2">
      <c r="C41" s="289">
        <f>C40+13</f>
        <v>26</v>
      </c>
      <c r="D41" s="290">
        <f t="shared" ref="D41:D61" si="5">($C$35*C41)</f>
        <v>5155613702.2667971</v>
      </c>
      <c r="E41" s="293">
        <f t="shared" ref="E41:E61" si="6">($C$33+($C$34*C41))</f>
        <v>7636396036.4998055</v>
      </c>
      <c r="F41" s="293">
        <f t="shared" ref="F41:F61" si="7">D41-E41</f>
        <v>-2480782334.2330084</v>
      </c>
    </row>
    <row r="42" spans="2:8" x14ac:dyDescent="0.2">
      <c r="C42" s="289">
        <f t="shared" ref="C42:C61" si="8">C41+13</f>
        <v>39</v>
      </c>
      <c r="D42" s="290">
        <f t="shared" si="5"/>
        <v>7733420553.4001961</v>
      </c>
      <c r="E42" s="293">
        <f t="shared" si="6"/>
        <v>8801008802.6482525</v>
      </c>
      <c r="F42" s="293">
        <f t="shared" si="7"/>
        <v>-1067588249.2480564</v>
      </c>
    </row>
    <row r="43" spans="2:8" x14ac:dyDescent="0.2">
      <c r="C43" s="289">
        <f t="shared" si="8"/>
        <v>52</v>
      </c>
      <c r="D43" s="290">
        <f t="shared" si="5"/>
        <v>10311227404.533594</v>
      </c>
      <c r="E43" s="293">
        <f t="shared" si="6"/>
        <v>9965621568.7966995</v>
      </c>
      <c r="F43" s="293">
        <f t="shared" si="7"/>
        <v>345605835.73689461</v>
      </c>
    </row>
    <row r="44" spans="2:8" x14ac:dyDescent="0.2">
      <c r="C44" s="289">
        <f t="shared" si="8"/>
        <v>65</v>
      </c>
      <c r="D44" s="290">
        <f t="shared" si="5"/>
        <v>12889034255.666994</v>
      </c>
      <c r="E44" s="293">
        <f t="shared" si="6"/>
        <v>11130234334.945148</v>
      </c>
      <c r="F44" s="293">
        <f t="shared" si="7"/>
        <v>1758799920.7218456</v>
      </c>
    </row>
    <row r="45" spans="2:8" x14ac:dyDescent="0.2">
      <c r="C45" s="289">
        <f t="shared" si="8"/>
        <v>78</v>
      </c>
      <c r="D45" s="290">
        <f t="shared" si="5"/>
        <v>15466841106.800392</v>
      </c>
      <c r="E45" s="293">
        <f t="shared" si="6"/>
        <v>12294847101.093597</v>
      </c>
      <c r="F45" s="293">
        <f t="shared" si="7"/>
        <v>3171994005.7067947</v>
      </c>
    </row>
    <row r="46" spans="2:8" x14ac:dyDescent="0.2">
      <c r="C46" s="289">
        <f t="shared" si="8"/>
        <v>91</v>
      </c>
      <c r="D46" s="290">
        <f t="shared" si="5"/>
        <v>18044647957.933792</v>
      </c>
      <c r="E46" s="293">
        <f t="shared" si="6"/>
        <v>13459459867.242044</v>
      </c>
      <c r="F46" s="293">
        <f t="shared" si="7"/>
        <v>4585188090.6917477</v>
      </c>
    </row>
    <row r="47" spans="2:8" x14ac:dyDescent="0.2">
      <c r="C47" s="289">
        <f t="shared" si="8"/>
        <v>104</v>
      </c>
      <c r="D47" s="290">
        <f t="shared" si="5"/>
        <v>20622454809.067188</v>
      </c>
      <c r="E47" s="293">
        <f t="shared" si="6"/>
        <v>14624072633.390491</v>
      </c>
      <c r="F47" s="293">
        <f t="shared" si="7"/>
        <v>5998382175.6766968</v>
      </c>
    </row>
    <row r="48" spans="2:8" x14ac:dyDescent="0.2">
      <c r="C48" s="289">
        <f t="shared" si="8"/>
        <v>117</v>
      </c>
      <c r="D48" s="290">
        <f t="shared" si="5"/>
        <v>23200261660.200588</v>
      </c>
      <c r="E48" s="293">
        <f t="shared" si="6"/>
        <v>15788685399.53894</v>
      </c>
      <c r="F48" s="293">
        <f t="shared" si="7"/>
        <v>7411576260.6616478</v>
      </c>
    </row>
    <row r="49" spans="3:6" x14ac:dyDescent="0.2">
      <c r="C49" s="289">
        <f t="shared" si="8"/>
        <v>130</v>
      </c>
      <c r="D49" s="290">
        <f t="shared" si="5"/>
        <v>25778068511.333988</v>
      </c>
      <c r="E49" s="293">
        <f t="shared" si="6"/>
        <v>16953298165.687387</v>
      </c>
      <c r="F49" s="293">
        <f t="shared" si="7"/>
        <v>8824770345.6466007</v>
      </c>
    </row>
    <row r="50" spans="3:6" x14ac:dyDescent="0.2">
      <c r="C50" s="289">
        <f t="shared" si="8"/>
        <v>143</v>
      </c>
      <c r="D50" s="290">
        <f t="shared" si="5"/>
        <v>28355875362.467384</v>
      </c>
      <c r="E50" s="293">
        <f t="shared" si="6"/>
        <v>18117910931.835838</v>
      </c>
      <c r="F50" s="293">
        <f t="shared" si="7"/>
        <v>10237964430.631546</v>
      </c>
    </row>
    <row r="51" spans="3:6" x14ac:dyDescent="0.2">
      <c r="C51" s="289">
        <f t="shared" si="8"/>
        <v>156</v>
      </c>
      <c r="D51" s="290">
        <f t="shared" si="5"/>
        <v>30933682213.600784</v>
      </c>
      <c r="E51" s="293">
        <f t="shared" si="6"/>
        <v>19282523697.984283</v>
      </c>
      <c r="F51" s="293">
        <f t="shared" si="7"/>
        <v>11651158515.616501</v>
      </c>
    </row>
    <row r="52" spans="3:6" x14ac:dyDescent="0.2">
      <c r="C52" s="289">
        <f t="shared" si="8"/>
        <v>169</v>
      </c>
      <c r="D52" s="290">
        <f t="shared" si="5"/>
        <v>33511489064.734184</v>
      </c>
      <c r="E52" s="293">
        <f t="shared" si="6"/>
        <v>20447136464.132729</v>
      </c>
      <c r="F52" s="293">
        <f t="shared" si="7"/>
        <v>13064352600.601456</v>
      </c>
    </row>
    <row r="53" spans="3:6" x14ac:dyDescent="0.2">
      <c r="C53" s="289">
        <f t="shared" si="8"/>
        <v>182</v>
      </c>
      <c r="D53" s="290">
        <f t="shared" si="5"/>
        <v>36089295915.867584</v>
      </c>
      <c r="E53" s="293">
        <f t="shared" si="6"/>
        <v>21611749230.281181</v>
      </c>
      <c r="F53" s="293">
        <f t="shared" si="7"/>
        <v>14477546685.586403</v>
      </c>
    </row>
    <row r="54" spans="3:6" x14ac:dyDescent="0.2">
      <c r="C54" s="289">
        <f t="shared" si="8"/>
        <v>195</v>
      </c>
      <c r="D54" s="290">
        <f t="shared" si="5"/>
        <v>38667102767.000977</v>
      </c>
      <c r="E54" s="293">
        <f t="shared" si="6"/>
        <v>22776361996.429626</v>
      </c>
      <c r="F54" s="293">
        <f t="shared" si="7"/>
        <v>15890740770.57135</v>
      </c>
    </row>
    <row r="55" spans="3:6" x14ac:dyDescent="0.2">
      <c r="C55" s="289">
        <f t="shared" si="8"/>
        <v>208</v>
      </c>
      <c r="D55" s="290">
        <f t="shared" si="5"/>
        <v>41244909618.134377</v>
      </c>
      <c r="E55" s="293">
        <f t="shared" si="6"/>
        <v>23940974762.578072</v>
      </c>
      <c r="F55" s="293">
        <f t="shared" si="7"/>
        <v>17303934855.556305</v>
      </c>
    </row>
    <row r="56" spans="3:6" x14ac:dyDescent="0.2">
      <c r="C56" s="289">
        <f t="shared" si="8"/>
        <v>221</v>
      </c>
      <c r="D56" s="290">
        <f t="shared" si="5"/>
        <v>43822716469.267776</v>
      </c>
      <c r="E56" s="293">
        <f t="shared" si="6"/>
        <v>25105587528.726524</v>
      </c>
      <c r="F56" s="293">
        <f t="shared" si="7"/>
        <v>18717128940.541252</v>
      </c>
    </row>
    <row r="57" spans="3:6" x14ac:dyDescent="0.2">
      <c r="C57" s="289">
        <f t="shared" si="8"/>
        <v>234</v>
      </c>
      <c r="D57" s="290">
        <f t="shared" si="5"/>
        <v>46400523320.401176</v>
      </c>
      <c r="E57" s="293">
        <f t="shared" si="6"/>
        <v>26270200294.874969</v>
      </c>
      <c r="F57" s="293">
        <f t="shared" si="7"/>
        <v>20130323025.526207</v>
      </c>
    </row>
    <row r="58" spans="3:6" x14ac:dyDescent="0.2">
      <c r="C58" s="289">
        <f t="shared" si="8"/>
        <v>247</v>
      </c>
      <c r="D58" s="290">
        <f t="shared" si="5"/>
        <v>48978330171.534576</v>
      </c>
      <c r="E58" s="293">
        <f t="shared" si="6"/>
        <v>27434813061.023422</v>
      </c>
      <c r="F58" s="293">
        <f t="shared" si="7"/>
        <v>21543517110.511154</v>
      </c>
    </row>
    <row r="59" spans="3:6" x14ac:dyDescent="0.2">
      <c r="C59" s="289">
        <f t="shared" si="8"/>
        <v>260</v>
      </c>
      <c r="D59" s="290">
        <f t="shared" si="5"/>
        <v>51556137022.667976</v>
      </c>
      <c r="E59" s="293">
        <f t="shared" si="6"/>
        <v>28599425827.171867</v>
      </c>
      <c r="F59" s="293">
        <f t="shared" si="7"/>
        <v>22956711195.496109</v>
      </c>
    </row>
    <row r="60" spans="3:6" x14ac:dyDescent="0.2">
      <c r="C60" s="289">
        <f t="shared" si="8"/>
        <v>273</v>
      </c>
      <c r="D60" s="290">
        <f t="shared" si="5"/>
        <v>54133943873.801369</v>
      </c>
      <c r="E60" s="293">
        <f t="shared" si="6"/>
        <v>29764038593.320312</v>
      </c>
      <c r="F60" s="293">
        <f t="shared" si="7"/>
        <v>24369905280.481056</v>
      </c>
    </row>
    <row r="61" spans="3:6" x14ac:dyDescent="0.2">
      <c r="C61" s="289">
        <f t="shared" si="8"/>
        <v>286</v>
      </c>
      <c r="D61" s="290">
        <f t="shared" si="5"/>
        <v>56711750724.934769</v>
      </c>
      <c r="E61" s="293">
        <f t="shared" si="6"/>
        <v>30928651359.468765</v>
      </c>
      <c r="F61" s="293">
        <f t="shared" si="7"/>
        <v>25783099365.466003</v>
      </c>
    </row>
    <row r="62" spans="3:6" x14ac:dyDescent="0.2">
      <c r="C62" s="299"/>
      <c r="D62" s="309"/>
    </row>
    <row r="63" spans="3:6" x14ac:dyDescent="0.2">
      <c r="C63" s="299"/>
      <c r="D63" s="309"/>
    </row>
    <row r="64" spans="3:6" x14ac:dyDescent="0.2">
      <c r="C64" s="299"/>
      <c r="D64" s="309"/>
    </row>
    <row r="65" spans="2:15" x14ac:dyDescent="0.2">
      <c r="B65" s="316" t="s">
        <v>224</v>
      </c>
      <c r="C65" s="316"/>
      <c r="D65" s="316"/>
      <c r="E65" s="316"/>
      <c r="F65" s="316"/>
      <c r="G65" s="316"/>
      <c r="H65" s="316"/>
    </row>
    <row r="68" spans="2:15" x14ac:dyDescent="0.2">
      <c r="C68" s="299"/>
      <c r="D68" s="309"/>
      <c r="E68" s="301"/>
      <c r="F68" s="301"/>
    </row>
    <row r="69" spans="2:15" x14ac:dyDescent="0.2">
      <c r="C69" s="299"/>
      <c r="D69" s="309"/>
    </row>
    <row r="70" spans="2:15" x14ac:dyDescent="0.2">
      <c r="B70" s="288" t="s">
        <v>225</v>
      </c>
      <c r="C70" s="296" t="s">
        <v>226</v>
      </c>
      <c r="D70" s="288" t="s">
        <v>227</v>
      </c>
      <c r="E70" s="288" t="s">
        <v>228</v>
      </c>
      <c r="F70" s="288" t="s">
        <v>233</v>
      </c>
    </row>
    <row r="71" spans="2:15" x14ac:dyDescent="0.2">
      <c r="B71" s="289">
        <v>0</v>
      </c>
      <c r="C71" s="290">
        <v>274234110.83149499</v>
      </c>
      <c r="E71" s="293">
        <f>-C71-D71</f>
        <v>-274234110.83149499</v>
      </c>
      <c r="F71" s="293">
        <f>E71/(1+$C$107)^B71</f>
        <v>-274234110.83149499</v>
      </c>
      <c r="G71" s="288" t="s">
        <v>225</v>
      </c>
      <c r="H71" s="288" t="s">
        <v>246</v>
      </c>
      <c r="I71" s="288" t="s">
        <v>102</v>
      </c>
      <c r="K71" s="288" t="s">
        <v>225</v>
      </c>
      <c r="L71" s="288" t="s">
        <v>246</v>
      </c>
      <c r="M71" s="288" t="s">
        <v>102</v>
      </c>
    </row>
    <row r="72" spans="2:15" x14ac:dyDescent="0.2">
      <c r="B72" s="289">
        <v>1</v>
      </c>
      <c r="C72" s="290">
        <f>Restauracion!AJ105+Restauracion!AJ110+Conservacion!AJ75+Conservacion!AJ80</f>
        <v>2086894136.5964451</v>
      </c>
      <c r="D72" s="293">
        <f>C15*40%</f>
        <v>6750784641.9340706</v>
      </c>
      <c r="E72" s="293">
        <f>E71-C72+D72</f>
        <v>4389656394.5061302</v>
      </c>
      <c r="F72" s="293">
        <f>E72/(1+$C$107)^B72</f>
        <v>3919336066.5233302</v>
      </c>
      <c r="G72" s="289">
        <v>1</v>
      </c>
      <c r="H72" s="290">
        <f>(C71*(1+J102)+(C72*(1+$J$102)))</f>
        <v>2729979450.3505692</v>
      </c>
      <c r="I72" s="291">
        <f>H72/$H$102</f>
        <v>0.16175775677349657</v>
      </c>
      <c r="K72" s="289">
        <v>1</v>
      </c>
      <c r="L72" s="293">
        <v>6750784641.9340706</v>
      </c>
      <c r="M72" s="295">
        <f>+L72/$L$77</f>
        <v>0.4</v>
      </c>
    </row>
    <row r="73" spans="2:15" x14ac:dyDescent="0.2">
      <c r="B73" s="289">
        <v>2</v>
      </c>
      <c r="C73" s="290">
        <f>Restauracion!AK105+Restauracion!AK110+Conservacion!AK75+Conservacion!AK80</f>
        <v>666777779.52634788</v>
      </c>
      <c r="D73" s="293">
        <f>C15*20%</f>
        <v>3375392320.9670353</v>
      </c>
      <c r="E73" s="293">
        <f t="shared" ref="E73:E101" si="9">E72-C73+D73</f>
        <v>7098270935.9468174</v>
      </c>
      <c r="F73" s="293">
        <f t="shared" ref="F73:F100" si="10">E73/(1+$C$107)^B73</f>
        <v>5658698131.3351536</v>
      </c>
      <c r="G73" s="289">
        <v>2</v>
      </c>
      <c r="H73" s="290">
        <f>(C73*(1+$J$102))</f>
        <v>770940603.51877022</v>
      </c>
      <c r="I73" s="291">
        <f t="shared" ref="I73:I101" si="11">H73/$H$102</f>
        <v>4.5680059098901958E-2</v>
      </c>
      <c r="K73" s="289">
        <v>2</v>
      </c>
      <c r="L73" s="293">
        <v>3375392320.9670353</v>
      </c>
      <c r="M73" s="295">
        <f t="shared" ref="M73:M76" si="12">+L73/$L$77</f>
        <v>0.2</v>
      </c>
    </row>
    <row r="74" spans="2:15" x14ac:dyDescent="0.2">
      <c r="B74" s="289">
        <v>3</v>
      </c>
      <c r="C74" s="290">
        <f>Restauracion!AL110+Restauracion!AL105+Conservacion!AJ75+Conservacion!AJ80</f>
        <v>438769511.04143608</v>
      </c>
      <c r="D74" s="293">
        <f>C15*15%</f>
        <v>2531544240.725276</v>
      </c>
      <c r="E74" s="293">
        <f t="shared" si="9"/>
        <v>9191045665.6306572</v>
      </c>
      <c r="F74" s="293">
        <f t="shared" si="10"/>
        <v>6542004761.5469646</v>
      </c>
      <c r="G74" s="289">
        <v>3</v>
      </c>
      <c r="H74" s="290">
        <f t="shared" ref="H74:H101" si="13">(C74*(1+$J$102))</f>
        <v>507313293.9256171</v>
      </c>
      <c r="I74" s="291">
        <f t="shared" si="11"/>
        <v>3.0059515794612815E-2</v>
      </c>
      <c r="K74" s="289">
        <v>3</v>
      </c>
      <c r="L74" s="293">
        <v>2531544240.725276</v>
      </c>
      <c r="M74" s="295">
        <f t="shared" si="12"/>
        <v>0.15</v>
      </c>
    </row>
    <row r="75" spans="2:15" x14ac:dyDescent="0.2">
      <c r="B75" s="289">
        <v>4</v>
      </c>
      <c r="C75" s="290">
        <f>Restauracion!AM105+Restauracion!AM110+Conservacion!AJ75+Conservacion!AJ80</f>
        <v>723093986.82426763</v>
      </c>
      <c r="D75" s="293">
        <f>C15*15%</f>
        <v>2531544240.725276</v>
      </c>
      <c r="E75" s="293">
        <f t="shared" si="9"/>
        <v>10999495919.531666</v>
      </c>
      <c r="F75" s="293">
        <f t="shared" si="10"/>
        <v>6990378510.2025461</v>
      </c>
      <c r="G75" s="289">
        <v>4</v>
      </c>
      <c r="H75" s="290">
        <f t="shared" si="13"/>
        <v>836054427.30724096</v>
      </c>
      <c r="I75" s="291">
        <f t="shared" si="11"/>
        <v>4.9538207580428158E-2</v>
      </c>
      <c r="J75" s="309"/>
      <c r="K75" s="289">
        <v>4</v>
      </c>
      <c r="L75" s="293">
        <v>2531544240.725276</v>
      </c>
      <c r="M75" s="295">
        <f t="shared" si="12"/>
        <v>0.15</v>
      </c>
      <c r="N75" s="309"/>
      <c r="O75" s="309"/>
    </row>
    <row r="76" spans="2:15" x14ac:dyDescent="0.2">
      <c r="B76" s="289">
        <v>5</v>
      </c>
      <c r="C76" s="290">
        <f>Restauracion!AN105+Restauracion!AN110+Conservacion!AN75+Conservacion!AN80</f>
        <v>397590366.45351195</v>
      </c>
      <c r="D76" s="293">
        <f>C15*10%</f>
        <v>1687696160.4835176</v>
      </c>
      <c r="E76" s="293">
        <f t="shared" si="9"/>
        <v>12289601713.561672</v>
      </c>
      <c r="F76" s="293">
        <f t="shared" si="10"/>
        <v>6973450058.3602085</v>
      </c>
      <c r="G76" s="289">
        <v>5</v>
      </c>
      <c r="H76" s="290">
        <f t="shared" si="13"/>
        <v>459701217.52506202</v>
      </c>
      <c r="I76" s="291">
        <f t="shared" si="11"/>
        <v>2.7238387352458013E-2</v>
      </c>
      <c r="J76" s="301"/>
      <c r="K76" s="289">
        <v>5</v>
      </c>
      <c r="L76" s="293">
        <v>1687696160.4835176</v>
      </c>
      <c r="M76" s="295">
        <f t="shared" si="12"/>
        <v>0.1</v>
      </c>
      <c r="N76" s="301"/>
      <c r="O76" s="301"/>
    </row>
    <row r="77" spans="2:15" x14ac:dyDescent="0.2">
      <c r="B77" s="289">
        <v>6</v>
      </c>
      <c r="C77" s="290">
        <f>Restauracion!AO105+Restauracion!AO110+Conservacion!AO75+Conservacion!AO80</f>
        <v>201180463.23818371</v>
      </c>
      <c r="D77" s="297">
        <v>0</v>
      </c>
      <c r="E77" s="293">
        <f t="shared" si="9"/>
        <v>12088421250.323488</v>
      </c>
      <c r="F77" s="293">
        <f t="shared" si="10"/>
        <v>6124370411.3151379</v>
      </c>
      <c r="G77" s="289">
        <v>6</v>
      </c>
      <c r="H77" s="290">
        <f t="shared" si="13"/>
        <v>232608512.92196122</v>
      </c>
      <c r="I77" s="291">
        <f t="shared" si="11"/>
        <v>1.3782606038240903E-2</v>
      </c>
      <c r="L77" s="293">
        <f>SUM(L72:L76)</f>
        <v>16876961604.835175</v>
      </c>
    </row>
    <row r="78" spans="2:15" x14ac:dyDescent="0.2">
      <c r="B78" s="289">
        <v>7</v>
      </c>
      <c r="C78" s="290">
        <f>Restauracion!AP107+Restauracion!AP110+Conservacion!AP75+Conservacion!AP80</f>
        <v>112908052.20203608</v>
      </c>
      <c r="D78" s="297">
        <v>0</v>
      </c>
      <c r="E78" s="293">
        <f t="shared" si="9"/>
        <v>11975513198.121452</v>
      </c>
      <c r="F78" s="293">
        <f t="shared" si="10"/>
        <v>5417113998.4268503</v>
      </c>
      <c r="G78" s="289">
        <v>7</v>
      </c>
      <c r="H78" s="290">
        <f t="shared" si="13"/>
        <v>130546344.79361334</v>
      </c>
      <c r="I78" s="291">
        <f t="shared" si="11"/>
        <v>7.7351805289532904E-3</v>
      </c>
    </row>
    <row r="79" spans="2:15" x14ac:dyDescent="0.2">
      <c r="B79" s="289">
        <v>8</v>
      </c>
      <c r="C79" s="290">
        <f>+Restauracion!AQ105+Restauracion!AQ110+Conservacion!AQ75+Conservacion!AQ80</f>
        <v>265541317.78049928</v>
      </c>
      <c r="D79" s="297">
        <v>0</v>
      </c>
      <c r="E79" s="293">
        <f t="shared" si="9"/>
        <v>11709971880.340954</v>
      </c>
      <c r="F79" s="293">
        <f t="shared" si="10"/>
        <v>4729461242.5797472</v>
      </c>
      <c r="G79" s="289">
        <v>8</v>
      </c>
      <c r="H79" s="290">
        <f t="shared" si="13"/>
        <v>307023704.26064599</v>
      </c>
      <c r="I79" s="291">
        <f t="shared" si="11"/>
        <v>1.8191882605971266E-2</v>
      </c>
    </row>
    <row r="80" spans="2:15" x14ac:dyDescent="0.2">
      <c r="B80" s="289">
        <v>9</v>
      </c>
      <c r="C80" s="290">
        <f>Restauracion!AR105+Restauracion!AR110+Conservacion!AR75+Conservacion!AR80</f>
        <v>231025031.22311655</v>
      </c>
      <c r="D80" s="297">
        <v>0</v>
      </c>
      <c r="E80" s="293">
        <f t="shared" si="9"/>
        <v>11478946849.117838</v>
      </c>
      <c r="F80" s="293">
        <f t="shared" si="10"/>
        <v>4139423310.0226073</v>
      </c>
      <c r="G80" s="289">
        <v>9</v>
      </c>
      <c r="H80" s="290">
        <f t="shared" si="13"/>
        <v>267115345.57377115</v>
      </c>
      <c r="I80" s="291">
        <f t="shared" si="11"/>
        <v>1.5827217708265909E-2</v>
      </c>
    </row>
    <row r="81" spans="2:13" x14ac:dyDescent="0.2">
      <c r="B81" s="289">
        <v>10</v>
      </c>
      <c r="C81" s="290">
        <f>+Restauracion!AS105+Restauracion!AS110+Conservacion!AS75+Conservacion!AS80</f>
        <v>434204612.97953725</v>
      </c>
      <c r="D81" s="297">
        <v>0</v>
      </c>
      <c r="E81" s="293">
        <f t="shared" si="9"/>
        <v>11044742236.1383</v>
      </c>
      <c r="F81" s="293">
        <f t="shared" si="10"/>
        <v>3556111405.0794096</v>
      </c>
      <c r="G81" s="289">
        <v>10</v>
      </c>
      <c r="H81" s="290">
        <f t="shared" si="13"/>
        <v>502035275.70890045</v>
      </c>
      <c r="I81" s="291">
        <f t="shared" si="11"/>
        <v>2.9746780698077162E-2</v>
      </c>
    </row>
    <row r="82" spans="2:13" x14ac:dyDescent="0.2">
      <c r="B82" s="289">
        <v>11</v>
      </c>
      <c r="C82" s="290">
        <f>+Restauracion!AT105+Restauracion!AT110+Conservacion!AT75+Conservacion!AT80</f>
        <v>305298226.74837309</v>
      </c>
      <c r="D82" s="297">
        <v>0</v>
      </c>
      <c r="E82" s="293">
        <f t="shared" si="9"/>
        <v>10739444009.389927</v>
      </c>
      <c r="F82" s="293">
        <f t="shared" si="10"/>
        <v>3087333524.0069957</v>
      </c>
      <c r="G82" s="289">
        <v>11</v>
      </c>
      <c r="H82" s="290">
        <f t="shared" si="13"/>
        <v>352991365.95373082</v>
      </c>
      <c r="I82" s="291">
        <f t="shared" si="11"/>
        <v>2.0915575576862147E-2</v>
      </c>
    </row>
    <row r="83" spans="2:13" x14ac:dyDescent="0.2">
      <c r="B83" s="289">
        <v>12</v>
      </c>
      <c r="C83" s="290">
        <f>+Restauracion!AT105+Restauracion!AT110+Conservacion!AU75+Conservacion!AU80</f>
        <v>306615236.33858722</v>
      </c>
      <c r="D83" s="297">
        <v>0</v>
      </c>
      <c r="E83" s="293">
        <f t="shared" si="9"/>
        <v>10432828773.05134</v>
      </c>
      <c r="F83" s="293">
        <f t="shared" si="10"/>
        <v>2677847295.0062814</v>
      </c>
      <c r="G83" s="289">
        <v>12</v>
      </c>
      <c r="H83" s="290">
        <f t="shared" si="13"/>
        <v>354514116.41047359</v>
      </c>
      <c r="I83" s="291">
        <f t="shared" si="11"/>
        <v>2.1005802152735051E-2</v>
      </c>
    </row>
    <row r="84" spans="2:13" x14ac:dyDescent="0.2">
      <c r="B84" s="289">
        <v>13</v>
      </c>
      <c r="C84" s="290">
        <f>+Restauracion!AV105+Restauracion!AV110+Conservacion!AV75+Conservacion!AV80</f>
        <v>278045965.4944399</v>
      </c>
      <c r="D84" s="297">
        <v>0</v>
      </c>
      <c r="E84" s="293">
        <f t="shared" si="9"/>
        <v>10154782807.5569</v>
      </c>
      <c r="F84" s="293">
        <f t="shared" si="10"/>
        <v>2327214125.8659868</v>
      </c>
      <c r="G84" s="289">
        <v>13</v>
      </c>
      <c r="H84" s="290">
        <f t="shared" si="13"/>
        <v>321481805.52224338</v>
      </c>
      <c r="I84" s="291">
        <f t="shared" si="11"/>
        <v>1.9048559394135269E-2</v>
      </c>
      <c r="K84" s="288" t="s">
        <v>225</v>
      </c>
      <c r="L84" s="296" t="s">
        <v>226</v>
      </c>
      <c r="M84" s="288" t="s">
        <v>102</v>
      </c>
    </row>
    <row r="85" spans="2:13" x14ac:dyDescent="0.2">
      <c r="B85" s="289">
        <v>14</v>
      </c>
      <c r="C85" s="290">
        <f>+Restauracion!AW105+Restauracion!AW110+Conservacion!AW75+Conservacion!AW80</f>
        <v>291034274.56077045</v>
      </c>
      <c r="D85" s="297">
        <v>0</v>
      </c>
      <c r="E85" s="293">
        <f t="shared" si="9"/>
        <v>9863748532.99613</v>
      </c>
      <c r="F85" s="293">
        <f t="shared" si="10"/>
        <v>2018318376.512058</v>
      </c>
      <c r="G85" s="289">
        <v>14</v>
      </c>
      <c r="H85" s="290">
        <f t="shared" si="13"/>
        <v>336499124.84172964</v>
      </c>
      <c r="I85" s="291">
        <f t="shared" si="11"/>
        <v>1.9938371178454543E-2</v>
      </c>
      <c r="K85" s="289">
        <v>0</v>
      </c>
      <c r="L85" s="290">
        <v>274234110.83149499</v>
      </c>
      <c r="M85" s="295">
        <f>L85/$L$116</f>
        <v>1.878741429958302E-2</v>
      </c>
    </row>
    <row r="86" spans="2:13" x14ac:dyDescent="0.2">
      <c r="B86" s="289">
        <v>15</v>
      </c>
      <c r="C86" s="290">
        <f>+Restauracion!AX105+Restauracion!AX110+Conservacion!AX75+Conservacion!AX80</f>
        <v>304474659.37022114</v>
      </c>
      <c r="D86" s="297">
        <v>0</v>
      </c>
      <c r="E86" s="293">
        <f t="shared" si="9"/>
        <v>9559273873.6259079</v>
      </c>
      <c r="F86" s="293">
        <f t="shared" si="10"/>
        <v>1746443597.1119931</v>
      </c>
      <c r="G86" s="289">
        <v>15</v>
      </c>
      <c r="H86" s="290">
        <f t="shared" si="13"/>
        <v>352039142.36283392</v>
      </c>
      <c r="I86" s="291">
        <f t="shared" si="11"/>
        <v>2.0859154070835606E-2</v>
      </c>
      <c r="K86" s="289">
        <v>1</v>
      </c>
      <c r="L86" s="290">
        <v>2086894136.5964451</v>
      </c>
      <c r="M86" s="295">
        <f t="shared" ref="M86:M116" si="14">L86/$L$116</f>
        <v>0.1429703424739136</v>
      </c>
    </row>
    <row r="87" spans="2:13" x14ac:dyDescent="0.2">
      <c r="B87" s="289">
        <v>16</v>
      </c>
      <c r="C87" s="290">
        <f>+Restauracion!AY105+Restauracion!AY110+Conservacion!AY75+Conservacion!AY80</f>
        <v>383475037.98290282</v>
      </c>
      <c r="D87" s="297">
        <v>0</v>
      </c>
      <c r="E87" s="293">
        <f t="shared" si="9"/>
        <v>9175798835.6430054</v>
      </c>
      <c r="F87" s="293">
        <f t="shared" si="10"/>
        <v>1496771554.8074729</v>
      </c>
      <c r="G87" s="289">
        <v>16</v>
      </c>
      <c r="H87" s="290">
        <f t="shared" si="13"/>
        <v>443380817.85948342</v>
      </c>
      <c r="I87" s="291">
        <f t="shared" si="11"/>
        <v>2.6271364967285146E-2</v>
      </c>
      <c r="K87" s="289">
        <v>2</v>
      </c>
      <c r="L87" s="290">
        <v>666777779.52634788</v>
      </c>
      <c r="M87" s="295">
        <f t="shared" si="14"/>
        <v>4.5680059098901965E-2</v>
      </c>
    </row>
    <row r="88" spans="2:13" x14ac:dyDescent="0.2">
      <c r="B88" s="289">
        <v>17</v>
      </c>
      <c r="C88" s="290">
        <f>Restauracion!AZ105+Restauracion!AZ110+Conservacion!AZ75+Conservacion!AZ80</f>
        <v>332576117.90572941</v>
      </c>
      <c r="D88" s="297">
        <v>0</v>
      </c>
      <c r="E88" s="293">
        <f t="shared" si="9"/>
        <v>8843222717.7372761</v>
      </c>
      <c r="F88" s="293">
        <f t="shared" si="10"/>
        <v>1287965344.4333797</v>
      </c>
      <c r="G88" s="289">
        <v>17</v>
      </c>
      <c r="H88" s="290">
        <f t="shared" si="13"/>
        <v>384530560.14600009</v>
      </c>
      <c r="I88" s="291">
        <f t="shared" si="11"/>
        <v>2.2784347630193914E-2</v>
      </c>
      <c r="K88" s="289">
        <v>3</v>
      </c>
      <c r="L88" s="290">
        <v>438769511.04143608</v>
      </c>
      <c r="M88" s="295">
        <f t="shared" si="14"/>
        <v>3.0059515794612822E-2</v>
      </c>
    </row>
    <row r="89" spans="2:13" x14ac:dyDescent="0.2">
      <c r="B89" s="289">
        <v>18</v>
      </c>
      <c r="C89" s="290">
        <f>+Restauracion!BA105+Restauracion!BA110+Conservacion!BA75+Conservacion!BA80</f>
        <v>347150119.04727</v>
      </c>
      <c r="D89" s="297">
        <v>0</v>
      </c>
      <c r="E89" s="293">
        <f t="shared" si="9"/>
        <v>8496072598.6900063</v>
      </c>
      <c r="F89" s="293">
        <f t="shared" si="10"/>
        <v>1104825798.3397536</v>
      </c>
      <c r="G89" s="289">
        <v>18</v>
      </c>
      <c r="H89" s="290">
        <f t="shared" si="13"/>
        <v>401381285.50119102</v>
      </c>
      <c r="I89" s="291">
        <f t="shared" si="11"/>
        <v>2.3782793070181364E-2</v>
      </c>
      <c r="K89" s="289">
        <v>4</v>
      </c>
      <c r="L89" s="290">
        <v>723093986.82426763</v>
      </c>
      <c r="M89" s="295">
        <f t="shared" si="14"/>
        <v>4.9538207580428165E-2</v>
      </c>
    </row>
    <row r="90" spans="2:13" x14ac:dyDescent="0.2">
      <c r="B90" s="289">
        <v>19</v>
      </c>
      <c r="C90" s="290">
        <f>Restauracion!BB105+Restauracion!BB110+Conservacion!BB75+Conservacion!BB80</f>
        <v>362000993.75438076</v>
      </c>
      <c r="D90" s="297">
        <v>0</v>
      </c>
      <c r="E90" s="293">
        <f t="shared" si="9"/>
        <v>8134071604.9356251</v>
      </c>
      <c r="F90" s="293">
        <f t="shared" si="10"/>
        <v>944420837.04456174</v>
      </c>
      <c r="G90" s="289">
        <v>19</v>
      </c>
      <c r="H90" s="290">
        <f t="shared" si="13"/>
        <v>418552137.11177504</v>
      </c>
      <c r="I90" s="291">
        <f t="shared" si="11"/>
        <v>2.4800206750003009E-2</v>
      </c>
      <c r="K90" s="289">
        <v>5</v>
      </c>
      <c r="L90" s="290">
        <v>397590366.45351195</v>
      </c>
      <c r="M90" s="295">
        <f t="shared" si="14"/>
        <v>2.723838735245802E-2</v>
      </c>
    </row>
    <row r="91" spans="2:13" x14ac:dyDescent="0.2">
      <c r="B91" s="289">
        <v>20</v>
      </c>
      <c r="C91" s="290">
        <f>+Restauracion!BC105+Restauracion!BC110+Conservacion!BC75+Conservacion!BC80</f>
        <v>677554199.56668496</v>
      </c>
      <c r="D91" s="297">
        <v>0</v>
      </c>
      <c r="E91" s="293">
        <f t="shared" si="9"/>
        <v>7456517405.3689404</v>
      </c>
      <c r="F91" s="293">
        <f t="shared" si="10"/>
        <v>772993038.18244541</v>
      </c>
      <c r="G91" s="289">
        <v>20</v>
      </c>
      <c r="H91" s="290">
        <f t="shared" si="13"/>
        <v>783400496.49176466</v>
      </c>
      <c r="I91" s="291">
        <f t="shared" si="11"/>
        <v>4.6418337307073315E-2</v>
      </c>
      <c r="K91" s="289">
        <v>6</v>
      </c>
      <c r="L91" s="290">
        <v>201180463.23818371</v>
      </c>
      <c r="M91" s="295">
        <f t="shared" si="14"/>
        <v>1.3782606038240906E-2</v>
      </c>
    </row>
    <row r="92" spans="2:13" x14ac:dyDescent="0.2">
      <c r="B92" s="289">
        <v>21</v>
      </c>
      <c r="C92" s="290">
        <f>Restauracion!BD105+Restauracion!BD110+Conservacion!BD75+Conservacion!BD80</f>
        <v>472769346.17720765</v>
      </c>
      <c r="D92" s="297">
        <v>0</v>
      </c>
      <c r="E92" s="293">
        <f t="shared" si="9"/>
        <v>6983748059.1917324</v>
      </c>
      <c r="F92" s="293">
        <f t="shared" si="10"/>
        <v>646413008.42405546</v>
      </c>
      <c r="G92" s="289">
        <v>21</v>
      </c>
      <c r="H92" s="290">
        <f t="shared" si="13"/>
        <v>546624522.07981598</v>
      </c>
      <c r="I92" s="291">
        <f t="shared" si="11"/>
        <v>3.2388799292119644E-2</v>
      </c>
      <c r="K92" s="289">
        <v>7</v>
      </c>
      <c r="L92" s="290">
        <v>112908052.20203608</v>
      </c>
      <c r="M92" s="295">
        <f t="shared" si="14"/>
        <v>7.7351805289532912E-3</v>
      </c>
    </row>
    <row r="93" spans="2:13" x14ac:dyDescent="0.2">
      <c r="B93" s="289">
        <v>22</v>
      </c>
      <c r="C93" s="290">
        <f>+Restauracion!BE105+Restauracion!BE110+Conservacion!BE75+Conservacion!BE80</f>
        <v>407775657.9957093</v>
      </c>
      <c r="D93" s="297">
        <v>0</v>
      </c>
      <c r="E93" s="293">
        <f t="shared" si="9"/>
        <v>6575972401.196023</v>
      </c>
      <c r="F93" s="293">
        <f t="shared" si="10"/>
        <v>543454867.73906064</v>
      </c>
      <c r="G93" s="289">
        <v>22</v>
      </c>
      <c r="H93" s="290">
        <f t="shared" si="13"/>
        <v>471477636.97043437</v>
      </c>
      <c r="I93" s="291">
        <f t="shared" si="11"/>
        <v>2.7936168133211727E-2</v>
      </c>
      <c r="K93" s="289">
        <v>8</v>
      </c>
      <c r="L93" s="290">
        <v>265541317.78049928</v>
      </c>
      <c r="M93" s="295">
        <f t="shared" si="14"/>
        <v>1.8191882605971269E-2</v>
      </c>
    </row>
    <row r="94" spans="2:13" x14ac:dyDescent="0.2">
      <c r="B94" s="289">
        <v>23</v>
      </c>
      <c r="C94" s="290">
        <f>+Restauracion!BF105+Restauracion!BF110+Conservacion!BF75+Conservacion!BF80</f>
        <v>423132981.12543458</v>
      </c>
      <c r="D94" s="297">
        <v>0</v>
      </c>
      <c r="E94" s="293">
        <f t="shared" si="9"/>
        <v>6152839420.0705881</v>
      </c>
      <c r="F94" s="293">
        <f t="shared" si="10"/>
        <v>454005442.79824734</v>
      </c>
      <c r="G94" s="289">
        <v>23</v>
      </c>
      <c r="H94" s="290">
        <f t="shared" si="13"/>
        <v>489234053.46420765</v>
      </c>
      <c r="I94" s="291">
        <f t="shared" si="11"/>
        <v>2.8988277921071063E-2</v>
      </c>
      <c r="K94" s="289">
        <v>9</v>
      </c>
      <c r="L94" s="290">
        <v>231025031.22311655</v>
      </c>
      <c r="M94" s="295">
        <f t="shared" si="14"/>
        <v>1.5827217708265909E-2</v>
      </c>
    </row>
    <row r="95" spans="2:13" x14ac:dyDescent="0.2">
      <c r="B95" s="289">
        <v>24</v>
      </c>
      <c r="C95" s="290">
        <f>+Restauracion!BG105+Restauracion!BG110+Conservacion!BG75+Conservacion!BG80</f>
        <v>438356962.99499947</v>
      </c>
      <c r="D95" s="297">
        <v>0</v>
      </c>
      <c r="E95" s="293">
        <f t="shared" si="9"/>
        <v>5714482457.0755882</v>
      </c>
      <c r="F95" s="293">
        <f t="shared" si="10"/>
        <v>376482123.76323688</v>
      </c>
      <c r="G95" s="289">
        <v>24</v>
      </c>
      <c r="H95" s="290">
        <f t="shared" si="13"/>
        <v>506836298.36627758</v>
      </c>
      <c r="I95" s="291">
        <f t="shared" si="11"/>
        <v>3.0031252676493092E-2</v>
      </c>
      <c r="K95" s="289">
        <v>10</v>
      </c>
      <c r="L95" s="290">
        <v>434204612.97953725</v>
      </c>
      <c r="M95" s="295">
        <f t="shared" si="14"/>
        <v>2.9746780698077166E-2</v>
      </c>
    </row>
    <row r="96" spans="2:13" x14ac:dyDescent="0.2">
      <c r="B96" s="289">
        <v>25</v>
      </c>
      <c r="C96" s="290">
        <f>+Restauracion!BH105+Restauracion!BH110+Conservacion!BH75+Conservacion!BH80</f>
        <v>453335293.43362397</v>
      </c>
      <c r="D96" s="297">
        <v>0</v>
      </c>
      <c r="E96" s="293">
        <f t="shared" si="9"/>
        <v>5261147163.641964</v>
      </c>
      <c r="F96" s="293">
        <f t="shared" si="10"/>
        <v>309478072.42343098</v>
      </c>
      <c r="G96" s="289">
        <v>25</v>
      </c>
      <c r="H96" s="290">
        <f t="shared" si="13"/>
        <v>524154516.61323166</v>
      </c>
      <c r="I96" s="291">
        <f t="shared" si="11"/>
        <v>3.1057398179010112E-2</v>
      </c>
      <c r="K96" s="289">
        <v>11</v>
      </c>
      <c r="L96" s="290">
        <v>305298226.74837309</v>
      </c>
      <c r="M96" s="295">
        <f t="shared" si="14"/>
        <v>2.0915575576862147E-2</v>
      </c>
    </row>
    <row r="97" spans="2:13" x14ac:dyDescent="0.2">
      <c r="B97" s="289">
        <v>26</v>
      </c>
      <c r="C97" s="290">
        <f>+Restauracion!BI105+Restauracion!BI110+Conservacion!BI75+Conservacion!BI80</f>
        <v>467946934.80545127</v>
      </c>
      <c r="D97" s="297">
        <v>0</v>
      </c>
      <c r="E97" s="293">
        <f t="shared" si="9"/>
        <v>4793200228.8365126</v>
      </c>
      <c r="F97" s="293">
        <f t="shared" si="10"/>
        <v>251742755.73855576</v>
      </c>
      <c r="G97" s="289">
        <v>26</v>
      </c>
      <c r="H97" s="290">
        <f t="shared" si="13"/>
        <v>541048762.28770268</v>
      </c>
      <c r="I97" s="291">
        <f t="shared" si="11"/>
        <v>3.2058422301126432E-2</v>
      </c>
      <c r="K97" s="289">
        <v>12</v>
      </c>
      <c r="L97" s="290">
        <v>306615236.33858722</v>
      </c>
      <c r="M97" s="295">
        <f t="shared" si="14"/>
        <v>2.1005802152735054E-2</v>
      </c>
    </row>
    <row r="98" spans="2:13" x14ac:dyDescent="0.2">
      <c r="B98" s="289">
        <v>27</v>
      </c>
      <c r="C98" s="290">
        <f>+Restauracion!BJ105+Restauracion!BJ110+Conservacion!BJ75+Conservacion!BJ80</f>
        <v>482062893.89057744</v>
      </c>
      <c r="D98" s="297">
        <v>0</v>
      </c>
      <c r="E98" s="293">
        <f t="shared" si="9"/>
        <v>4311137334.9459352</v>
      </c>
      <c r="F98" s="293">
        <f>E98/(1+$C$107)^B98</f>
        <v>202164662.8207832</v>
      </c>
      <c r="G98" s="289">
        <v>27</v>
      </c>
      <c r="H98" s="290">
        <f t="shared" si="13"/>
        <v>557369891.08126259</v>
      </c>
      <c r="I98" s="291">
        <f t="shared" si="11"/>
        <v>3.3025487888861373E-2</v>
      </c>
      <c r="K98" s="289">
        <v>13</v>
      </c>
      <c r="L98" s="290">
        <v>278045965.4944399</v>
      </c>
      <c r="M98" s="295">
        <f t="shared" si="14"/>
        <v>1.9048559394135273E-2</v>
      </c>
    </row>
    <row r="99" spans="2:13" x14ac:dyDescent="0.2">
      <c r="B99" s="289">
        <v>28</v>
      </c>
      <c r="C99" s="290">
        <f>+Restauracion!BK105+Restauracion!BK110+Conservacion!BK75+Conservacion!BK80</f>
        <v>495547254.84448373</v>
      </c>
      <c r="D99" s="297">
        <v>0</v>
      </c>
      <c r="E99" s="293">
        <f t="shared" si="9"/>
        <v>3815590080.1014514</v>
      </c>
      <c r="F99" s="293">
        <f t="shared" si="10"/>
        <v>159755962.55434132</v>
      </c>
      <c r="G99" s="289">
        <v>28</v>
      </c>
      <c r="H99" s="290">
        <f t="shared" si="13"/>
        <v>572960754.62091756</v>
      </c>
      <c r="I99" s="291">
        <f t="shared" si="11"/>
        <v>3.3949283528426508E-2</v>
      </c>
      <c r="K99" s="289">
        <v>14</v>
      </c>
      <c r="L99" s="290">
        <v>291034274.56077045</v>
      </c>
      <c r="M99" s="295">
        <f t="shared" si="14"/>
        <v>1.9938371178454546E-2</v>
      </c>
    </row>
    <row r="100" spans="2:13" x14ac:dyDescent="0.2">
      <c r="B100" s="289">
        <v>29</v>
      </c>
      <c r="C100" s="290">
        <f>+Restauracion!BL105+Restauracion!BL110+Conservacion!BL75+Conservacion!BL80</f>
        <v>612258240.65872693</v>
      </c>
      <c r="D100" s="297">
        <v>0</v>
      </c>
      <c r="E100" s="293">
        <f t="shared" si="9"/>
        <v>3203331839.4427242</v>
      </c>
      <c r="F100" s="293">
        <f t="shared" si="10"/>
        <v>119751034.25491622</v>
      </c>
      <c r="G100" s="289">
        <v>29</v>
      </c>
      <c r="H100" s="290">
        <f t="shared" si="13"/>
        <v>707904120.46736121</v>
      </c>
      <c r="I100" s="291">
        <f t="shared" si="11"/>
        <v>4.1944997982607819E-2</v>
      </c>
      <c r="K100" s="289">
        <v>15</v>
      </c>
      <c r="L100" s="290">
        <v>304474659.37022114</v>
      </c>
      <c r="M100" s="295">
        <f t="shared" si="14"/>
        <v>2.0859154070835609E-2</v>
      </c>
    </row>
    <row r="101" spans="2:13" x14ac:dyDescent="0.2">
      <c r="B101" s="289">
        <v>30</v>
      </c>
      <c r="C101" s="290">
        <f>Restauracion!BM105+Restauracion!BM110+Conservacion!BM75+Conservacion!BM80</f>
        <v>923062810.74249732</v>
      </c>
      <c r="D101" s="297">
        <v>0</v>
      </c>
      <c r="E101" s="293">
        <f t="shared" si="9"/>
        <v>2280269028.7002268</v>
      </c>
      <c r="F101" s="293">
        <f>E101/(1+$C$107)^B101</f>
        <v>76110646.065687433</v>
      </c>
      <c r="G101" s="289">
        <v>30</v>
      </c>
      <c r="H101" s="290">
        <f t="shared" si="13"/>
        <v>1067262020.7965901</v>
      </c>
      <c r="I101" s="291">
        <f t="shared" si="11"/>
        <v>6.3237805819906831E-2</v>
      </c>
      <c r="J101" s="324">
        <f>D102-C102</f>
        <v>2280269028.7002296</v>
      </c>
      <c r="K101" s="289">
        <v>16</v>
      </c>
      <c r="L101" s="290">
        <v>383475037.98290282</v>
      </c>
      <c r="M101" s="295">
        <f t="shared" si="14"/>
        <v>2.627136496728515E-2</v>
      </c>
    </row>
    <row r="102" spans="2:13" x14ac:dyDescent="0.2">
      <c r="C102" s="290">
        <f>SUM(C71:C101)</f>
        <v>14596692576.134945</v>
      </c>
      <c r="D102" s="290">
        <f>SUM(D71:D101)</f>
        <v>16876961604.835175</v>
      </c>
      <c r="E102" s="293">
        <f>E101-C101+D101</f>
        <v>1357206217.9577293</v>
      </c>
      <c r="H102" s="293">
        <f>SUM(H72:H101)</f>
        <v>16876961604.835178</v>
      </c>
      <c r="I102" s="294">
        <f>SUM(I72:I101)</f>
        <v>1.0000000000000002</v>
      </c>
      <c r="J102" s="325">
        <f>J101/C102</f>
        <v>0.1562181992123603</v>
      </c>
      <c r="K102" s="289">
        <v>17</v>
      </c>
      <c r="L102" s="290">
        <v>332576117.90572941</v>
      </c>
      <c r="M102" s="295">
        <f t="shared" si="14"/>
        <v>2.2784347630193921E-2</v>
      </c>
    </row>
    <row r="103" spans="2:13" x14ac:dyDescent="0.2">
      <c r="C103" s="309"/>
      <c r="J103" s="326"/>
      <c r="K103" s="289">
        <v>18</v>
      </c>
      <c r="L103" s="290">
        <v>347150119.04727</v>
      </c>
      <c r="M103" s="295">
        <f t="shared" si="14"/>
        <v>2.3782793070181368E-2</v>
      </c>
    </row>
    <row r="104" spans="2:13" x14ac:dyDescent="0.2">
      <c r="C104" s="309"/>
      <c r="K104" s="289">
        <v>19</v>
      </c>
      <c r="L104" s="290">
        <v>362000993.75438076</v>
      </c>
      <c r="M104" s="295">
        <f t="shared" si="14"/>
        <v>2.4800206750003016E-2</v>
      </c>
    </row>
    <row r="105" spans="2:13" x14ac:dyDescent="0.2">
      <c r="B105" s="292" t="s">
        <v>231</v>
      </c>
      <c r="C105" s="309">
        <f>-C71</f>
        <v>-274234110.83149499</v>
      </c>
      <c r="K105" s="289">
        <v>20</v>
      </c>
      <c r="L105" s="290">
        <v>677554199.56668496</v>
      </c>
      <c r="M105" s="295">
        <f t="shared" si="14"/>
        <v>4.6418337307073322E-2</v>
      </c>
    </row>
    <row r="106" spans="2:13" x14ac:dyDescent="0.2">
      <c r="B106" s="292" t="s">
        <v>230</v>
      </c>
      <c r="C106" s="309">
        <f>B101</f>
        <v>30</v>
      </c>
      <c r="K106" s="289">
        <v>21</v>
      </c>
      <c r="L106" s="290">
        <v>472769346.17720765</v>
      </c>
      <c r="M106" s="295">
        <f t="shared" si="14"/>
        <v>3.2388799292119651E-2</v>
      </c>
    </row>
    <row r="107" spans="2:13" x14ac:dyDescent="0.2">
      <c r="B107" s="292" t="s">
        <v>232</v>
      </c>
      <c r="C107" s="321">
        <v>0.12</v>
      </c>
      <c r="K107" s="289">
        <v>22</v>
      </c>
      <c r="L107" s="290">
        <v>407775657.9957093</v>
      </c>
      <c r="M107" s="295">
        <f t="shared" si="14"/>
        <v>2.7936168133211731E-2</v>
      </c>
    </row>
    <row r="108" spans="2:13" x14ac:dyDescent="0.2">
      <c r="B108" s="292" t="s">
        <v>229</v>
      </c>
      <c r="C108" s="309">
        <f>SUM(F71:F101)</f>
        <v>74379605852.45369</v>
      </c>
      <c r="D108" s="301"/>
      <c r="K108" s="289">
        <v>23</v>
      </c>
      <c r="L108" s="290">
        <v>423132981.12543458</v>
      </c>
      <c r="M108" s="295">
        <f t="shared" si="14"/>
        <v>2.8988277921071066E-2</v>
      </c>
    </row>
    <row r="109" spans="2:13" x14ac:dyDescent="0.2">
      <c r="B109" s="292" t="s">
        <v>234</v>
      </c>
      <c r="C109" s="322">
        <f>IRR(E71:E101)</f>
        <v>16.594256221987951</v>
      </c>
      <c r="K109" s="289">
        <v>24</v>
      </c>
      <c r="L109" s="290">
        <v>438356962.99499947</v>
      </c>
      <c r="M109" s="295">
        <f t="shared" si="14"/>
        <v>3.0031252676493096E-2</v>
      </c>
    </row>
    <row r="110" spans="2:13" x14ac:dyDescent="0.2">
      <c r="K110" s="289">
        <v>25</v>
      </c>
      <c r="L110" s="290">
        <v>453335293.43362397</v>
      </c>
      <c r="M110" s="295">
        <f t="shared" si="14"/>
        <v>3.1057398179010119E-2</v>
      </c>
    </row>
    <row r="111" spans="2:13" x14ac:dyDescent="0.2">
      <c r="K111" s="289">
        <v>26</v>
      </c>
      <c r="L111" s="290">
        <v>467946934.80545127</v>
      </c>
      <c r="M111" s="295">
        <f t="shared" si="14"/>
        <v>3.2058422301126439E-2</v>
      </c>
    </row>
    <row r="112" spans="2:13" x14ac:dyDescent="0.2">
      <c r="K112" s="289">
        <v>27</v>
      </c>
      <c r="L112" s="290">
        <v>482062893.89057744</v>
      </c>
      <c r="M112" s="295">
        <f t="shared" si="14"/>
        <v>3.302548788886138E-2</v>
      </c>
    </row>
    <row r="113" spans="2:13" x14ac:dyDescent="0.2">
      <c r="B113" s="292" t="s">
        <v>229</v>
      </c>
      <c r="C113" s="323">
        <f>NPV(C107,E72:E101,E71)</f>
        <v>74645667315.716797</v>
      </c>
      <c r="D113" s="320"/>
      <c r="K113" s="289">
        <v>28</v>
      </c>
      <c r="L113" s="290">
        <v>495547254.84448373</v>
      </c>
      <c r="M113" s="295">
        <f t="shared" si="14"/>
        <v>3.3949283528426522E-2</v>
      </c>
    </row>
    <row r="114" spans="2:13" x14ac:dyDescent="0.2">
      <c r="K114" s="289">
        <v>29</v>
      </c>
      <c r="L114" s="290">
        <v>612258240.65872693</v>
      </c>
      <c r="M114" s="295">
        <f t="shared" si="14"/>
        <v>4.1944997982607826E-2</v>
      </c>
    </row>
    <row r="115" spans="2:13" x14ac:dyDescent="0.2">
      <c r="K115" s="289">
        <v>30</v>
      </c>
      <c r="L115" s="290">
        <v>923062810.74249732</v>
      </c>
      <c r="M115" s="295">
        <f t="shared" si="14"/>
        <v>6.3237805819906831E-2</v>
      </c>
    </row>
    <row r="116" spans="2:13" x14ac:dyDescent="0.2">
      <c r="L116" s="290">
        <v>14596692576.134945</v>
      </c>
      <c r="M116" s="295">
        <f t="shared" si="14"/>
        <v>1</v>
      </c>
    </row>
  </sheetData>
  <mergeCells count="2">
    <mergeCell ref="B31:H31"/>
    <mergeCell ref="B65:H6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FEB22-9389-2C49-A6DC-8E48A0571872}">
  <dimension ref="A2:F109"/>
  <sheetViews>
    <sheetView zoomScaleNormal="100" workbookViewId="0">
      <selection activeCell="A105" sqref="A105:E112"/>
    </sheetView>
  </sheetViews>
  <sheetFormatPr baseColWidth="10" defaultRowHeight="16" x14ac:dyDescent="0.2"/>
  <cols>
    <col min="1" max="1" width="32.1640625" style="1" bestFit="1" customWidth="1"/>
    <col min="2" max="2" width="11.83203125" style="59" bestFit="1" customWidth="1"/>
    <col min="3" max="3" width="13.1640625" style="59" bestFit="1" customWidth="1"/>
    <col min="4" max="4" width="16.6640625" style="59" bestFit="1" customWidth="1"/>
    <col min="5" max="16384" width="10.83203125" style="1"/>
  </cols>
  <sheetData>
    <row r="2" spans="1:6" ht="17" thickBot="1" x14ac:dyDescent="0.25"/>
    <row r="3" spans="1:6" ht="17" thickBot="1" x14ac:dyDescent="0.25">
      <c r="A3" s="261" t="s">
        <v>126</v>
      </c>
      <c r="B3" s="262"/>
      <c r="C3" s="262"/>
      <c r="D3" s="91">
        <f>SUM(D6:D7)</f>
        <v>1855000</v>
      </c>
    </row>
    <row r="5" spans="1:6" x14ac:dyDescent="0.2">
      <c r="B5" s="92" t="s">
        <v>156</v>
      </c>
      <c r="C5" s="92" t="s">
        <v>157</v>
      </c>
      <c r="D5" s="92" t="s">
        <v>158</v>
      </c>
    </row>
    <row r="6" spans="1:6" x14ac:dyDescent="0.2">
      <c r="A6" s="55" t="s">
        <v>127</v>
      </c>
      <c r="B6" s="114">
        <v>1</v>
      </c>
      <c r="C6" s="115">
        <v>1490000</v>
      </c>
      <c r="D6" s="115">
        <f>B6*C6</f>
        <v>1490000</v>
      </c>
    </row>
    <row r="7" spans="1:6" x14ac:dyDescent="0.2">
      <c r="A7" s="55" t="s">
        <v>128</v>
      </c>
      <c r="B7" s="114">
        <v>10</v>
      </c>
      <c r="C7" s="115">
        <v>36500</v>
      </c>
      <c r="D7" s="115">
        <f>B7*C7</f>
        <v>365000</v>
      </c>
    </row>
    <row r="8" spans="1:6" x14ac:dyDescent="0.2">
      <c r="A8" s="111" t="s">
        <v>40</v>
      </c>
      <c r="B8" s="112">
        <v>25775.873651953563</v>
      </c>
      <c r="C8" s="116">
        <v>950</v>
      </c>
      <c r="D8" s="115">
        <f t="shared" ref="D8:D13" si="0">B8*C8</f>
        <v>24487079.969355885</v>
      </c>
    </row>
    <row r="9" spans="1:6" x14ac:dyDescent="0.2">
      <c r="A9" s="111" t="s">
        <v>42</v>
      </c>
      <c r="B9" s="112">
        <v>2147.9894709961304</v>
      </c>
      <c r="C9" s="116">
        <v>35000</v>
      </c>
      <c r="D9" s="115">
        <f t="shared" si="0"/>
        <v>75179631.484864563</v>
      </c>
      <c r="F9" s="55"/>
    </row>
    <row r="10" spans="1:6" x14ac:dyDescent="0.2">
      <c r="A10" s="111" t="s">
        <v>44</v>
      </c>
      <c r="B10" s="112">
        <v>214.79894709961303</v>
      </c>
      <c r="C10" s="116">
        <v>38000</v>
      </c>
      <c r="D10" s="115">
        <f t="shared" si="0"/>
        <v>8162359.989785295</v>
      </c>
    </row>
    <row r="11" spans="1:6" x14ac:dyDescent="0.2">
      <c r="A11" s="111" t="s">
        <v>45</v>
      </c>
      <c r="B11" s="112">
        <v>41.091972488621629</v>
      </c>
      <c r="C11" s="116">
        <v>10450</v>
      </c>
      <c r="D11" s="115">
        <f t="shared" si="0"/>
        <v>429411.11250609602</v>
      </c>
    </row>
    <row r="12" spans="1:6" x14ac:dyDescent="0.2">
      <c r="A12" s="111" t="s">
        <v>47</v>
      </c>
      <c r="B12" s="112">
        <v>64.439684129883915</v>
      </c>
      <c r="C12" s="116">
        <v>95000</v>
      </c>
      <c r="D12" s="115">
        <f t="shared" si="0"/>
        <v>6121769.9923389722</v>
      </c>
    </row>
    <row r="13" spans="1:6" x14ac:dyDescent="0.2">
      <c r="A13" s="111" t="s">
        <v>48</v>
      </c>
      <c r="B13" s="112">
        <v>64.439684129883915</v>
      </c>
      <c r="C13" s="116">
        <v>45000</v>
      </c>
      <c r="D13" s="115">
        <f t="shared" si="0"/>
        <v>2899785.7858447763</v>
      </c>
    </row>
    <row r="14" spans="1:6" x14ac:dyDescent="0.2">
      <c r="A14" s="111" t="s">
        <v>63</v>
      </c>
      <c r="B14" s="111" t="s">
        <v>64</v>
      </c>
      <c r="C14" s="113">
        <v>3500</v>
      </c>
      <c r="D14" s="115"/>
    </row>
    <row r="15" spans="1:6" x14ac:dyDescent="0.2">
      <c r="A15" s="111" t="s">
        <v>65</v>
      </c>
      <c r="B15" s="111" t="s">
        <v>46</v>
      </c>
      <c r="C15" s="113">
        <v>2800</v>
      </c>
      <c r="D15" s="115"/>
    </row>
    <row r="16" spans="1:6" x14ac:dyDescent="0.2">
      <c r="A16" s="111" t="s">
        <v>66</v>
      </c>
      <c r="B16" s="111" t="s">
        <v>46</v>
      </c>
      <c r="C16" s="113">
        <v>22000</v>
      </c>
      <c r="D16" s="115"/>
    </row>
    <row r="17" spans="1:4" x14ac:dyDescent="0.2">
      <c r="A17" s="111" t="s">
        <v>67</v>
      </c>
      <c r="B17" s="111" t="s">
        <v>46</v>
      </c>
      <c r="C17" s="113">
        <f>200000/50</f>
        <v>4000</v>
      </c>
      <c r="D17" s="115"/>
    </row>
    <row r="18" spans="1:4" x14ac:dyDescent="0.2">
      <c r="A18" s="111" t="s">
        <v>68</v>
      </c>
      <c r="B18" s="111" t="s">
        <v>69</v>
      </c>
      <c r="C18" s="113">
        <v>35000</v>
      </c>
      <c r="D18" s="60"/>
    </row>
    <row r="19" spans="1:4" x14ac:dyDescent="0.2">
      <c r="A19" s="111" t="s">
        <v>70</v>
      </c>
      <c r="B19" s="111" t="s">
        <v>50</v>
      </c>
      <c r="C19" s="113">
        <v>450000</v>
      </c>
      <c r="D19" s="60"/>
    </row>
    <row r="20" spans="1:4" x14ac:dyDescent="0.2">
      <c r="A20" s="111" t="s">
        <v>71</v>
      </c>
      <c r="B20" s="111" t="s">
        <v>50</v>
      </c>
      <c r="C20" s="113">
        <v>650000</v>
      </c>
      <c r="D20" s="60"/>
    </row>
    <row r="21" spans="1:4" x14ac:dyDescent="0.2">
      <c r="A21" s="111" t="s">
        <v>182</v>
      </c>
      <c r="B21" s="92" t="s">
        <v>183</v>
      </c>
      <c r="C21" s="60">
        <v>400000</v>
      </c>
      <c r="D21" s="60"/>
    </row>
    <row r="22" spans="1:4" x14ac:dyDescent="0.2">
      <c r="A22" s="111" t="s">
        <v>185</v>
      </c>
      <c r="B22" s="92"/>
      <c r="C22" s="60">
        <v>700000</v>
      </c>
      <c r="D22" s="60"/>
    </row>
    <row r="23" spans="1:4" x14ac:dyDescent="0.2">
      <c r="A23" s="111" t="s">
        <v>186</v>
      </c>
      <c r="B23" s="92"/>
      <c r="C23" s="60">
        <v>16500000</v>
      </c>
      <c r="D23" s="60"/>
    </row>
    <row r="24" spans="1:4" x14ac:dyDescent="0.2">
      <c r="A24" s="111" t="s">
        <v>80</v>
      </c>
      <c r="B24" s="92"/>
      <c r="C24" s="60">
        <v>3000000</v>
      </c>
      <c r="D24" s="60"/>
    </row>
    <row r="25" spans="1:4" x14ac:dyDescent="0.2">
      <c r="A25" s="118" t="s">
        <v>95</v>
      </c>
      <c r="B25" s="111" t="s">
        <v>23</v>
      </c>
      <c r="C25" s="60">
        <v>350000</v>
      </c>
      <c r="D25" s="60"/>
    </row>
    <row r="26" spans="1:4" x14ac:dyDescent="0.2">
      <c r="A26" s="118" t="s">
        <v>96</v>
      </c>
      <c r="B26" s="111" t="s">
        <v>23</v>
      </c>
      <c r="C26" s="60">
        <v>350000</v>
      </c>
      <c r="D26" s="60"/>
    </row>
    <row r="27" spans="1:4" x14ac:dyDescent="0.2">
      <c r="A27" s="118" t="s">
        <v>97</v>
      </c>
      <c r="B27" s="111" t="s">
        <v>98</v>
      </c>
      <c r="C27" s="60">
        <v>5400000</v>
      </c>
      <c r="D27" s="60"/>
    </row>
    <row r="28" spans="1:4" x14ac:dyDescent="0.2">
      <c r="A28" s="60" t="s">
        <v>27</v>
      </c>
      <c r="B28" s="60"/>
      <c r="C28" s="60">
        <v>250000</v>
      </c>
      <c r="D28" s="60"/>
    </row>
    <row r="29" spans="1:4" x14ac:dyDescent="0.2">
      <c r="A29" s="18"/>
      <c r="B29" s="94"/>
    </row>
    <row r="30" spans="1:4" ht="17" thickBot="1" x14ac:dyDescent="0.25">
      <c r="B30" s="94"/>
    </row>
    <row r="31" spans="1:4" ht="17" thickBot="1" x14ac:dyDescent="0.25">
      <c r="A31" s="261" t="s">
        <v>159</v>
      </c>
      <c r="B31" s="262"/>
      <c r="C31" s="262"/>
      <c r="D31" s="91">
        <f>SUM(D34:D60)</f>
        <v>51008000</v>
      </c>
    </row>
    <row r="32" spans="1:4" x14ac:dyDescent="0.2">
      <c r="B32" s="1"/>
      <c r="C32" s="1"/>
      <c r="D32" s="1"/>
    </row>
    <row r="33" spans="1:4" x14ac:dyDescent="0.2">
      <c r="B33" s="92" t="s">
        <v>156</v>
      </c>
      <c r="C33" s="92" t="s">
        <v>157</v>
      </c>
      <c r="D33" s="92" t="s">
        <v>158</v>
      </c>
    </row>
    <row r="34" spans="1:4" x14ac:dyDescent="0.2">
      <c r="A34" s="55" t="s">
        <v>129</v>
      </c>
      <c r="B34" s="93">
        <v>5</v>
      </c>
      <c r="C34" s="60">
        <v>400000</v>
      </c>
      <c r="D34" s="60">
        <f t="shared" ref="D34:D60" si="1">B34*C34</f>
        <v>2000000</v>
      </c>
    </row>
    <row r="35" spans="1:4" x14ac:dyDescent="0.2">
      <c r="A35" s="55" t="s">
        <v>130</v>
      </c>
      <c r="B35" s="93">
        <v>20</v>
      </c>
      <c r="C35" s="60">
        <v>200000</v>
      </c>
      <c r="D35" s="60">
        <f t="shared" si="1"/>
        <v>4000000</v>
      </c>
    </row>
    <row r="36" spans="1:4" x14ac:dyDescent="0.2">
      <c r="A36" s="55" t="s">
        <v>131</v>
      </c>
      <c r="B36" s="93">
        <v>6</v>
      </c>
      <c r="C36" s="60">
        <v>200000</v>
      </c>
      <c r="D36" s="60">
        <f t="shared" si="1"/>
        <v>1200000</v>
      </c>
    </row>
    <row r="37" spans="1:4" x14ac:dyDescent="0.2">
      <c r="A37" s="55" t="s">
        <v>132</v>
      </c>
      <c r="B37" s="93">
        <v>12</v>
      </c>
      <c r="C37" s="60">
        <v>120000</v>
      </c>
      <c r="D37" s="60">
        <f t="shared" si="1"/>
        <v>1440000</v>
      </c>
    </row>
    <row r="38" spans="1:4" x14ac:dyDescent="0.2">
      <c r="A38" s="55" t="s">
        <v>133</v>
      </c>
      <c r="B38" s="93">
        <v>1</v>
      </c>
      <c r="C38" s="60">
        <v>100000</v>
      </c>
      <c r="D38" s="60">
        <f t="shared" si="1"/>
        <v>100000</v>
      </c>
    </row>
    <row r="39" spans="1:4" x14ac:dyDescent="0.2">
      <c r="A39" s="55" t="s">
        <v>134</v>
      </c>
      <c r="B39" s="93">
        <v>10</v>
      </c>
      <c r="C39" s="60">
        <v>1400000</v>
      </c>
      <c r="D39" s="60">
        <f t="shared" si="1"/>
        <v>14000000</v>
      </c>
    </row>
    <row r="40" spans="1:4" x14ac:dyDescent="0.2">
      <c r="A40" s="55" t="s">
        <v>135</v>
      </c>
      <c r="B40" s="93">
        <v>1</v>
      </c>
      <c r="C40" s="60">
        <v>350000</v>
      </c>
      <c r="D40" s="60">
        <f t="shared" si="1"/>
        <v>350000</v>
      </c>
    </row>
    <row r="41" spans="1:4" x14ac:dyDescent="0.2">
      <c r="A41" s="55" t="s">
        <v>136</v>
      </c>
      <c r="B41" s="93">
        <v>1</v>
      </c>
      <c r="C41" s="60">
        <v>600000</v>
      </c>
      <c r="D41" s="60">
        <f t="shared" si="1"/>
        <v>600000</v>
      </c>
    </row>
    <row r="42" spans="1:4" x14ac:dyDescent="0.2">
      <c r="A42" s="55" t="s">
        <v>137</v>
      </c>
      <c r="B42" s="93">
        <v>20</v>
      </c>
      <c r="C42" s="60">
        <v>30000</v>
      </c>
      <c r="D42" s="60">
        <f t="shared" si="1"/>
        <v>600000</v>
      </c>
    </row>
    <row r="43" spans="1:4" x14ac:dyDescent="0.2">
      <c r="A43" s="55" t="s">
        <v>138</v>
      </c>
      <c r="B43" s="93">
        <v>2</v>
      </c>
      <c r="C43" s="60">
        <v>100000</v>
      </c>
      <c r="D43" s="60">
        <f t="shared" si="1"/>
        <v>200000</v>
      </c>
    </row>
    <row r="44" spans="1:4" x14ac:dyDescent="0.2">
      <c r="A44" s="55" t="s">
        <v>139</v>
      </c>
      <c r="B44" s="93">
        <v>2</v>
      </c>
      <c r="C44" s="60">
        <v>1000000</v>
      </c>
      <c r="D44" s="60">
        <f t="shared" si="1"/>
        <v>2000000</v>
      </c>
    </row>
    <row r="45" spans="1:4" x14ac:dyDescent="0.2">
      <c r="A45" s="55" t="s">
        <v>140</v>
      </c>
      <c r="B45" s="93">
        <v>8</v>
      </c>
      <c r="C45" s="60">
        <v>100000</v>
      </c>
      <c r="D45" s="60">
        <f t="shared" si="1"/>
        <v>800000</v>
      </c>
    </row>
    <row r="46" spans="1:4" x14ac:dyDescent="0.2">
      <c r="A46" s="55" t="s">
        <v>141</v>
      </c>
      <c r="B46" s="93">
        <v>4</v>
      </c>
      <c r="C46" s="60">
        <v>75000</v>
      </c>
      <c r="D46" s="60">
        <f t="shared" si="1"/>
        <v>300000</v>
      </c>
    </row>
    <row r="47" spans="1:4" x14ac:dyDescent="0.2">
      <c r="A47" s="55" t="s">
        <v>142</v>
      </c>
      <c r="B47" s="93">
        <v>4</v>
      </c>
      <c r="C47" s="60">
        <v>450000</v>
      </c>
      <c r="D47" s="60">
        <f t="shared" si="1"/>
        <v>1800000</v>
      </c>
    </row>
    <row r="48" spans="1:4" x14ac:dyDescent="0.2">
      <c r="A48" s="55" t="s">
        <v>143</v>
      </c>
      <c r="B48" s="93">
        <v>136</v>
      </c>
      <c r="C48" s="60">
        <v>16000</v>
      </c>
      <c r="D48" s="60">
        <f t="shared" si="1"/>
        <v>2176000</v>
      </c>
    </row>
    <row r="49" spans="1:4" x14ac:dyDescent="0.2">
      <c r="A49" s="55" t="s">
        <v>144</v>
      </c>
      <c r="B49" s="93">
        <v>52</v>
      </c>
      <c r="C49" s="60">
        <v>16000</v>
      </c>
      <c r="D49" s="60">
        <f t="shared" si="1"/>
        <v>832000</v>
      </c>
    </row>
    <row r="50" spans="1:4" x14ac:dyDescent="0.2">
      <c r="A50" s="55" t="s">
        <v>145</v>
      </c>
      <c r="B50" s="93">
        <v>4</v>
      </c>
      <c r="C50" s="60">
        <v>15000</v>
      </c>
      <c r="D50" s="60">
        <f t="shared" si="1"/>
        <v>60000</v>
      </c>
    </row>
    <row r="51" spans="1:4" x14ac:dyDescent="0.2">
      <c r="A51" s="55" t="s">
        <v>146</v>
      </c>
      <c r="B51" s="93">
        <v>2</v>
      </c>
      <c r="C51" s="60">
        <v>150000</v>
      </c>
      <c r="D51" s="60">
        <f t="shared" si="1"/>
        <v>300000</v>
      </c>
    </row>
    <row r="52" spans="1:4" x14ac:dyDescent="0.2">
      <c r="A52" s="55" t="s">
        <v>147</v>
      </c>
      <c r="B52" s="93">
        <v>20</v>
      </c>
      <c r="C52" s="60">
        <v>100000</v>
      </c>
      <c r="D52" s="60">
        <f t="shared" si="1"/>
        <v>2000000</v>
      </c>
    </row>
    <row r="53" spans="1:4" x14ac:dyDescent="0.2">
      <c r="A53" s="55" t="s">
        <v>148</v>
      </c>
      <c r="B53" s="93">
        <v>4</v>
      </c>
      <c r="C53" s="60">
        <v>1500000</v>
      </c>
      <c r="D53" s="60">
        <f t="shared" si="1"/>
        <v>6000000</v>
      </c>
    </row>
    <row r="54" spans="1:4" x14ac:dyDescent="0.2">
      <c r="A54" s="55" t="s">
        <v>149</v>
      </c>
      <c r="B54" s="93">
        <v>10</v>
      </c>
      <c r="C54" s="60">
        <v>700000</v>
      </c>
      <c r="D54" s="60">
        <f t="shared" si="1"/>
        <v>7000000</v>
      </c>
    </row>
    <row r="55" spans="1:4" x14ac:dyDescent="0.2">
      <c r="A55" s="55" t="s">
        <v>150</v>
      </c>
      <c r="B55" s="93">
        <v>1</v>
      </c>
      <c r="C55" s="60">
        <v>500000</v>
      </c>
      <c r="D55" s="60">
        <f t="shared" si="1"/>
        <v>500000</v>
      </c>
    </row>
    <row r="56" spans="1:4" x14ac:dyDescent="0.2">
      <c r="A56" s="55" t="s">
        <v>151</v>
      </c>
      <c r="B56" s="93">
        <v>1</v>
      </c>
      <c r="C56" s="60">
        <v>500000</v>
      </c>
      <c r="D56" s="60">
        <f t="shared" si="1"/>
        <v>500000</v>
      </c>
    </row>
    <row r="57" spans="1:4" x14ac:dyDescent="0.2">
      <c r="A57" s="55" t="s">
        <v>152</v>
      </c>
      <c r="B57" s="93">
        <v>1</v>
      </c>
      <c r="C57" s="60">
        <v>350000</v>
      </c>
      <c r="D57" s="60">
        <f t="shared" si="1"/>
        <v>350000</v>
      </c>
    </row>
    <row r="58" spans="1:4" x14ac:dyDescent="0.2">
      <c r="A58" s="55" t="s">
        <v>153</v>
      </c>
      <c r="B58" s="93">
        <v>1</v>
      </c>
      <c r="C58" s="60">
        <v>350000</v>
      </c>
      <c r="D58" s="60">
        <f t="shared" si="1"/>
        <v>350000</v>
      </c>
    </row>
    <row r="59" spans="1:4" x14ac:dyDescent="0.2">
      <c r="A59" s="55" t="s">
        <v>154</v>
      </c>
      <c r="B59" s="93">
        <v>1</v>
      </c>
      <c r="C59" s="60">
        <v>350000</v>
      </c>
      <c r="D59" s="60">
        <f t="shared" si="1"/>
        <v>350000</v>
      </c>
    </row>
    <row r="60" spans="1:4" x14ac:dyDescent="0.2">
      <c r="A60" s="55" t="s">
        <v>155</v>
      </c>
      <c r="B60" s="93">
        <v>2</v>
      </c>
      <c r="C60" s="60">
        <v>600000</v>
      </c>
      <c r="D60" s="60">
        <f t="shared" si="1"/>
        <v>1200000</v>
      </c>
    </row>
    <row r="61" spans="1:4" x14ac:dyDescent="0.2">
      <c r="B61" s="95"/>
      <c r="C61" s="96"/>
      <c r="D61" s="96"/>
    </row>
    <row r="62" spans="1:4" x14ac:dyDescent="0.2">
      <c r="B62" s="95"/>
      <c r="C62" s="96"/>
      <c r="D62" s="96"/>
    </row>
    <row r="63" spans="1:4" ht="17" thickBot="1" x14ac:dyDescent="0.25"/>
    <row r="64" spans="1:4" ht="17" thickBot="1" x14ac:dyDescent="0.25">
      <c r="A64" s="261" t="s">
        <v>159</v>
      </c>
      <c r="B64" s="262"/>
      <c r="C64" s="262"/>
      <c r="D64" s="91">
        <f>SUM(D67:D78)</f>
        <v>110350000</v>
      </c>
    </row>
    <row r="66" spans="1:4" x14ac:dyDescent="0.2">
      <c r="B66" s="92" t="s">
        <v>156</v>
      </c>
      <c r="C66" s="92" t="s">
        <v>157</v>
      </c>
      <c r="D66" s="92" t="s">
        <v>158</v>
      </c>
    </row>
    <row r="67" spans="1:4" x14ac:dyDescent="0.2">
      <c r="A67" s="55" t="s">
        <v>160</v>
      </c>
      <c r="B67" s="60">
        <v>2</v>
      </c>
      <c r="C67" s="60">
        <v>5500000</v>
      </c>
      <c r="D67" s="60">
        <v>11000000</v>
      </c>
    </row>
    <row r="68" spans="1:4" x14ac:dyDescent="0.2">
      <c r="A68" s="55" t="s">
        <v>161</v>
      </c>
      <c r="B68" s="60">
        <v>2</v>
      </c>
      <c r="C68" s="60">
        <v>550000</v>
      </c>
      <c r="D68" s="60">
        <v>1100000</v>
      </c>
    </row>
    <row r="69" spans="1:4" x14ac:dyDescent="0.2">
      <c r="A69" s="55" t="s">
        <v>162</v>
      </c>
      <c r="B69" s="60">
        <v>2</v>
      </c>
      <c r="C69" s="60">
        <v>2400000</v>
      </c>
      <c r="D69" s="60">
        <v>4800000</v>
      </c>
    </row>
    <row r="70" spans="1:4" x14ac:dyDescent="0.2">
      <c r="A70" s="55" t="s">
        <v>163</v>
      </c>
      <c r="B70" s="60">
        <v>2</v>
      </c>
      <c r="C70" s="60">
        <v>2900000</v>
      </c>
      <c r="D70" s="60">
        <v>5800000</v>
      </c>
    </row>
    <row r="71" spans="1:4" x14ac:dyDescent="0.2">
      <c r="A71" s="55" t="s">
        <v>164</v>
      </c>
      <c r="B71" s="60">
        <v>2</v>
      </c>
      <c r="C71" s="60">
        <v>1300000</v>
      </c>
      <c r="D71" s="60">
        <v>2600000</v>
      </c>
    </row>
    <row r="72" spans="1:4" x14ac:dyDescent="0.2">
      <c r="A72" s="55" t="s">
        <v>165</v>
      </c>
      <c r="B72" s="60">
        <v>2</v>
      </c>
      <c r="C72" s="60">
        <v>500000</v>
      </c>
      <c r="D72" s="60">
        <v>1000000</v>
      </c>
    </row>
    <row r="73" spans="1:4" x14ac:dyDescent="0.2">
      <c r="A73" s="55" t="s">
        <v>166</v>
      </c>
      <c r="B73" s="60">
        <v>2</v>
      </c>
      <c r="C73" s="60">
        <v>600000</v>
      </c>
      <c r="D73" s="60">
        <v>1200000</v>
      </c>
    </row>
    <row r="74" spans="1:4" x14ac:dyDescent="0.2">
      <c r="A74" s="55" t="s">
        <v>167</v>
      </c>
      <c r="B74" s="60">
        <v>2</v>
      </c>
      <c r="C74" s="60">
        <v>800000</v>
      </c>
      <c r="D74" s="60">
        <v>1600000</v>
      </c>
    </row>
    <row r="75" spans="1:4" x14ac:dyDescent="0.2">
      <c r="A75" s="55" t="s">
        <v>168</v>
      </c>
      <c r="B75" s="60">
        <v>1</v>
      </c>
      <c r="C75" s="60">
        <v>1000000</v>
      </c>
      <c r="D75" s="60">
        <v>1000000</v>
      </c>
    </row>
    <row r="76" spans="1:4" x14ac:dyDescent="0.2">
      <c r="A76" s="55" t="s">
        <v>169</v>
      </c>
      <c r="B76" s="60">
        <v>15</v>
      </c>
      <c r="C76" s="60">
        <v>150000</v>
      </c>
      <c r="D76" s="60">
        <v>2250000</v>
      </c>
    </row>
    <row r="77" spans="1:4" x14ac:dyDescent="0.2">
      <c r="A77" s="55" t="s">
        <v>170</v>
      </c>
      <c r="B77" s="60">
        <v>2</v>
      </c>
      <c r="C77" s="60">
        <v>29000000</v>
      </c>
      <c r="D77" s="60">
        <v>58000000</v>
      </c>
    </row>
    <row r="78" spans="1:4" x14ac:dyDescent="0.2">
      <c r="A78" s="55" t="s">
        <v>171</v>
      </c>
      <c r="B78" s="60">
        <v>2</v>
      </c>
      <c r="C78" s="60">
        <v>10000000</v>
      </c>
      <c r="D78" s="60">
        <v>20000000</v>
      </c>
    </row>
    <row r="81" spans="1:4" ht="17" thickBot="1" x14ac:dyDescent="0.25"/>
    <row r="82" spans="1:4" ht="17" thickBot="1" x14ac:dyDescent="0.25">
      <c r="A82" s="263" t="s">
        <v>180</v>
      </c>
      <c r="B82" s="264"/>
      <c r="C82" s="264"/>
      <c r="D82" s="91">
        <f>SUM(D85:D91)*10000+D92</f>
        <v>12449666.666666666</v>
      </c>
    </row>
    <row r="84" spans="1:4" x14ac:dyDescent="0.2">
      <c r="B84" s="92" t="s">
        <v>156</v>
      </c>
      <c r="C84" s="92" t="s">
        <v>157</v>
      </c>
      <c r="D84" s="92" t="s">
        <v>158</v>
      </c>
    </row>
    <row r="85" spans="1:4" x14ac:dyDescent="0.2">
      <c r="A85" s="98" t="s">
        <v>172</v>
      </c>
      <c r="B85" s="99">
        <v>70</v>
      </c>
      <c r="C85" s="60">
        <f>57000/50/1000</f>
        <v>1.1399999999999999</v>
      </c>
      <c r="D85" s="100">
        <f>B85*C85</f>
        <v>79.8</v>
      </c>
    </row>
    <row r="86" spans="1:4" x14ac:dyDescent="0.2">
      <c r="A86" s="98" t="s">
        <v>173</v>
      </c>
      <c r="B86" s="99">
        <v>5</v>
      </c>
      <c r="C86" s="60">
        <f>31900/1000</f>
        <v>31.9</v>
      </c>
      <c r="D86" s="100">
        <f>B86*C86</f>
        <v>159.5</v>
      </c>
    </row>
    <row r="87" spans="1:4" x14ac:dyDescent="0.2">
      <c r="A87" s="98" t="s">
        <v>174</v>
      </c>
      <c r="B87" s="99">
        <v>75</v>
      </c>
      <c r="C87" s="60">
        <f>10900/1000</f>
        <v>10.9</v>
      </c>
      <c r="D87" s="60">
        <f>B87*C87</f>
        <v>817.5</v>
      </c>
    </row>
    <row r="88" spans="1:4" x14ac:dyDescent="0.2">
      <c r="A88" s="98" t="s">
        <v>175</v>
      </c>
      <c r="B88" s="99"/>
      <c r="C88" s="60"/>
      <c r="D88" s="60"/>
    </row>
    <row r="89" spans="1:4" x14ac:dyDescent="0.2">
      <c r="A89" s="98" t="s">
        <v>176</v>
      </c>
      <c r="B89" s="101">
        <f>50/150</f>
        <v>0.33333333333333331</v>
      </c>
      <c r="C89" s="60">
        <f>9500/1000</f>
        <v>9.5</v>
      </c>
      <c r="D89" s="60">
        <f>B89*C89</f>
        <v>3.1666666666666665</v>
      </c>
    </row>
    <row r="90" spans="1:4" x14ac:dyDescent="0.2">
      <c r="A90" s="98" t="s">
        <v>177</v>
      </c>
      <c r="B90" s="99"/>
      <c r="C90" s="60"/>
      <c r="D90" s="60"/>
    </row>
    <row r="91" spans="1:4" x14ac:dyDescent="0.2">
      <c r="A91" s="98" t="s">
        <v>178</v>
      </c>
      <c r="B91" s="99"/>
      <c r="C91" s="60"/>
      <c r="D91" s="60"/>
    </row>
    <row r="92" spans="1:4" x14ac:dyDescent="0.2">
      <c r="A92" s="98" t="s">
        <v>179</v>
      </c>
      <c r="B92" s="99">
        <v>500</v>
      </c>
      <c r="C92" s="60">
        <f>1850000/B92</f>
        <v>3700</v>
      </c>
      <c r="D92" s="60">
        <f>B92*C92</f>
        <v>1850000</v>
      </c>
    </row>
    <row r="95" spans="1:4" ht="17" thickBot="1" x14ac:dyDescent="0.25"/>
    <row r="96" spans="1:4" ht="17" thickBot="1" x14ac:dyDescent="0.25">
      <c r="A96" s="261" t="s">
        <v>28</v>
      </c>
      <c r="B96" s="262"/>
      <c r="C96" s="262"/>
      <c r="D96" s="91">
        <v>80000000</v>
      </c>
    </row>
    <row r="105" spans="1:1" x14ac:dyDescent="0.2">
      <c r="A105" s="1" t="s">
        <v>237</v>
      </c>
    </row>
    <row r="108" spans="1:1" x14ac:dyDescent="0.2">
      <c r="A108" s="1" t="s">
        <v>119</v>
      </c>
    </row>
    <row r="109" spans="1:1" x14ac:dyDescent="0.2">
      <c r="A109" s="1" t="s">
        <v>118</v>
      </c>
    </row>
  </sheetData>
  <mergeCells count="5">
    <mergeCell ref="A3:C3"/>
    <mergeCell ref="A31:C31"/>
    <mergeCell ref="A64:C64"/>
    <mergeCell ref="A82:C82"/>
    <mergeCell ref="A96:C9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CA0B8-9D38-9F42-BAB6-14D0D4DA567C}">
  <dimension ref="B3:AG175"/>
  <sheetViews>
    <sheetView topLeftCell="A65" zoomScale="210" zoomScaleNormal="140" workbookViewId="0">
      <selection activeCell="B21" sqref="B1:F1048576"/>
    </sheetView>
  </sheetViews>
  <sheetFormatPr baseColWidth="10" defaultRowHeight="16" x14ac:dyDescent="0.2"/>
  <cols>
    <col min="1" max="1" width="10.83203125" style="1"/>
    <col min="2" max="2" width="36.5" style="1" bestFit="1" customWidth="1"/>
    <col min="3" max="4" width="19.33203125" style="1" customWidth="1"/>
    <col min="5" max="5" width="16" style="1" bestFit="1" customWidth="1"/>
    <col min="6" max="6" width="9.5" style="1" customWidth="1"/>
    <col min="7" max="9" width="12.6640625" style="1" bestFit="1" customWidth="1"/>
    <col min="10" max="10" width="16.5" style="1" bestFit="1" customWidth="1"/>
    <col min="11" max="21" width="12.6640625" style="1" bestFit="1" customWidth="1"/>
    <col min="22" max="22" width="16.6640625" style="1" customWidth="1"/>
    <col min="23" max="23" width="10.83203125" style="1"/>
    <col min="24" max="24" width="14" style="1" bestFit="1" customWidth="1"/>
    <col min="25" max="25" width="12" style="1" bestFit="1" customWidth="1"/>
    <col min="26" max="16384" width="10.83203125" style="1"/>
  </cols>
  <sheetData>
    <row r="3" spans="2:5" x14ac:dyDescent="0.2">
      <c r="B3" s="97" t="s">
        <v>0</v>
      </c>
      <c r="C3" s="119">
        <v>9.6699999999999994E-2</v>
      </c>
    </row>
    <row r="5" spans="2:5" ht="17" thickBot="1" x14ac:dyDescent="0.25"/>
    <row r="6" spans="2:5" ht="17" thickBot="1" x14ac:dyDescent="0.25">
      <c r="B6" s="263" t="s">
        <v>107</v>
      </c>
      <c r="C6" s="264"/>
      <c r="D6" s="264"/>
      <c r="E6" s="276"/>
    </row>
    <row r="7" spans="2:5" ht="17" thickBot="1" x14ac:dyDescent="0.25"/>
    <row r="8" spans="2:5" ht="17" thickBot="1" x14ac:dyDescent="0.25">
      <c r="C8" s="170" t="s">
        <v>117</v>
      </c>
      <c r="D8" s="171" t="s">
        <v>109</v>
      </c>
    </row>
    <row r="9" spans="2:5" x14ac:dyDescent="0.2">
      <c r="B9" s="62" t="s">
        <v>6</v>
      </c>
      <c r="C9" s="72">
        <f>SUM(C10:C12)</f>
        <v>232.7</v>
      </c>
      <c r="D9" s="73">
        <f>SUM(D10:D12)</f>
        <v>1</v>
      </c>
      <c r="E9" s="2"/>
    </row>
    <row r="10" spans="2:5" x14ac:dyDescent="0.2">
      <c r="B10" s="67" t="s">
        <v>184</v>
      </c>
      <c r="C10" s="56">
        <v>15.7</v>
      </c>
      <c r="D10" s="68">
        <f>C10/C$9</f>
        <v>6.7468844005156861E-2</v>
      </c>
      <c r="E10" s="2"/>
    </row>
    <row r="11" spans="2:5" x14ac:dyDescent="0.2">
      <c r="B11" s="67" t="s">
        <v>235</v>
      </c>
      <c r="C11" s="56">
        <v>154</v>
      </c>
      <c r="D11" s="68">
        <f>C11/C$9</f>
        <v>0.66179630425440483</v>
      </c>
      <c r="E11" s="2"/>
    </row>
    <row r="12" spans="2:5" ht="17" thickBot="1" x14ac:dyDescent="0.25">
      <c r="B12" s="69" t="s">
        <v>236</v>
      </c>
      <c r="C12" s="70">
        <v>63</v>
      </c>
      <c r="D12" s="71">
        <f>C12/C$9</f>
        <v>0.27073485174043832</v>
      </c>
      <c r="E12" s="2"/>
    </row>
    <row r="14" spans="2:5" x14ac:dyDescent="0.2">
      <c r="B14" s="55" t="s">
        <v>1</v>
      </c>
      <c r="C14" s="55">
        <f>C10+C11</f>
        <v>169.7</v>
      </c>
    </row>
    <row r="15" spans="2:5" x14ac:dyDescent="0.2">
      <c r="B15" s="55" t="s">
        <v>2</v>
      </c>
      <c r="C15" s="57">
        <f>C14/C9</f>
        <v>0.72926514825956168</v>
      </c>
      <c r="D15" s="58"/>
    </row>
    <row r="16" spans="2:5" x14ac:dyDescent="0.2">
      <c r="B16" s="55" t="s">
        <v>184</v>
      </c>
      <c r="C16" s="57">
        <f>C10/C14</f>
        <v>9.2516205067766644E-2</v>
      </c>
      <c r="D16" s="58"/>
    </row>
    <row r="17" spans="2:6" x14ac:dyDescent="0.2">
      <c r="B17" s="55" t="s">
        <v>4</v>
      </c>
      <c r="C17" s="57">
        <f>C11/C14</f>
        <v>0.90748379493223341</v>
      </c>
      <c r="D17" s="58"/>
    </row>
    <row r="18" spans="2:6" x14ac:dyDescent="0.2">
      <c r="C18" s="58"/>
      <c r="D18" s="58"/>
    </row>
    <row r="19" spans="2:6" ht="17" thickBot="1" x14ac:dyDescent="0.25">
      <c r="C19" s="58"/>
      <c r="D19" s="58"/>
    </row>
    <row r="20" spans="2:6" ht="17" thickBot="1" x14ac:dyDescent="0.25">
      <c r="C20" s="170" t="s">
        <v>117</v>
      </c>
      <c r="D20" s="171" t="s">
        <v>109</v>
      </c>
    </row>
    <row r="21" spans="2:6" x14ac:dyDescent="0.2">
      <c r="B21" s="103" t="s">
        <v>181</v>
      </c>
      <c r="C21" s="104">
        <f>SUM(C22:C24)</f>
        <v>0.25</v>
      </c>
      <c r="D21" s="105">
        <f>SUM(D22:D24)</f>
        <v>0.84017189514396229</v>
      </c>
    </row>
    <row r="22" spans="2:6" x14ac:dyDescent="0.2">
      <c r="B22" s="67" t="s">
        <v>3</v>
      </c>
      <c r="C22" s="102">
        <v>0.13</v>
      </c>
      <c r="D22" s="68">
        <f>C22/C$21</f>
        <v>0.52</v>
      </c>
    </row>
    <row r="23" spans="2:6" x14ac:dyDescent="0.2">
      <c r="B23" s="67" t="s">
        <v>4</v>
      </c>
      <c r="C23" s="102">
        <v>0.08</v>
      </c>
      <c r="D23" s="68">
        <f>C23/C$21</f>
        <v>0.32</v>
      </c>
      <c r="E23" s="59"/>
    </row>
    <row r="24" spans="2:6" ht="17" thickBot="1" x14ac:dyDescent="0.25">
      <c r="B24" s="69" t="s">
        <v>5</v>
      </c>
      <c r="C24" s="106">
        <v>0.04</v>
      </c>
      <c r="D24" s="71">
        <f>C24/C$9</f>
        <v>1.7189514396218308E-4</v>
      </c>
    </row>
    <row r="26" spans="2:6" ht="17" thickBot="1" x14ac:dyDescent="0.25"/>
    <row r="27" spans="2:6" ht="17" thickBot="1" x14ac:dyDescent="0.25">
      <c r="C27" s="224" t="str">
        <f>+E44</f>
        <v>Restauracion</v>
      </c>
      <c r="D27" s="255" t="str">
        <f>+D44</f>
        <v>Conservacion</v>
      </c>
      <c r="E27" s="256" t="s">
        <v>158</v>
      </c>
    </row>
    <row r="28" spans="2:6" x14ac:dyDescent="0.2">
      <c r="B28" s="79" t="s">
        <v>116</v>
      </c>
      <c r="C28" s="221">
        <f>SUM(Restauracion!BN5:BN7,Restauracion!BN19:BN24,Restauracion!BN36:BN38,Restauracion!BN41:BN45,Restauracion!BN47:BN50,Restauracion!BN61:BN63,Restauracion!BN77:BN78,Restauracion!BN84:BN85,Restauracion!BN89:BN96)</f>
        <v>5437455818.8008108</v>
      </c>
      <c r="D28" s="221">
        <f>SUM(Conservacion!BN5:BN8,Conservacion!BN19:BN24,Conservacion!BN35:BN37,Conservacion!BN47:BN51,Conservacion!BN55:BN56,Conservacion!BN60:BN67)</f>
        <v>637164118.31859636</v>
      </c>
      <c r="E28" s="285">
        <f>+C28+D28</f>
        <v>6074619937.1194077</v>
      </c>
      <c r="F28" s="66">
        <f>E28/$E$37</f>
        <v>0.39052393873971519</v>
      </c>
    </row>
    <row r="29" spans="2:6" x14ac:dyDescent="0.2">
      <c r="B29" s="222" t="s">
        <v>238</v>
      </c>
      <c r="C29" s="60">
        <f>SUM(Restauracion!BN10:BN15,Restauracion!BN25:BN30,Restauracion!BN51:BN55,Restauracion!BN68:BN70,Restauracion!BN100:BN102)</f>
        <v>3085547845.0680327</v>
      </c>
      <c r="D29" s="60">
        <f>SUM(Conservacion!BN10:BN15,Conservacion!BN25:BN30,Conservacion!BN41:BN43,Conservacion!BN71:BN73)</f>
        <v>349015543.81387943</v>
      </c>
      <c r="E29" s="286">
        <f t="shared" ref="E29:E36" si="0">+C29+D29</f>
        <v>3434563388.8819122</v>
      </c>
      <c r="F29" s="66">
        <f t="shared" ref="F29:F36" si="1">E29/$E$37</f>
        <v>0.22080051696426375</v>
      </c>
    </row>
    <row r="30" spans="2:6" x14ac:dyDescent="0.2">
      <c r="B30" s="222" t="s">
        <v>239</v>
      </c>
      <c r="C30" s="60">
        <f>SUM(Restauracion!BN98,)</f>
        <v>11559779.723714825</v>
      </c>
      <c r="D30" s="60">
        <f>+Conservacion!BN69</f>
        <v>1178497.0237813168</v>
      </c>
      <c r="E30" s="286">
        <f t="shared" si="0"/>
        <v>12738276.747496141</v>
      </c>
      <c r="F30" s="66">
        <f t="shared" si="1"/>
        <v>8.1891576093362712E-4</v>
      </c>
    </row>
    <row r="31" spans="2:6" x14ac:dyDescent="0.2">
      <c r="B31" s="222" t="s">
        <v>240</v>
      </c>
      <c r="C31" s="60">
        <f>SUM(Restauracion!BN31,Restauracion!BN46,Restauracion!BN56:BN57,Restauracion!BN65,Restauracion!BN80,Restauracion!BN99)</f>
        <v>1011833040.7040422</v>
      </c>
      <c r="D31" s="60">
        <f>+Conservacion!BN31+Conservacion!BN70</f>
        <v>31658200.465341933</v>
      </c>
      <c r="E31" s="286">
        <f t="shared" si="0"/>
        <v>1043491241.1693841</v>
      </c>
      <c r="F31" s="66">
        <f t="shared" si="1"/>
        <v>6.7083754006032989E-2</v>
      </c>
    </row>
    <row r="32" spans="2:6" x14ac:dyDescent="0.2">
      <c r="B32" s="222" t="s">
        <v>241</v>
      </c>
      <c r="C32" s="60">
        <f>SUM(Restauracion!BN8:BN9,Restauracion!BN32,Restauracion!BN58,Restauracion!BN64,Restauracion!BN79,Restauracion!BN97)</f>
        <v>943017941.56596458</v>
      </c>
      <c r="D32" s="60">
        <f>+Conservacion!BN68+Conservacion!BN32+Conservacion!BN9</f>
        <v>34677875.435332879</v>
      </c>
      <c r="E32" s="286">
        <f t="shared" si="0"/>
        <v>977695817.00129747</v>
      </c>
      <c r="F32" s="66">
        <f t="shared" si="1"/>
        <v>6.2853911075422278E-2</v>
      </c>
    </row>
    <row r="33" spans="2:8" x14ac:dyDescent="0.2">
      <c r="B33" s="222" t="s">
        <v>245</v>
      </c>
      <c r="C33" s="60">
        <f>+Restauracion!BN16</f>
        <v>1265830151.2279537</v>
      </c>
      <c r="D33" s="60">
        <f>+Conservacion!BN16</f>
        <v>201140820.97130081</v>
      </c>
      <c r="E33" s="286">
        <f t="shared" si="0"/>
        <v>1466970972.1992545</v>
      </c>
      <c r="F33" s="66">
        <f t="shared" si="1"/>
        <v>9.4308333362456573E-2</v>
      </c>
    </row>
    <row r="34" spans="2:8" x14ac:dyDescent="0.2">
      <c r="B34" s="222" t="s">
        <v>242</v>
      </c>
      <c r="C34" s="60">
        <f>+Restauracion!BN110</f>
        <v>1317334041.7922568</v>
      </c>
      <c r="D34" s="60">
        <f>+Conservacion!AH80</f>
        <v>69278901.223938033</v>
      </c>
      <c r="E34" s="286">
        <f t="shared" si="0"/>
        <v>1386612943.0161948</v>
      </c>
      <c r="F34" s="66">
        <f t="shared" si="1"/>
        <v>8.9142292623978589E-2</v>
      </c>
    </row>
    <row r="35" spans="2:8" x14ac:dyDescent="0.2">
      <c r="B35" s="222" t="s">
        <v>243</v>
      </c>
      <c r="C35" s="60">
        <f>+Restauracion!BN109</f>
        <v>352657337.31271553</v>
      </c>
      <c r="D35" s="60">
        <f>+Conservacion!AH78</f>
        <v>62741752.801411614</v>
      </c>
      <c r="E35" s="286">
        <f t="shared" si="0"/>
        <v>415399090.11412716</v>
      </c>
      <c r="F35" s="66">
        <f t="shared" si="1"/>
        <v>2.6705092746459019E-2</v>
      </c>
    </row>
    <row r="36" spans="2:8" ht="17" thickBot="1" x14ac:dyDescent="0.25">
      <c r="B36" s="223" t="s">
        <v>244</v>
      </c>
      <c r="C36" s="63">
        <f>+Restauracion!BN108</f>
        <v>705314674.62543106</v>
      </c>
      <c r="D36" s="63">
        <f>+Conservacion!AH79</f>
        <v>37645051.680846967</v>
      </c>
      <c r="E36" s="287">
        <f t="shared" si="0"/>
        <v>742959726.30627799</v>
      </c>
      <c r="F36" s="66">
        <f t="shared" si="1"/>
        <v>4.7763244720738021E-2</v>
      </c>
    </row>
    <row r="37" spans="2:8" ht="17" thickBot="1" x14ac:dyDescent="0.25">
      <c r="C37" s="259">
        <f>SUM(C28:C36)</f>
        <v>14130550630.820921</v>
      </c>
      <c r="D37" s="260">
        <f t="shared" ref="D37:E37" si="2">SUM(D28:D36)</f>
        <v>1424500761.7344294</v>
      </c>
      <c r="E37" s="258">
        <f t="shared" si="2"/>
        <v>15555051392.555351</v>
      </c>
    </row>
    <row r="38" spans="2:8" ht="17" thickBot="1" x14ac:dyDescent="0.25">
      <c r="C38" s="219">
        <f>+Restauracion!AH111</f>
        <v>1195694281.6935079</v>
      </c>
      <c r="D38" s="220">
        <f>+Conservacion!AH81</f>
        <v>126215930.58631849</v>
      </c>
      <c r="E38" s="257">
        <f>+C38+D38</f>
        <v>1321910212.2798264</v>
      </c>
    </row>
    <row r="39" spans="2:8" x14ac:dyDescent="0.2">
      <c r="D39" s="74"/>
    </row>
    <row r="40" spans="2:8" ht="17" thickBot="1" x14ac:dyDescent="0.25"/>
    <row r="41" spans="2:8" ht="17" thickBot="1" x14ac:dyDescent="0.25">
      <c r="B41" s="263" t="s">
        <v>116</v>
      </c>
      <c r="C41" s="264"/>
      <c r="D41" s="264"/>
      <c r="E41" s="276"/>
    </row>
    <row r="42" spans="2:8" ht="17" thickBot="1" x14ac:dyDescent="0.25"/>
    <row r="43" spans="2:8" x14ac:dyDescent="0.2">
      <c r="C43" s="271" t="s">
        <v>109</v>
      </c>
      <c r="D43" s="277" t="s">
        <v>110</v>
      </c>
      <c r="E43" s="278"/>
      <c r="F43" s="279"/>
      <c r="G43" s="271" t="s">
        <v>111</v>
      </c>
      <c r="H43" s="271" t="s">
        <v>111</v>
      </c>
    </row>
    <row r="44" spans="2:8" ht="17" thickBot="1" x14ac:dyDescent="0.25">
      <c r="C44" s="272"/>
      <c r="D44" s="75" t="s">
        <v>118</v>
      </c>
      <c r="E44" s="76" t="s">
        <v>119</v>
      </c>
      <c r="F44" s="77" t="s">
        <v>120</v>
      </c>
      <c r="G44" s="272"/>
      <c r="H44" s="272"/>
    </row>
    <row r="45" spans="2:8" x14ac:dyDescent="0.2">
      <c r="B45" s="79" t="s">
        <v>108</v>
      </c>
      <c r="C45" s="108">
        <v>0.63</v>
      </c>
      <c r="D45" s="273"/>
      <c r="E45" s="274"/>
      <c r="F45" s="274"/>
      <c r="G45" s="274"/>
      <c r="H45" s="275"/>
    </row>
    <row r="46" spans="2:8" x14ac:dyDescent="0.2">
      <c r="B46" s="80" t="s">
        <v>115</v>
      </c>
      <c r="C46" s="267"/>
      <c r="D46" s="83">
        <v>0.4</v>
      </c>
      <c r="E46" s="66">
        <v>0.5</v>
      </c>
      <c r="F46" s="66">
        <v>0.1</v>
      </c>
      <c r="G46" s="60">
        <v>4000000</v>
      </c>
      <c r="H46" s="109">
        <f>G46/30</f>
        <v>133333.33333333334</v>
      </c>
    </row>
    <row r="47" spans="2:8" x14ac:dyDescent="0.2">
      <c r="B47" s="80" t="s">
        <v>114</v>
      </c>
      <c r="C47" s="267"/>
      <c r="D47" s="83">
        <v>0.3</v>
      </c>
      <c r="E47" s="66">
        <v>0.4</v>
      </c>
      <c r="F47" s="66">
        <v>0.2</v>
      </c>
      <c r="G47" s="60">
        <v>2650000</v>
      </c>
      <c r="H47" s="109">
        <f t="shared" ref="H47:H48" si="3">G47/30</f>
        <v>88333.333333333328</v>
      </c>
    </row>
    <row r="48" spans="2:8" x14ac:dyDescent="0.2">
      <c r="B48" s="81" t="s">
        <v>113</v>
      </c>
      <c r="C48" s="267"/>
      <c r="D48" s="83">
        <v>0.35</v>
      </c>
      <c r="E48" s="66">
        <v>0.65</v>
      </c>
      <c r="F48" s="269"/>
      <c r="G48" s="60">
        <v>2000000</v>
      </c>
      <c r="H48" s="109">
        <f t="shared" si="3"/>
        <v>66666.666666666672</v>
      </c>
    </row>
    <row r="49" spans="2:22" ht="17" thickBot="1" x14ac:dyDescent="0.25">
      <c r="B49" s="82" t="s">
        <v>112</v>
      </c>
      <c r="C49" s="268"/>
      <c r="D49" s="84">
        <v>1</v>
      </c>
      <c r="E49" s="78">
        <v>1</v>
      </c>
      <c r="F49" s="270"/>
      <c r="G49" s="63">
        <f>H49*30</f>
        <v>1650000</v>
      </c>
      <c r="H49" s="110">
        <v>55000</v>
      </c>
    </row>
    <row r="52" spans="2:22" x14ac:dyDescent="0.2">
      <c r="D52" s="74"/>
    </row>
    <row r="53" spans="2:22" ht="17" thickBot="1" x14ac:dyDescent="0.25"/>
    <row r="54" spans="2:22" ht="17" thickBot="1" x14ac:dyDescent="0.25">
      <c r="B54" s="87" t="s">
        <v>125</v>
      </c>
      <c r="C54" s="88">
        <f>SUM(C55:C57)</f>
        <v>150000</v>
      </c>
    </row>
    <row r="55" spans="2:22" x14ac:dyDescent="0.2">
      <c r="B55" s="62" t="s">
        <v>121</v>
      </c>
      <c r="C55" s="89">
        <v>60000</v>
      </c>
      <c r="D55" s="74"/>
    </row>
    <row r="56" spans="2:22" x14ac:dyDescent="0.2">
      <c r="B56" s="67" t="s">
        <v>122</v>
      </c>
      <c r="C56" s="64">
        <v>80000</v>
      </c>
      <c r="D56" s="74"/>
    </row>
    <row r="57" spans="2:22" ht="17" thickBot="1" x14ac:dyDescent="0.25">
      <c r="B57" s="69" t="s">
        <v>123</v>
      </c>
      <c r="C57" s="65">
        <v>10000</v>
      </c>
      <c r="D57" s="74"/>
    </row>
    <row r="58" spans="2:22" ht="17" thickBot="1" x14ac:dyDescent="0.25"/>
    <row r="59" spans="2:22" ht="17" thickBot="1" x14ac:dyDescent="0.25">
      <c r="B59" s="61" t="s">
        <v>187</v>
      </c>
      <c r="C59" s="117">
        <v>500000</v>
      </c>
    </row>
    <row r="60" spans="2:22" ht="17" thickBot="1" x14ac:dyDescent="0.25"/>
    <row r="61" spans="2:22" ht="17" thickBot="1" x14ac:dyDescent="0.25">
      <c r="B61" s="85" t="s">
        <v>124</v>
      </c>
      <c r="C61" s="86">
        <v>600000</v>
      </c>
    </row>
    <row r="64" spans="2:22" ht="17" thickBot="1" x14ac:dyDescent="0.25">
      <c r="B64" s="124"/>
      <c r="C64" s="124"/>
      <c r="D64" s="124"/>
      <c r="E64" s="124"/>
      <c r="F64" s="124"/>
      <c r="G64" s="124"/>
      <c r="H64" s="124"/>
      <c r="I64" s="124"/>
      <c r="J64" s="124"/>
      <c r="K64" s="124"/>
      <c r="L64" s="124"/>
      <c r="M64" s="124"/>
      <c r="N64" s="124"/>
      <c r="O64" s="124"/>
      <c r="P64" s="124"/>
      <c r="Q64" s="124"/>
      <c r="R64" s="124"/>
      <c r="S64" s="124"/>
      <c r="T64" s="124"/>
      <c r="U64" s="124"/>
      <c r="V64" s="124"/>
    </row>
    <row r="65" spans="2:33" x14ac:dyDescent="0.2">
      <c r="B65" s="149"/>
      <c r="C65" s="149"/>
      <c r="D65" s="124"/>
      <c r="E65" s="124"/>
      <c r="F65" s="150"/>
      <c r="G65" s="151">
        <v>1</v>
      </c>
      <c r="H65" s="151">
        <v>5</v>
      </c>
      <c r="I65" s="152">
        <v>10</v>
      </c>
      <c r="J65" s="149"/>
      <c r="K65" s="149"/>
      <c r="L65" s="124"/>
      <c r="M65" s="124"/>
      <c r="N65" s="124"/>
      <c r="O65" s="124"/>
      <c r="P65" s="124"/>
      <c r="Q65" s="124"/>
      <c r="R65" s="124"/>
      <c r="S65" s="124"/>
      <c r="T65" s="124"/>
      <c r="U65" s="124"/>
      <c r="V65" s="124"/>
    </row>
    <row r="66" spans="2:33" ht="17" thickBot="1" x14ac:dyDescent="0.25">
      <c r="B66" s="149"/>
      <c r="C66" s="149"/>
      <c r="D66" s="124"/>
      <c r="E66" s="124"/>
      <c r="F66" s="153"/>
      <c r="G66" s="149"/>
      <c r="H66" s="149"/>
      <c r="I66" s="154"/>
      <c r="J66" s="149"/>
      <c r="K66" s="149"/>
      <c r="L66" s="124"/>
      <c r="M66" s="124"/>
      <c r="N66" s="124"/>
      <c r="O66" s="124"/>
      <c r="P66" s="124"/>
      <c r="Q66" s="124"/>
      <c r="R66" s="124"/>
      <c r="S66" s="124"/>
      <c r="T66" s="124"/>
      <c r="U66" s="124"/>
      <c r="V66" s="124"/>
    </row>
    <row r="67" spans="2:33" x14ac:dyDescent="0.2">
      <c r="B67" s="155"/>
      <c r="C67" s="155"/>
      <c r="D67" s="124"/>
      <c r="E67" s="124"/>
      <c r="F67" s="156"/>
      <c r="G67" s="157">
        <v>1.11E-2</v>
      </c>
      <c r="H67" s="157">
        <v>3.09E-2</v>
      </c>
      <c r="I67" s="158">
        <v>3.7400000000000003E-2</v>
      </c>
      <c r="J67" s="149"/>
      <c r="K67" s="149"/>
      <c r="L67" s="124"/>
      <c r="M67" s="124"/>
      <c r="N67" s="124"/>
      <c r="O67" s="124"/>
      <c r="P67" s="124"/>
      <c r="Q67" s="124"/>
      <c r="R67" s="124"/>
      <c r="S67" s="124"/>
      <c r="T67" s="124"/>
      <c r="U67" s="124"/>
      <c r="V67" s="124"/>
      <c r="W67" s="121">
        <v>20</v>
      </c>
      <c r="X67" s="121">
        <v>21</v>
      </c>
      <c r="Y67" s="121">
        <v>22</v>
      </c>
      <c r="Z67" s="121">
        <v>23</v>
      </c>
      <c r="AA67" s="121">
        <v>24</v>
      </c>
      <c r="AB67" s="121">
        <v>25</v>
      </c>
      <c r="AC67" s="121">
        <v>26</v>
      </c>
      <c r="AD67" s="121">
        <v>27</v>
      </c>
      <c r="AE67" s="121">
        <v>28</v>
      </c>
      <c r="AF67" s="121">
        <v>29</v>
      </c>
      <c r="AG67" s="122">
        <v>30</v>
      </c>
    </row>
    <row r="68" spans="2:33" x14ac:dyDescent="0.2">
      <c r="B68" s="155"/>
      <c r="C68" s="155"/>
      <c r="D68" s="124"/>
      <c r="E68" s="124"/>
      <c r="F68" s="156"/>
      <c r="G68" s="157">
        <v>5.5399999999999998E-2</v>
      </c>
      <c r="H68" s="157">
        <v>7.9299999999999995E-2</v>
      </c>
      <c r="I68" s="158">
        <v>8.72E-2</v>
      </c>
      <c r="J68" s="149"/>
      <c r="K68" s="149"/>
      <c r="L68" s="124"/>
      <c r="M68" s="124"/>
      <c r="N68" s="124"/>
      <c r="O68" s="124"/>
      <c r="P68" s="124"/>
      <c r="Q68" s="124"/>
      <c r="R68" s="124"/>
      <c r="S68" s="124"/>
      <c r="T68" s="124"/>
      <c r="U68" s="124"/>
      <c r="V68" s="124"/>
      <c r="W68" s="126">
        <f t="shared" ref="W68:AG68" si="4">-0.0000636475525206126*(W67^2) + 0.00116578515216298*(W67) + 0.0427115306824265</f>
        <v>4.0568212717441057E-2</v>
      </c>
      <c r="X68" s="126">
        <f t="shared" si="4"/>
        <v>3.912444821625892E-2</v>
      </c>
      <c r="Y68" s="126">
        <f t="shared" si="4"/>
        <v>3.7553388610035564E-2</v>
      </c>
      <c r="Z68" s="126">
        <f t="shared" si="4"/>
        <v>3.5855033898770976E-2</v>
      </c>
      <c r="AA68" s="126">
        <f t="shared" si="4"/>
        <v>3.4029384082465162E-2</v>
      </c>
      <c r="AB68" s="126">
        <f t="shared" si="4"/>
        <v>3.2076439161118124E-2</v>
      </c>
      <c r="AC68" s="126">
        <f t="shared" si="4"/>
        <v>2.999619913472986E-2</v>
      </c>
      <c r="AD68" s="126">
        <f t="shared" si="4"/>
        <v>2.7788664003300372E-2</v>
      </c>
      <c r="AE68" s="126">
        <f t="shared" si="4"/>
        <v>2.5453833766829664E-2</v>
      </c>
      <c r="AF68" s="126">
        <f t="shared" si="4"/>
        <v>2.2991708425317725E-2</v>
      </c>
      <c r="AG68" s="127">
        <f t="shared" si="4"/>
        <v>2.0402287978764561E-2</v>
      </c>
    </row>
    <row r="69" spans="2:33" ht="17" thickBot="1" x14ac:dyDescent="0.25">
      <c r="B69" s="155"/>
      <c r="C69" s="155"/>
      <c r="D69" s="124"/>
      <c r="E69" s="124"/>
      <c r="F69" s="156"/>
      <c r="G69" s="149">
        <v>1</v>
      </c>
      <c r="H69" s="149">
        <v>5</v>
      </c>
      <c r="I69" s="154">
        <v>10</v>
      </c>
      <c r="J69" s="124"/>
      <c r="K69" s="149"/>
      <c r="L69" s="124"/>
      <c r="M69" s="124"/>
      <c r="N69" s="124"/>
      <c r="O69" s="124"/>
      <c r="P69" s="124"/>
      <c r="Q69" s="124"/>
      <c r="R69" s="124"/>
      <c r="S69" s="124"/>
      <c r="T69" s="124"/>
      <c r="U69" s="124"/>
      <c r="V69" s="124"/>
      <c r="W69" s="130">
        <f t="shared" ref="W69:AG69" si="5">+W68</f>
        <v>4.0568212717441057E-2</v>
      </c>
      <c r="X69" s="130">
        <f t="shared" si="5"/>
        <v>3.912444821625892E-2</v>
      </c>
      <c r="Y69" s="130">
        <f t="shared" si="5"/>
        <v>3.7553388610035564E-2</v>
      </c>
      <c r="Z69" s="130">
        <f t="shared" si="5"/>
        <v>3.5855033898770976E-2</v>
      </c>
      <c r="AA69" s="130">
        <f t="shared" si="5"/>
        <v>3.4029384082465162E-2</v>
      </c>
      <c r="AB69" s="130">
        <f t="shared" si="5"/>
        <v>3.2076439161118124E-2</v>
      </c>
      <c r="AC69" s="130">
        <f t="shared" si="5"/>
        <v>2.999619913472986E-2</v>
      </c>
      <c r="AD69" s="130">
        <f t="shared" si="5"/>
        <v>2.7788664003300372E-2</v>
      </c>
      <c r="AE69" s="130">
        <f t="shared" si="5"/>
        <v>2.5453833766829664E-2</v>
      </c>
      <c r="AF69" s="130">
        <f t="shared" si="5"/>
        <v>2.2991708425317725E-2</v>
      </c>
      <c r="AG69" s="131">
        <f t="shared" si="5"/>
        <v>2.0402287978764561E-2</v>
      </c>
    </row>
    <row r="70" spans="2:33" ht="17" thickBot="1" x14ac:dyDescent="0.25">
      <c r="B70" s="149"/>
      <c r="C70" s="149"/>
      <c r="D70" s="124"/>
      <c r="E70" s="124"/>
      <c r="F70" s="159"/>
      <c r="G70" s="160">
        <f>(1+G68)/(1+G67)-1</f>
        <v>4.3813668282068896E-2</v>
      </c>
      <c r="H70" s="160">
        <f>(1+H68)/(1+H67)-1</f>
        <v>4.694926763022611E-2</v>
      </c>
      <c r="I70" s="161">
        <f>(1+I68)/(1+I67)-1</f>
        <v>4.8004626951995144E-2</v>
      </c>
      <c r="J70" s="162" t="s">
        <v>202</v>
      </c>
      <c r="K70" s="149"/>
      <c r="L70" s="124"/>
      <c r="M70" s="124"/>
      <c r="N70" s="124"/>
      <c r="O70" s="124"/>
      <c r="P70" s="124"/>
      <c r="Q70" s="124"/>
      <c r="R70" s="124"/>
      <c r="S70" s="124"/>
      <c r="T70" s="124"/>
      <c r="U70" s="124"/>
      <c r="V70" s="124"/>
      <c r="W70" s="133">
        <f>(1+V70)*(1+W69)-1</f>
        <v>4.0568212717441154E-2</v>
      </c>
      <c r="X70" s="133">
        <f t="shared" ref="X70:AG70" si="6">(1+W70)*(1+X69)-1</f>
        <v>8.1279869871389687E-2</v>
      </c>
      <c r="Y70" s="133">
        <f t="shared" si="6"/>
        <v>0.12188559302087887</v>
      </c>
      <c r="Z70" s="133">
        <f t="shared" si="6"/>
        <v>0.16211083898918521</v>
      </c>
      <c r="AA70" s="133">
        <f t="shared" si="6"/>
        <v>0.20165675507554415</v>
      </c>
      <c r="AB70" s="133">
        <f t="shared" si="6"/>
        <v>0.24020162487227137</v>
      </c>
      <c r="AC70" s="133">
        <f t="shared" si="6"/>
        <v>0.27740295977915563</v>
      </c>
      <c r="AD70" s="133">
        <f t="shared" si="6"/>
        <v>0.31290028142527992</v>
      </c>
      <c r="AE70" s="133">
        <f t="shared" si="6"/>
        <v>0.34631862694110294</v>
      </c>
      <c r="AF70" s="133">
        <f t="shared" si="6"/>
        <v>0.37727279225930688</v>
      </c>
      <c r="AG70" s="133">
        <f t="shared" si="6"/>
        <v>0.40537230839229865</v>
      </c>
    </row>
    <row r="71" spans="2:33" x14ac:dyDescent="0.2">
      <c r="B71" s="149"/>
      <c r="C71" s="149"/>
      <c r="D71" s="149"/>
      <c r="E71" s="149"/>
      <c r="F71" s="149"/>
      <c r="G71" s="149"/>
      <c r="H71" s="149"/>
      <c r="I71" s="149"/>
      <c r="J71" s="124"/>
      <c r="K71" s="124"/>
      <c r="L71" s="124"/>
      <c r="M71" s="124"/>
      <c r="N71" s="124"/>
      <c r="O71" s="124"/>
      <c r="P71" s="124"/>
      <c r="Q71" s="124"/>
      <c r="R71" s="124"/>
      <c r="S71" s="124"/>
      <c r="T71" s="124"/>
      <c r="U71" s="124"/>
      <c r="V71" s="124"/>
      <c r="W71" s="135"/>
      <c r="X71" s="135"/>
      <c r="Y71" s="135"/>
      <c r="Z71" s="135"/>
      <c r="AA71" s="135"/>
      <c r="AB71" s="135"/>
      <c r="AC71" s="135"/>
      <c r="AD71" s="135"/>
      <c r="AE71" s="135"/>
      <c r="AF71" s="135"/>
      <c r="AG71" s="135"/>
    </row>
    <row r="72" spans="2:33" ht="17" thickBot="1" x14ac:dyDescent="0.25">
      <c r="B72" s="124"/>
      <c r="C72" s="124"/>
      <c r="D72" s="124"/>
      <c r="E72" s="124"/>
      <c r="F72" s="124"/>
      <c r="G72" s="124"/>
      <c r="H72" s="124"/>
      <c r="I72" s="124"/>
      <c r="J72" s="124"/>
      <c r="K72" s="137"/>
      <c r="L72" s="124"/>
      <c r="M72" s="124"/>
      <c r="N72" s="124"/>
      <c r="O72" s="124"/>
      <c r="P72" s="124"/>
      <c r="Q72" s="124"/>
      <c r="R72" s="124"/>
      <c r="S72" s="124"/>
      <c r="T72" s="124"/>
      <c r="U72" s="124"/>
      <c r="V72" s="124"/>
    </row>
    <row r="73" spans="2:33" x14ac:dyDescent="0.2">
      <c r="B73" s="120" t="s">
        <v>192</v>
      </c>
      <c r="C73" s="121">
        <v>0</v>
      </c>
      <c r="D73" s="121">
        <v>1</v>
      </c>
      <c r="E73" s="121">
        <v>2</v>
      </c>
      <c r="F73" s="121">
        <v>3</v>
      </c>
      <c r="G73" s="121">
        <v>4</v>
      </c>
      <c r="H73" s="121">
        <v>5</v>
      </c>
      <c r="I73" s="121">
        <v>6</v>
      </c>
      <c r="J73" s="121">
        <v>7</v>
      </c>
      <c r="K73" s="121">
        <v>8</v>
      </c>
      <c r="L73" s="121">
        <v>9</v>
      </c>
      <c r="M73" s="121">
        <v>10</v>
      </c>
      <c r="N73" s="121">
        <v>11</v>
      </c>
      <c r="O73" s="121">
        <v>12</v>
      </c>
      <c r="P73" s="121">
        <v>13</v>
      </c>
      <c r="Q73" s="121">
        <v>14</v>
      </c>
      <c r="R73" s="121">
        <v>15</v>
      </c>
      <c r="S73" s="121">
        <v>16</v>
      </c>
      <c r="T73" s="121">
        <v>17</v>
      </c>
      <c r="U73" s="121">
        <v>18</v>
      </c>
      <c r="V73" s="121">
        <v>19</v>
      </c>
      <c r="W73" s="121">
        <v>20</v>
      </c>
      <c r="X73" s="121">
        <v>21</v>
      </c>
      <c r="Y73" s="121">
        <v>22</v>
      </c>
      <c r="Z73" s="121">
        <v>23</v>
      </c>
      <c r="AA73" s="121">
        <v>24</v>
      </c>
      <c r="AB73" s="121">
        <v>25</v>
      </c>
      <c r="AC73" s="121">
        <v>26</v>
      </c>
      <c r="AD73" s="121">
        <v>27</v>
      </c>
      <c r="AE73" s="121">
        <v>28</v>
      </c>
      <c r="AF73" s="121">
        <v>29</v>
      </c>
      <c r="AG73" s="122">
        <v>30</v>
      </c>
    </row>
    <row r="74" spans="2:33" x14ac:dyDescent="0.2">
      <c r="B74" s="123" t="s">
        <v>193</v>
      </c>
      <c r="C74" s="124"/>
      <c r="D74" s="125">
        <f>-0.0000636475525206126*(D73^2) + 0.00116578515216298*(D73) + 0.0427115306824265</f>
        <v>4.3813668282068868E-2</v>
      </c>
      <c r="E74" s="126">
        <f t="shared" ref="E74:AG74" si="7">-0.0000636475525206126*(E73^2) + 0.00116578515216298*(E73) + 0.0427115306824265</f>
        <v>4.478851077667001E-2</v>
      </c>
      <c r="F74" s="126">
        <f t="shared" si="7"/>
        <v>4.5636058166229926E-2</v>
      </c>
      <c r="G74" s="126">
        <f t="shared" si="7"/>
        <v>4.6356310450748617E-2</v>
      </c>
      <c r="H74" s="126">
        <f t="shared" si="7"/>
        <v>4.6949267630226089E-2</v>
      </c>
      <c r="I74" s="126">
        <f t="shared" si="7"/>
        <v>4.741492970466233E-2</v>
      </c>
      <c r="J74" s="126">
        <f t="shared" si="7"/>
        <v>4.7753296674057345E-2</v>
      </c>
      <c r="K74" s="126">
        <f t="shared" si="7"/>
        <v>4.7964368538411135E-2</v>
      </c>
      <c r="L74" s="126">
        <f t="shared" si="7"/>
        <v>4.80481452977237E-2</v>
      </c>
      <c r="M74" s="126">
        <f t="shared" si="7"/>
        <v>4.800462695199504E-2</v>
      </c>
      <c r="N74" s="126">
        <f t="shared" si="7"/>
        <v>4.7833813501225161E-2</v>
      </c>
      <c r="O74" s="126">
        <f t="shared" si="7"/>
        <v>4.7535704945414051E-2</v>
      </c>
      <c r="P74" s="126">
        <f t="shared" si="7"/>
        <v>4.7110301284561715E-2</v>
      </c>
      <c r="Q74" s="126">
        <f t="shared" si="7"/>
        <v>4.6557602518668154E-2</v>
      </c>
      <c r="R74" s="126">
        <f t="shared" si="7"/>
        <v>4.5877608647733367E-2</v>
      </c>
      <c r="S74" s="126">
        <f t="shared" si="7"/>
        <v>4.5070319671757356E-2</v>
      </c>
      <c r="T74" s="126">
        <f t="shared" si="7"/>
        <v>4.4135735590740119E-2</v>
      </c>
      <c r="U74" s="126">
        <f t="shared" si="7"/>
        <v>4.3073856404681657E-2</v>
      </c>
      <c r="V74" s="126">
        <f t="shared" si="7"/>
        <v>4.188468211358197E-2</v>
      </c>
      <c r="W74" s="126">
        <f t="shared" si="7"/>
        <v>4.0568212717441057E-2</v>
      </c>
      <c r="X74" s="126">
        <f t="shared" si="7"/>
        <v>3.912444821625892E-2</v>
      </c>
      <c r="Y74" s="126">
        <f t="shared" si="7"/>
        <v>3.7553388610035564E-2</v>
      </c>
      <c r="Z74" s="126">
        <f t="shared" si="7"/>
        <v>3.5855033898770976E-2</v>
      </c>
      <c r="AA74" s="126">
        <f t="shared" si="7"/>
        <v>3.4029384082465162E-2</v>
      </c>
      <c r="AB74" s="126">
        <f t="shared" si="7"/>
        <v>3.2076439161118124E-2</v>
      </c>
      <c r="AC74" s="126">
        <f t="shared" si="7"/>
        <v>2.999619913472986E-2</v>
      </c>
      <c r="AD74" s="126">
        <f t="shared" si="7"/>
        <v>2.7788664003300372E-2</v>
      </c>
      <c r="AE74" s="126">
        <f t="shared" si="7"/>
        <v>2.5453833766829664E-2</v>
      </c>
      <c r="AF74" s="126">
        <f t="shared" si="7"/>
        <v>2.2991708425317725E-2</v>
      </c>
      <c r="AG74" s="127">
        <f t="shared" si="7"/>
        <v>2.0402287978764561E-2</v>
      </c>
    </row>
    <row r="75" spans="2:33" ht="17" thickBot="1" x14ac:dyDescent="0.25">
      <c r="B75" s="128" t="s">
        <v>194</v>
      </c>
      <c r="C75" s="129">
        <v>0</v>
      </c>
      <c r="D75" s="130">
        <f>+D74</f>
        <v>4.3813668282068868E-2</v>
      </c>
      <c r="E75" s="130">
        <f t="shared" ref="E75:AG75" si="8">+E74</f>
        <v>4.478851077667001E-2</v>
      </c>
      <c r="F75" s="130">
        <f t="shared" si="8"/>
        <v>4.5636058166229926E-2</v>
      </c>
      <c r="G75" s="130">
        <f t="shared" si="8"/>
        <v>4.6356310450748617E-2</v>
      </c>
      <c r="H75" s="130">
        <f t="shared" si="8"/>
        <v>4.6949267630226089E-2</v>
      </c>
      <c r="I75" s="130">
        <f t="shared" si="8"/>
        <v>4.741492970466233E-2</v>
      </c>
      <c r="J75" s="130">
        <f t="shared" si="8"/>
        <v>4.7753296674057345E-2</v>
      </c>
      <c r="K75" s="130">
        <f t="shared" si="8"/>
        <v>4.7964368538411135E-2</v>
      </c>
      <c r="L75" s="130">
        <f t="shared" si="8"/>
        <v>4.80481452977237E-2</v>
      </c>
      <c r="M75" s="130">
        <f t="shared" si="8"/>
        <v>4.800462695199504E-2</v>
      </c>
      <c r="N75" s="130">
        <f t="shared" si="8"/>
        <v>4.7833813501225161E-2</v>
      </c>
      <c r="O75" s="130">
        <f t="shared" si="8"/>
        <v>4.7535704945414051E-2</v>
      </c>
      <c r="P75" s="130">
        <f t="shared" si="8"/>
        <v>4.7110301284561715E-2</v>
      </c>
      <c r="Q75" s="130">
        <f t="shared" si="8"/>
        <v>4.6557602518668154E-2</v>
      </c>
      <c r="R75" s="130">
        <f t="shared" si="8"/>
        <v>4.5877608647733367E-2</v>
      </c>
      <c r="S75" s="130">
        <f t="shared" si="8"/>
        <v>4.5070319671757356E-2</v>
      </c>
      <c r="T75" s="130">
        <f t="shared" si="8"/>
        <v>4.4135735590740119E-2</v>
      </c>
      <c r="U75" s="130">
        <f t="shared" si="8"/>
        <v>4.3073856404681657E-2</v>
      </c>
      <c r="V75" s="130">
        <f t="shared" si="8"/>
        <v>4.188468211358197E-2</v>
      </c>
      <c r="W75" s="130">
        <f t="shared" si="8"/>
        <v>4.0568212717441057E-2</v>
      </c>
      <c r="X75" s="130">
        <f t="shared" si="8"/>
        <v>3.912444821625892E-2</v>
      </c>
      <c r="Y75" s="130">
        <f t="shared" si="8"/>
        <v>3.7553388610035564E-2</v>
      </c>
      <c r="Z75" s="130">
        <f t="shared" si="8"/>
        <v>3.5855033898770976E-2</v>
      </c>
      <c r="AA75" s="130">
        <f t="shared" si="8"/>
        <v>3.4029384082465162E-2</v>
      </c>
      <c r="AB75" s="130">
        <f t="shared" si="8"/>
        <v>3.2076439161118124E-2</v>
      </c>
      <c r="AC75" s="130">
        <f t="shared" si="8"/>
        <v>2.999619913472986E-2</v>
      </c>
      <c r="AD75" s="130">
        <f t="shared" si="8"/>
        <v>2.7788664003300372E-2</v>
      </c>
      <c r="AE75" s="130">
        <f t="shared" si="8"/>
        <v>2.5453833766829664E-2</v>
      </c>
      <c r="AF75" s="130">
        <f t="shared" si="8"/>
        <v>2.2991708425317725E-2</v>
      </c>
      <c r="AG75" s="131">
        <f t="shared" si="8"/>
        <v>2.0402287978764561E-2</v>
      </c>
    </row>
    <row r="76" spans="2:33" x14ac:dyDescent="0.2">
      <c r="B76" s="132"/>
      <c r="C76" s="132"/>
      <c r="D76" s="133">
        <f>+D75</f>
        <v>4.3813668282068868E-2</v>
      </c>
      <c r="E76" s="133">
        <f>(1+D76)*(1+E75)-1</f>
        <v>9.0564528012755607E-2</v>
      </c>
      <c r="F76" s="133">
        <f>(1+E76)*(1+F75)-1</f>
        <v>0.14033359424717262</v>
      </c>
      <c r="G76" s="133">
        <f t="shared" ref="G76:V76" si="9">(1+F76)*(1+G75)-1</f>
        <v>0.1931952523595124</v>
      </c>
      <c r="H76" s="133">
        <f t="shared" si="9"/>
        <v>0.24921489559765431</v>
      </c>
      <c r="I76" s="133">
        <f t="shared" si="9"/>
        <v>0.3084463320584343</v>
      </c>
      <c r="J76" s="133">
        <f t="shared" si="9"/>
        <v>0.37092895793530278</v>
      </c>
      <c r="K76" s="133">
        <f t="shared" si="9"/>
        <v>0.43668469971369173</v>
      </c>
      <c r="L76" s="133">
        <f t="shared" si="9"/>
        <v>0.5057147349125517</v>
      </c>
      <c r="M76" s="133">
        <f t="shared" si="9"/>
        <v>0.57799600905815107</v>
      </c>
      <c r="N76" s="133">
        <f t="shared" si="9"/>
        <v>0.65347757586111621</v>
      </c>
      <c r="O76" s="133">
        <f t="shared" si="9"/>
        <v>0.73207679804110892</v>
      </c>
      <c r="P76" s="133">
        <f t="shared" si="9"/>
        <v>0.81367545784482465</v>
      </c>
      <c r="Q76" s="133">
        <f t="shared" si="9"/>
        <v>0.89811583890902758</v>
      </c>
      <c r="R76" s="133">
        <f t="shared" si="9"/>
        <v>0.98519685453455996</v>
      </c>
      <c r="S76" s="133">
        <f t="shared" si="9"/>
        <v>1.0746703113798</v>
      </c>
      <c r="T76" s="133">
        <f t="shared" si="9"/>
        <v>1.1662374116808172</v>
      </c>
      <c r="U76" s="133">
        <f t="shared" si="9"/>
        <v>1.2595456108900063</v>
      </c>
      <c r="V76" s="133">
        <f t="shared" si="9"/>
        <v>1.3541859605232736</v>
      </c>
      <c r="W76" s="133">
        <f t="shared" ref="W76" si="10">(1+V76)*(1+W75)-1</f>
        <v>1.4496910773461953</v>
      </c>
      <c r="X76" s="133">
        <f t="shared" ref="X76" si="11">(1+W76)*(1+X75)-1</f>
        <v>1.545533889047658</v>
      </c>
      <c r="Y76" s="133">
        <f t="shared" ref="Y76" si="12">(1+X76)*(1+Y75)-1</f>
        <v>1.6411273124030799</v>
      </c>
      <c r="Z76" s="133">
        <f t="shared" ref="Z76" si="13">(1+Y76)*(1+Z75)-1</f>
        <v>1.7358250217202618</v>
      </c>
      <c r="AA76" s="133">
        <f t="shared" ref="AA76" si="14">(1+Z76)*(1+AA75)-1</f>
        <v>1.8289234621667996</v>
      </c>
      <c r="AB76" s="133">
        <f t="shared" ref="AB76" si="15">(1+AA76)*(1+AB75)-1</f>
        <v>1.9196652534924525</v>
      </c>
      <c r="AC76" s="133">
        <f t="shared" ref="AC76" si="16">(1+AB76)*(1+AC75)-1</f>
        <v>2.007244113842964</v>
      </c>
      <c r="AD76" s="133">
        <f t="shared" ref="AD76" si="17">(1+AC76)*(1+AD75)-1</f>
        <v>2.0908114100984485</v>
      </c>
      <c r="AE76" s="133">
        <f t="shared" ref="AE76" si="18">(1+AD76)*(1+AE75)-1</f>
        <v>2.1694844099357149</v>
      </c>
      <c r="AF76" s="133">
        <f t="shared" ref="AF76" si="19">(1+AE76)*(1+AF75)-1</f>
        <v>2.2423562713475471</v>
      </c>
      <c r="AG76" s="133">
        <f t="shared" ref="AG76" si="20">(1+AF76)*(1+AG75)-1</f>
        <v>2.3085077577253332</v>
      </c>
    </row>
    <row r="77" spans="2:33" x14ac:dyDescent="0.2">
      <c r="B77" s="124"/>
      <c r="C77" s="134"/>
      <c r="D77" s="135"/>
      <c r="E77" s="135"/>
      <c r="F77" s="135"/>
      <c r="G77" s="135"/>
      <c r="H77" s="135"/>
      <c r="I77" s="135"/>
      <c r="J77" s="135"/>
      <c r="K77" s="135"/>
      <c r="L77" s="135"/>
      <c r="M77" s="135"/>
      <c r="N77" s="135"/>
      <c r="O77" s="135"/>
      <c r="P77" s="135"/>
      <c r="Q77" s="135"/>
      <c r="R77" s="135"/>
      <c r="S77" s="135"/>
      <c r="T77" s="135"/>
      <c r="U77" s="135"/>
      <c r="V77" s="135"/>
    </row>
    <row r="78" spans="2:33" x14ac:dyDescent="0.2">
      <c r="B78" s="124"/>
      <c r="C78" s="134"/>
      <c r="D78" s="135"/>
      <c r="E78" s="135"/>
      <c r="F78" s="135"/>
      <c r="G78" s="135"/>
      <c r="H78" s="135"/>
      <c r="I78" s="135"/>
      <c r="J78" s="135"/>
      <c r="K78" s="135"/>
      <c r="L78" s="135"/>
      <c r="M78" s="135"/>
      <c r="N78" s="135"/>
      <c r="O78" s="135"/>
      <c r="P78" s="135"/>
      <c r="Q78" s="135"/>
      <c r="R78" s="135"/>
      <c r="S78" s="135"/>
      <c r="T78" s="135"/>
      <c r="U78" s="135"/>
      <c r="V78" s="135"/>
      <c r="X78" s="164"/>
      <c r="Y78" s="164"/>
    </row>
    <row r="79" spans="2:33" x14ac:dyDescent="0.2">
      <c r="B79" s="124"/>
      <c r="C79" s="134"/>
      <c r="D79" s="135"/>
      <c r="E79" s="135"/>
      <c r="F79" s="135"/>
      <c r="G79" s="135"/>
      <c r="H79" s="135"/>
      <c r="I79" s="135"/>
      <c r="J79" s="135"/>
      <c r="K79" s="135"/>
      <c r="L79" s="135"/>
      <c r="M79" s="135"/>
      <c r="N79" s="135"/>
      <c r="O79" s="135"/>
      <c r="P79" s="135"/>
      <c r="Q79" s="135"/>
      <c r="R79" s="135"/>
      <c r="S79" s="135"/>
      <c r="T79" s="135"/>
      <c r="U79" s="135"/>
      <c r="V79" s="135"/>
      <c r="X79" s="164"/>
      <c r="Y79" s="164"/>
    </row>
    <row r="80" spans="2:33" x14ac:dyDescent="0.2">
      <c r="B80" s="265" t="s">
        <v>195</v>
      </c>
      <c r="C80" s="266"/>
      <c r="D80" s="266"/>
      <c r="E80" s="266"/>
      <c r="F80" s="266"/>
      <c r="G80" s="266"/>
      <c r="H80" s="266"/>
      <c r="I80" s="266"/>
      <c r="J80" s="266"/>
      <c r="K80" s="266"/>
      <c r="L80" s="266"/>
      <c r="M80" s="266"/>
      <c r="N80" s="266"/>
      <c r="O80" s="266"/>
      <c r="P80" s="266"/>
      <c r="Q80" s="266"/>
      <c r="R80" s="266"/>
      <c r="S80" s="266"/>
      <c r="T80" s="266"/>
      <c r="U80" s="266"/>
      <c r="V80" s="266"/>
    </row>
    <row r="81" spans="2:22" x14ac:dyDescent="0.2">
      <c r="B81" s="136" t="s">
        <v>196</v>
      </c>
      <c r="C81" s="136"/>
      <c r="D81" s="137"/>
      <c r="E81" s="137"/>
      <c r="F81" s="137"/>
      <c r="G81" s="137"/>
      <c r="H81" s="137"/>
      <c r="I81" s="137"/>
      <c r="J81" s="137"/>
      <c r="K81" s="137"/>
      <c r="L81" s="137"/>
      <c r="M81" s="137"/>
      <c r="N81" s="137"/>
      <c r="O81" s="137"/>
      <c r="P81" s="137"/>
      <c r="Q81" s="136"/>
      <c r="R81" s="138"/>
      <c r="S81" s="124"/>
      <c r="T81" s="124"/>
      <c r="U81" s="124"/>
      <c r="V81" s="138" t="s">
        <v>197</v>
      </c>
    </row>
    <row r="82" spans="2:22" x14ac:dyDescent="0.2">
      <c r="B82" s="139" t="s">
        <v>15</v>
      </c>
      <c r="C82" s="139"/>
      <c r="D82" s="139">
        <v>2003</v>
      </c>
      <c r="E82" s="139">
        <v>2004</v>
      </c>
      <c r="F82" s="139">
        <v>2005</v>
      </c>
      <c r="G82" s="139">
        <v>2006</v>
      </c>
      <c r="H82" s="139">
        <v>2007</v>
      </c>
      <c r="I82" s="139">
        <v>2008</v>
      </c>
      <c r="J82" s="139">
        <v>2009</v>
      </c>
      <c r="K82" s="139">
        <v>2010</v>
      </c>
      <c r="L82" s="139">
        <v>2011</v>
      </c>
      <c r="M82" s="139">
        <v>2012</v>
      </c>
      <c r="N82" s="139">
        <v>2013</v>
      </c>
      <c r="O82" s="139">
        <v>2014</v>
      </c>
      <c r="P82" s="139">
        <v>2015</v>
      </c>
      <c r="Q82" s="139">
        <v>2016</v>
      </c>
      <c r="R82" s="139">
        <v>2017</v>
      </c>
      <c r="S82" s="139">
        <v>2018</v>
      </c>
      <c r="T82" s="139">
        <v>2019</v>
      </c>
      <c r="U82" s="139">
        <v>2020</v>
      </c>
      <c r="V82" s="139">
        <v>2021</v>
      </c>
    </row>
    <row r="83" spans="2:22" x14ac:dyDescent="0.2">
      <c r="B83" s="140" t="s">
        <v>198</v>
      </c>
      <c r="C83" s="140"/>
      <c r="D83" s="141">
        <v>6.49</v>
      </c>
      <c r="E83" s="141">
        <v>5.5</v>
      </c>
      <c r="F83" s="141">
        <v>4.8499999999999996</v>
      </c>
      <c r="G83" s="141">
        <v>4.4800000000000004</v>
      </c>
      <c r="H83" s="141">
        <v>5.69</v>
      </c>
      <c r="I83" s="141">
        <v>7.67</v>
      </c>
      <c r="J83" s="141">
        <v>2</v>
      </c>
      <c r="K83" s="141">
        <v>3.17</v>
      </c>
      <c r="L83" s="141">
        <v>3.73</v>
      </c>
      <c r="M83" s="141">
        <v>2.44</v>
      </c>
      <c r="N83" s="141">
        <v>1.94</v>
      </c>
      <c r="O83" s="141">
        <v>3.66</v>
      </c>
      <c r="P83" s="141">
        <v>6.77</v>
      </c>
      <c r="Q83" s="141">
        <v>5.75</v>
      </c>
      <c r="R83" s="141">
        <v>4.09</v>
      </c>
      <c r="S83" s="141">
        <v>3.18</v>
      </c>
      <c r="T83" s="141">
        <v>3.8</v>
      </c>
      <c r="U83" s="141">
        <v>1.61</v>
      </c>
      <c r="V83" s="141">
        <v>5.62</v>
      </c>
    </row>
    <row r="84" spans="2:22" x14ac:dyDescent="0.2">
      <c r="B84" s="142" t="s">
        <v>199</v>
      </c>
      <c r="C84" s="142"/>
      <c r="D84" s="143">
        <f>+AVERAGE(D83:V83)</f>
        <v>4.3389473684210529</v>
      </c>
      <c r="E84" s="124"/>
      <c r="F84" s="124"/>
      <c r="G84" s="124"/>
      <c r="H84" s="124"/>
      <c r="I84" s="124"/>
      <c r="J84" s="124"/>
      <c r="K84" s="124"/>
      <c r="L84" s="124"/>
      <c r="M84" s="124"/>
      <c r="N84" s="124"/>
      <c r="O84" s="124"/>
      <c r="P84" s="124"/>
      <c r="Q84" s="124"/>
      <c r="R84" s="124"/>
      <c r="S84" s="124"/>
      <c r="T84" s="124"/>
      <c r="U84" s="124"/>
      <c r="V84" s="124"/>
    </row>
    <row r="85" spans="2:22" x14ac:dyDescent="0.2">
      <c r="B85" s="144" t="s">
        <v>200</v>
      </c>
      <c r="C85" s="144"/>
      <c r="D85" s="145">
        <f>+AVERAGE(J83:V83)</f>
        <v>3.6738461538461533</v>
      </c>
      <c r="E85" s="146"/>
      <c r="F85" s="146"/>
      <c r="G85" s="146"/>
      <c r="H85" s="146"/>
      <c r="I85" s="146"/>
      <c r="J85" s="137"/>
      <c r="K85" s="137"/>
      <c r="L85" s="137"/>
      <c r="M85" s="137"/>
      <c r="N85" s="137"/>
      <c r="O85" s="137"/>
      <c r="P85" s="137"/>
      <c r="Q85" s="137"/>
      <c r="R85" s="137"/>
      <c r="S85" s="137"/>
      <c r="T85" s="137"/>
      <c r="U85" s="137"/>
      <c r="V85" s="137"/>
    </row>
    <row r="86" spans="2:22" x14ac:dyDescent="0.2">
      <c r="B86" s="144" t="s">
        <v>201</v>
      </c>
      <c r="C86" s="144"/>
      <c r="D86" s="147">
        <v>0.03</v>
      </c>
      <c r="E86" s="146"/>
      <c r="F86" s="146"/>
      <c r="G86" s="146"/>
      <c r="H86" s="146"/>
      <c r="I86" s="146"/>
      <c r="J86" s="124"/>
      <c r="K86" s="124"/>
      <c r="L86" s="124"/>
      <c r="M86" s="124"/>
      <c r="N86" s="124"/>
      <c r="O86" s="124"/>
      <c r="P86" s="124"/>
      <c r="Q86" s="124"/>
      <c r="R86" s="124"/>
      <c r="S86" s="124"/>
      <c r="T86" s="124"/>
      <c r="U86" s="124"/>
      <c r="V86" s="137"/>
    </row>
    <row r="87" spans="2:22" x14ac:dyDescent="0.2">
      <c r="B87" s="124"/>
      <c r="C87" s="124"/>
      <c r="D87" s="148"/>
      <c r="E87" s="148"/>
      <c r="F87" s="148"/>
      <c r="G87" s="148"/>
      <c r="H87" s="148"/>
      <c r="I87" s="148"/>
      <c r="J87" s="137"/>
      <c r="K87" s="137"/>
      <c r="L87" s="137"/>
      <c r="M87" s="137"/>
      <c r="N87" s="137"/>
      <c r="O87" s="137"/>
      <c r="P87" s="137"/>
      <c r="Q87" s="137"/>
      <c r="R87" s="137"/>
      <c r="S87" s="137"/>
      <c r="T87" s="137"/>
      <c r="U87" s="137"/>
      <c r="V87" s="137"/>
    </row>
    <row r="88" spans="2:22" x14ac:dyDescent="0.2">
      <c r="B88" s="124"/>
      <c r="C88" s="124"/>
      <c r="D88" s="124"/>
      <c r="E88" s="124"/>
      <c r="F88" s="124"/>
      <c r="G88" s="124"/>
      <c r="H88" s="124"/>
      <c r="I88" s="124"/>
      <c r="J88" s="124"/>
      <c r="K88" s="124"/>
      <c r="L88" s="124"/>
      <c r="M88" s="124"/>
      <c r="N88" s="124"/>
      <c r="O88" s="124"/>
      <c r="P88" s="124"/>
      <c r="Q88" s="124"/>
      <c r="R88" s="124"/>
      <c r="S88" s="124"/>
      <c r="T88" s="124"/>
      <c r="U88" s="124"/>
      <c r="V88" s="124"/>
    </row>
    <row r="89" spans="2:22" x14ac:dyDescent="0.2">
      <c r="B89" s="124"/>
      <c r="C89" s="124"/>
      <c r="D89" s="124"/>
      <c r="E89" s="124"/>
      <c r="F89" s="124"/>
      <c r="G89" s="124"/>
      <c r="H89" s="124"/>
      <c r="I89" s="124"/>
      <c r="J89" s="124"/>
      <c r="K89" s="124"/>
      <c r="L89" s="124"/>
      <c r="M89" s="124"/>
      <c r="N89" s="124"/>
      <c r="O89" s="124"/>
      <c r="P89" s="124"/>
      <c r="Q89" s="124"/>
      <c r="R89" s="124"/>
      <c r="S89" s="124"/>
      <c r="T89" s="124"/>
      <c r="U89" s="124"/>
      <c r="V89" s="124"/>
    </row>
    <row r="90" spans="2:22" x14ac:dyDescent="0.2">
      <c r="B90" s="124"/>
      <c r="C90" s="124"/>
      <c r="D90" s="124"/>
      <c r="E90" s="124"/>
      <c r="F90" s="124"/>
      <c r="G90" s="124"/>
      <c r="H90" s="124"/>
      <c r="I90" s="124"/>
      <c r="J90" s="124"/>
      <c r="K90" s="124"/>
      <c r="L90" s="124"/>
      <c r="M90" s="124"/>
      <c r="N90" s="124"/>
      <c r="O90" s="124"/>
      <c r="P90" s="124"/>
      <c r="Q90" s="124"/>
      <c r="R90" s="124"/>
      <c r="S90" s="124"/>
      <c r="T90" s="124"/>
      <c r="U90" s="124"/>
      <c r="V90" s="124"/>
    </row>
    <row r="91" spans="2:22" x14ac:dyDescent="0.2">
      <c r="B91" s="124"/>
      <c r="C91" s="124"/>
      <c r="D91" s="124"/>
      <c r="E91" s="124"/>
      <c r="F91" s="124"/>
      <c r="G91" s="124"/>
      <c r="H91" s="124"/>
      <c r="I91" s="124"/>
      <c r="J91" s="124"/>
      <c r="K91" s="124"/>
      <c r="L91" s="124"/>
      <c r="M91" s="124"/>
      <c r="N91" s="124"/>
      <c r="O91" s="124"/>
      <c r="P91" s="124"/>
      <c r="Q91" s="124"/>
      <c r="R91" s="124"/>
      <c r="S91" s="124"/>
      <c r="T91" s="124"/>
      <c r="U91" s="124"/>
      <c r="V91" s="124"/>
    </row>
    <row r="92" spans="2:22" x14ac:dyDescent="0.2">
      <c r="B92" s="124"/>
      <c r="C92" s="124"/>
      <c r="D92" s="124"/>
      <c r="E92" s="124"/>
      <c r="F92" s="124"/>
      <c r="G92" s="124"/>
      <c r="H92" s="124"/>
      <c r="I92" s="124"/>
      <c r="J92" s="124"/>
      <c r="K92" s="124"/>
      <c r="L92" s="124"/>
      <c r="M92" s="124"/>
      <c r="N92" s="124"/>
      <c r="O92" s="124"/>
      <c r="P92" s="124"/>
      <c r="Q92" s="124"/>
      <c r="R92" s="124"/>
      <c r="S92" s="124"/>
      <c r="T92" s="124"/>
      <c r="U92" s="124"/>
      <c r="V92" s="124"/>
    </row>
    <row r="93" spans="2:22" x14ac:dyDescent="0.2">
      <c r="B93" s="124"/>
      <c r="C93" s="124"/>
      <c r="D93" s="124"/>
      <c r="E93" s="124"/>
      <c r="F93" s="124"/>
      <c r="G93" s="124"/>
      <c r="H93" s="124"/>
      <c r="I93" s="124"/>
      <c r="J93" s="124"/>
      <c r="K93" s="124"/>
      <c r="L93" s="124"/>
      <c r="M93" s="124"/>
      <c r="N93" s="124"/>
      <c r="O93" s="124"/>
      <c r="P93" s="124"/>
      <c r="Q93" s="124"/>
      <c r="R93" s="124"/>
      <c r="S93" s="124"/>
      <c r="T93" s="124"/>
      <c r="U93" s="124"/>
      <c r="V93" s="124"/>
    </row>
    <row r="94" spans="2:22" x14ac:dyDescent="0.2">
      <c r="B94" s="124"/>
      <c r="C94" s="124"/>
      <c r="D94" s="124"/>
      <c r="E94" s="124"/>
      <c r="F94" s="124"/>
      <c r="G94" s="124"/>
      <c r="H94" s="124"/>
      <c r="I94" s="124"/>
      <c r="J94" s="124"/>
      <c r="K94" s="124"/>
      <c r="L94" s="124"/>
      <c r="M94" s="124"/>
      <c r="N94" s="124"/>
      <c r="O94" s="124"/>
      <c r="P94" s="124"/>
      <c r="Q94" s="124"/>
      <c r="R94" s="124"/>
      <c r="S94" s="124"/>
      <c r="T94" s="124"/>
      <c r="U94" s="124"/>
      <c r="V94" s="124"/>
    </row>
    <row r="95" spans="2:22" x14ac:dyDescent="0.2">
      <c r="B95" s="124"/>
      <c r="C95" s="124"/>
      <c r="D95" s="124"/>
      <c r="E95" s="124"/>
      <c r="F95" s="124"/>
      <c r="G95" s="124"/>
      <c r="H95" s="124"/>
      <c r="I95" s="124"/>
      <c r="J95" s="124"/>
      <c r="K95" s="124"/>
      <c r="L95" s="124"/>
      <c r="M95" s="124"/>
      <c r="N95" s="124"/>
      <c r="O95" s="124"/>
      <c r="P95" s="124"/>
      <c r="Q95" s="124"/>
      <c r="R95" s="124"/>
      <c r="S95" s="124"/>
      <c r="T95" s="124"/>
      <c r="U95" s="124"/>
      <c r="V95" s="124"/>
    </row>
    <row r="96" spans="2:22" x14ac:dyDescent="0.2">
      <c r="B96" s="124"/>
      <c r="C96" s="124"/>
      <c r="D96" s="124"/>
      <c r="E96" s="124"/>
      <c r="F96" s="124"/>
      <c r="G96" s="124"/>
      <c r="H96" s="124"/>
      <c r="I96" s="124"/>
      <c r="J96" s="124"/>
      <c r="K96" s="124"/>
      <c r="L96" s="124"/>
      <c r="M96" s="124"/>
      <c r="N96" s="124"/>
      <c r="O96" s="124"/>
      <c r="P96" s="124"/>
      <c r="Q96" s="124"/>
      <c r="R96" s="124"/>
      <c r="S96" s="124"/>
      <c r="T96" s="124"/>
      <c r="U96" s="124"/>
      <c r="V96" s="124"/>
    </row>
    <row r="97" spans="2:22" x14ac:dyDescent="0.2">
      <c r="B97" s="124"/>
      <c r="C97" s="124"/>
      <c r="D97" s="124"/>
      <c r="E97" s="124"/>
      <c r="F97" s="124"/>
      <c r="G97" s="124"/>
      <c r="H97" s="124"/>
      <c r="I97" s="124"/>
      <c r="J97" s="124"/>
      <c r="K97" s="124"/>
      <c r="L97" s="124"/>
      <c r="M97" s="124"/>
      <c r="N97" s="124"/>
      <c r="O97" s="124"/>
      <c r="P97" s="124"/>
      <c r="Q97" s="124"/>
      <c r="R97" s="124"/>
      <c r="S97" s="124"/>
      <c r="T97" s="124"/>
      <c r="U97" s="124"/>
      <c r="V97" s="124"/>
    </row>
    <row r="98" spans="2:22" x14ac:dyDescent="0.2">
      <c r="B98" s="124"/>
      <c r="C98" s="124"/>
      <c r="D98" s="124"/>
      <c r="E98" s="124"/>
      <c r="F98" s="124"/>
      <c r="G98" s="124"/>
      <c r="H98" s="124"/>
      <c r="I98" s="124"/>
      <c r="J98" s="124"/>
      <c r="K98" s="124"/>
      <c r="L98" s="124"/>
      <c r="M98" s="124"/>
      <c r="N98" s="124"/>
      <c r="O98" s="124"/>
      <c r="P98" s="124"/>
      <c r="Q98" s="124"/>
      <c r="R98" s="124"/>
      <c r="S98" s="124"/>
      <c r="T98" s="124"/>
      <c r="U98" s="124"/>
      <c r="V98" s="124"/>
    </row>
    <row r="99" spans="2:22" x14ac:dyDescent="0.2">
      <c r="B99" s="124"/>
      <c r="C99" s="124"/>
      <c r="D99" s="124"/>
      <c r="E99" s="124"/>
      <c r="F99" s="124"/>
      <c r="G99" s="124"/>
      <c r="H99" s="124"/>
      <c r="I99" s="124"/>
      <c r="J99" s="124"/>
      <c r="K99" s="124"/>
      <c r="L99" s="124"/>
      <c r="M99" s="124"/>
      <c r="N99" s="124"/>
      <c r="O99" s="124"/>
      <c r="P99" s="124"/>
      <c r="Q99" s="124"/>
      <c r="R99" s="124"/>
      <c r="S99" s="124"/>
      <c r="T99" s="124"/>
      <c r="U99" s="124"/>
      <c r="V99" s="124"/>
    </row>
    <row r="100" spans="2:22" x14ac:dyDescent="0.2">
      <c r="B100" s="124"/>
      <c r="C100" s="124"/>
      <c r="D100" s="124"/>
      <c r="E100" s="124"/>
      <c r="F100" s="124"/>
      <c r="G100" s="124"/>
      <c r="H100" s="124"/>
      <c r="I100" s="124"/>
      <c r="J100" s="124"/>
      <c r="K100" s="124"/>
      <c r="L100" s="124"/>
      <c r="M100" s="124"/>
      <c r="N100" s="124"/>
      <c r="O100" s="124"/>
      <c r="P100" s="124"/>
      <c r="Q100" s="124"/>
      <c r="R100" s="124"/>
      <c r="S100" s="124"/>
      <c r="T100" s="124"/>
      <c r="U100" s="124"/>
      <c r="V100" s="124"/>
    </row>
    <row r="101" spans="2:22" x14ac:dyDescent="0.2">
      <c r="B101" s="124"/>
      <c r="C101" s="124"/>
      <c r="D101" s="124"/>
      <c r="E101" s="124"/>
      <c r="F101" s="124"/>
      <c r="G101" s="124"/>
      <c r="H101" s="124"/>
      <c r="I101" s="124"/>
      <c r="J101" s="124"/>
      <c r="K101" s="124"/>
      <c r="L101" s="124"/>
      <c r="M101" s="124"/>
      <c r="N101" s="124"/>
      <c r="O101" s="124"/>
      <c r="P101" s="124"/>
      <c r="Q101" s="124"/>
      <c r="R101" s="124"/>
      <c r="S101" s="124"/>
      <c r="T101" s="124"/>
      <c r="U101" s="124"/>
      <c r="V101" s="124"/>
    </row>
    <row r="102" spans="2:22" x14ac:dyDescent="0.2">
      <c r="B102" s="124"/>
      <c r="C102" s="124"/>
      <c r="D102" s="124"/>
      <c r="E102" s="124"/>
      <c r="F102" s="124"/>
      <c r="G102" s="124"/>
      <c r="H102" s="124"/>
      <c r="I102" s="124"/>
      <c r="J102" s="124"/>
      <c r="K102" s="124"/>
      <c r="L102" s="124"/>
      <c r="M102" s="124"/>
      <c r="N102" s="124"/>
      <c r="O102" s="124"/>
      <c r="P102" s="124"/>
      <c r="Q102" s="124"/>
      <c r="R102" s="124"/>
      <c r="S102" s="124"/>
      <c r="T102" s="124"/>
      <c r="U102" s="124"/>
      <c r="V102" s="124"/>
    </row>
    <row r="103" spans="2:22" x14ac:dyDescent="0.2">
      <c r="B103" s="124"/>
      <c r="C103" s="124"/>
      <c r="D103" s="124"/>
      <c r="E103" s="124"/>
      <c r="F103" s="124"/>
      <c r="G103" s="124"/>
      <c r="H103" s="124"/>
      <c r="I103" s="124"/>
      <c r="J103" s="124"/>
      <c r="K103" s="124"/>
      <c r="L103" s="124"/>
      <c r="M103" s="124"/>
      <c r="N103" s="124"/>
      <c r="O103" s="124"/>
      <c r="P103" s="124"/>
      <c r="Q103" s="124"/>
      <c r="R103" s="124"/>
      <c r="S103" s="124"/>
      <c r="T103" s="124"/>
      <c r="U103" s="124"/>
      <c r="V103" s="124"/>
    </row>
    <row r="104" spans="2:22" x14ac:dyDescent="0.2">
      <c r="B104" s="124"/>
      <c r="C104" s="124"/>
      <c r="D104" s="124"/>
      <c r="E104" s="124"/>
      <c r="F104" s="124"/>
      <c r="G104" s="124"/>
      <c r="H104" s="124"/>
      <c r="I104" s="124"/>
      <c r="J104" s="124"/>
      <c r="K104" s="124"/>
      <c r="L104" s="124"/>
      <c r="M104" s="124"/>
      <c r="N104" s="124"/>
      <c r="O104" s="124"/>
      <c r="P104" s="124"/>
      <c r="Q104" s="124"/>
      <c r="R104" s="124"/>
      <c r="S104" s="124"/>
      <c r="T104" s="124"/>
      <c r="U104" s="124"/>
      <c r="V104" s="124"/>
    </row>
    <row r="105" spans="2:22" x14ac:dyDescent="0.2">
      <c r="B105" s="124"/>
      <c r="C105" s="124"/>
      <c r="D105" s="124"/>
      <c r="E105" s="124"/>
      <c r="F105" s="124"/>
      <c r="G105" s="124"/>
      <c r="H105" s="124"/>
      <c r="I105" s="124"/>
      <c r="J105" s="124"/>
      <c r="K105" s="124"/>
      <c r="L105" s="124"/>
      <c r="M105" s="124"/>
      <c r="N105" s="124"/>
      <c r="O105" s="124"/>
      <c r="P105" s="124"/>
      <c r="Q105" s="124"/>
      <c r="R105" s="124"/>
      <c r="S105" s="124"/>
      <c r="T105" s="124"/>
      <c r="U105" s="124"/>
      <c r="V105" s="124"/>
    </row>
    <row r="106" spans="2:22" x14ac:dyDescent="0.2">
      <c r="B106" s="124"/>
      <c r="C106" s="124"/>
      <c r="D106" s="124"/>
      <c r="E106" s="124"/>
      <c r="F106" s="124"/>
      <c r="G106" s="124"/>
      <c r="H106" s="124"/>
      <c r="I106" s="124"/>
      <c r="J106" s="124"/>
      <c r="K106" s="124"/>
      <c r="L106" s="124"/>
      <c r="M106" s="124"/>
      <c r="N106" s="124"/>
      <c r="O106" s="124"/>
      <c r="P106" s="124"/>
      <c r="Q106" s="124"/>
      <c r="R106" s="124"/>
      <c r="S106" s="124"/>
      <c r="T106" s="124"/>
      <c r="U106" s="124"/>
      <c r="V106" s="124"/>
    </row>
    <row r="107" spans="2:22" x14ac:dyDescent="0.2">
      <c r="B107" s="124"/>
      <c r="C107" s="124"/>
      <c r="D107" s="124"/>
      <c r="E107" s="124"/>
      <c r="F107" s="124"/>
      <c r="G107" s="124"/>
      <c r="H107" s="124"/>
      <c r="I107" s="124"/>
      <c r="J107" s="124"/>
      <c r="K107" s="124"/>
      <c r="L107" s="124"/>
      <c r="M107" s="124"/>
      <c r="N107" s="124"/>
      <c r="O107" s="124"/>
      <c r="P107" s="124"/>
      <c r="Q107" s="124"/>
      <c r="R107" s="124"/>
      <c r="S107" s="124"/>
      <c r="T107" s="124"/>
      <c r="U107" s="124"/>
      <c r="V107" s="124"/>
    </row>
    <row r="108" spans="2:22" x14ac:dyDescent="0.2">
      <c r="B108" s="124"/>
      <c r="C108" s="124"/>
      <c r="D108" s="124"/>
      <c r="E108" s="124"/>
      <c r="F108" s="124"/>
      <c r="G108" s="124"/>
      <c r="H108" s="124"/>
      <c r="I108" s="124"/>
      <c r="J108" s="124"/>
      <c r="K108" s="124"/>
      <c r="L108" s="124"/>
      <c r="M108" s="124"/>
      <c r="N108" s="124"/>
      <c r="O108" s="124"/>
      <c r="P108" s="124"/>
      <c r="Q108" s="124"/>
      <c r="R108" s="124"/>
      <c r="S108" s="124"/>
      <c r="T108" s="124"/>
      <c r="U108" s="124"/>
      <c r="V108" s="124"/>
    </row>
    <row r="109" spans="2:22" x14ac:dyDescent="0.2">
      <c r="B109" s="124"/>
      <c r="C109" s="124"/>
      <c r="D109" s="124"/>
      <c r="E109" s="124"/>
      <c r="F109" s="124"/>
      <c r="G109" s="124"/>
      <c r="H109" s="124"/>
      <c r="I109" s="124"/>
      <c r="J109" s="124"/>
      <c r="K109" s="124"/>
      <c r="L109" s="124"/>
      <c r="M109" s="124"/>
      <c r="N109" s="124"/>
      <c r="O109" s="124"/>
      <c r="P109" s="124"/>
      <c r="Q109" s="124"/>
      <c r="R109" s="124"/>
      <c r="S109" s="124"/>
      <c r="T109" s="124"/>
      <c r="U109" s="124"/>
      <c r="V109" s="124"/>
    </row>
    <row r="110" spans="2:22" x14ac:dyDescent="0.2">
      <c r="B110" s="124"/>
      <c r="C110" s="124"/>
      <c r="D110" s="124"/>
      <c r="E110" s="124"/>
      <c r="F110" s="124"/>
      <c r="G110" s="124"/>
      <c r="H110" s="124"/>
      <c r="I110" s="124"/>
      <c r="J110" s="124"/>
      <c r="K110" s="124"/>
      <c r="L110" s="124"/>
      <c r="M110" s="124"/>
      <c r="N110" s="124"/>
      <c r="O110" s="124"/>
      <c r="P110" s="124"/>
      <c r="Q110" s="124"/>
      <c r="R110" s="124"/>
      <c r="S110" s="124"/>
      <c r="T110" s="124"/>
      <c r="U110" s="124"/>
      <c r="V110" s="124"/>
    </row>
    <row r="111" spans="2:22" x14ac:dyDescent="0.2">
      <c r="B111" s="124"/>
      <c r="C111" s="124"/>
      <c r="D111" s="124"/>
      <c r="E111" s="124"/>
      <c r="F111" s="124"/>
      <c r="G111" s="124"/>
      <c r="H111" s="124"/>
      <c r="I111" s="124"/>
      <c r="J111" s="124"/>
      <c r="K111" s="124"/>
      <c r="L111" s="124"/>
      <c r="M111" s="124"/>
      <c r="N111" s="124"/>
      <c r="O111" s="124"/>
      <c r="P111" s="124"/>
      <c r="Q111" s="124"/>
      <c r="R111" s="124"/>
      <c r="S111" s="124"/>
      <c r="T111" s="124"/>
      <c r="U111" s="124"/>
      <c r="V111" s="124"/>
    </row>
    <row r="112" spans="2:22" x14ac:dyDescent="0.2">
      <c r="B112" s="124"/>
      <c r="C112" s="124"/>
      <c r="D112" s="124"/>
      <c r="E112" s="124"/>
      <c r="F112" s="124"/>
      <c r="G112" s="124"/>
      <c r="H112" s="124"/>
      <c r="I112" s="124"/>
      <c r="J112" s="124"/>
      <c r="K112" s="124"/>
      <c r="L112" s="124"/>
      <c r="M112" s="124"/>
      <c r="N112" s="124"/>
      <c r="O112" s="124"/>
      <c r="P112" s="124"/>
      <c r="Q112" s="124"/>
      <c r="R112" s="124"/>
      <c r="S112" s="124"/>
      <c r="T112" s="124"/>
      <c r="U112" s="124"/>
      <c r="V112" s="124"/>
    </row>
    <row r="113" spans="2:22" x14ac:dyDescent="0.2">
      <c r="B113" s="124"/>
      <c r="C113" s="124"/>
      <c r="D113" s="124"/>
      <c r="E113" s="124"/>
      <c r="F113" s="124"/>
      <c r="G113" s="124"/>
      <c r="H113" s="124"/>
      <c r="I113" s="124"/>
      <c r="J113" s="124"/>
      <c r="K113" s="124"/>
      <c r="L113" s="124"/>
      <c r="M113" s="124"/>
      <c r="N113" s="124"/>
      <c r="O113" s="124"/>
      <c r="P113" s="124"/>
      <c r="Q113" s="124"/>
      <c r="R113" s="124"/>
      <c r="S113" s="124"/>
      <c r="T113" s="124"/>
      <c r="U113" s="124"/>
      <c r="V113" s="124"/>
    </row>
    <row r="114" spans="2:22" x14ac:dyDescent="0.2">
      <c r="B114" s="124"/>
      <c r="C114" s="124"/>
      <c r="D114" s="124"/>
      <c r="E114" s="124"/>
      <c r="F114" s="124"/>
      <c r="G114" s="124"/>
      <c r="H114" s="124"/>
      <c r="I114" s="124"/>
      <c r="J114" s="124"/>
      <c r="K114" s="124"/>
      <c r="L114" s="124"/>
      <c r="M114" s="124"/>
      <c r="N114" s="124"/>
      <c r="O114" s="124"/>
      <c r="P114" s="124"/>
      <c r="Q114" s="124"/>
      <c r="R114" s="124"/>
      <c r="S114" s="124"/>
      <c r="T114" s="124"/>
      <c r="U114" s="124"/>
      <c r="V114" s="124"/>
    </row>
    <row r="115" spans="2:22" x14ac:dyDescent="0.2">
      <c r="B115" s="124"/>
      <c r="C115" s="124"/>
      <c r="D115" s="124"/>
      <c r="E115" s="124"/>
      <c r="F115" s="124"/>
      <c r="G115" s="124"/>
      <c r="H115" s="124"/>
      <c r="I115" s="124"/>
      <c r="J115" s="124"/>
      <c r="K115" s="124"/>
      <c r="L115" s="124"/>
      <c r="M115" s="124"/>
      <c r="N115" s="124"/>
      <c r="O115" s="124"/>
      <c r="P115" s="124"/>
      <c r="Q115" s="124"/>
      <c r="R115" s="124"/>
      <c r="S115" s="124"/>
      <c r="T115" s="124"/>
      <c r="U115" s="124"/>
      <c r="V115" s="124"/>
    </row>
    <row r="116" spans="2:22" x14ac:dyDescent="0.2">
      <c r="B116" s="124"/>
      <c r="C116" s="124"/>
      <c r="D116" s="124"/>
      <c r="E116" s="124"/>
      <c r="F116" s="124"/>
      <c r="G116" s="124"/>
      <c r="H116" s="124"/>
      <c r="I116" s="124"/>
      <c r="J116" s="124"/>
      <c r="K116" s="124"/>
      <c r="L116" s="124"/>
      <c r="M116" s="124"/>
      <c r="N116" s="124"/>
      <c r="O116" s="124"/>
      <c r="P116" s="124"/>
      <c r="Q116" s="124"/>
      <c r="R116" s="124"/>
      <c r="S116" s="124"/>
      <c r="T116" s="124"/>
      <c r="U116" s="124"/>
      <c r="V116" s="124"/>
    </row>
    <row r="117" spans="2:22" x14ac:dyDescent="0.2">
      <c r="B117" s="124"/>
      <c r="C117" s="124"/>
      <c r="D117" s="124"/>
      <c r="E117" s="124"/>
      <c r="F117" s="124"/>
      <c r="G117" s="124"/>
      <c r="H117" s="124"/>
      <c r="I117" s="124"/>
      <c r="J117" s="124"/>
      <c r="K117" s="124"/>
      <c r="L117" s="124"/>
      <c r="M117" s="124"/>
      <c r="N117" s="124"/>
      <c r="O117" s="124"/>
      <c r="P117" s="124"/>
      <c r="Q117" s="124"/>
      <c r="R117" s="124"/>
      <c r="S117" s="124"/>
      <c r="T117" s="124"/>
      <c r="U117" s="124"/>
      <c r="V117" s="124"/>
    </row>
    <row r="118" spans="2:22" x14ac:dyDescent="0.2">
      <c r="B118" s="124"/>
      <c r="C118" s="124"/>
      <c r="D118" s="124"/>
      <c r="E118" s="124"/>
      <c r="F118" s="124"/>
      <c r="G118" s="124"/>
      <c r="H118" s="124"/>
      <c r="I118" s="124"/>
      <c r="J118" s="124"/>
      <c r="K118" s="124"/>
      <c r="L118" s="124"/>
      <c r="M118" s="124"/>
      <c r="N118" s="124"/>
      <c r="O118" s="124"/>
      <c r="P118" s="124"/>
      <c r="Q118" s="124"/>
      <c r="R118" s="124"/>
      <c r="S118" s="124"/>
      <c r="T118" s="124"/>
      <c r="U118" s="124"/>
      <c r="V118" s="124"/>
    </row>
    <row r="119" spans="2:22" x14ac:dyDescent="0.2">
      <c r="B119" s="124"/>
      <c r="C119" s="124"/>
      <c r="D119" s="124"/>
      <c r="E119" s="124"/>
      <c r="F119" s="124"/>
      <c r="G119" s="124"/>
      <c r="H119" s="124"/>
      <c r="I119" s="124"/>
      <c r="J119" s="124"/>
      <c r="K119" s="124"/>
      <c r="L119" s="124"/>
      <c r="M119" s="124"/>
      <c r="N119" s="124"/>
      <c r="O119" s="124"/>
      <c r="P119" s="124"/>
      <c r="Q119" s="124"/>
      <c r="R119" s="124"/>
      <c r="S119" s="124"/>
      <c r="T119" s="124"/>
      <c r="U119" s="124"/>
      <c r="V119" s="124"/>
    </row>
    <row r="120" spans="2:22" x14ac:dyDescent="0.2">
      <c r="B120" s="124"/>
      <c r="C120" s="124"/>
      <c r="D120" s="124"/>
      <c r="E120" s="124"/>
      <c r="F120" s="124"/>
      <c r="G120" s="124"/>
      <c r="H120" s="124"/>
      <c r="I120" s="124"/>
      <c r="J120" s="124"/>
      <c r="K120" s="124"/>
      <c r="L120" s="124"/>
      <c r="M120" s="124"/>
      <c r="N120" s="124"/>
      <c r="O120" s="124"/>
      <c r="P120" s="124"/>
      <c r="Q120" s="124"/>
      <c r="R120" s="124"/>
      <c r="S120" s="124"/>
      <c r="T120" s="124"/>
      <c r="U120" s="124"/>
      <c r="V120" s="124"/>
    </row>
    <row r="121" spans="2:22" x14ac:dyDescent="0.2">
      <c r="B121" s="124"/>
      <c r="C121" s="124"/>
      <c r="D121" s="124"/>
      <c r="E121" s="124"/>
      <c r="F121" s="124"/>
      <c r="G121" s="124"/>
      <c r="H121" s="124"/>
      <c r="I121" s="124"/>
      <c r="J121" s="124"/>
      <c r="K121" s="124"/>
      <c r="L121" s="124"/>
      <c r="M121" s="124"/>
      <c r="N121" s="124"/>
      <c r="O121" s="124"/>
      <c r="P121" s="124"/>
      <c r="Q121" s="124"/>
      <c r="R121" s="124"/>
      <c r="S121" s="124"/>
      <c r="T121" s="124"/>
      <c r="U121" s="124"/>
      <c r="V121" s="124"/>
    </row>
    <row r="122" spans="2:22" x14ac:dyDescent="0.2">
      <c r="B122" s="124"/>
      <c r="C122" s="124"/>
      <c r="D122" s="124"/>
      <c r="E122" s="124"/>
      <c r="F122" s="124"/>
      <c r="G122" s="124"/>
      <c r="H122" s="124"/>
      <c r="I122" s="124"/>
      <c r="J122" s="124"/>
      <c r="K122" s="124"/>
      <c r="L122" s="124"/>
      <c r="M122" s="124"/>
      <c r="N122" s="124"/>
      <c r="O122" s="124"/>
      <c r="P122" s="124"/>
      <c r="Q122" s="124"/>
      <c r="R122" s="124"/>
      <c r="S122" s="124"/>
      <c r="T122" s="124"/>
      <c r="U122" s="124"/>
      <c r="V122" s="124"/>
    </row>
    <row r="123" spans="2:22" x14ac:dyDescent="0.2">
      <c r="B123" s="124"/>
      <c r="C123" s="124"/>
      <c r="D123" s="124"/>
      <c r="E123" s="124"/>
      <c r="F123" s="124"/>
      <c r="G123" s="124"/>
      <c r="H123" s="124"/>
      <c r="I123" s="124"/>
      <c r="J123" s="124"/>
      <c r="K123" s="124"/>
      <c r="L123" s="124"/>
      <c r="M123" s="124"/>
      <c r="N123" s="124"/>
      <c r="O123" s="124"/>
      <c r="P123" s="124"/>
      <c r="Q123" s="124"/>
      <c r="R123" s="124"/>
      <c r="S123" s="124"/>
      <c r="T123" s="124"/>
      <c r="U123" s="124"/>
      <c r="V123" s="124"/>
    </row>
    <row r="124" spans="2:22" x14ac:dyDescent="0.2">
      <c r="B124" s="124"/>
      <c r="C124" s="124"/>
      <c r="D124" s="124"/>
      <c r="E124" s="124"/>
      <c r="F124" s="124"/>
      <c r="G124" s="124"/>
      <c r="H124" s="124"/>
      <c r="I124" s="124"/>
      <c r="J124" s="124"/>
      <c r="K124" s="124"/>
      <c r="L124" s="124"/>
      <c r="M124" s="124"/>
      <c r="N124" s="124"/>
      <c r="O124" s="124"/>
      <c r="P124" s="124"/>
      <c r="Q124" s="124"/>
      <c r="R124" s="124"/>
      <c r="S124" s="124"/>
      <c r="T124" s="124"/>
      <c r="U124" s="124"/>
      <c r="V124" s="124"/>
    </row>
    <row r="125" spans="2:22" x14ac:dyDescent="0.2">
      <c r="B125" s="124"/>
      <c r="C125" s="124"/>
      <c r="D125" s="124"/>
      <c r="E125" s="124"/>
      <c r="F125" s="124"/>
      <c r="G125" s="124"/>
      <c r="H125" s="124"/>
      <c r="I125" s="124"/>
      <c r="J125" s="124"/>
      <c r="K125" s="124"/>
      <c r="L125" s="124"/>
      <c r="M125" s="124"/>
      <c r="N125" s="124"/>
      <c r="O125" s="124"/>
      <c r="P125" s="124"/>
      <c r="Q125" s="124"/>
      <c r="R125" s="124"/>
      <c r="S125" s="124"/>
      <c r="T125" s="124"/>
      <c r="U125" s="124"/>
      <c r="V125" s="124"/>
    </row>
    <row r="126" spans="2:22" x14ac:dyDescent="0.2">
      <c r="B126" s="124"/>
      <c r="C126" s="124"/>
      <c r="D126" s="124"/>
      <c r="E126" s="124"/>
      <c r="F126" s="124"/>
      <c r="G126" s="124"/>
      <c r="H126" s="124"/>
      <c r="I126" s="124"/>
      <c r="J126" s="124"/>
      <c r="K126" s="124"/>
      <c r="L126" s="124"/>
      <c r="M126" s="124"/>
      <c r="N126" s="124"/>
      <c r="O126" s="124"/>
      <c r="P126" s="124"/>
      <c r="Q126" s="124"/>
      <c r="R126" s="124"/>
      <c r="S126" s="124"/>
      <c r="T126" s="124"/>
      <c r="U126" s="124"/>
      <c r="V126" s="124"/>
    </row>
    <row r="127" spans="2:22" x14ac:dyDescent="0.2">
      <c r="B127" s="124"/>
      <c r="C127" s="124"/>
      <c r="D127" s="124"/>
      <c r="E127" s="124"/>
      <c r="F127" s="124"/>
      <c r="G127" s="124"/>
      <c r="H127" s="124"/>
      <c r="I127" s="124"/>
      <c r="J127" s="124"/>
      <c r="K127" s="124"/>
      <c r="L127" s="124"/>
      <c r="M127" s="124"/>
      <c r="N127" s="124"/>
      <c r="O127" s="124"/>
      <c r="P127" s="124"/>
      <c r="Q127" s="124"/>
      <c r="R127" s="124"/>
      <c r="S127" s="124"/>
      <c r="T127" s="124"/>
      <c r="U127" s="124"/>
      <c r="V127" s="124"/>
    </row>
    <row r="128" spans="2:22" x14ac:dyDescent="0.2">
      <c r="B128" s="124"/>
      <c r="C128" s="124"/>
      <c r="D128" s="124"/>
      <c r="E128" s="124"/>
      <c r="F128" s="124"/>
      <c r="G128" s="124"/>
      <c r="H128" s="124"/>
      <c r="I128" s="124"/>
      <c r="J128" s="124"/>
      <c r="K128" s="124"/>
      <c r="L128" s="124"/>
      <c r="M128" s="124"/>
      <c r="N128" s="124"/>
      <c r="O128" s="124"/>
      <c r="P128" s="124"/>
      <c r="Q128" s="124"/>
      <c r="R128" s="124"/>
      <c r="S128" s="124"/>
      <c r="T128" s="124"/>
      <c r="U128" s="124"/>
      <c r="V128" s="124"/>
    </row>
    <row r="129" spans="2:22" x14ac:dyDescent="0.2">
      <c r="B129" s="124"/>
      <c r="C129" s="124"/>
      <c r="D129" s="124"/>
      <c r="E129" s="124"/>
      <c r="F129" s="124"/>
      <c r="G129" s="124"/>
      <c r="H129" s="124"/>
      <c r="I129" s="124"/>
      <c r="J129" s="124"/>
      <c r="K129" s="124"/>
      <c r="L129" s="124"/>
      <c r="M129" s="124"/>
      <c r="N129" s="124"/>
      <c r="O129" s="124"/>
      <c r="P129" s="124"/>
      <c r="Q129" s="124"/>
      <c r="R129" s="124"/>
      <c r="S129" s="124"/>
      <c r="T129" s="124"/>
      <c r="U129" s="124"/>
      <c r="V129" s="124"/>
    </row>
    <row r="130" spans="2:22" x14ac:dyDescent="0.2">
      <c r="B130" s="124"/>
      <c r="C130" s="124"/>
      <c r="D130" s="124"/>
      <c r="E130" s="124"/>
      <c r="F130" s="124"/>
      <c r="G130" s="124"/>
      <c r="H130" s="124"/>
      <c r="I130" s="124"/>
      <c r="J130" s="124"/>
      <c r="K130" s="124"/>
      <c r="L130" s="124"/>
      <c r="M130" s="124"/>
      <c r="N130" s="124"/>
      <c r="O130" s="124"/>
      <c r="P130" s="124"/>
      <c r="Q130" s="124"/>
      <c r="R130" s="124"/>
      <c r="S130" s="124"/>
      <c r="T130" s="124"/>
      <c r="U130" s="124"/>
      <c r="V130" s="124"/>
    </row>
    <row r="131" spans="2:22" x14ac:dyDescent="0.2">
      <c r="B131" s="124"/>
      <c r="C131" s="124"/>
      <c r="D131" s="124"/>
      <c r="E131" s="124"/>
      <c r="F131" s="124"/>
      <c r="G131" s="124"/>
      <c r="H131" s="124"/>
      <c r="I131" s="124"/>
      <c r="J131" s="124"/>
      <c r="K131" s="124"/>
      <c r="L131" s="124"/>
      <c r="M131" s="124"/>
      <c r="N131" s="124"/>
      <c r="O131" s="124"/>
      <c r="P131" s="124"/>
      <c r="Q131" s="124"/>
      <c r="R131" s="124"/>
      <c r="S131" s="124"/>
      <c r="T131" s="124"/>
      <c r="U131" s="124"/>
      <c r="V131" s="124"/>
    </row>
    <row r="132" spans="2:22" x14ac:dyDescent="0.2">
      <c r="B132" s="124"/>
      <c r="C132" s="124"/>
      <c r="D132" s="124"/>
      <c r="E132" s="124"/>
      <c r="F132" s="124"/>
      <c r="G132" s="124"/>
      <c r="H132" s="124"/>
      <c r="I132" s="124"/>
      <c r="J132" s="124"/>
      <c r="K132" s="124"/>
      <c r="L132" s="124"/>
      <c r="M132" s="124"/>
      <c r="N132" s="124"/>
      <c r="O132" s="124"/>
      <c r="P132" s="124"/>
      <c r="Q132" s="124"/>
      <c r="R132" s="124"/>
      <c r="S132" s="124"/>
      <c r="T132" s="124"/>
      <c r="U132" s="124"/>
      <c r="V132" s="124"/>
    </row>
    <row r="133" spans="2:22" x14ac:dyDescent="0.2">
      <c r="B133" s="124"/>
      <c r="C133" s="124"/>
      <c r="D133" s="124"/>
      <c r="E133" s="124"/>
      <c r="F133" s="124"/>
      <c r="G133" s="124"/>
      <c r="H133" s="124"/>
      <c r="I133" s="124"/>
      <c r="J133" s="124"/>
      <c r="K133" s="124"/>
      <c r="L133" s="124"/>
      <c r="M133" s="124"/>
      <c r="N133" s="124"/>
      <c r="O133" s="124"/>
      <c r="P133" s="124"/>
      <c r="Q133" s="124"/>
      <c r="R133" s="124"/>
      <c r="S133" s="124"/>
      <c r="T133" s="124"/>
      <c r="U133" s="124"/>
      <c r="V133" s="124"/>
    </row>
    <row r="134" spans="2:22" x14ac:dyDescent="0.2">
      <c r="B134" s="124"/>
      <c r="C134" s="124"/>
      <c r="D134" s="124"/>
      <c r="E134" s="124"/>
      <c r="F134" s="124"/>
      <c r="G134" s="124"/>
      <c r="H134" s="124"/>
      <c r="I134" s="124"/>
      <c r="J134" s="124"/>
      <c r="K134" s="124"/>
      <c r="L134" s="124"/>
      <c r="M134" s="124"/>
      <c r="N134" s="124"/>
      <c r="O134" s="124"/>
      <c r="P134" s="124"/>
      <c r="Q134" s="124"/>
      <c r="R134" s="124"/>
      <c r="S134" s="124"/>
      <c r="T134" s="124"/>
      <c r="U134" s="124"/>
      <c r="V134" s="124"/>
    </row>
    <row r="135" spans="2:22" x14ac:dyDescent="0.2">
      <c r="B135" s="124"/>
      <c r="C135" s="124"/>
      <c r="D135" s="124"/>
      <c r="E135" s="124"/>
      <c r="F135" s="124"/>
      <c r="G135" s="124"/>
      <c r="H135" s="124"/>
      <c r="I135" s="124"/>
      <c r="J135" s="124"/>
      <c r="K135" s="124"/>
      <c r="L135" s="124"/>
      <c r="M135" s="124"/>
      <c r="N135" s="124"/>
      <c r="O135" s="124"/>
      <c r="P135" s="124"/>
      <c r="Q135" s="124"/>
      <c r="R135" s="124"/>
      <c r="S135" s="124"/>
      <c r="T135" s="124"/>
      <c r="U135" s="124"/>
      <c r="V135" s="124"/>
    </row>
    <row r="136" spans="2:22" x14ac:dyDescent="0.2">
      <c r="B136" s="124"/>
      <c r="C136" s="124"/>
      <c r="D136" s="124"/>
      <c r="E136" s="124"/>
      <c r="F136" s="124"/>
      <c r="G136" s="124"/>
      <c r="H136" s="124"/>
      <c r="I136" s="124"/>
      <c r="J136" s="124"/>
      <c r="K136" s="124"/>
      <c r="L136" s="124"/>
      <c r="M136" s="124"/>
      <c r="N136" s="124"/>
      <c r="O136" s="124"/>
      <c r="P136" s="124"/>
      <c r="Q136" s="124"/>
      <c r="R136" s="124"/>
      <c r="S136" s="124"/>
      <c r="T136" s="124"/>
      <c r="U136" s="124"/>
      <c r="V136" s="124"/>
    </row>
    <row r="137" spans="2:22" x14ac:dyDescent="0.2">
      <c r="B137" s="124"/>
      <c r="C137" s="124"/>
      <c r="D137" s="124"/>
      <c r="E137" s="124"/>
      <c r="F137" s="124"/>
      <c r="G137" s="124"/>
      <c r="H137" s="124"/>
      <c r="I137" s="124"/>
      <c r="J137" s="124"/>
      <c r="K137" s="124"/>
      <c r="L137" s="124"/>
      <c r="M137" s="124"/>
      <c r="N137" s="124"/>
      <c r="O137" s="124"/>
      <c r="P137" s="124"/>
      <c r="Q137" s="124"/>
      <c r="R137" s="124"/>
      <c r="S137" s="124"/>
      <c r="T137" s="124"/>
      <c r="U137" s="124"/>
      <c r="V137" s="124"/>
    </row>
    <row r="138" spans="2:22" x14ac:dyDescent="0.2">
      <c r="B138" s="124"/>
      <c r="C138" s="124"/>
      <c r="D138" s="124"/>
      <c r="E138" s="124"/>
      <c r="F138" s="124"/>
      <c r="G138" s="124"/>
      <c r="H138" s="124"/>
      <c r="I138" s="124"/>
      <c r="J138" s="124"/>
      <c r="K138" s="124"/>
      <c r="L138" s="124"/>
      <c r="M138" s="124"/>
      <c r="N138" s="124"/>
      <c r="O138" s="124"/>
      <c r="P138" s="124"/>
      <c r="Q138" s="124"/>
      <c r="R138" s="124"/>
      <c r="S138" s="124"/>
      <c r="T138" s="124"/>
      <c r="U138" s="124"/>
      <c r="V138" s="124"/>
    </row>
    <row r="139" spans="2:22" x14ac:dyDescent="0.2">
      <c r="B139" s="124"/>
      <c r="C139" s="124"/>
      <c r="D139" s="124"/>
      <c r="E139" s="124"/>
      <c r="F139" s="124"/>
      <c r="G139" s="124"/>
      <c r="H139" s="124"/>
      <c r="I139" s="124"/>
      <c r="J139" s="124"/>
      <c r="K139" s="124"/>
      <c r="L139" s="124"/>
      <c r="M139" s="124"/>
      <c r="N139" s="124"/>
      <c r="O139" s="124"/>
      <c r="P139" s="124"/>
      <c r="Q139" s="124"/>
      <c r="R139" s="124"/>
      <c r="S139" s="124"/>
      <c r="T139" s="124"/>
      <c r="U139" s="124"/>
      <c r="V139" s="124"/>
    </row>
    <row r="140" spans="2:22" x14ac:dyDescent="0.2">
      <c r="B140" s="124"/>
      <c r="C140" s="124"/>
      <c r="D140" s="124"/>
      <c r="E140" s="124"/>
      <c r="F140" s="124"/>
      <c r="G140" s="124"/>
      <c r="H140" s="124"/>
      <c r="I140" s="124"/>
      <c r="J140" s="124"/>
      <c r="K140" s="124"/>
      <c r="L140" s="124"/>
      <c r="M140" s="124"/>
      <c r="N140" s="124"/>
      <c r="O140" s="124"/>
      <c r="P140" s="124"/>
      <c r="Q140" s="124"/>
      <c r="R140" s="124"/>
      <c r="S140" s="124"/>
      <c r="T140" s="124"/>
      <c r="U140" s="124"/>
      <c r="V140" s="124"/>
    </row>
    <row r="141" spans="2:22" x14ac:dyDescent="0.2">
      <c r="B141" s="124"/>
      <c r="C141" s="124"/>
      <c r="D141" s="124"/>
      <c r="E141" s="124"/>
      <c r="F141" s="124"/>
      <c r="G141" s="124"/>
      <c r="H141" s="124"/>
      <c r="I141" s="124"/>
      <c r="J141" s="124"/>
      <c r="K141" s="124"/>
      <c r="L141" s="124"/>
      <c r="M141" s="124"/>
      <c r="N141" s="124"/>
      <c r="O141" s="124"/>
      <c r="P141" s="124"/>
      <c r="Q141" s="124"/>
      <c r="R141" s="124"/>
      <c r="S141" s="124"/>
      <c r="T141" s="124"/>
      <c r="U141" s="124"/>
      <c r="V141" s="124"/>
    </row>
    <row r="142" spans="2:22" x14ac:dyDescent="0.2">
      <c r="B142" s="124"/>
      <c r="C142" s="124"/>
      <c r="D142" s="124"/>
      <c r="E142" s="124"/>
      <c r="F142" s="124"/>
      <c r="G142" s="124"/>
      <c r="H142" s="124"/>
      <c r="I142" s="124"/>
      <c r="J142" s="124"/>
      <c r="K142" s="124"/>
      <c r="L142" s="124"/>
      <c r="M142" s="124"/>
      <c r="N142" s="124"/>
      <c r="O142" s="124"/>
      <c r="P142" s="124"/>
      <c r="Q142" s="124"/>
      <c r="R142" s="124"/>
      <c r="S142" s="124"/>
      <c r="T142" s="124"/>
      <c r="U142" s="124"/>
      <c r="V142" s="124"/>
    </row>
    <row r="143" spans="2:22" x14ac:dyDescent="0.2">
      <c r="B143" s="124"/>
      <c r="C143" s="124"/>
      <c r="D143" s="124"/>
      <c r="E143" s="124"/>
      <c r="F143" s="124"/>
      <c r="G143" s="124"/>
      <c r="H143" s="124"/>
      <c r="I143" s="124"/>
      <c r="J143" s="124"/>
      <c r="K143" s="124"/>
      <c r="L143" s="124"/>
      <c r="M143" s="124"/>
      <c r="N143" s="124"/>
      <c r="O143" s="124"/>
      <c r="P143" s="124"/>
      <c r="Q143" s="124"/>
      <c r="R143" s="124"/>
      <c r="S143" s="124"/>
      <c r="T143" s="124"/>
      <c r="U143" s="124"/>
      <c r="V143" s="124"/>
    </row>
    <row r="144" spans="2:22" x14ac:dyDescent="0.2">
      <c r="B144" s="124"/>
      <c r="C144" s="124"/>
      <c r="D144" s="124"/>
      <c r="E144" s="124"/>
      <c r="F144" s="124"/>
      <c r="G144" s="124"/>
      <c r="H144" s="124"/>
      <c r="I144" s="124"/>
      <c r="J144" s="124"/>
      <c r="K144" s="124"/>
      <c r="L144" s="124"/>
      <c r="M144" s="124"/>
      <c r="N144" s="124"/>
      <c r="O144" s="124"/>
      <c r="P144" s="124"/>
      <c r="Q144" s="124"/>
      <c r="R144" s="124"/>
      <c r="S144" s="124"/>
      <c r="T144" s="124"/>
      <c r="U144" s="124"/>
      <c r="V144" s="124"/>
    </row>
    <row r="145" spans="2:22" x14ac:dyDescent="0.2">
      <c r="B145" s="124"/>
      <c r="C145" s="124"/>
      <c r="D145" s="124"/>
      <c r="E145" s="124"/>
      <c r="F145" s="124"/>
      <c r="G145" s="124"/>
      <c r="H145" s="124"/>
      <c r="I145" s="124"/>
      <c r="J145" s="124"/>
      <c r="K145" s="124"/>
      <c r="L145" s="124"/>
      <c r="M145" s="124"/>
      <c r="N145" s="124"/>
      <c r="O145" s="124"/>
      <c r="P145" s="124"/>
      <c r="Q145" s="124"/>
      <c r="R145" s="124"/>
      <c r="S145" s="124"/>
      <c r="T145" s="124"/>
      <c r="U145" s="124"/>
      <c r="V145" s="124"/>
    </row>
    <row r="146" spans="2:22" x14ac:dyDescent="0.2">
      <c r="B146" s="124"/>
      <c r="C146" s="124"/>
      <c r="D146" s="124"/>
      <c r="E146" s="124"/>
      <c r="F146" s="124"/>
      <c r="G146" s="124"/>
      <c r="H146" s="124"/>
      <c r="I146" s="124"/>
      <c r="J146" s="124"/>
      <c r="K146" s="124"/>
      <c r="L146" s="124"/>
      <c r="M146" s="124"/>
      <c r="N146" s="124"/>
      <c r="O146" s="124"/>
      <c r="P146" s="124"/>
      <c r="Q146" s="124"/>
      <c r="R146" s="124"/>
      <c r="S146" s="124"/>
      <c r="T146" s="124"/>
      <c r="U146" s="124"/>
      <c r="V146" s="124"/>
    </row>
    <row r="147" spans="2:22" x14ac:dyDescent="0.2">
      <c r="B147" s="124"/>
      <c r="C147" s="124"/>
      <c r="D147" s="124"/>
      <c r="E147" s="124"/>
      <c r="F147" s="124"/>
      <c r="G147" s="124"/>
      <c r="H147" s="124"/>
      <c r="I147" s="124"/>
      <c r="J147" s="124"/>
      <c r="K147" s="124"/>
      <c r="L147" s="124"/>
      <c r="M147" s="124"/>
      <c r="N147" s="124"/>
      <c r="O147" s="124"/>
      <c r="P147" s="124"/>
      <c r="Q147" s="124"/>
      <c r="R147" s="124"/>
      <c r="S147" s="124"/>
      <c r="T147" s="124"/>
      <c r="U147" s="124"/>
      <c r="V147" s="124"/>
    </row>
    <row r="148" spans="2:22" x14ac:dyDescent="0.2">
      <c r="B148" s="124"/>
      <c r="C148" s="124"/>
      <c r="D148" s="124"/>
      <c r="E148" s="124"/>
      <c r="F148" s="124"/>
      <c r="G148" s="124"/>
      <c r="H148" s="124"/>
      <c r="I148" s="124"/>
      <c r="J148" s="124"/>
      <c r="K148" s="124"/>
      <c r="L148" s="124"/>
      <c r="M148" s="124"/>
      <c r="N148" s="124"/>
      <c r="O148" s="124"/>
      <c r="P148" s="124"/>
      <c r="Q148" s="124"/>
      <c r="R148" s="124"/>
      <c r="S148" s="124"/>
      <c r="T148" s="124"/>
      <c r="U148" s="124"/>
      <c r="V148" s="124"/>
    </row>
    <row r="149" spans="2:22" x14ac:dyDescent="0.2">
      <c r="B149" s="124"/>
      <c r="C149" s="124"/>
      <c r="D149" s="124"/>
      <c r="E149" s="124"/>
      <c r="F149" s="124"/>
      <c r="G149" s="124"/>
      <c r="H149" s="124"/>
      <c r="I149" s="124"/>
      <c r="J149" s="124"/>
      <c r="K149" s="124"/>
      <c r="L149" s="124"/>
      <c r="M149" s="124"/>
      <c r="N149" s="124"/>
      <c r="O149" s="124"/>
      <c r="P149" s="124"/>
      <c r="Q149" s="124"/>
      <c r="R149" s="124"/>
      <c r="S149" s="124"/>
      <c r="T149" s="124"/>
      <c r="U149" s="124"/>
      <c r="V149" s="124"/>
    </row>
    <row r="150" spans="2:22" x14ac:dyDescent="0.2">
      <c r="B150" s="124"/>
      <c r="C150" s="124"/>
      <c r="D150" s="124"/>
      <c r="E150" s="124"/>
      <c r="F150" s="124"/>
      <c r="G150" s="124"/>
      <c r="H150" s="124"/>
      <c r="I150" s="124"/>
      <c r="J150" s="124"/>
      <c r="K150" s="124"/>
      <c r="L150" s="124"/>
      <c r="M150" s="124"/>
      <c r="N150" s="124"/>
      <c r="O150" s="124"/>
      <c r="P150" s="124"/>
      <c r="Q150" s="124"/>
      <c r="R150" s="124"/>
      <c r="S150" s="124"/>
      <c r="T150" s="124"/>
      <c r="U150" s="124"/>
      <c r="V150" s="124"/>
    </row>
    <row r="151" spans="2:22" x14ac:dyDescent="0.2">
      <c r="B151" s="124"/>
      <c r="C151" s="124"/>
      <c r="D151" s="124"/>
      <c r="E151" s="124"/>
      <c r="F151" s="124"/>
      <c r="G151" s="124"/>
      <c r="H151" s="124"/>
      <c r="I151" s="124"/>
      <c r="J151" s="124"/>
      <c r="K151" s="124"/>
      <c r="L151" s="124"/>
      <c r="M151" s="124"/>
      <c r="N151" s="124"/>
      <c r="O151" s="124"/>
      <c r="P151" s="124"/>
      <c r="Q151" s="124"/>
      <c r="R151" s="124"/>
      <c r="S151" s="124"/>
      <c r="T151" s="124"/>
      <c r="U151" s="124"/>
      <c r="V151" s="124"/>
    </row>
    <row r="152" spans="2:22" x14ac:dyDescent="0.2">
      <c r="B152" s="124"/>
      <c r="C152" s="124"/>
      <c r="D152" s="124"/>
      <c r="E152" s="124"/>
      <c r="F152" s="124"/>
      <c r="G152" s="124"/>
      <c r="H152" s="124"/>
      <c r="I152" s="124"/>
      <c r="J152" s="124"/>
      <c r="K152" s="124"/>
      <c r="L152" s="124"/>
      <c r="M152" s="124"/>
      <c r="N152" s="124"/>
      <c r="O152" s="124"/>
      <c r="P152" s="124"/>
      <c r="Q152" s="124"/>
      <c r="R152" s="124"/>
      <c r="S152" s="124"/>
      <c r="T152" s="124"/>
      <c r="U152" s="124"/>
      <c r="V152" s="124"/>
    </row>
    <row r="153" spans="2:22" x14ac:dyDescent="0.2">
      <c r="B153" s="124"/>
      <c r="C153" s="124"/>
      <c r="D153" s="124"/>
      <c r="E153" s="124"/>
      <c r="F153" s="124"/>
      <c r="G153" s="124"/>
      <c r="H153" s="124"/>
      <c r="I153" s="124"/>
      <c r="J153" s="124"/>
      <c r="K153" s="124"/>
      <c r="L153" s="124"/>
      <c r="M153" s="124"/>
      <c r="N153" s="124"/>
      <c r="O153" s="124"/>
      <c r="P153" s="124"/>
      <c r="Q153" s="124"/>
      <c r="R153" s="124"/>
      <c r="S153" s="124"/>
      <c r="T153" s="124"/>
      <c r="U153" s="124"/>
      <c r="V153" s="124"/>
    </row>
    <row r="154" spans="2:22" x14ac:dyDescent="0.2">
      <c r="B154" s="124"/>
      <c r="C154" s="124"/>
      <c r="D154" s="124"/>
      <c r="E154" s="124"/>
      <c r="F154" s="124"/>
      <c r="G154" s="124"/>
      <c r="H154" s="124"/>
      <c r="I154" s="124"/>
      <c r="J154" s="124"/>
      <c r="K154" s="124"/>
      <c r="L154" s="124"/>
      <c r="M154" s="124"/>
      <c r="N154" s="124"/>
      <c r="O154" s="124"/>
      <c r="P154" s="124"/>
      <c r="Q154" s="124"/>
      <c r="R154" s="124"/>
      <c r="S154" s="124"/>
      <c r="T154" s="124"/>
      <c r="U154" s="124"/>
      <c r="V154" s="124"/>
    </row>
    <row r="155" spans="2:22" x14ac:dyDescent="0.2">
      <c r="B155" s="124"/>
      <c r="C155" s="124"/>
      <c r="D155" s="124"/>
      <c r="E155" s="124"/>
      <c r="F155" s="124"/>
      <c r="G155" s="124"/>
      <c r="H155" s="124"/>
      <c r="I155" s="124"/>
      <c r="J155" s="124"/>
      <c r="K155" s="124"/>
      <c r="L155" s="124"/>
      <c r="M155" s="124"/>
      <c r="N155" s="124"/>
      <c r="O155" s="124"/>
      <c r="P155" s="124"/>
      <c r="Q155" s="124"/>
      <c r="R155" s="124"/>
      <c r="S155" s="124"/>
      <c r="T155" s="124"/>
      <c r="U155" s="124"/>
      <c r="V155" s="124"/>
    </row>
    <row r="156" spans="2:22" x14ac:dyDescent="0.2">
      <c r="B156" s="124"/>
      <c r="C156" s="124"/>
      <c r="D156" s="124"/>
      <c r="E156" s="124"/>
      <c r="F156" s="124"/>
      <c r="G156" s="124"/>
      <c r="H156" s="124"/>
      <c r="I156" s="124"/>
      <c r="J156" s="124"/>
      <c r="K156" s="124"/>
      <c r="L156" s="124"/>
      <c r="M156" s="124"/>
      <c r="N156" s="124"/>
      <c r="O156" s="124"/>
      <c r="P156" s="124"/>
      <c r="Q156" s="124"/>
      <c r="R156" s="124"/>
      <c r="S156" s="124"/>
      <c r="T156" s="124"/>
      <c r="U156" s="124"/>
      <c r="V156" s="124"/>
    </row>
    <row r="157" spans="2:22" x14ac:dyDescent="0.2">
      <c r="B157" s="124"/>
      <c r="C157" s="124"/>
      <c r="D157" s="124"/>
      <c r="E157" s="124"/>
      <c r="F157" s="124"/>
      <c r="G157" s="124"/>
      <c r="H157" s="124"/>
      <c r="I157" s="124"/>
      <c r="J157" s="124"/>
      <c r="K157" s="124"/>
      <c r="L157" s="124"/>
      <c r="M157" s="124"/>
      <c r="N157" s="124"/>
      <c r="O157" s="124"/>
      <c r="P157" s="124"/>
      <c r="Q157" s="124"/>
      <c r="R157" s="124"/>
      <c r="S157" s="124"/>
      <c r="T157" s="124"/>
      <c r="U157" s="124"/>
      <c r="V157" s="124"/>
    </row>
    <row r="158" spans="2:22" x14ac:dyDescent="0.2">
      <c r="B158" s="124"/>
      <c r="C158" s="124"/>
      <c r="D158" s="124"/>
      <c r="E158" s="124"/>
      <c r="F158" s="124"/>
      <c r="G158" s="124"/>
      <c r="H158" s="124"/>
      <c r="I158" s="124"/>
      <c r="J158" s="124"/>
      <c r="K158" s="124"/>
      <c r="L158" s="124"/>
      <c r="M158" s="124"/>
      <c r="N158" s="124"/>
      <c r="O158" s="124"/>
      <c r="P158" s="124"/>
      <c r="Q158" s="124"/>
      <c r="R158" s="124"/>
      <c r="S158" s="124"/>
      <c r="T158" s="124"/>
      <c r="U158" s="124"/>
      <c r="V158" s="124"/>
    </row>
    <row r="159" spans="2:22" x14ac:dyDescent="0.2">
      <c r="B159" s="124"/>
      <c r="C159" s="124"/>
      <c r="D159" s="124"/>
      <c r="E159" s="124"/>
      <c r="F159" s="124"/>
      <c r="G159" s="124"/>
      <c r="H159" s="124"/>
      <c r="I159" s="124"/>
      <c r="J159" s="124"/>
      <c r="K159" s="124"/>
      <c r="L159" s="124"/>
      <c r="M159" s="124"/>
      <c r="N159" s="124"/>
      <c r="O159" s="124"/>
      <c r="P159" s="124"/>
      <c r="Q159" s="124"/>
      <c r="R159" s="124"/>
      <c r="S159" s="124"/>
      <c r="T159" s="124"/>
      <c r="U159" s="124"/>
      <c r="V159" s="124"/>
    </row>
    <row r="160" spans="2:22" x14ac:dyDescent="0.2">
      <c r="B160" s="124"/>
      <c r="C160" s="124"/>
      <c r="D160" s="124"/>
      <c r="E160" s="124"/>
      <c r="F160" s="124"/>
      <c r="G160" s="124"/>
      <c r="H160" s="124"/>
      <c r="I160" s="124"/>
      <c r="J160" s="124"/>
      <c r="K160" s="124"/>
      <c r="L160" s="124"/>
      <c r="M160" s="124"/>
      <c r="N160" s="124"/>
      <c r="O160" s="124"/>
      <c r="P160" s="124"/>
      <c r="Q160" s="124"/>
      <c r="R160" s="124"/>
      <c r="S160" s="124"/>
      <c r="T160" s="124"/>
      <c r="U160" s="124"/>
      <c r="V160" s="124"/>
    </row>
    <row r="161" spans="2:22" x14ac:dyDescent="0.2">
      <c r="B161" s="124"/>
      <c r="C161" s="124"/>
      <c r="D161" s="124"/>
      <c r="E161" s="124"/>
      <c r="F161" s="124"/>
      <c r="G161" s="124"/>
      <c r="H161" s="124"/>
      <c r="I161" s="124"/>
      <c r="J161" s="124"/>
      <c r="K161" s="124"/>
      <c r="L161" s="124"/>
      <c r="M161" s="124"/>
      <c r="N161" s="124"/>
      <c r="O161" s="124"/>
      <c r="P161" s="124"/>
      <c r="Q161" s="124"/>
      <c r="R161" s="124"/>
      <c r="S161" s="124"/>
      <c r="T161" s="124"/>
      <c r="U161" s="124"/>
      <c r="V161" s="124"/>
    </row>
    <row r="162" spans="2:22" x14ac:dyDescent="0.2">
      <c r="B162" s="124"/>
      <c r="C162" s="124"/>
      <c r="D162" s="124"/>
      <c r="E162" s="124"/>
      <c r="F162" s="124"/>
      <c r="G162" s="124"/>
      <c r="H162" s="124"/>
      <c r="I162" s="124"/>
      <c r="J162" s="124"/>
      <c r="K162" s="124"/>
      <c r="L162" s="124"/>
      <c r="M162" s="124"/>
      <c r="N162" s="124"/>
      <c r="O162" s="124"/>
      <c r="P162" s="124"/>
      <c r="Q162" s="124"/>
      <c r="R162" s="124"/>
      <c r="S162" s="124"/>
      <c r="T162" s="124"/>
      <c r="U162" s="124"/>
      <c r="V162" s="124"/>
    </row>
    <row r="163" spans="2:22" x14ac:dyDescent="0.2">
      <c r="B163" s="124"/>
      <c r="C163" s="124"/>
      <c r="D163" s="124"/>
      <c r="E163" s="124"/>
      <c r="F163" s="124"/>
      <c r="G163" s="124"/>
      <c r="H163" s="124"/>
      <c r="I163" s="124"/>
      <c r="J163" s="124"/>
      <c r="K163" s="124"/>
      <c r="L163" s="124"/>
      <c r="M163" s="124"/>
      <c r="N163" s="124"/>
      <c r="O163" s="124"/>
      <c r="P163" s="124"/>
      <c r="Q163" s="124"/>
      <c r="R163" s="124"/>
      <c r="S163" s="124"/>
      <c r="T163" s="124"/>
      <c r="U163" s="124"/>
      <c r="V163" s="124"/>
    </row>
    <row r="164" spans="2:22" x14ac:dyDescent="0.2">
      <c r="B164" s="124"/>
      <c r="C164" s="124"/>
      <c r="D164" s="124"/>
      <c r="E164" s="124"/>
      <c r="F164" s="124"/>
      <c r="G164" s="124"/>
      <c r="H164" s="124"/>
      <c r="I164" s="124"/>
      <c r="J164" s="124"/>
      <c r="K164" s="124"/>
      <c r="L164" s="124"/>
      <c r="M164" s="124"/>
      <c r="N164" s="124"/>
      <c r="O164" s="124"/>
      <c r="P164" s="124"/>
      <c r="Q164" s="124"/>
      <c r="R164" s="124"/>
      <c r="S164" s="124"/>
      <c r="T164" s="124"/>
      <c r="U164" s="124"/>
      <c r="V164" s="124"/>
    </row>
    <row r="165" spans="2:22" x14ac:dyDescent="0.2">
      <c r="B165" s="124"/>
      <c r="C165" s="124"/>
      <c r="D165" s="124"/>
      <c r="E165" s="124"/>
      <c r="F165" s="124"/>
      <c r="G165" s="124"/>
      <c r="H165" s="124"/>
      <c r="I165" s="124"/>
      <c r="J165" s="124"/>
      <c r="K165" s="124"/>
      <c r="L165" s="124"/>
      <c r="M165" s="124"/>
      <c r="N165" s="124"/>
      <c r="O165" s="124"/>
      <c r="P165" s="124"/>
      <c r="Q165" s="124"/>
      <c r="R165" s="124"/>
      <c r="S165" s="124"/>
      <c r="T165" s="124"/>
      <c r="U165" s="124"/>
      <c r="V165" s="124"/>
    </row>
    <row r="166" spans="2:22" x14ac:dyDescent="0.2">
      <c r="B166" s="124"/>
      <c r="C166" s="124"/>
      <c r="D166" s="124"/>
      <c r="E166" s="124"/>
      <c r="F166" s="124"/>
      <c r="G166" s="124"/>
      <c r="H166" s="124"/>
      <c r="I166" s="124"/>
      <c r="J166" s="124"/>
      <c r="K166" s="124"/>
      <c r="L166" s="124"/>
      <c r="M166" s="124"/>
      <c r="N166" s="124"/>
      <c r="O166" s="124"/>
      <c r="P166" s="124"/>
      <c r="Q166" s="124"/>
      <c r="R166" s="124"/>
      <c r="S166" s="124"/>
      <c r="T166" s="124"/>
      <c r="U166" s="124"/>
      <c r="V166" s="124"/>
    </row>
    <row r="167" spans="2:22" x14ac:dyDescent="0.2">
      <c r="B167" s="124"/>
      <c r="C167" s="124"/>
      <c r="D167" s="124"/>
      <c r="E167" s="124"/>
      <c r="F167" s="124"/>
      <c r="G167" s="124"/>
      <c r="H167" s="124"/>
      <c r="I167" s="124"/>
      <c r="J167" s="124"/>
      <c r="K167" s="124"/>
      <c r="L167" s="124"/>
      <c r="M167" s="124"/>
      <c r="N167" s="124"/>
      <c r="O167" s="124"/>
      <c r="P167" s="124"/>
      <c r="Q167" s="124"/>
      <c r="R167" s="124"/>
      <c r="S167" s="124"/>
      <c r="T167" s="124"/>
      <c r="U167" s="124"/>
      <c r="V167" s="124"/>
    </row>
    <row r="168" spans="2:22" x14ac:dyDescent="0.2">
      <c r="B168" s="124"/>
      <c r="C168" s="124"/>
      <c r="D168" s="124"/>
      <c r="E168" s="124"/>
      <c r="F168" s="124"/>
      <c r="G168" s="124"/>
      <c r="H168" s="124"/>
      <c r="I168" s="124"/>
      <c r="J168" s="124"/>
      <c r="K168" s="124"/>
      <c r="L168" s="124"/>
      <c r="M168" s="124"/>
      <c r="N168" s="124"/>
      <c r="O168" s="124"/>
      <c r="P168" s="124"/>
      <c r="Q168" s="124"/>
      <c r="R168" s="124"/>
      <c r="S168" s="124"/>
      <c r="T168" s="124"/>
      <c r="U168" s="124"/>
      <c r="V168" s="124"/>
    </row>
    <row r="169" spans="2:22" x14ac:dyDescent="0.2">
      <c r="B169" s="124"/>
      <c r="C169" s="124"/>
      <c r="D169" s="124"/>
      <c r="E169" s="124"/>
      <c r="F169" s="124"/>
      <c r="G169" s="124"/>
      <c r="H169" s="124"/>
      <c r="I169" s="124"/>
      <c r="J169" s="124"/>
      <c r="K169" s="124"/>
      <c r="L169" s="124"/>
      <c r="M169" s="124"/>
      <c r="N169" s="124"/>
      <c r="O169" s="124"/>
      <c r="P169" s="124"/>
      <c r="Q169" s="124"/>
      <c r="R169" s="124"/>
      <c r="S169" s="124"/>
      <c r="T169" s="124"/>
      <c r="U169" s="124"/>
      <c r="V169" s="124"/>
    </row>
    <row r="170" spans="2:22" x14ac:dyDescent="0.2">
      <c r="B170" s="124"/>
      <c r="C170" s="124"/>
      <c r="D170" s="124"/>
      <c r="E170" s="124"/>
      <c r="F170" s="124"/>
      <c r="G170" s="124"/>
      <c r="H170" s="124"/>
      <c r="I170" s="124"/>
      <c r="J170" s="124"/>
      <c r="K170" s="124"/>
      <c r="L170" s="124"/>
      <c r="M170" s="124"/>
      <c r="N170" s="124"/>
      <c r="O170" s="124"/>
      <c r="P170" s="124"/>
      <c r="Q170" s="124"/>
      <c r="R170" s="124"/>
      <c r="S170" s="124"/>
      <c r="T170" s="124"/>
      <c r="U170" s="124"/>
      <c r="V170" s="124"/>
    </row>
    <row r="171" spans="2:22" x14ac:dyDescent="0.2">
      <c r="B171" s="124"/>
      <c r="C171" s="124"/>
      <c r="D171" s="124"/>
      <c r="E171" s="124"/>
      <c r="F171" s="124"/>
      <c r="G171" s="124"/>
      <c r="H171" s="124"/>
      <c r="I171" s="124"/>
      <c r="J171" s="124"/>
      <c r="K171" s="124"/>
      <c r="L171" s="124"/>
      <c r="M171" s="124"/>
      <c r="N171" s="124"/>
      <c r="O171" s="124"/>
      <c r="P171" s="124"/>
      <c r="Q171" s="124"/>
      <c r="R171" s="124"/>
      <c r="S171" s="124"/>
      <c r="T171" s="124"/>
      <c r="U171" s="124"/>
      <c r="V171" s="124"/>
    </row>
    <row r="172" spans="2:22" x14ac:dyDescent="0.2">
      <c r="B172" s="124"/>
      <c r="C172" s="124"/>
      <c r="D172" s="124"/>
      <c r="E172" s="124"/>
      <c r="F172" s="124"/>
      <c r="G172" s="124"/>
      <c r="H172" s="124"/>
      <c r="I172" s="124"/>
      <c r="J172" s="124"/>
      <c r="K172" s="124"/>
      <c r="L172" s="124"/>
      <c r="M172" s="124"/>
      <c r="N172" s="124"/>
      <c r="O172" s="124"/>
      <c r="P172" s="124"/>
      <c r="Q172" s="124"/>
      <c r="R172" s="124"/>
      <c r="S172" s="124"/>
      <c r="T172" s="124"/>
      <c r="U172" s="124"/>
      <c r="V172" s="124"/>
    </row>
    <row r="173" spans="2:22" x14ac:dyDescent="0.2">
      <c r="B173" s="124"/>
      <c r="C173" s="124"/>
      <c r="D173" s="124"/>
      <c r="E173" s="124"/>
      <c r="F173" s="124"/>
      <c r="G173" s="124"/>
      <c r="H173" s="124"/>
      <c r="I173" s="124"/>
      <c r="J173" s="124"/>
      <c r="K173" s="124"/>
      <c r="L173" s="124"/>
      <c r="M173" s="124"/>
      <c r="N173" s="124"/>
      <c r="O173" s="124"/>
      <c r="P173" s="124"/>
      <c r="Q173" s="124"/>
      <c r="R173" s="124"/>
      <c r="S173" s="124"/>
      <c r="T173" s="124"/>
      <c r="U173" s="124"/>
      <c r="V173" s="124"/>
    </row>
    <row r="174" spans="2:22" x14ac:dyDescent="0.2">
      <c r="B174" s="124"/>
      <c r="C174" s="124"/>
      <c r="D174" s="124"/>
      <c r="E174" s="124"/>
      <c r="F174" s="124"/>
      <c r="G174" s="124"/>
      <c r="H174" s="124"/>
      <c r="I174" s="124"/>
      <c r="J174" s="124"/>
      <c r="K174" s="124"/>
      <c r="L174" s="124"/>
      <c r="M174" s="124"/>
      <c r="N174" s="124"/>
      <c r="O174" s="124"/>
      <c r="P174" s="124"/>
      <c r="Q174" s="124"/>
      <c r="R174" s="124"/>
      <c r="S174" s="124"/>
      <c r="T174" s="124"/>
      <c r="U174" s="124"/>
      <c r="V174" s="124"/>
    </row>
    <row r="175" spans="2:22" x14ac:dyDescent="0.2">
      <c r="B175" s="124"/>
      <c r="C175" s="124"/>
      <c r="D175" s="124"/>
      <c r="E175" s="124"/>
      <c r="F175" s="124"/>
      <c r="G175" s="124"/>
      <c r="H175" s="124"/>
      <c r="I175" s="124"/>
      <c r="J175" s="124"/>
      <c r="K175" s="124"/>
      <c r="L175" s="124"/>
      <c r="M175" s="124"/>
      <c r="N175" s="124"/>
      <c r="O175" s="124"/>
      <c r="P175" s="124"/>
      <c r="Q175" s="124"/>
      <c r="R175" s="124"/>
      <c r="S175" s="124"/>
      <c r="T175" s="124"/>
      <c r="U175" s="124"/>
      <c r="V175" s="124"/>
    </row>
  </sheetData>
  <mergeCells count="10">
    <mergeCell ref="B41:E41"/>
    <mergeCell ref="B6:E6"/>
    <mergeCell ref="D43:F43"/>
    <mergeCell ref="C43:C44"/>
    <mergeCell ref="G43:G44"/>
    <mergeCell ref="B80:V80"/>
    <mergeCell ref="C46:C49"/>
    <mergeCell ref="F48:F49"/>
    <mergeCell ref="H43:H44"/>
    <mergeCell ref="D45:H4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78F24-2B22-6C41-BCC5-C6CAC59E67D4}">
  <dimension ref="A1:BO1012"/>
  <sheetViews>
    <sheetView zoomScale="160" zoomScaleNormal="160" workbookViewId="0">
      <pane xSplit="1" ySplit="4" topLeftCell="AA92" activePane="bottomRight" state="frozen"/>
      <selection pane="topRight" activeCell="B1" sqref="B1"/>
      <selection pane="bottomLeft" activeCell="A5" sqref="A5"/>
      <selection pane="bottomRight" activeCell="C111" sqref="C111"/>
    </sheetView>
  </sheetViews>
  <sheetFormatPr baseColWidth="10" defaultColWidth="14.5" defaultRowHeight="16" x14ac:dyDescent="0.2"/>
  <cols>
    <col min="1" max="1" width="57.1640625" customWidth="1"/>
    <col min="2" max="2" width="11.83203125" customWidth="1"/>
    <col min="3" max="3" width="16.33203125" customWidth="1"/>
    <col min="4" max="4" width="11.5" customWidth="1"/>
    <col min="5" max="5" width="10.6640625" customWidth="1"/>
    <col min="6" max="6" width="8.5" customWidth="1"/>
    <col min="7" max="7" width="10.33203125" customWidth="1"/>
    <col min="8" max="8" width="9.33203125" customWidth="1"/>
    <col min="9" max="10" width="7.1640625" customWidth="1"/>
    <col min="11" max="11" width="6" customWidth="1"/>
    <col min="12" max="12" width="5.5" customWidth="1"/>
    <col min="13" max="13" width="8.83203125" customWidth="1"/>
    <col min="14" max="22" width="5.5" customWidth="1"/>
    <col min="23" max="23" width="7.83203125" customWidth="1"/>
    <col min="24" max="32" width="5.5" customWidth="1"/>
    <col min="33" max="33" width="8" customWidth="1"/>
    <col min="34" max="34" width="38.5" customWidth="1"/>
    <col min="35" max="35" width="12.33203125" bestFit="1" customWidth="1"/>
    <col min="36" max="36" width="24.5" customWidth="1"/>
    <col min="37" max="37" width="18" customWidth="1"/>
    <col min="38" max="39" width="17" customWidth="1"/>
    <col min="40" max="40" width="18.5" customWidth="1"/>
    <col min="41" max="44" width="17" customWidth="1"/>
    <col min="45" max="45" width="18" customWidth="1"/>
    <col min="46" max="47" width="17" customWidth="1"/>
    <col min="48" max="48" width="28.5" customWidth="1"/>
    <col min="49" max="49" width="17" customWidth="1"/>
    <col min="50" max="50" width="18" customWidth="1"/>
    <col min="51" max="54" width="17" customWidth="1"/>
    <col min="55" max="55" width="18" customWidth="1"/>
    <col min="56" max="59" width="17" customWidth="1"/>
    <col min="60" max="60" width="18" customWidth="1"/>
    <col min="61" max="64" width="17" customWidth="1"/>
    <col min="65" max="65" width="18" customWidth="1"/>
    <col min="66" max="66" width="13.6640625" bestFit="1" customWidth="1"/>
    <col min="67" max="67" width="10.6640625" customWidth="1"/>
  </cols>
  <sheetData>
    <row r="1" spans="1:67" ht="26.25" customHeight="1" x14ac:dyDescent="0.2">
      <c r="A1" s="280" t="s">
        <v>7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  <c r="V1" s="281"/>
      <c r="W1" s="281"/>
      <c r="X1" s="281"/>
      <c r="Y1" s="281"/>
      <c r="Z1" s="281"/>
      <c r="AA1" s="281"/>
      <c r="AB1" s="281"/>
      <c r="AC1" s="281"/>
      <c r="AD1" s="281"/>
      <c r="AE1" s="281"/>
      <c r="AF1" s="281"/>
      <c r="AG1" s="281"/>
      <c r="AH1" s="281"/>
      <c r="AI1" s="3">
        <f>AJ1+NPV($AH$128,AK1:BM1)</f>
        <v>0</v>
      </c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</row>
    <row r="2" spans="1:67" ht="30" x14ac:dyDescent="0.2">
      <c r="A2" s="5" t="s">
        <v>8</v>
      </c>
      <c r="B2" s="6" t="s">
        <v>9</v>
      </c>
      <c r="C2" s="5" t="s">
        <v>10</v>
      </c>
      <c r="D2" s="282" t="s">
        <v>11</v>
      </c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281"/>
      <c r="P2" s="281"/>
      <c r="Q2" s="281"/>
      <c r="R2" s="281"/>
      <c r="S2" s="281"/>
      <c r="T2" s="281"/>
      <c r="U2" s="281"/>
      <c r="V2" s="281"/>
      <c r="W2" s="281"/>
      <c r="X2" s="281"/>
      <c r="Y2" s="281"/>
      <c r="Z2" s="281"/>
      <c r="AA2" s="281"/>
      <c r="AB2" s="281"/>
      <c r="AC2" s="281"/>
      <c r="AD2" s="281"/>
      <c r="AE2" s="281"/>
      <c r="AF2" s="281"/>
      <c r="AG2" s="281"/>
      <c r="AH2" s="7" t="s">
        <v>12</v>
      </c>
      <c r="AI2" s="8"/>
      <c r="AJ2" s="282" t="s">
        <v>13</v>
      </c>
      <c r="AK2" s="281"/>
      <c r="AL2" s="281"/>
      <c r="AM2" s="281"/>
      <c r="AN2" s="281"/>
      <c r="AO2" s="281"/>
    </row>
    <row r="3" spans="1:67" ht="12.75" customHeight="1" x14ac:dyDescent="0.2">
      <c r="A3" s="9"/>
      <c r="B3" s="9"/>
      <c r="C3" s="9"/>
      <c r="D3" s="10">
        <v>1</v>
      </c>
      <c r="E3" s="9">
        <v>2</v>
      </c>
      <c r="F3" s="9">
        <v>3</v>
      </c>
      <c r="G3" s="9">
        <v>4</v>
      </c>
      <c r="H3" s="9">
        <v>5</v>
      </c>
      <c r="I3" s="9">
        <v>6</v>
      </c>
      <c r="J3" s="9">
        <v>7</v>
      </c>
      <c r="K3" s="9">
        <v>8</v>
      </c>
      <c r="L3" s="9">
        <v>9</v>
      </c>
      <c r="M3" s="9">
        <v>10</v>
      </c>
      <c r="N3" s="9">
        <v>11</v>
      </c>
      <c r="O3" s="9">
        <v>12</v>
      </c>
      <c r="P3" s="9">
        <v>13</v>
      </c>
      <c r="Q3" s="9">
        <v>14</v>
      </c>
      <c r="R3" s="9">
        <v>15</v>
      </c>
      <c r="S3" s="9">
        <v>16</v>
      </c>
      <c r="T3" s="9">
        <v>17</v>
      </c>
      <c r="U3" s="9">
        <v>18</v>
      </c>
      <c r="V3" s="9">
        <v>19</v>
      </c>
      <c r="W3" s="9">
        <v>20</v>
      </c>
      <c r="X3" s="9">
        <v>21</v>
      </c>
      <c r="Y3" s="9">
        <v>22</v>
      </c>
      <c r="Z3" s="9">
        <v>23</v>
      </c>
      <c r="AA3" s="9">
        <v>24</v>
      </c>
      <c r="AB3" s="9">
        <v>25</v>
      </c>
      <c r="AC3" s="9">
        <v>26</v>
      </c>
      <c r="AD3" s="9">
        <v>27</v>
      </c>
      <c r="AE3" s="9">
        <v>28</v>
      </c>
      <c r="AF3" s="9">
        <v>29</v>
      </c>
      <c r="AG3" s="9">
        <v>30</v>
      </c>
      <c r="AH3" s="9"/>
      <c r="AI3" s="9"/>
      <c r="AJ3" s="9">
        <v>1</v>
      </c>
      <c r="AK3" s="9">
        <v>2</v>
      </c>
      <c r="AL3" s="9">
        <v>3</v>
      </c>
      <c r="AM3" s="9">
        <v>4</v>
      </c>
      <c r="AN3" s="9">
        <v>5</v>
      </c>
      <c r="AO3" s="9">
        <v>6</v>
      </c>
      <c r="AP3" s="9">
        <v>7</v>
      </c>
      <c r="AQ3" s="9">
        <v>8</v>
      </c>
      <c r="AR3" s="9">
        <v>9</v>
      </c>
      <c r="AS3" s="9">
        <v>10</v>
      </c>
      <c r="AT3" s="9">
        <v>11</v>
      </c>
      <c r="AU3" s="9">
        <v>12</v>
      </c>
      <c r="AV3" s="9">
        <v>13</v>
      </c>
      <c r="AW3" s="9">
        <v>14</v>
      </c>
      <c r="AX3" s="9">
        <v>15</v>
      </c>
      <c r="AY3" s="9">
        <v>16</v>
      </c>
      <c r="AZ3" s="9">
        <v>17</v>
      </c>
      <c r="BA3" s="9">
        <v>18</v>
      </c>
      <c r="BB3" s="9">
        <v>19</v>
      </c>
      <c r="BC3" s="9">
        <v>20</v>
      </c>
      <c r="BD3" s="9">
        <v>21</v>
      </c>
      <c r="BE3" s="9">
        <v>22</v>
      </c>
      <c r="BF3" s="9">
        <v>23</v>
      </c>
      <c r="BG3" s="9">
        <v>24</v>
      </c>
      <c r="BH3" s="9">
        <v>25</v>
      </c>
      <c r="BI3" s="9">
        <v>26</v>
      </c>
      <c r="BJ3" s="9">
        <v>27</v>
      </c>
      <c r="BK3" s="9">
        <v>28</v>
      </c>
      <c r="BL3" s="9">
        <v>29</v>
      </c>
      <c r="BM3" s="9">
        <v>30</v>
      </c>
      <c r="BN3" s="11"/>
      <c r="BO3" s="22"/>
    </row>
    <row r="4" spans="1:67" ht="12.75" customHeight="1" x14ac:dyDescent="0.2">
      <c r="A4" s="3" t="s">
        <v>14</v>
      </c>
      <c r="B4" s="3" t="s">
        <v>15</v>
      </c>
      <c r="C4" s="3"/>
      <c r="D4" s="12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>
        <f>SUM(AJ4:BM4)</f>
        <v>4517362843.8039503</v>
      </c>
      <c r="AI4" s="3"/>
      <c r="AJ4" s="3">
        <f>SUM(AJ5:AJ17)</f>
        <v>277720508.99800116</v>
      </c>
      <c r="AK4" s="3">
        <f t="shared" ref="AK4:BM4" si="0">SUM(AK5:AK17)</f>
        <v>74272142.546224967</v>
      </c>
      <c r="AL4" s="3">
        <f t="shared" si="0"/>
        <v>77598681.203062922</v>
      </c>
      <c r="AM4" s="3">
        <f t="shared" si="0"/>
        <v>81139979.132068604</v>
      </c>
      <c r="AN4" s="3">
        <f t="shared" si="0"/>
        <v>84901329.194682032</v>
      </c>
      <c r="AO4" s="3">
        <f t="shared" si="0"/>
        <v>88887384.421205088</v>
      </c>
      <c r="AP4" s="3">
        <f t="shared" si="0"/>
        <v>93101973.505167842</v>
      </c>
      <c r="AQ4" s="3">
        <f t="shared" si="0"/>
        <v>97547899.666900337</v>
      </c>
      <c r="AR4" s="3">
        <f t="shared" si="0"/>
        <v>102226723.07667151</v>
      </c>
      <c r="AS4" s="3">
        <f t="shared" si="0"/>
        <v>109880782.75381848</v>
      </c>
      <c r="AT4" s="3">
        <f t="shared" si="0"/>
        <v>112281672.56617099</v>
      </c>
      <c r="AU4" s="3">
        <f t="shared" si="0"/>
        <v>117652533.15130685</v>
      </c>
      <c r="AV4" s="3">
        <f t="shared" si="0"/>
        <v>123245229.25326791</v>
      </c>
      <c r="AW4" s="3">
        <f t="shared" si="0"/>
        <v>129051349.13527428</v>
      </c>
      <c r="AX4" s="3">
        <f t="shared" si="0"/>
        <v>135059670.55281225</v>
      </c>
      <c r="AY4" s="3">
        <f t="shared" si="0"/>
        <v>141255885.26252598</v>
      </c>
      <c r="AZ4" s="3">
        <f t="shared" si="0"/>
        <v>147622333.16682509</v>
      </c>
      <c r="BA4" s="3">
        <f t="shared" si="0"/>
        <v>154137753.43076423</v>
      </c>
      <c r="BB4" s="3">
        <f t="shared" si="0"/>
        <v>160777060.88858122</v>
      </c>
      <c r="BC4" s="3">
        <f t="shared" si="0"/>
        <v>171798674.80367777</v>
      </c>
      <c r="BD4" s="3">
        <f t="shared" si="0"/>
        <v>174306785.22376418</v>
      </c>
      <c r="BE4" s="3">
        <f t="shared" si="0"/>
        <v>181126442.01599389</v>
      </c>
      <c r="BF4" s="3">
        <f t="shared" si="0"/>
        <v>187928353.68057358</v>
      </c>
      <c r="BG4" s="3">
        <f t="shared" si="0"/>
        <v>194666531.17233074</v>
      </c>
      <c r="BH4" s="3">
        <f t="shared" si="0"/>
        <v>201290913.32959518</v>
      </c>
      <c r="BI4" s="3">
        <f t="shared" si="0"/>
        <v>207747609.06469786</v>
      </c>
      <c r="BJ4" s="3">
        <f t="shared" si="0"/>
        <v>213979247.71596658</v>
      </c>
      <c r="BK4" s="3">
        <f t="shared" si="0"/>
        <v>219925445.13442451</v>
      </c>
      <c r="BL4" s="3">
        <f t="shared" si="0"/>
        <v>225523390.85597217</v>
      </c>
      <c r="BM4" s="3">
        <f t="shared" si="0"/>
        <v>230708558.90162167</v>
      </c>
      <c r="BN4" s="11"/>
      <c r="BO4" s="22"/>
    </row>
    <row r="5" spans="1:67" s="188" customFormat="1" ht="12.75" customHeight="1" x14ac:dyDescent="0.2">
      <c r="A5" s="182" t="s">
        <v>16</v>
      </c>
      <c r="B5" s="182" t="s">
        <v>15</v>
      </c>
      <c r="C5" s="183">
        <f>('Datos de Entrada'!G46*(1+'Datos de Entrada'!C45))*'Datos de Entrada'!D11</f>
        <v>4314911.9037387194</v>
      </c>
      <c r="D5" s="184">
        <f>12*'Datos de Entrada'!$E$46*'Datos de Entrada'!$E$46</f>
        <v>3</v>
      </c>
      <c r="E5" s="184">
        <f>12*'Datos de Entrada'!$E$46*'Datos de Entrada'!$E$46</f>
        <v>3</v>
      </c>
      <c r="F5" s="184">
        <f>12*'Datos de Entrada'!$E$46*'Datos de Entrada'!$E$46</f>
        <v>3</v>
      </c>
      <c r="G5" s="184">
        <f>12*'Datos de Entrada'!$E$46*'Datos de Entrada'!$E$46</f>
        <v>3</v>
      </c>
      <c r="H5" s="184">
        <f>12*'Datos de Entrada'!$E$46*'Datos de Entrada'!$E$46</f>
        <v>3</v>
      </c>
      <c r="I5" s="184">
        <f>12*'Datos de Entrada'!$E$46*'Datos de Entrada'!$E$46</f>
        <v>3</v>
      </c>
      <c r="J5" s="184">
        <f>12*'Datos de Entrada'!$E$46*'Datos de Entrada'!$E$46</f>
        <v>3</v>
      </c>
      <c r="K5" s="184">
        <f>12*'Datos de Entrada'!$E$46*'Datos de Entrada'!$E$46</f>
        <v>3</v>
      </c>
      <c r="L5" s="184">
        <f>12*'Datos de Entrada'!$E$46*'Datos de Entrada'!$E$46</f>
        <v>3</v>
      </c>
      <c r="M5" s="184">
        <f>12*'Datos de Entrada'!$E$46*'Datos de Entrada'!$E$46</f>
        <v>3</v>
      </c>
      <c r="N5" s="184">
        <f>12*'Datos de Entrada'!$E$46*'Datos de Entrada'!$E$46</f>
        <v>3</v>
      </c>
      <c r="O5" s="184">
        <f>12*'Datos de Entrada'!$E$46*'Datos de Entrada'!$E$46</f>
        <v>3</v>
      </c>
      <c r="P5" s="184">
        <f>12*'Datos de Entrada'!$E$46*'Datos de Entrada'!$E$46</f>
        <v>3</v>
      </c>
      <c r="Q5" s="184">
        <f>12*'Datos de Entrada'!$E$46*'Datos de Entrada'!$E$46</f>
        <v>3</v>
      </c>
      <c r="R5" s="184">
        <f>12*'Datos de Entrada'!$E$46*'Datos de Entrada'!$E$46</f>
        <v>3</v>
      </c>
      <c r="S5" s="184">
        <f>12*'Datos de Entrada'!$E$46*'Datos de Entrada'!$E$46</f>
        <v>3</v>
      </c>
      <c r="T5" s="184">
        <f>12*'Datos de Entrada'!$E$46*'Datos de Entrada'!$E$46</f>
        <v>3</v>
      </c>
      <c r="U5" s="184">
        <f>12*'Datos de Entrada'!$E$46*'Datos de Entrada'!$E$46</f>
        <v>3</v>
      </c>
      <c r="V5" s="184">
        <f>12*'Datos de Entrada'!$E$46*'Datos de Entrada'!$E$46</f>
        <v>3</v>
      </c>
      <c r="W5" s="184">
        <f>12*'Datos de Entrada'!$E$46*'Datos de Entrada'!$E$46</f>
        <v>3</v>
      </c>
      <c r="X5" s="184">
        <f>12*'Datos de Entrada'!$E$46*'Datos de Entrada'!$E$46</f>
        <v>3</v>
      </c>
      <c r="Y5" s="184">
        <f>12*'Datos de Entrada'!$E$46*'Datos de Entrada'!$E$46</f>
        <v>3</v>
      </c>
      <c r="Z5" s="184">
        <f>12*'Datos de Entrada'!$E$46*'Datos de Entrada'!$E$46</f>
        <v>3</v>
      </c>
      <c r="AA5" s="184">
        <f>12*'Datos de Entrada'!$E$46*'Datos de Entrada'!$E$46</f>
        <v>3</v>
      </c>
      <c r="AB5" s="184">
        <f>12*'Datos de Entrada'!$E$46*'Datos de Entrada'!$E$46</f>
        <v>3</v>
      </c>
      <c r="AC5" s="184">
        <f>12*'Datos de Entrada'!$E$46*'Datos de Entrada'!$E$46</f>
        <v>3</v>
      </c>
      <c r="AD5" s="184">
        <f>12*'Datos de Entrada'!$E$46*'Datos de Entrada'!$E$46</f>
        <v>3</v>
      </c>
      <c r="AE5" s="184">
        <f>12*'Datos de Entrada'!$E$46*'Datos de Entrada'!$E$46</f>
        <v>3</v>
      </c>
      <c r="AF5" s="184">
        <f>12*'Datos de Entrada'!$E$46*'Datos de Entrada'!$E$46</f>
        <v>3</v>
      </c>
      <c r="AG5" s="184">
        <f>12*'Datos de Entrada'!$E$46*'Datos de Entrada'!$E$46</f>
        <v>3</v>
      </c>
      <c r="AH5" s="182"/>
      <c r="AI5" s="185"/>
      <c r="AJ5" s="186">
        <f>($C5*D5)*(1+'Datos de Entrada'!C$76)</f>
        <v>12944735.711216159</v>
      </c>
      <c r="AK5" s="186">
        <f>($C5*E5)*(1+'Datos de Entrada'!D$76)</f>
        <v>13511892.067666436</v>
      </c>
      <c r="AL5" s="186">
        <f>($C5*F5)*(1+'Datos de Entrada'!E$76)</f>
        <v>14117069.591152312</v>
      </c>
      <c r="AM5" s="186">
        <f>($C5*G5)*(1+'Datos de Entrada'!F$76)</f>
        <v>14761317.000150854</v>
      </c>
      <c r="AN5" s="186">
        <f>($C5*H5)*(1+'Datos de Entrada'!G$76)</f>
        <v>15445597.193671757</v>
      </c>
      <c r="AO5" s="186">
        <f>($C5*I5)*(1+'Datos de Entrada'!H$76)</f>
        <v>16170756.670026122</v>
      </c>
      <c r="AP5" s="186">
        <f>($C5*J5)*(1+'Datos de Entrada'!I$76)</f>
        <v>16937491.960806612</v>
      </c>
      <c r="AQ5" s="186">
        <f>($C5*K5)*(1+'Datos de Entrada'!J$76)</f>
        <v>17746313.039325468</v>
      </c>
      <c r="AR5" s="186">
        <f>($C5*L5)*(1+'Datos de Entrada'!K$76)</f>
        <v>18597503.738141689</v>
      </c>
      <c r="AS5" s="186">
        <f>($C5*M5)*(1+'Datos de Entrada'!L$76)</f>
        <v>19491079.299926881</v>
      </c>
      <c r="AT5" s="186">
        <f>($C5*N5)*(1+'Datos de Entrada'!M$76)</f>
        <v>20426741.290611625</v>
      </c>
      <c r="AU5" s="186">
        <f>($C5*O5)*(1+'Datos de Entrada'!N$76)</f>
        <v>21403830.223944519</v>
      </c>
      <c r="AV5" s="186">
        <f>($C5*P5)*(1+'Datos de Entrada'!O$76)</f>
        <v>22421276.382171683</v>
      </c>
      <c r="AW5" s="186">
        <f>($C5*Q5)*(1+'Datos de Entrada'!P$76)</f>
        <v>23477549.467720218</v>
      </c>
      <c r="AX5" s="186">
        <f>($C5*R5)*(1+'Datos de Entrada'!Q$76)</f>
        <v>24570607.883950707</v>
      </c>
      <c r="AY5" s="186">
        <f>($C5*S5)*(1+'Datos de Entrada'!R$76)</f>
        <v>25697848.61668751</v>
      </c>
      <c r="AZ5" s="186">
        <f>($C5*T5)*(1+'Datos de Entrada'!S$76)</f>
        <v>26856058.868718047</v>
      </c>
      <c r="BA5" s="186">
        <f>($C5*U5)*(1+'Datos de Entrada'!T$76)</f>
        <v>28041370.781957135</v>
      </c>
      <c r="BB5" s="186">
        <f>($C5*V5)*(1+'Datos de Entrada'!U$76)</f>
        <v>29249220.760409597</v>
      </c>
      <c r="BC5" s="186">
        <f>($C5*W5)*(1+'Datos de Entrada'!V$76)</f>
        <v>30474315.074029334</v>
      </c>
      <c r="BD5" s="186">
        <f>($C5*X5)*(1+'Datos de Entrada'!W$76)</f>
        <v>31710603.570370879</v>
      </c>
      <c r="BE5" s="186">
        <f>($C5*Y5)*(1+'Datos de Entrada'!X$76)</f>
        <v>32951263.43766617</v>
      </c>
      <c r="BF5" s="186">
        <f>($C5*Z5)*(1+'Datos de Entrada'!Y$76)</f>
        <v>34188695.038732506</v>
      </c>
      <c r="BG5" s="186">
        <f>($C5*AA5)*(1+'Datos de Entrada'!Z$76)</f>
        <v>35414531.858300999</v>
      </c>
      <c r="BH5" s="186">
        <f>($C5*AB5)*(1+'Datos de Entrada'!AA$76)</f>
        <v>36619666.565007828</v>
      </c>
      <c r="BI5" s="186">
        <f>($C5*AC5)*(1+'Datos de Entrada'!AB$76)</f>
        <v>37794295.071680732</v>
      </c>
      <c r="BJ5" s="186">
        <f>($C5*AD5)*(1+'Datos de Entrada'!AC$76)</f>
        <v>38927980.272807606</v>
      </c>
      <c r="BK5" s="186">
        <f>($C5*AE5)*(1+'Datos de Entrada'!AD$76)</f>
        <v>40009736.836935759</v>
      </c>
      <c r="BL5" s="186">
        <f>($C5*AF5)*(1+'Datos de Entrada'!AE$76)</f>
        <v>41028138.027437724</v>
      </c>
      <c r="BM5" s="186">
        <f>($C5*AG5)*(1+'Datos de Entrada'!AF$76)</f>
        <v>41971445.014198266</v>
      </c>
      <c r="BN5" s="186">
        <f>SUM(AJ5:BM5)</f>
        <v>782958931.31542313</v>
      </c>
      <c r="BO5" s="187"/>
    </row>
    <row r="6" spans="1:67" s="188" customFormat="1" ht="12.75" customHeight="1" x14ac:dyDescent="0.2">
      <c r="A6" s="182" t="s">
        <v>18</v>
      </c>
      <c r="B6" s="182" t="s">
        <v>15</v>
      </c>
      <c r="C6" s="189">
        <f>'Datos de Entrada'!G48*(1+'Datos de Entrada'!C45)*'Datos de Entrada'!C17</f>
        <v>2958397.1714790808</v>
      </c>
      <c r="D6" s="184">
        <v>1</v>
      </c>
      <c r="E6" s="182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82"/>
      <c r="AG6" s="182"/>
      <c r="AH6" s="190">
        <f>AH4/AH105</f>
        <v>0.38428488783701858</v>
      </c>
      <c r="AI6" s="185"/>
      <c r="AJ6" s="186">
        <f>($C6*D6)*(1+'Datos de Entrada'!C$76)</f>
        <v>2958397.1714790808</v>
      </c>
      <c r="AK6" s="186">
        <f>($C6*E6)*(1+'Datos de Entrada'!D$76)</f>
        <v>0</v>
      </c>
      <c r="AL6" s="186">
        <f>($C6*F6)*(1+'Datos de Entrada'!E$76)</f>
        <v>0</v>
      </c>
      <c r="AM6" s="186">
        <f>($C6*G6)*(1+'Datos de Entrada'!F$76)</f>
        <v>0</v>
      </c>
      <c r="AN6" s="186">
        <f>($C6*H6)*(1+'Datos de Entrada'!G$76)</f>
        <v>0</v>
      </c>
      <c r="AO6" s="186">
        <f>($C6*I6)*(1+'Datos de Entrada'!H$76)</f>
        <v>0</v>
      </c>
      <c r="AP6" s="186">
        <f>($C6*J6)*(1+'Datos de Entrada'!I$76)</f>
        <v>0</v>
      </c>
      <c r="AQ6" s="186">
        <f>($C6*K6)*(1+'Datos de Entrada'!J$76)</f>
        <v>0</v>
      </c>
      <c r="AR6" s="186">
        <f>($C6*L6)*(1+'Datos de Entrada'!K$76)</f>
        <v>0</v>
      </c>
      <c r="AS6" s="186">
        <f>($C6*M6)*(1+'Datos de Entrada'!L$76)</f>
        <v>0</v>
      </c>
      <c r="AT6" s="186">
        <f>($C6*N6)*(1+'Datos de Entrada'!M$76)</f>
        <v>0</v>
      </c>
      <c r="AU6" s="186">
        <f>($C6*O6)*(1+'Datos de Entrada'!N$76)</f>
        <v>0</v>
      </c>
      <c r="AV6" s="186">
        <f>($C6*P6)*(1+'Datos de Entrada'!O$76)</f>
        <v>0</v>
      </c>
      <c r="AW6" s="186">
        <f>($C6*Q6)*(1+'Datos de Entrada'!P$76)</f>
        <v>0</v>
      </c>
      <c r="AX6" s="186">
        <f>($C6*R6)*(1+'Datos de Entrada'!Q$76)</f>
        <v>0</v>
      </c>
      <c r="AY6" s="186">
        <f>($C6*S6)*(1+'Datos de Entrada'!R$76)</f>
        <v>0</v>
      </c>
      <c r="AZ6" s="186">
        <f>($C6*T6)*(1+'Datos de Entrada'!S$76)</f>
        <v>0</v>
      </c>
      <c r="BA6" s="186">
        <f>($C6*U6)*(1+'Datos de Entrada'!T$76)</f>
        <v>0</v>
      </c>
      <c r="BB6" s="186">
        <f>($C6*V6)*(1+'Datos de Entrada'!U$76)</f>
        <v>0</v>
      </c>
      <c r="BC6" s="186">
        <f>($C6*W6)*(1+'Datos de Entrada'!V$76)</f>
        <v>0</v>
      </c>
      <c r="BD6" s="186">
        <f>($C6*X6)*(1+'Datos de Entrada'!W$76)</f>
        <v>0</v>
      </c>
      <c r="BE6" s="186">
        <f>($C6*Y6)*(1+'Datos de Entrada'!X$76)</f>
        <v>0</v>
      </c>
      <c r="BF6" s="186">
        <f>($C6*Z6)*(1+'Datos de Entrada'!Y$76)</f>
        <v>0</v>
      </c>
      <c r="BG6" s="186">
        <f>($C6*AA6)*(1+'Datos de Entrada'!Z$76)</f>
        <v>0</v>
      </c>
      <c r="BH6" s="186">
        <f>($C6*AB6)*(1+'Datos de Entrada'!AA$76)</f>
        <v>0</v>
      </c>
      <c r="BI6" s="186">
        <f>($C6*AC6)*(1+'Datos de Entrada'!AB$76)</f>
        <v>0</v>
      </c>
      <c r="BJ6" s="186">
        <f>($C6*AD6)*(1+'Datos de Entrada'!AC$76)</f>
        <v>0</v>
      </c>
      <c r="BK6" s="186">
        <f>($C6*AE6)*(1+'Datos de Entrada'!AD$76)</f>
        <v>0</v>
      </c>
      <c r="BL6" s="186">
        <f>($C6*AF6)*(1+'Datos de Entrada'!AE$76)</f>
        <v>0</v>
      </c>
      <c r="BM6" s="186">
        <f>($C6*AG6)*(1+'Datos de Entrada'!AF$76)</f>
        <v>0</v>
      </c>
      <c r="BN6" s="186">
        <f t="shared" ref="BN6:BN16" si="1">SUM(AJ6:BM6)</f>
        <v>2958397.1714790808</v>
      </c>
      <c r="BO6" s="187"/>
    </row>
    <row r="7" spans="1:67" s="192" customFormat="1" ht="15" x14ac:dyDescent="0.2">
      <c r="A7" s="184" t="s">
        <v>19</v>
      </c>
      <c r="B7" s="184" t="s">
        <v>15</v>
      </c>
      <c r="C7" s="189">
        <f>'Datos de Entrada'!G48*(1+'Datos de Entrada'!C45)*'Datos de Entrada'!C17</f>
        <v>2958397.1714790808</v>
      </c>
      <c r="D7" s="184">
        <v>2</v>
      </c>
      <c r="E7" s="184">
        <v>2</v>
      </c>
      <c r="F7" s="184">
        <v>2</v>
      </c>
      <c r="G7" s="184">
        <v>2</v>
      </c>
      <c r="H7" s="184">
        <v>2</v>
      </c>
      <c r="I7" s="184">
        <v>2</v>
      </c>
      <c r="J7" s="184">
        <v>2</v>
      </c>
      <c r="K7" s="184">
        <v>2</v>
      </c>
      <c r="L7" s="184">
        <v>2</v>
      </c>
      <c r="M7" s="184">
        <v>2</v>
      </c>
      <c r="N7" s="184">
        <v>2</v>
      </c>
      <c r="O7" s="184">
        <v>2</v>
      </c>
      <c r="P7" s="184">
        <v>2</v>
      </c>
      <c r="Q7" s="184">
        <v>2</v>
      </c>
      <c r="R7" s="184">
        <v>2</v>
      </c>
      <c r="S7" s="184">
        <v>2</v>
      </c>
      <c r="T7" s="184">
        <v>2</v>
      </c>
      <c r="U7" s="184">
        <v>2</v>
      </c>
      <c r="V7" s="184">
        <v>2</v>
      </c>
      <c r="W7" s="184">
        <v>2</v>
      </c>
      <c r="X7" s="184">
        <v>2</v>
      </c>
      <c r="Y7" s="184">
        <v>2</v>
      </c>
      <c r="Z7" s="184">
        <v>2</v>
      </c>
      <c r="AA7" s="184">
        <v>2</v>
      </c>
      <c r="AB7" s="184">
        <v>2</v>
      </c>
      <c r="AC7" s="184">
        <v>2</v>
      </c>
      <c r="AD7" s="184">
        <v>2</v>
      </c>
      <c r="AE7" s="184">
        <v>2</v>
      </c>
      <c r="AF7" s="184">
        <v>2</v>
      </c>
      <c r="AG7" s="184">
        <v>2</v>
      </c>
      <c r="AH7" s="191"/>
      <c r="AI7" s="185"/>
      <c r="AJ7" s="186">
        <f>($C7*D7)*(1+'Datos de Entrada'!C$76)</f>
        <v>5916794.3429581616</v>
      </c>
      <c r="AK7" s="186">
        <f>($C7*E7)*(1+'Datos de Entrada'!D$76)</f>
        <v>6176030.8075937526</v>
      </c>
      <c r="AL7" s="186">
        <f>($C7*F7)*(1+'Datos de Entrada'!E$76)</f>
        <v>6452646.0299767097</v>
      </c>
      <c r="AM7" s="186">
        <f>($C7*G7)*(1+'Datos de Entrada'!F$76)</f>
        <v>6747119.3595268186</v>
      </c>
      <c r="AN7" s="186">
        <f>($C7*H7)*(1+'Datos de Entrada'!G$76)</f>
        <v>7059890.9192052986</v>
      </c>
      <c r="AO7" s="186">
        <f>($C7*I7)*(1+'Datos de Entrada'!H$76)</f>
        <v>7391347.6274112714</v>
      </c>
      <c r="AP7" s="186">
        <f>($C7*J7)*(1+'Datos de Entrada'!I$76)</f>
        <v>7741807.8555877004</v>
      </c>
      <c r="AQ7" s="186">
        <f>($C7*K7)*(1+'Datos de Entrada'!J$76)</f>
        <v>8111504.7029091269</v>
      </c>
      <c r="AR7" s="186">
        <f>($C7*L7)*(1+'Datos de Entrada'!K$76)</f>
        <v>8500567.9038805161</v>
      </c>
      <c r="AS7" s="186">
        <f>($C7*M7)*(1+'Datos de Entrada'!L$76)</f>
        <v>8909004.4256393332</v>
      </c>
      <c r="AT7" s="186">
        <f>($C7*N7)*(1+'Datos de Entrada'!M$76)</f>
        <v>9336677.8596058246</v>
      </c>
      <c r="AU7" s="186">
        <f>($C7*O7)*(1+'Datos de Entrada'!N$76)</f>
        <v>9783286.7670632266</v>
      </c>
      <c r="AV7" s="186">
        <f>($C7*P7)*(1+'Datos de Entrada'!O$76)</f>
        <v>10248342.20021872</v>
      </c>
      <c r="AW7" s="186">
        <f>($C7*Q7)*(1+'Datos de Entrada'!P$76)</f>
        <v>10731144.688938312</v>
      </c>
      <c r="AX7" s="186">
        <f>($C7*R7)*(1+'Datos de Entrada'!Q$76)</f>
        <v>11230761.057936219</v>
      </c>
      <c r="AY7" s="186">
        <f>($C7*S7)*(1+'Datos de Entrada'!R$76)</f>
        <v>11746001.518568421</v>
      </c>
      <c r="AZ7" s="186">
        <f>($C7*T7)*(1+'Datos de Entrada'!S$76)</f>
        <v>12275397.561875248</v>
      </c>
      <c r="BA7" s="186">
        <f>($C7*U7)*(1+'Datos de Entrada'!T$76)</f>
        <v>12817181.262937389</v>
      </c>
      <c r="BB7" s="186">
        <f>($C7*V7)*(1+'Datos de Entrada'!U$76)</f>
        <v>13369266.688169932</v>
      </c>
      <c r="BC7" s="186">
        <f>($C7*W7)*(1+'Datos de Entrada'!V$76)</f>
        <v>13929234.173495632</v>
      </c>
      <c r="BD7" s="186">
        <f>($C7*X7)*(1+'Datos de Entrada'!W$76)</f>
        <v>14494318.308437053</v>
      </c>
      <c r="BE7" s="186">
        <f>($C7*Y7)*(1+'Datos de Entrada'!X$76)</f>
        <v>15061400.514525471</v>
      </c>
      <c r="BF7" s="186">
        <f>($C7*Z7)*(1+'Datos de Entrada'!Y$76)</f>
        <v>15627007.141058836</v>
      </c>
      <c r="BG7" s="186">
        <f>($C7*AA7)*(1+'Datos de Entrada'!Z$76)</f>
        <v>16187314.011837834</v>
      </c>
      <c r="BH7" s="186">
        <f>($C7*AB7)*(1+'Datos de Entrada'!AA$76)</f>
        <v>16738158.337610137</v>
      </c>
      <c r="BI7" s="186">
        <f>($C7*AC7)*(1+'Datos de Entrada'!AB$76)</f>
        <v>17275058.855195649</v>
      </c>
      <c r="BJ7" s="186">
        <f>($C7*AD7)*(1+'Datos de Entrada'!AC$76)</f>
        <v>17793244.96068028</v>
      </c>
      <c r="BK7" s="186">
        <f>($C7*AE7)*(1+'Datos de Entrada'!AD$76)</f>
        <v>18287695.466421038</v>
      </c>
      <c r="BL7" s="186">
        <f>($C7*AF7)*(1+'Datos de Entrada'!AE$76)</f>
        <v>18753187.426801726</v>
      </c>
      <c r="BM7" s="186">
        <f>($C7*AG7)*(1+'Datos de Entrada'!AF$76)</f>
        <v>19184355.244164083</v>
      </c>
      <c r="BN7" s="186">
        <f t="shared" si="1"/>
        <v>357875748.02022976</v>
      </c>
      <c r="BO7" s="187"/>
    </row>
    <row r="8" spans="1:67" s="188" customFormat="1" ht="12.75" customHeight="1" x14ac:dyDescent="0.2">
      <c r="A8" s="182" t="s">
        <v>17</v>
      </c>
      <c r="B8" s="182" t="s">
        <v>15</v>
      </c>
      <c r="C8" s="183">
        <f>'Datos de Entrada'!C61*'Datos de Entrada'!C17</f>
        <v>544490.27695934009</v>
      </c>
      <c r="D8" s="184">
        <v>6</v>
      </c>
      <c r="E8" s="182">
        <v>6</v>
      </c>
      <c r="F8" s="182">
        <v>6</v>
      </c>
      <c r="G8" s="182">
        <v>6</v>
      </c>
      <c r="H8" s="182">
        <v>6</v>
      </c>
      <c r="I8" s="182">
        <v>6</v>
      </c>
      <c r="J8" s="182">
        <v>6</v>
      </c>
      <c r="K8" s="182">
        <v>6</v>
      </c>
      <c r="L8" s="182">
        <v>6</v>
      </c>
      <c r="M8" s="182">
        <v>6</v>
      </c>
      <c r="N8" s="182">
        <v>6</v>
      </c>
      <c r="O8" s="182">
        <v>6</v>
      </c>
      <c r="P8" s="182">
        <v>6</v>
      </c>
      <c r="Q8" s="182">
        <v>6</v>
      </c>
      <c r="R8" s="182">
        <v>6</v>
      </c>
      <c r="S8" s="182">
        <v>6</v>
      </c>
      <c r="T8" s="182">
        <v>6</v>
      </c>
      <c r="U8" s="182">
        <v>6</v>
      </c>
      <c r="V8" s="182">
        <v>6</v>
      </c>
      <c r="W8" s="182">
        <v>6</v>
      </c>
      <c r="X8" s="182">
        <v>6</v>
      </c>
      <c r="Y8" s="182">
        <v>6</v>
      </c>
      <c r="Z8" s="182">
        <v>6</v>
      </c>
      <c r="AA8" s="182">
        <v>6</v>
      </c>
      <c r="AB8" s="182">
        <v>6</v>
      </c>
      <c r="AC8" s="182">
        <v>6</v>
      </c>
      <c r="AD8" s="182">
        <v>6</v>
      </c>
      <c r="AE8" s="182">
        <v>6</v>
      </c>
      <c r="AF8" s="182">
        <v>6</v>
      </c>
      <c r="AG8" s="182">
        <v>6</v>
      </c>
      <c r="AH8" s="193"/>
      <c r="AI8" s="194"/>
      <c r="AJ8" s="186">
        <f>($C8*D8)*(1+'Datos de Entrada'!C$76)</f>
        <v>3266941.6617560405</v>
      </c>
      <c r="AK8" s="186">
        <f>($C8*E8)*(1+'Datos de Entrada'!D$76)</f>
        <v>3410078.3600210906</v>
      </c>
      <c r="AL8" s="186">
        <f>($C8*F8)*(1+'Datos de Entrada'!E$76)</f>
        <v>3562810.6913981838</v>
      </c>
      <c r="AM8" s="186">
        <f>($C8*G8)*(1+'Datos de Entrada'!F$76)</f>
        <v>3725403.3273460967</v>
      </c>
      <c r="AN8" s="186">
        <f>($C8*H8)*(1+'Datos de Entrada'!G$76)</f>
        <v>3898099.2805428035</v>
      </c>
      <c r="AO8" s="186">
        <f>($C8*I8)*(1+'Datos de Entrada'!H$76)</f>
        <v>4081112.1869141995</v>
      </c>
      <c r="AP8" s="186">
        <f>($C8*J8)*(1+'Datos de Entrada'!I$76)</f>
        <v>4274617.8343735775</v>
      </c>
      <c r="AQ8" s="186">
        <f>($C8*K8)*(1+'Datos de Entrada'!J$76)</f>
        <v>4478744.9279866349</v>
      </c>
      <c r="AR8" s="186">
        <f>($C8*L8)*(1+'Datos de Entrada'!K$76)</f>
        <v>4693565.1003021263</v>
      </c>
      <c r="AS8" s="186">
        <f>($C8*M8)*(1+'Datos de Entrada'!L$76)</f>
        <v>4919082.1982057681</v>
      </c>
      <c r="AT8" s="186">
        <f>($C8*N8)*(1+'Datos de Entrada'!M$76)</f>
        <v>5155220.9040768361</v>
      </c>
      <c r="AU8" s="186">
        <f>($C8*O8)*(1+'Datos de Entrada'!N$76)</f>
        <v>5401814.7793600643</v>
      </c>
      <c r="AV8" s="186">
        <f>($C8*P8)*(1+'Datos de Entrada'!O$76)</f>
        <v>5658593.8528815024</v>
      </c>
      <c r="AW8" s="186">
        <f>($C8*Q8)*(1+'Datos de Entrada'!P$76)</f>
        <v>5925171.9141377192</v>
      </c>
      <c r="AX8" s="186">
        <f>($C8*R8)*(1+'Datos de Entrada'!Q$76)</f>
        <v>6201033.7129709199</v>
      </c>
      <c r="AY8" s="186">
        <f>($C8*S8)*(1+'Datos de Entrada'!R$76)</f>
        <v>6485522.3108660001</v>
      </c>
      <c r="AZ8" s="186">
        <f>($C8*T8)*(1+'Datos de Entrada'!S$76)</f>
        <v>6777826.8746550456</v>
      </c>
      <c r="BA8" s="186">
        <f>($C8*U8)*(1+'Datos de Entrada'!T$76)</f>
        <v>7076971.2494746326</v>
      </c>
      <c r="BB8" s="186">
        <f>($C8*V8)*(1+'Datos de Entrada'!U$76)</f>
        <v>7381803.6928545646</v>
      </c>
      <c r="BC8" s="186">
        <f>($C8*W8)*(1+'Datos de Entrada'!V$76)</f>
        <v>7690988.1939546438</v>
      </c>
      <c r="BD8" s="186">
        <f>($C8*X8)*(1+'Datos de Entrada'!W$76)</f>
        <v>8002997.8390143244</v>
      </c>
      <c r="BE8" s="186">
        <f>($C8*Y8)*(1+'Datos de Entrada'!X$76)</f>
        <v>8316110.7135416726</v>
      </c>
      <c r="BF8" s="186">
        <f>($C8*Z8)*(1+'Datos de Entrada'!Y$76)</f>
        <v>8628408.8508913834</v>
      </c>
      <c r="BG8" s="186">
        <f>($C8*AA8)*(1+'Datos de Entrada'!Z$76)</f>
        <v>8937780.7427325472</v>
      </c>
      <c r="BH8" s="186">
        <f>($C8*AB8)*(1+'Datos de Entrada'!AA$76)</f>
        <v>9241927.9164718557</v>
      </c>
      <c r="BI8" s="186">
        <f>($C8*AC8)*(1+'Datos de Entrada'!AB$76)</f>
        <v>9538376.0550160035</v>
      </c>
      <c r="BJ8" s="186">
        <f>($C8*AD8)*(1+'Datos de Entrada'!AC$76)</f>
        <v>9824491.0825842042</v>
      </c>
      <c r="BK8" s="186">
        <f>($C8*AE8)*(1+'Datos de Entrada'!AD$76)</f>
        <v>10097500.564281557</v>
      </c>
      <c r="BL8" s="186">
        <f>($C8*AF8)*(1+'Datos de Entrada'!AE$76)</f>
        <v>10354520.665105248</v>
      </c>
      <c r="BM8" s="186">
        <f>($C8*AG8)*(1+'Datos de Entrada'!AF$76)</f>
        <v>10592588.785121275</v>
      </c>
      <c r="BN8" s="186">
        <f t="shared" si="1"/>
        <v>197600106.26883852</v>
      </c>
      <c r="BO8" s="187"/>
    </row>
    <row r="9" spans="1:67" s="197" customFormat="1" ht="12.75" customHeight="1" x14ac:dyDescent="0.2">
      <c r="A9" s="190" t="s">
        <v>20</v>
      </c>
      <c r="B9" s="190" t="s">
        <v>21</v>
      </c>
      <c r="C9" s="195">
        <f>'Datos de Entrada'!C54*'Datos de Entrada'!C17</f>
        <v>136122.56923983502</v>
      </c>
      <c r="D9" s="196">
        <f>D7*30/2</f>
        <v>30</v>
      </c>
      <c r="E9" s="190">
        <f t="shared" ref="E9:AG9" si="2">E7*30/2</f>
        <v>30</v>
      </c>
      <c r="F9" s="190">
        <f t="shared" si="2"/>
        <v>30</v>
      </c>
      <c r="G9" s="190">
        <f t="shared" si="2"/>
        <v>30</v>
      </c>
      <c r="H9" s="190">
        <f t="shared" si="2"/>
        <v>30</v>
      </c>
      <c r="I9" s="190">
        <f t="shared" si="2"/>
        <v>30</v>
      </c>
      <c r="J9" s="190">
        <f t="shared" si="2"/>
        <v>30</v>
      </c>
      <c r="K9" s="190">
        <f t="shared" si="2"/>
        <v>30</v>
      </c>
      <c r="L9" s="190">
        <f t="shared" si="2"/>
        <v>30</v>
      </c>
      <c r="M9" s="190">
        <f t="shared" si="2"/>
        <v>30</v>
      </c>
      <c r="N9" s="190">
        <f t="shared" si="2"/>
        <v>30</v>
      </c>
      <c r="O9" s="190">
        <f t="shared" si="2"/>
        <v>30</v>
      </c>
      <c r="P9" s="190">
        <f t="shared" si="2"/>
        <v>30</v>
      </c>
      <c r="Q9" s="190">
        <f t="shared" si="2"/>
        <v>30</v>
      </c>
      <c r="R9" s="190">
        <f t="shared" si="2"/>
        <v>30</v>
      </c>
      <c r="S9" s="190">
        <f t="shared" si="2"/>
        <v>30</v>
      </c>
      <c r="T9" s="190">
        <f t="shared" si="2"/>
        <v>30</v>
      </c>
      <c r="U9" s="190">
        <f t="shared" si="2"/>
        <v>30</v>
      </c>
      <c r="V9" s="190">
        <f t="shared" si="2"/>
        <v>30</v>
      </c>
      <c r="W9" s="190">
        <f t="shared" si="2"/>
        <v>30</v>
      </c>
      <c r="X9" s="190">
        <f t="shared" si="2"/>
        <v>30</v>
      </c>
      <c r="Y9" s="190">
        <f t="shared" si="2"/>
        <v>30</v>
      </c>
      <c r="Z9" s="190">
        <f t="shared" si="2"/>
        <v>30</v>
      </c>
      <c r="AA9" s="190">
        <f t="shared" si="2"/>
        <v>30</v>
      </c>
      <c r="AB9" s="190">
        <f t="shared" si="2"/>
        <v>30</v>
      </c>
      <c r="AC9" s="190">
        <f t="shared" si="2"/>
        <v>30</v>
      </c>
      <c r="AD9" s="190">
        <f t="shared" si="2"/>
        <v>30</v>
      </c>
      <c r="AE9" s="190">
        <f t="shared" si="2"/>
        <v>30</v>
      </c>
      <c r="AF9" s="190">
        <f t="shared" si="2"/>
        <v>30</v>
      </c>
      <c r="AG9" s="190">
        <f t="shared" si="2"/>
        <v>30</v>
      </c>
      <c r="AH9" s="190"/>
      <c r="AI9" s="185"/>
      <c r="AJ9" s="186">
        <f>($C9*D9)*(1+'Datos de Entrada'!C$76)</f>
        <v>4083677.0771950507</v>
      </c>
      <c r="AK9" s="186">
        <f>($C9*E9)*(1+'Datos de Entrada'!D$76)</f>
        <v>4262597.9500263631</v>
      </c>
      <c r="AL9" s="186">
        <f>($C9*F9)*(1+'Datos de Entrada'!E$76)</f>
        <v>4453513.36424773</v>
      </c>
      <c r="AM9" s="186">
        <f>($C9*G9)*(1+'Datos de Entrada'!F$76)</f>
        <v>4656754.1591826212</v>
      </c>
      <c r="AN9" s="186">
        <f>($C9*H9)*(1+'Datos de Entrada'!G$76)</f>
        <v>4872624.1006785044</v>
      </c>
      <c r="AO9" s="186">
        <f>($C9*I9)*(1+'Datos de Entrada'!H$76)</f>
        <v>5101390.2336427495</v>
      </c>
      <c r="AP9" s="186">
        <f>($C9*J9)*(1+'Datos de Entrada'!I$76)</f>
        <v>5343272.2929669721</v>
      </c>
      <c r="AQ9" s="186">
        <f>($C9*K9)*(1+'Datos de Entrada'!J$76)</f>
        <v>5598431.1599832941</v>
      </c>
      <c r="AR9" s="186">
        <f>($C9*L9)*(1+'Datos de Entrada'!K$76)</f>
        <v>5866956.3753776578</v>
      </c>
      <c r="AS9" s="186">
        <f>($C9*M9)*(1+'Datos de Entrada'!L$76)</f>
        <v>6148852.7477572095</v>
      </c>
      <c r="AT9" s="186">
        <f>($C9*N9)*(1+'Datos de Entrada'!M$76)</f>
        <v>6444026.1300960453</v>
      </c>
      <c r="AU9" s="186">
        <f>($C9*O9)*(1+'Datos de Entrada'!N$76)</f>
        <v>6752268.4742000811</v>
      </c>
      <c r="AV9" s="186">
        <f>($C9*P9)*(1+'Datos de Entrada'!O$76)</f>
        <v>7073242.316101878</v>
      </c>
      <c r="AW9" s="186">
        <f>($C9*Q9)*(1+'Datos de Entrada'!P$76)</f>
        <v>7406464.8926721485</v>
      </c>
      <c r="AX9" s="186">
        <f>($C9*R9)*(1+'Datos de Entrada'!Q$76)</f>
        <v>7751292.141213649</v>
      </c>
      <c r="AY9" s="186">
        <f>($C9*S9)*(1+'Datos de Entrada'!R$76)</f>
        <v>8106902.8885824997</v>
      </c>
      <c r="AZ9" s="186">
        <f>($C9*T9)*(1+'Datos de Entrada'!S$76)</f>
        <v>8472283.593318807</v>
      </c>
      <c r="BA9" s="186">
        <f>($C9*U9)*(1+'Datos de Entrada'!T$76)</f>
        <v>8846214.0618432909</v>
      </c>
      <c r="BB9" s="186">
        <f>($C9*V9)*(1+'Datos de Entrada'!U$76)</f>
        <v>9227254.6160682067</v>
      </c>
      <c r="BC9" s="186">
        <f>($C9*W9)*(1+'Datos de Entrada'!V$76)</f>
        <v>9613735.2424433045</v>
      </c>
      <c r="BD9" s="186">
        <f>($C9*X9)*(1+'Datos de Entrada'!W$76)</f>
        <v>10003747.298767906</v>
      </c>
      <c r="BE9" s="186">
        <f>($C9*Y9)*(1+'Datos de Entrada'!X$76)</f>
        <v>10395138.39192709</v>
      </c>
      <c r="BF9" s="186">
        <f>($C9*Z9)*(1+'Datos de Entrada'!Y$76)</f>
        <v>10785511.063614229</v>
      </c>
      <c r="BG9" s="186">
        <f>($C9*AA9)*(1+'Datos de Entrada'!Z$76)</f>
        <v>11172225.928415684</v>
      </c>
      <c r="BH9" s="186">
        <f>($C9*AB9)*(1+'Datos de Entrada'!AA$76)</f>
        <v>11552409.895589819</v>
      </c>
      <c r="BI9" s="186">
        <f>($C9*AC9)*(1+'Datos de Entrada'!AB$76)</f>
        <v>11922970.068770004</v>
      </c>
      <c r="BJ9" s="186">
        <f>($C9*AD9)*(1+'Datos de Entrada'!AC$76)</f>
        <v>12280613.853230255</v>
      </c>
      <c r="BK9" s="186">
        <f>($C9*AE9)*(1+'Datos de Entrada'!AD$76)</f>
        <v>12621875.705351945</v>
      </c>
      <c r="BL9" s="186">
        <f>($C9*AF9)*(1+'Datos de Entrada'!AE$76)</f>
        <v>12943150.831381559</v>
      </c>
      <c r="BM9" s="186">
        <f>($C9*AG9)*(1+'Datos de Entrada'!AF$76)</f>
        <v>13240735.981401594</v>
      </c>
      <c r="BN9" s="186">
        <f t="shared" si="1"/>
        <v>247000132.83604819</v>
      </c>
      <c r="BO9" s="187"/>
    </row>
    <row r="10" spans="1:67" s="197" customFormat="1" ht="12.75" customHeight="1" x14ac:dyDescent="0.2">
      <c r="A10" s="190" t="s">
        <v>22</v>
      </c>
      <c r="B10" s="190" t="s">
        <v>23</v>
      </c>
      <c r="C10" s="198">
        <f>'Equipos y Herramientas'!C6+('Equipos y Herramientas'!C7*10)*'Datos de Entrada'!C17</f>
        <v>1821231.5851502651</v>
      </c>
      <c r="D10" s="196">
        <v>1</v>
      </c>
      <c r="E10" s="190"/>
      <c r="F10" s="190"/>
      <c r="G10" s="190"/>
      <c r="H10" s="190"/>
      <c r="I10" s="190"/>
      <c r="J10" s="190"/>
      <c r="K10" s="190"/>
      <c r="L10" s="190"/>
      <c r="M10" s="190">
        <v>1</v>
      </c>
      <c r="N10" s="190"/>
      <c r="O10" s="190"/>
      <c r="P10" s="190"/>
      <c r="Q10" s="190"/>
      <c r="R10" s="190"/>
      <c r="S10" s="190"/>
      <c r="T10" s="190"/>
      <c r="U10" s="190"/>
      <c r="V10" s="190"/>
      <c r="W10" s="190">
        <v>1</v>
      </c>
      <c r="X10" s="190"/>
      <c r="Y10" s="190"/>
      <c r="Z10" s="190"/>
      <c r="AA10" s="190"/>
      <c r="AB10" s="190"/>
      <c r="AC10" s="190"/>
      <c r="AD10" s="190"/>
      <c r="AE10" s="190"/>
      <c r="AF10" s="190"/>
      <c r="AG10" s="190"/>
      <c r="AH10" s="190"/>
      <c r="AI10" s="185"/>
      <c r="AJ10" s="186">
        <f>($C10*D10)*(1+'Datos de Entrada'!C$76)</f>
        <v>1821231.5851502651</v>
      </c>
      <c r="AK10" s="186">
        <f>($C10*E10)*(1+'Datos de Entrada'!D$76)</f>
        <v>0</v>
      </c>
      <c r="AL10" s="186">
        <f>($C10*F10)*(1+'Datos de Entrada'!E$76)</f>
        <v>0</v>
      </c>
      <c r="AM10" s="186">
        <f>($C10*G10)*(1+'Datos de Entrada'!F$76)</f>
        <v>0</v>
      </c>
      <c r="AN10" s="186">
        <f>($C10*H10)*(1+'Datos de Entrada'!G$76)</f>
        <v>0</v>
      </c>
      <c r="AO10" s="186">
        <f>($C10*I10)*(1+'Datos de Entrada'!H$76)</f>
        <v>0</v>
      </c>
      <c r="AP10" s="186">
        <f>($C10*J10)*(1+'Datos de Entrada'!I$76)</f>
        <v>0</v>
      </c>
      <c r="AQ10" s="186">
        <f>($C10*K10)*(1+'Datos de Entrada'!J$76)</f>
        <v>0</v>
      </c>
      <c r="AR10" s="186">
        <f>($C10*L10)*(1+'Datos de Entrada'!K$76)</f>
        <v>0</v>
      </c>
      <c r="AS10" s="186">
        <f>($C10*M10)*(1+'Datos de Entrada'!L$76)</f>
        <v>2742255.233448898</v>
      </c>
      <c r="AT10" s="186">
        <f>($C10*N10)*(1+'Datos de Entrada'!M$76)</f>
        <v>0</v>
      </c>
      <c r="AU10" s="186">
        <f>($C10*O10)*(1+'Datos de Entrada'!N$76)</f>
        <v>0</v>
      </c>
      <c r="AV10" s="186">
        <f>($C10*P10)*(1+'Datos de Entrada'!O$76)</f>
        <v>0</v>
      </c>
      <c r="AW10" s="186">
        <f>($C10*Q10)*(1+'Datos de Entrada'!P$76)</f>
        <v>0</v>
      </c>
      <c r="AX10" s="186">
        <f>($C10*R10)*(1+'Datos de Entrada'!Q$76)</f>
        <v>0</v>
      </c>
      <c r="AY10" s="186">
        <f>($C10*S10)*(1+'Datos de Entrada'!R$76)</f>
        <v>0</v>
      </c>
      <c r="AZ10" s="186">
        <f>($C10*T10)*(1+'Datos de Entrada'!S$76)</f>
        <v>0</v>
      </c>
      <c r="BA10" s="186">
        <f>($C10*U10)*(1+'Datos de Entrada'!T$76)</f>
        <v>0</v>
      </c>
      <c r="BB10" s="186">
        <f>($C10*V10)*(1+'Datos de Entrada'!U$76)</f>
        <v>0</v>
      </c>
      <c r="BC10" s="186">
        <f>($C10*W10)*(1+'Datos de Entrada'!V$76)</f>
        <v>4287517.8286223011</v>
      </c>
      <c r="BD10" s="186">
        <f>($C10*X10)*(1+'Datos de Entrada'!W$76)</f>
        <v>0</v>
      </c>
      <c r="BE10" s="186">
        <f>($C10*Y10)*(1+'Datos de Entrada'!X$76)</f>
        <v>0</v>
      </c>
      <c r="BF10" s="186">
        <f>($C10*Z10)*(1+'Datos de Entrada'!Y$76)</f>
        <v>0</v>
      </c>
      <c r="BG10" s="186">
        <f>($C10*AA10)*(1+'Datos de Entrada'!Z$76)</f>
        <v>0</v>
      </c>
      <c r="BH10" s="186">
        <f>($C10*AB10)*(1+'Datos de Entrada'!AA$76)</f>
        <v>0</v>
      </c>
      <c r="BI10" s="186">
        <f>($C10*AC10)*(1+'Datos de Entrada'!AB$76)</f>
        <v>0</v>
      </c>
      <c r="BJ10" s="186">
        <f>($C10*AD10)*(1+'Datos de Entrada'!AC$76)</f>
        <v>0</v>
      </c>
      <c r="BK10" s="186">
        <f>($C10*AE10)*(1+'Datos de Entrada'!AD$76)</f>
        <v>0</v>
      </c>
      <c r="BL10" s="186">
        <f>($C10*AF10)*(1+'Datos de Entrada'!AE$76)</f>
        <v>0</v>
      </c>
      <c r="BM10" s="186">
        <f>($C10*AG10)*(1+'Datos de Entrada'!AF$76)</f>
        <v>0</v>
      </c>
      <c r="BN10" s="186">
        <f t="shared" si="1"/>
        <v>8851004.6472214647</v>
      </c>
      <c r="BO10" s="187"/>
    </row>
    <row r="11" spans="1:67" s="188" customFormat="1" ht="12.75" customHeight="1" x14ac:dyDescent="0.2">
      <c r="A11" s="182" t="s">
        <v>24</v>
      </c>
      <c r="B11" s="182" t="s">
        <v>23</v>
      </c>
      <c r="C11" s="183">
        <f>'Equipos y Herramientas'!D31*'Datos de Entrada'!C17</f>
        <v>46288933.411903359</v>
      </c>
      <c r="D11" s="184">
        <v>1</v>
      </c>
      <c r="E11" s="182"/>
      <c r="F11" s="182"/>
      <c r="G11" s="182"/>
      <c r="H11" s="182"/>
      <c r="I11" s="182"/>
      <c r="J11" s="182"/>
      <c r="K11" s="182"/>
      <c r="L11" s="182"/>
      <c r="M11" s="182"/>
      <c r="N11" s="182"/>
      <c r="O11" s="182"/>
      <c r="P11" s="182"/>
      <c r="Q11" s="182"/>
      <c r="R11" s="182"/>
      <c r="S11" s="182"/>
      <c r="T11" s="182"/>
      <c r="U11" s="182"/>
      <c r="V11" s="182"/>
      <c r="W11" s="182"/>
      <c r="X11" s="182"/>
      <c r="Y11" s="182"/>
      <c r="Z11" s="182"/>
      <c r="AA11" s="182"/>
      <c r="AB11" s="182"/>
      <c r="AC11" s="182"/>
      <c r="AD11" s="182"/>
      <c r="AE11" s="182"/>
      <c r="AF11" s="182"/>
      <c r="AG11" s="182"/>
      <c r="AH11" s="182"/>
      <c r="AI11" s="185"/>
      <c r="AJ11" s="186">
        <f>($C11*D11)*(1+'Datos de Entrada'!C$76)</f>
        <v>46288933.411903359</v>
      </c>
      <c r="AK11" s="186">
        <f>($C11*E11)*(1+'Datos de Entrada'!D$76)</f>
        <v>0</v>
      </c>
      <c r="AL11" s="186">
        <f>($C11*F11)*(1+'Datos de Entrada'!E$76)</f>
        <v>0</v>
      </c>
      <c r="AM11" s="186">
        <f>($C11*G11)*(1+'Datos de Entrada'!F$76)</f>
        <v>0</v>
      </c>
      <c r="AN11" s="186">
        <f>($C11*H11)*(1+'Datos de Entrada'!G$76)</f>
        <v>0</v>
      </c>
      <c r="AO11" s="186">
        <f>($C11*I11)*(1+'Datos de Entrada'!H$76)</f>
        <v>0</v>
      </c>
      <c r="AP11" s="186">
        <f>($C11*J11)*(1+'Datos de Entrada'!I$76)</f>
        <v>0</v>
      </c>
      <c r="AQ11" s="186">
        <f>($C11*K11)*(1+'Datos de Entrada'!J$76)</f>
        <v>0</v>
      </c>
      <c r="AR11" s="186">
        <f>($C11*L11)*(1+'Datos de Entrada'!K$76)</f>
        <v>0</v>
      </c>
      <c r="AS11" s="186">
        <f>($C11*M11)*(1+'Datos de Entrada'!L$76)</f>
        <v>0</v>
      </c>
      <c r="AT11" s="186">
        <f>($C11*N11)*(1+'Datos de Entrada'!M$76)</f>
        <v>0</v>
      </c>
      <c r="AU11" s="186">
        <f>($C11*O11)*(1+'Datos de Entrada'!N$76)</f>
        <v>0</v>
      </c>
      <c r="AV11" s="186">
        <f>($C11*P11)*(1+'Datos de Entrada'!O$76)</f>
        <v>0</v>
      </c>
      <c r="AW11" s="186">
        <f>($C11*Q11)*(1+'Datos de Entrada'!P$76)</f>
        <v>0</v>
      </c>
      <c r="AX11" s="186">
        <f>($C11*R11)*(1+'Datos de Entrada'!Q$76)</f>
        <v>0</v>
      </c>
      <c r="AY11" s="186">
        <f>($C11*S11)*(1+'Datos de Entrada'!R$76)</f>
        <v>0</v>
      </c>
      <c r="AZ11" s="186">
        <f>($C11*T11)*(1+'Datos de Entrada'!S$76)</f>
        <v>0</v>
      </c>
      <c r="BA11" s="186">
        <f>($C11*U11)*(1+'Datos de Entrada'!T$76)</f>
        <v>0</v>
      </c>
      <c r="BB11" s="186">
        <f>($C11*V11)*(1+'Datos de Entrada'!U$76)</f>
        <v>0</v>
      </c>
      <c r="BC11" s="186">
        <f>($C11*W11)*(1+'Datos de Entrada'!V$76)</f>
        <v>0</v>
      </c>
      <c r="BD11" s="186">
        <f>($C11*X11)*(1+'Datos de Entrada'!W$76)</f>
        <v>0</v>
      </c>
      <c r="BE11" s="186">
        <f>($C11*Y11)*(1+'Datos de Entrada'!X$76)</f>
        <v>0</v>
      </c>
      <c r="BF11" s="186">
        <f>($C11*Z11)*(1+'Datos de Entrada'!Y$76)</f>
        <v>0</v>
      </c>
      <c r="BG11" s="186">
        <f>($C11*AA11)*(1+'Datos de Entrada'!Z$76)</f>
        <v>0</v>
      </c>
      <c r="BH11" s="186">
        <f>($C11*AB11)*(1+'Datos de Entrada'!AA$76)</f>
        <v>0</v>
      </c>
      <c r="BI11" s="186">
        <f>($C11*AC11)*(1+'Datos de Entrada'!AB$76)</f>
        <v>0</v>
      </c>
      <c r="BJ11" s="186">
        <f>($C11*AD11)*(1+'Datos de Entrada'!AC$76)</f>
        <v>0</v>
      </c>
      <c r="BK11" s="186">
        <f>($C11*AE11)*(1+'Datos de Entrada'!AD$76)</f>
        <v>0</v>
      </c>
      <c r="BL11" s="186">
        <f>($C11*AF11)*(1+'Datos de Entrada'!AE$76)</f>
        <v>0</v>
      </c>
      <c r="BM11" s="186">
        <f>($C11*AG11)*(1+'Datos de Entrada'!AF$76)</f>
        <v>0</v>
      </c>
      <c r="BN11" s="186">
        <f t="shared" si="1"/>
        <v>46288933.411903359</v>
      </c>
      <c r="BO11" s="187"/>
    </row>
    <row r="12" spans="1:67" s="188" customFormat="1" ht="12.75" customHeight="1" x14ac:dyDescent="0.2">
      <c r="A12" s="182" t="s">
        <v>25</v>
      </c>
      <c r="B12" s="182" t="s">
        <v>23</v>
      </c>
      <c r="C12" s="183">
        <f>'Equipos y Herramientas'!D64*'Datos de Entrada'!C17</f>
        <v>100140836.77077195</v>
      </c>
      <c r="D12" s="184">
        <v>1</v>
      </c>
      <c r="E12" s="182"/>
      <c r="F12" s="182"/>
      <c r="G12" s="182"/>
      <c r="H12" s="182"/>
      <c r="I12" s="182"/>
      <c r="J12" s="182"/>
      <c r="K12" s="182"/>
      <c r="L12" s="182"/>
      <c r="M12" s="182"/>
      <c r="N12" s="182"/>
      <c r="O12" s="182"/>
      <c r="P12" s="182"/>
      <c r="Q12" s="182"/>
      <c r="R12" s="182"/>
      <c r="S12" s="182"/>
      <c r="T12" s="182"/>
      <c r="U12" s="182"/>
      <c r="V12" s="182"/>
      <c r="W12" s="182"/>
      <c r="X12" s="182"/>
      <c r="Y12" s="182"/>
      <c r="Z12" s="182"/>
      <c r="AA12" s="182"/>
      <c r="AB12" s="182"/>
      <c r="AC12" s="182"/>
      <c r="AD12" s="182"/>
      <c r="AE12" s="182"/>
      <c r="AF12" s="182"/>
      <c r="AG12" s="182"/>
      <c r="AH12" s="182"/>
      <c r="AI12" s="185"/>
      <c r="AJ12" s="186">
        <f>($C12*D12)*(1+'Datos de Entrada'!C$76)</f>
        <v>100140836.77077195</v>
      </c>
      <c r="AK12" s="186">
        <f>($C12*E12)*(1+'Datos de Entrada'!D$76)</f>
        <v>0</v>
      </c>
      <c r="AL12" s="186">
        <f>($C12*F12)*(1+'Datos de Entrada'!E$76)</f>
        <v>0</v>
      </c>
      <c r="AM12" s="186">
        <f>($C12*G12)*(1+'Datos de Entrada'!F$76)</f>
        <v>0</v>
      </c>
      <c r="AN12" s="186">
        <f>($C12*H12)*(1+'Datos de Entrada'!G$76)</f>
        <v>0</v>
      </c>
      <c r="AO12" s="186">
        <f>($C12*I12)*(1+'Datos de Entrada'!H$76)</f>
        <v>0</v>
      </c>
      <c r="AP12" s="186">
        <f>($C12*J12)*(1+'Datos de Entrada'!I$76)</f>
        <v>0</v>
      </c>
      <c r="AQ12" s="186">
        <f>($C12*K12)*(1+'Datos de Entrada'!J$76)</f>
        <v>0</v>
      </c>
      <c r="AR12" s="186">
        <f>($C12*L12)*(1+'Datos de Entrada'!K$76)</f>
        <v>0</v>
      </c>
      <c r="AS12" s="186">
        <f>($C12*M12)*(1+'Datos de Entrada'!L$76)</f>
        <v>0</v>
      </c>
      <c r="AT12" s="186">
        <f>($C12*N12)*(1+'Datos de Entrada'!M$76)</f>
        <v>0</v>
      </c>
      <c r="AU12" s="186">
        <f>($C12*O12)*(1+'Datos de Entrada'!N$76)</f>
        <v>0</v>
      </c>
      <c r="AV12" s="186">
        <f>($C12*P12)*(1+'Datos de Entrada'!O$76)</f>
        <v>0</v>
      </c>
      <c r="AW12" s="186">
        <f>($C12*Q12)*(1+'Datos de Entrada'!P$76)</f>
        <v>0</v>
      </c>
      <c r="AX12" s="186">
        <f>($C12*R12)*(1+'Datos de Entrada'!Q$76)</f>
        <v>0</v>
      </c>
      <c r="AY12" s="186">
        <f>($C12*S12)*(1+'Datos de Entrada'!R$76)</f>
        <v>0</v>
      </c>
      <c r="AZ12" s="186">
        <f>($C12*T12)*(1+'Datos de Entrada'!S$76)</f>
        <v>0</v>
      </c>
      <c r="BA12" s="186">
        <f>($C12*U12)*(1+'Datos de Entrada'!T$76)</f>
        <v>0</v>
      </c>
      <c r="BB12" s="186">
        <f>($C12*V12)*(1+'Datos de Entrada'!U$76)</f>
        <v>0</v>
      </c>
      <c r="BC12" s="186">
        <f>($C12*W12)*(1+'Datos de Entrada'!V$76)</f>
        <v>0</v>
      </c>
      <c r="BD12" s="186">
        <f>($C12*X12)*(1+'Datos de Entrada'!W$76)</f>
        <v>0</v>
      </c>
      <c r="BE12" s="186">
        <f>($C12*Y12)*(1+'Datos de Entrada'!X$76)</f>
        <v>0</v>
      </c>
      <c r="BF12" s="186">
        <f>($C12*Z12)*(1+'Datos de Entrada'!Y$76)</f>
        <v>0</v>
      </c>
      <c r="BG12" s="186">
        <f>($C12*AA12)*(1+'Datos de Entrada'!Z$76)</f>
        <v>0</v>
      </c>
      <c r="BH12" s="186">
        <f>($C12*AB12)*(1+'Datos de Entrada'!AA$76)</f>
        <v>0</v>
      </c>
      <c r="BI12" s="186">
        <f>($C12*AC12)*(1+'Datos de Entrada'!AB$76)</f>
        <v>0</v>
      </c>
      <c r="BJ12" s="186">
        <f>($C12*AD12)*(1+'Datos de Entrada'!AC$76)</f>
        <v>0</v>
      </c>
      <c r="BK12" s="186">
        <f>($C12*AE12)*(1+'Datos de Entrada'!AD$76)</f>
        <v>0</v>
      </c>
      <c r="BL12" s="186">
        <f>($C12*AF12)*(1+'Datos de Entrada'!AE$76)</f>
        <v>0</v>
      </c>
      <c r="BM12" s="186">
        <f>($C12*AG12)*(1+'Datos de Entrada'!AF$76)</f>
        <v>0</v>
      </c>
      <c r="BN12" s="186">
        <f t="shared" si="1"/>
        <v>100140836.77077195</v>
      </c>
      <c r="BO12" s="187"/>
    </row>
    <row r="13" spans="1:67" s="188" customFormat="1" ht="12.75" customHeight="1" x14ac:dyDescent="0.2">
      <c r="A13" s="182" t="s">
        <v>26</v>
      </c>
      <c r="B13" s="182" t="s">
        <v>15</v>
      </c>
      <c r="C13" s="183">
        <f>'Equipos y Herramientas'!D85+'Equipos y Herramientas'!D86+'Equipos y Herramientas'!D87+'Equipos y Herramientas'!D89*'Datos de Entrada'!C11*1000</f>
        <v>488723.46666666662</v>
      </c>
      <c r="D13" s="184">
        <v>12</v>
      </c>
      <c r="E13" s="182">
        <v>12</v>
      </c>
      <c r="F13" s="182">
        <v>12</v>
      </c>
      <c r="G13" s="182">
        <v>12</v>
      </c>
      <c r="H13" s="182">
        <v>12</v>
      </c>
      <c r="I13" s="182">
        <v>12</v>
      </c>
      <c r="J13" s="182">
        <v>12</v>
      </c>
      <c r="K13" s="182">
        <v>12</v>
      </c>
      <c r="L13" s="182">
        <v>12</v>
      </c>
      <c r="M13" s="182">
        <v>12</v>
      </c>
      <c r="N13" s="182">
        <v>12</v>
      </c>
      <c r="O13" s="182">
        <v>12</v>
      </c>
      <c r="P13" s="182">
        <v>12</v>
      </c>
      <c r="Q13" s="182">
        <v>12</v>
      </c>
      <c r="R13" s="182">
        <v>12</v>
      </c>
      <c r="S13" s="182">
        <v>12</v>
      </c>
      <c r="T13" s="182">
        <v>12</v>
      </c>
      <c r="U13" s="182">
        <v>12</v>
      </c>
      <c r="V13" s="182">
        <v>12</v>
      </c>
      <c r="W13" s="182">
        <v>12</v>
      </c>
      <c r="X13" s="182">
        <v>12</v>
      </c>
      <c r="Y13" s="182">
        <v>12</v>
      </c>
      <c r="Z13" s="182">
        <v>12</v>
      </c>
      <c r="AA13" s="182">
        <v>12</v>
      </c>
      <c r="AB13" s="182">
        <v>12</v>
      </c>
      <c r="AC13" s="182">
        <v>12</v>
      </c>
      <c r="AD13" s="182">
        <v>12</v>
      </c>
      <c r="AE13" s="182">
        <v>12</v>
      </c>
      <c r="AF13" s="182">
        <v>12</v>
      </c>
      <c r="AG13" s="182">
        <v>12</v>
      </c>
      <c r="AH13" s="182"/>
      <c r="AI13" s="185"/>
      <c r="AJ13" s="186">
        <f>($C13*D13)*(1+'Datos de Entrada'!C$76)</f>
        <v>5864681.5999999996</v>
      </c>
      <c r="AK13" s="186">
        <f>($C13*E13)*(1+'Datos de Entrada'!D$76)</f>
        <v>6121634.8142023524</v>
      </c>
      <c r="AL13" s="186">
        <f>($C13*F13)*(1+'Datos de Entrada'!E$76)</f>
        <v>6395813.7210490918</v>
      </c>
      <c r="AM13" s="186">
        <f>($C13*G13)*(1+'Datos de Entrada'!F$76)</f>
        <v>6687693.4480432589</v>
      </c>
      <c r="AN13" s="186">
        <f>($C13*H13)*(1+'Datos de Entrada'!G$76)</f>
        <v>6997710.2417201884</v>
      </c>
      <c r="AO13" s="186">
        <f>($C13*I13)*(1+'Datos de Entrada'!H$76)</f>
        <v>7326247.6126574837</v>
      </c>
      <c r="AP13" s="186">
        <f>($C13*J13)*(1+'Datos de Entrada'!I$76)</f>
        <v>7673621.1282105893</v>
      </c>
      <c r="AQ13" s="186">
        <f>($C13*K13)*(1+'Datos de Entrada'!J$76)</f>
        <v>8040061.8345103441</v>
      </c>
      <c r="AR13" s="186">
        <f>($C13*L13)*(1+'Datos de Entrada'!K$76)</f>
        <v>8425698.3234124128</v>
      </c>
      <c r="AS13" s="186">
        <f>($C13*M13)*(1+'Datos de Entrada'!L$76)</f>
        <v>8830537.5006905198</v>
      </c>
      <c r="AT13" s="186">
        <f>($C13*N13)*(1+'Datos de Entrada'!M$76)</f>
        <v>9254444.1591967717</v>
      </c>
      <c r="AU13" s="186">
        <f>($C13*O13)*(1+'Datos de Entrada'!N$76)</f>
        <v>9697119.5151652917</v>
      </c>
      <c r="AV13" s="186">
        <f>($C13*P13)*(1+'Datos de Entrada'!O$76)</f>
        <v>10158078.927258607</v>
      </c>
      <c r="AW13" s="186">
        <f>($C13*Q13)*(1+'Datos de Entrada'!P$76)</f>
        <v>10636629.085994119</v>
      </c>
      <c r="AX13" s="186">
        <f>($C13*R13)*(1+'Datos de Entrada'!Q$76)</f>
        <v>11131845.035118338</v>
      </c>
      <c r="AY13" s="186">
        <f>($C13*S13)*(1+'Datos de Entrada'!R$76)</f>
        <v>11642547.46516671</v>
      </c>
      <c r="AZ13" s="186">
        <f>($C13*T13)*(1+'Datos de Entrada'!S$76)</f>
        <v>12167280.801215382</v>
      </c>
      <c r="BA13" s="186">
        <f>($C13*U13)*(1+'Datos de Entrada'!T$76)</f>
        <v>12704292.689516112</v>
      </c>
      <c r="BB13" s="186">
        <f>($C13*V13)*(1+'Datos de Entrada'!U$76)</f>
        <v>13251515.568547379</v>
      </c>
      <c r="BC13" s="186">
        <f>($C13*W13)*(1+'Datos de Entrada'!V$76)</f>
        <v>13806551.085659169</v>
      </c>
      <c r="BD13" s="186">
        <f>($C13*X13)*(1+'Datos de Entrada'!W$76)</f>
        <v>14366658.186996408</v>
      </c>
      <c r="BE13" s="186">
        <f>($C13*Y13)*(1+'Datos de Entrada'!X$76)</f>
        <v>14928745.761274241</v>
      </c>
      <c r="BF13" s="186">
        <f>($C13*Z13)*(1+'Datos de Entrada'!Y$76)</f>
        <v>15489370.752307793</v>
      </c>
      <c r="BG13" s="186">
        <f>($C13*AA13)*(1+'Datos de Entrada'!Z$76)</f>
        <v>16044742.665702419</v>
      </c>
      <c r="BH13" s="186">
        <f>($C13*AB13)*(1+'Datos de Entrada'!AA$76)</f>
        <v>16590735.376377925</v>
      </c>
      <c r="BI13" s="186">
        <f>($C13*AC13)*(1+'Datos de Entrada'!AB$76)</f>
        <v>17122907.090316523</v>
      </c>
      <c r="BJ13" s="186">
        <f>($C13*AD13)*(1+'Datos de Entrada'!AC$76)</f>
        <v>17636529.221163135</v>
      </c>
      <c r="BK13" s="186">
        <f>($C13*AE13)*(1+'Datos de Entrada'!AD$76)</f>
        <v>18126624.805874422</v>
      </c>
      <c r="BL13" s="186">
        <f>($C13*AF13)*(1+'Datos de Entrada'!AE$76)</f>
        <v>18588016.900436845</v>
      </c>
      <c r="BM13" s="186">
        <f>($C13*AG13)*(1+'Datos de Entrada'!AF$76)</f>
        <v>19015387.165216565</v>
      </c>
      <c r="BN13" s="186">
        <f t="shared" si="1"/>
        <v>354723722.48300046</v>
      </c>
      <c r="BO13" s="187"/>
    </row>
    <row r="14" spans="1:67" s="188" customFormat="1" ht="29.25" customHeight="1" x14ac:dyDescent="0.2">
      <c r="A14" s="182" t="s">
        <v>27</v>
      </c>
      <c r="B14" s="182" t="s">
        <v>23</v>
      </c>
      <c r="C14" s="183">
        <f>'Equipos y Herramientas'!C28*'Datos de Entrada'!C17</f>
        <v>226870.94873305835</v>
      </c>
      <c r="D14" s="184">
        <v>4</v>
      </c>
      <c r="E14" s="182"/>
      <c r="F14" s="182"/>
      <c r="G14" s="182"/>
      <c r="H14" s="182"/>
      <c r="I14" s="182"/>
      <c r="J14" s="182"/>
      <c r="K14" s="182"/>
      <c r="L14" s="182"/>
      <c r="M14" s="182"/>
      <c r="N14" s="182"/>
      <c r="O14" s="182"/>
      <c r="P14" s="182"/>
      <c r="Q14" s="182"/>
      <c r="R14" s="182"/>
      <c r="S14" s="182"/>
      <c r="T14" s="182"/>
      <c r="U14" s="182"/>
      <c r="V14" s="182"/>
      <c r="W14" s="182"/>
      <c r="X14" s="182"/>
      <c r="Y14" s="182"/>
      <c r="Z14" s="182"/>
      <c r="AA14" s="182"/>
      <c r="AB14" s="182"/>
      <c r="AC14" s="182"/>
      <c r="AD14" s="182"/>
      <c r="AE14" s="182"/>
      <c r="AF14" s="182"/>
      <c r="AG14" s="182"/>
      <c r="AH14" s="182"/>
      <c r="AI14" s="185"/>
      <c r="AJ14" s="186">
        <f>($C14*D14)*(1+'Datos de Entrada'!C$76)</f>
        <v>907483.7949322334</v>
      </c>
      <c r="AK14" s="186">
        <f>($C14*E14)*(1+'Datos de Entrada'!D$76)</f>
        <v>0</v>
      </c>
      <c r="AL14" s="186">
        <f>($C14*F14)*(1+'Datos de Entrada'!E$76)</f>
        <v>0</v>
      </c>
      <c r="AM14" s="186">
        <f>($C14*G14)*(1+'Datos de Entrada'!F$76)</f>
        <v>0</v>
      </c>
      <c r="AN14" s="186">
        <f>($C14*H14)*(1+'Datos de Entrada'!G$76)</f>
        <v>0</v>
      </c>
      <c r="AO14" s="186">
        <f>($C14*I14)*(1+'Datos de Entrada'!H$76)</f>
        <v>0</v>
      </c>
      <c r="AP14" s="186">
        <f>($C14*J14)*(1+'Datos de Entrada'!I$76)</f>
        <v>0</v>
      </c>
      <c r="AQ14" s="186">
        <f>($C14*K14)*(1+'Datos de Entrada'!J$76)</f>
        <v>0</v>
      </c>
      <c r="AR14" s="186">
        <f>($C14*L14)*(1+'Datos de Entrada'!K$76)</f>
        <v>0</v>
      </c>
      <c r="AS14" s="186">
        <f>($C14*M14)*(1+'Datos de Entrada'!L$76)</f>
        <v>0</v>
      </c>
      <c r="AT14" s="186">
        <f>($C14*N14)*(1+'Datos de Entrada'!M$76)</f>
        <v>0</v>
      </c>
      <c r="AU14" s="186">
        <f>($C14*O14)*(1+'Datos de Entrada'!N$76)</f>
        <v>0</v>
      </c>
      <c r="AV14" s="186">
        <f>($C14*P14)*(1+'Datos de Entrada'!O$76)</f>
        <v>0</v>
      </c>
      <c r="AW14" s="186">
        <f>($C14*Q14)*(1+'Datos de Entrada'!P$76)</f>
        <v>0</v>
      </c>
      <c r="AX14" s="186">
        <f>($C14*R14)*(1+'Datos de Entrada'!Q$76)</f>
        <v>0</v>
      </c>
      <c r="AY14" s="186">
        <f>($C14*S14)*(1+'Datos de Entrada'!R$76)</f>
        <v>0</v>
      </c>
      <c r="AZ14" s="186">
        <f>($C14*T14)*(1+'Datos de Entrada'!S$76)</f>
        <v>0</v>
      </c>
      <c r="BA14" s="186">
        <f>($C14*U14)*(1+'Datos de Entrada'!T$76)</f>
        <v>0</v>
      </c>
      <c r="BB14" s="186">
        <f>($C14*V14)*(1+'Datos de Entrada'!U$76)</f>
        <v>0</v>
      </c>
      <c r="BC14" s="186">
        <f>($C14*W14)*(1+'Datos de Entrada'!V$76)</f>
        <v>0</v>
      </c>
      <c r="BD14" s="186">
        <f>($C14*X14)*(1+'Datos de Entrada'!W$76)</f>
        <v>0</v>
      </c>
      <c r="BE14" s="186">
        <f>($C14*Y14)*(1+'Datos de Entrada'!X$76)</f>
        <v>0</v>
      </c>
      <c r="BF14" s="186">
        <f>($C14*Z14)*(1+'Datos de Entrada'!Y$76)</f>
        <v>0</v>
      </c>
      <c r="BG14" s="186">
        <f>($C14*AA14)*(1+'Datos de Entrada'!Z$76)</f>
        <v>0</v>
      </c>
      <c r="BH14" s="186">
        <f>($C14*AB14)*(1+'Datos de Entrada'!AA$76)</f>
        <v>0</v>
      </c>
      <c r="BI14" s="186">
        <f>($C14*AC14)*(1+'Datos de Entrada'!AB$76)</f>
        <v>0</v>
      </c>
      <c r="BJ14" s="186">
        <f>($C14*AD14)*(1+'Datos de Entrada'!AC$76)</f>
        <v>0</v>
      </c>
      <c r="BK14" s="186">
        <f>($C14*AE14)*(1+'Datos de Entrada'!AD$76)</f>
        <v>0</v>
      </c>
      <c r="BL14" s="186">
        <f>($C14*AF14)*(1+'Datos de Entrada'!AE$76)</f>
        <v>0</v>
      </c>
      <c r="BM14" s="186">
        <f>($C14*AG14)*(1+'Datos de Entrada'!AF$76)</f>
        <v>0</v>
      </c>
      <c r="BN14" s="186">
        <f t="shared" si="1"/>
        <v>907483.7949322334</v>
      </c>
      <c r="BO14" s="187"/>
    </row>
    <row r="15" spans="1:67" s="188" customFormat="1" ht="12.75" customHeight="1" x14ac:dyDescent="0.2">
      <c r="A15" s="182" t="s">
        <v>28</v>
      </c>
      <c r="B15" s="182" t="s">
        <v>23</v>
      </c>
      <c r="C15" s="183">
        <f>'Equipos y Herramientas'!D96*'Datos de Entrada'!C17</f>
        <v>72598703.594578668</v>
      </c>
      <c r="D15" s="184">
        <v>1</v>
      </c>
      <c r="E15" s="182">
        <v>0.25</v>
      </c>
      <c r="F15" s="182">
        <v>0.25</v>
      </c>
      <c r="G15" s="182">
        <v>0.25</v>
      </c>
      <c r="H15" s="182">
        <v>0.25</v>
      </c>
      <c r="I15" s="182">
        <v>0.25</v>
      </c>
      <c r="J15" s="182">
        <v>0.25</v>
      </c>
      <c r="K15" s="182">
        <v>0.25</v>
      </c>
      <c r="L15" s="182">
        <v>0.25</v>
      </c>
      <c r="M15" s="182">
        <v>0.25</v>
      </c>
      <c r="N15" s="182">
        <v>0.25</v>
      </c>
      <c r="O15" s="182">
        <v>0.25</v>
      </c>
      <c r="P15" s="182">
        <v>0.25</v>
      </c>
      <c r="Q15" s="182">
        <v>0.25</v>
      </c>
      <c r="R15" s="182">
        <v>0.25</v>
      </c>
      <c r="S15" s="182">
        <v>0.25</v>
      </c>
      <c r="T15" s="182">
        <v>0.25</v>
      </c>
      <c r="U15" s="182">
        <v>0.25</v>
      </c>
      <c r="V15" s="182">
        <v>0.25</v>
      </c>
      <c r="W15" s="182">
        <v>0.25</v>
      </c>
      <c r="X15" s="182">
        <v>0.25</v>
      </c>
      <c r="Y15" s="182">
        <v>0.25</v>
      </c>
      <c r="Z15" s="182">
        <v>0.25</v>
      </c>
      <c r="AA15" s="182">
        <v>0.25</v>
      </c>
      <c r="AB15" s="182">
        <v>0.25</v>
      </c>
      <c r="AC15" s="182">
        <v>0.25</v>
      </c>
      <c r="AD15" s="182">
        <v>0.25</v>
      </c>
      <c r="AE15" s="182">
        <v>0.25</v>
      </c>
      <c r="AF15" s="182">
        <v>0.25</v>
      </c>
      <c r="AG15" s="182">
        <v>0.25</v>
      </c>
      <c r="AH15" s="182"/>
      <c r="AI15" s="185"/>
      <c r="AJ15" s="186">
        <f>($C15*D15)*(1+'Datos de Entrada'!C$76)</f>
        <v>72598703.594578668</v>
      </c>
      <c r="AK15" s="186">
        <f>($C15*E15)*(1+'Datos de Entrada'!D$76)</f>
        <v>18944879.777894944</v>
      </c>
      <c r="AL15" s="186">
        <f>($C15*F15)*(1+'Datos de Entrada'!E$76)</f>
        <v>19793392.729989909</v>
      </c>
      <c r="AM15" s="186">
        <f>($C15*G15)*(1+'Datos de Entrada'!F$76)</f>
        <v>20696685.151922755</v>
      </c>
      <c r="AN15" s="186">
        <f>($C15*H15)*(1+'Datos de Entrada'!G$76)</f>
        <v>21656107.114126682</v>
      </c>
      <c r="AO15" s="186">
        <f>($C15*I15)*(1+'Datos de Entrada'!H$76)</f>
        <v>22672845.482856661</v>
      </c>
      <c r="AP15" s="186">
        <f>($C15*J15)*(1+'Datos de Entrada'!I$76)</f>
        <v>23747876.857630983</v>
      </c>
      <c r="AQ15" s="186">
        <f>($C15*K15)*(1+'Datos de Entrada'!J$76)</f>
        <v>24881916.266592413</v>
      </c>
      <c r="AR15" s="186">
        <f>($C15*L15)*(1+'Datos de Entrada'!K$76)</f>
        <v>26075361.668345142</v>
      </c>
      <c r="AS15" s="186">
        <f>($C15*M15)*(1+'Datos de Entrada'!L$76)</f>
        <v>27328234.434476484</v>
      </c>
      <c r="AT15" s="186">
        <f>($C15*N15)*(1+'Datos de Entrada'!M$76)</f>
        <v>28640116.133760195</v>
      </c>
      <c r="AU15" s="186">
        <f>($C15*O15)*(1+'Datos de Entrada'!N$76)</f>
        <v>30010082.107555911</v>
      </c>
      <c r="AV15" s="186">
        <f>($C15*P15)*(1+'Datos de Entrada'!O$76)</f>
        <v>31436632.51600834</v>
      </c>
      <c r="AW15" s="186">
        <f>($C15*Q15)*(1+'Datos de Entrada'!P$76)</f>
        <v>32917621.745209545</v>
      </c>
      <c r="AX15" s="186">
        <f>($C15*R15)*(1+'Datos de Entrada'!Q$76)</f>
        <v>34450187.294282883</v>
      </c>
      <c r="AY15" s="186">
        <f>($C15*S15)*(1+'Datos de Entrada'!R$76)</f>
        <v>36030679.504811108</v>
      </c>
      <c r="AZ15" s="186">
        <f>($C15*T15)*(1+'Datos de Entrada'!S$76)</f>
        <v>37654593.748083584</v>
      </c>
      <c r="BA15" s="186">
        <f>($C15*U15)*(1+'Datos de Entrada'!T$76)</f>
        <v>39316506.941525735</v>
      </c>
      <c r="BB15" s="186">
        <f>($C15*V15)*(1+'Datos de Entrada'!U$76)</f>
        <v>41010020.515858687</v>
      </c>
      <c r="BC15" s="186">
        <f>($C15*W15)*(1+'Datos de Entrada'!V$76)</f>
        <v>42727712.188636906</v>
      </c>
      <c r="BD15" s="186">
        <f>($C15*X15)*(1+'Datos de Entrada'!W$76)</f>
        <v>44461099.105635129</v>
      </c>
      <c r="BE15" s="186">
        <f>($C15*Y15)*(1+'Datos de Entrada'!X$76)</f>
        <v>46200615.075231507</v>
      </c>
      <c r="BF15" s="186">
        <f>($C15*Z15)*(1+'Datos de Entrada'!Y$76)</f>
        <v>47935604.727174342</v>
      </c>
      <c r="BG15" s="186">
        <f>($C15*AA15)*(1+'Datos de Entrada'!Z$76)</f>
        <v>49654337.459625259</v>
      </c>
      <c r="BH15" s="186">
        <f>($C15*AB15)*(1+'Datos de Entrada'!AA$76)</f>
        <v>51344043.980399191</v>
      </c>
      <c r="BI15" s="186">
        <f>($C15*AC15)*(1+'Datos de Entrada'!AB$76)</f>
        <v>52990978.083422236</v>
      </c>
      <c r="BJ15" s="186">
        <f>($C15*AD15)*(1+'Datos de Entrada'!AC$76)</f>
        <v>54580506.01435668</v>
      </c>
      <c r="BK15" s="186">
        <f>($C15*AE15)*(1+'Datos de Entrada'!AD$76)</f>
        <v>56097225.357119747</v>
      </c>
      <c r="BL15" s="186">
        <f>($C15*AF15)*(1+'Datos de Entrada'!AE$76)</f>
        <v>57525114.806140259</v>
      </c>
      <c r="BM15" s="186">
        <f>($C15*AG15)*(1+'Datos de Entrada'!AF$76)</f>
        <v>58847715.472895965</v>
      </c>
      <c r="BN15" s="186">
        <f t="shared" si="1"/>
        <v>1152227395.8561478</v>
      </c>
      <c r="BO15" s="187"/>
    </row>
    <row r="16" spans="1:67" s="17" customFormat="1" ht="12.75" customHeight="1" x14ac:dyDescent="0.2">
      <c r="A16" s="18" t="s">
        <v>29</v>
      </c>
      <c r="B16" s="13" t="s">
        <v>30</v>
      </c>
      <c r="C16" s="107">
        <v>135896.70309129995</v>
      </c>
      <c r="D16" s="15">
        <f>'Datos de Entrada'!$C11</f>
        <v>154</v>
      </c>
      <c r="E16" s="15">
        <f>'Datos de Entrada'!$C11</f>
        <v>154</v>
      </c>
      <c r="F16" s="15">
        <f>'Datos de Entrada'!$C11</f>
        <v>154</v>
      </c>
      <c r="G16" s="15">
        <f>'Datos de Entrada'!$C11</f>
        <v>154</v>
      </c>
      <c r="H16" s="15">
        <f>'Datos de Entrada'!$C11</f>
        <v>154</v>
      </c>
      <c r="I16" s="15">
        <f>'Datos de Entrada'!$C11</f>
        <v>154</v>
      </c>
      <c r="J16" s="15">
        <f>'Datos de Entrada'!$C11</f>
        <v>154</v>
      </c>
      <c r="K16" s="15">
        <f>'Datos de Entrada'!$C11</f>
        <v>154</v>
      </c>
      <c r="L16" s="15">
        <f>'Datos de Entrada'!$C11</f>
        <v>154</v>
      </c>
      <c r="M16" s="15">
        <f>'Datos de Entrada'!$C11</f>
        <v>154</v>
      </c>
      <c r="N16" s="15">
        <f>'Datos de Entrada'!$C11</f>
        <v>154</v>
      </c>
      <c r="O16" s="15">
        <f>'Datos de Entrada'!$C11</f>
        <v>154</v>
      </c>
      <c r="P16" s="15">
        <f>'Datos de Entrada'!$C11</f>
        <v>154</v>
      </c>
      <c r="Q16" s="15">
        <f>'Datos de Entrada'!$C11</f>
        <v>154</v>
      </c>
      <c r="R16" s="15">
        <f>'Datos de Entrada'!$C11</f>
        <v>154</v>
      </c>
      <c r="S16" s="15">
        <f>'Datos de Entrada'!$C11</f>
        <v>154</v>
      </c>
      <c r="T16" s="15">
        <f>'Datos de Entrada'!$C11</f>
        <v>154</v>
      </c>
      <c r="U16" s="15">
        <f>'Datos de Entrada'!$C11</f>
        <v>154</v>
      </c>
      <c r="V16" s="15">
        <f>'Datos de Entrada'!$C11</f>
        <v>154</v>
      </c>
      <c r="W16" s="15">
        <f>'Datos de Entrada'!$C11</f>
        <v>154</v>
      </c>
      <c r="X16" s="15">
        <f>'Datos de Entrada'!$C11</f>
        <v>154</v>
      </c>
      <c r="Y16" s="15">
        <f>'Datos de Entrada'!$C11</f>
        <v>154</v>
      </c>
      <c r="Z16" s="15">
        <f>'Datos de Entrada'!$C11</f>
        <v>154</v>
      </c>
      <c r="AA16" s="15">
        <f>'Datos de Entrada'!$C11</f>
        <v>154</v>
      </c>
      <c r="AB16" s="15">
        <f>'Datos de Entrada'!$C11</f>
        <v>154</v>
      </c>
      <c r="AC16" s="15">
        <f>'Datos de Entrada'!$C11</f>
        <v>154</v>
      </c>
      <c r="AD16" s="15">
        <f>'Datos de Entrada'!$C11</f>
        <v>154</v>
      </c>
      <c r="AE16" s="15">
        <f>'Datos de Entrada'!$C11</f>
        <v>154</v>
      </c>
      <c r="AF16" s="15">
        <f>'Datos de Entrada'!$C11</f>
        <v>154</v>
      </c>
      <c r="AG16" s="15">
        <f>'Datos de Entrada'!$C11</f>
        <v>154</v>
      </c>
      <c r="AH16" s="13"/>
      <c r="AI16" s="8"/>
      <c r="AJ16" s="16">
        <f>($C16*D16)*(1+'Datos de Entrada'!C$76)</f>
        <v>20928092.27606019</v>
      </c>
      <c r="AK16" s="16">
        <f>($C16*E16)*(1+'Datos de Entrada'!D$76)</f>
        <v>21845028.768820021</v>
      </c>
      <c r="AL16" s="16">
        <f>($C16*F16)*(1+'Datos de Entrada'!E$76)</f>
        <v>22823435.075248979</v>
      </c>
      <c r="AM16" s="16">
        <f>($C16*G16)*(1+'Datos de Entrada'!F$76)</f>
        <v>23865006.685896207</v>
      </c>
      <c r="AN16" s="16">
        <f>($C16*H16)*(1+'Datos de Entrada'!G$76)</f>
        <v>24971300.3447368</v>
      </c>
      <c r="AO16" s="16">
        <f>($C16*I16)*(1+'Datos de Entrada'!H$76)</f>
        <v>26143684.607696604</v>
      </c>
      <c r="AP16" s="16">
        <f>($C16*J16)*(1+'Datos de Entrada'!I$76)</f>
        <v>27383285.575591404</v>
      </c>
      <c r="AQ16" s="16">
        <f>($C16*K16)*(1+'Datos de Entrada'!J$76)</f>
        <v>28690927.735593054</v>
      </c>
      <c r="AR16" s="16">
        <f>($C16*L16)*(1+'Datos de Entrada'!K$76)</f>
        <v>30067069.967211965</v>
      </c>
      <c r="AS16" s="16">
        <f>($C16*M16)*(1+'Datos de Entrada'!L$76)</f>
        <v>31511736.91367339</v>
      </c>
      <c r="AT16" s="16">
        <f>($C16*N16)*(1+'Datos de Entrada'!M$76)</f>
        <v>33024446.088823698</v>
      </c>
      <c r="AU16" s="16">
        <f>($C16*O16)*(1+'Datos de Entrada'!N$76)</f>
        <v>34604131.284017757</v>
      </c>
      <c r="AV16" s="16">
        <f>($C16*P16)*(1+'Datos de Entrada'!O$76)</f>
        <v>36249063.058627196</v>
      </c>
      <c r="AW16" s="16">
        <f>($C16*Q16)*(1+'Datos de Entrada'!P$76)</f>
        <v>37956767.340602204</v>
      </c>
      <c r="AX16" s="16">
        <f>($C16*R16)*(1+'Datos de Entrada'!Q$76)</f>
        <v>39723943.427339531</v>
      </c>
      <c r="AY16" s="16">
        <f>($C16*S16)*(1+'Datos de Entrada'!R$76)</f>
        <v>41546382.957843706</v>
      </c>
      <c r="AZ16" s="16">
        <f>($C16*T16)*(1+'Datos de Entrada'!S$76)</f>
        <v>43418891.718958981</v>
      </c>
      <c r="BA16" s="16">
        <f>($C16*U16)*(1+'Datos de Entrada'!T$76)</f>
        <v>45335216.443509929</v>
      </c>
      <c r="BB16" s="16">
        <f>($C16*V16)*(1+'Datos de Entrada'!U$76)</f>
        <v>47287979.046672843</v>
      </c>
      <c r="BC16" s="16">
        <f>($C16*W16)*(1+'Datos de Entrada'!V$76)</f>
        <v>49268621.016836464</v>
      </c>
      <c r="BD16" s="16">
        <f>($C16*X16)*(1+'Datos de Entrada'!W$76)</f>
        <v>51267360.914542474</v>
      </c>
      <c r="BE16" s="16">
        <f>($C16*Y16)*(1+'Datos de Entrada'!X$76)</f>
        <v>53273168.121827751</v>
      </c>
      <c r="BF16" s="16">
        <f>($C16*Z16)*(1+'Datos de Entrada'!Y$76)</f>
        <v>55273756.106794506</v>
      </c>
      <c r="BG16" s="16">
        <f>($C16*AA16)*(1+'Datos de Entrada'!Z$76)</f>
        <v>57255598.505716011</v>
      </c>
      <c r="BH16" s="16">
        <f>($C16*AB16)*(1+'Datos de Entrada'!AA$76)</f>
        <v>59203971.258138448</v>
      </c>
      <c r="BI16" s="16">
        <f>($C16*AC16)*(1+'Datos de Entrada'!AB$76)</f>
        <v>61103023.840296715</v>
      </c>
      <c r="BJ16" s="16">
        <f>($C16*AD16)*(1+'Datos de Entrada'!AC$76)</f>
        <v>62935882.311144404</v>
      </c>
      <c r="BK16" s="16">
        <f>($C16*AE16)*(1+'Datos de Entrada'!AD$76)</f>
        <v>64684786.398440048</v>
      </c>
      <c r="BL16" s="16">
        <f>($C16*AF16)*(1+'Datos de Entrada'!AE$76)</f>
        <v>66331262.198668823</v>
      </c>
      <c r="BM16" s="16">
        <f>($C16*AG16)*(1+'Datos de Entrada'!AF$76)</f>
        <v>67856331.238623917</v>
      </c>
      <c r="BN16" s="172">
        <f t="shared" si="1"/>
        <v>1265830151.2279537</v>
      </c>
      <c r="BO16" s="22"/>
    </row>
    <row r="17" spans="1:67" s="17" customFormat="1" ht="12.75" customHeight="1" x14ac:dyDescent="0.2">
      <c r="A17" s="13"/>
      <c r="B17" s="13"/>
      <c r="C17" s="14"/>
      <c r="D17" s="15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8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22"/>
      <c r="BO17" s="22"/>
    </row>
    <row r="18" spans="1:67" ht="24.75" customHeight="1" x14ac:dyDescent="0.2">
      <c r="A18" s="3" t="s">
        <v>31</v>
      </c>
      <c r="B18" s="3"/>
      <c r="C18" s="3"/>
      <c r="D18" s="12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>
        <f>SUM(AJ18:BM18)</f>
        <v>522063438.19397289</v>
      </c>
      <c r="AI18" s="3"/>
      <c r="AJ18" s="23">
        <f>SUM(AJ19:AJ34)</f>
        <v>147056135.56019178</v>
      </c>
      <c r="AK18" s="23">
        <f t="shared" ref="AK18:BM18" si="3">SUM(AK19:AK34)</f>
        <v>1872795.5015188728</v>
      </c>
      <c r="AL18" s="23">
        <f t="shared" si="3"/>
        <v>0</v>
      </c>
      <c r="AM18" s="23">
        <f t="shared" si="3"/>
        <v>0</v>
      </c>
      <c r="AN18" s="23">
        <f t="shared" si="3"/>
        <v>53670651.176112011</v>
      </c>
      <c r="AO18" s="23">
        <f t="shared" si="3"/>
        <v>0</v>
      </c>
      <c r="AP18" s="23">
        <f t="shared" si="3"/>
        <v>0</v>
      </c>
      <c r="AQ18" s="23">
        <f t="shared" si="3"/>
        <v>0</v>
      </c>
      <c r="AR18" s="23">
        <f t="shared" si="3"/>
        <v>0</v>
      </c>
      <c r="AS18" s="23">
        <f t="shared" si="3"/>
        <v>67727968.367640182</v>
      </c>
      <c r="AT18" s="23">
        <f t="shared" si="3"/>
        <v>0</v>
      </c>
      <c r="AU18" s="23">
        <f t="shared" si="3"/>
        <v>0</v>
      </c>
      <c r="AV18" s="23">
        <f t="shared" si="3"/>
        <v>0</v>
      </c>
      <c r="AW18" s="23">
        <f t="shared" si="3"/>
        <v>0</v>
      </c>
      <c r="AX18" s="23">
        <f t="shared" si="3"/>
        <v>0</v>
      </c>
      <c r="AY18" s="23">
        <f t="shared" si="3"/>
        <v>0</v>
      </c>
      <c r="AZ18" s="23">
        <f t="shared" si="3"/>
        <v>0</v>
      </c>
      <c r="BA18" s="23">
        <f t="shared" si="3"/>
        <v>0</v>
      </c>
      <c r="BB18" s="23">
        <f t="shared" si="3"/>
        <v>0</v>
      </c>
      <c r="BC18" s="23">
        <f t="shared" si="3"/>
        <v>105892722.28588708</v>
      </c>
      <c r="BD18" s="23">
        <f t="shared" si="3"/>
        <v>0</v>
      </c>
      <c r="BE18" s="23">
        <f t="shared" si="3"/>
        <v>0</v>
      </c>
      <c r="BF18" s="23">
        <f t="shared" si="3"/>
        <v>0</v>
      </c>
      <c r="BG18" s="23">
        <f t="shared" si="3"/>
        <v>0</v>
      </c>
      <c r="BH18" s="23">
        <f t="shared" si="3"/>
        <v>0</v>
      </c>
      <c r="BI18" s="23">
        <f t="shared" si="3"/>
        <v>0</v>
      </c>
      <c r="BJ18" s="23">
        <f t="shared" si="3"/>
        <v>0</v>
      </c>
      <c r="BK18" s="23">
        <f t="shared" si="3"/>
        <v>0</v>
      </c>
      <c r="BL18" s="23">
        <f t="shared" si="3"/>
        <v>0</v>
      </c>
      <c r="BM18" s="23">
        <f t="shared" si="3"/>
        <v>145843165.30262297</v>
      </c>
      <c r="BN18" s="23"/>
      <c r="BO18" s="23"/>
    </row>
    <row r="19" spans="1:67" s="197" customFormat="1" ht="12.75" customHeight="1" x14ac:dyDescent="0.2">
      <c r="A19" s="190" t="s">
        <v>32</v>
      </c>
      <c r="B19" s="190" t="s">
        <v>33</v>
      </c>
      <c r="C19" s="195">
        <f>'Datos de Entrada'!H49*(1+'Datos de Entrada'!C45)</f>
        <v>89650</v>
      </c>
      <c r="D19" s="199">
        <f>1*[1]Parámetros!$E$24/[1]Parámetros!$C$28</f>
        <v>16.109921032470979</v>
      </c>
      <c r="E19" s="190"/>
      <c r="F19" s="190"/>
      <c r="G19" s="190"/>
      <c r="H19" s="190"/>
      <c r="I19" s="190"/>
      <c r="J19" s="190"/>
      <c r="K19" s="190"/>
      <c r="L19" s="190"/>
      <c r="M19" s="190"/>
      <c r="N19" s="190"/>
      <c r="O19" s="190"/>
      <c r="P19" s="190"/>
      <c r="Q19" s="190"/>
      <c r="R19" s="190"/>
      <c r="S19" s="190"/>
      <c r="T19" s="190"/>
      <c r="U19" s="190"/>
      <c r="V19" s="190"/>
      <c r="W19" s="190"/>
      <c r="X19" s="190"/>
      <c r="Y19" s="190"/>
      <c r="Z19" s="190"/>
      <c r="AA19" s="190"/>
      <c r="AB19" s="190"/>
      <c r="AC19" s="190"/>
      <c r="AD19" s="190"/>
      <c r="AE19" s="190"/>
      <c r="AF19" s="190"/>
      <c r="AG19" s="190"/>
      <c r="AH19" s="190">
        <f>AH18/AH105</f>
        <v>4.4411108145840573E-2</v>
      </c>
      <c r="AI19" s="190"/>
      <c r="AJ19" s="186">
        <f>($C19*D19)*(1+'Datos de Entrada'!C$76)</f>
        <v>1444254.4205610233</v>
      </c>
      <c r="AK19" s="186">
        <f>($C19*E19)*(1+'Datos de Entrada'!D$76)</f>
        <v>0</v>
      </c>
      <c r="AL19" s="186">
        <f>($C19*F19)*(1+'Datos de Entrada'!E$76)</f>
        <v>0</v>
      </c>
      <c r="AM19" s="186">
        <f>($C19*G19)*(1+'Datos de Entrada'!F$76)</f>
        <v>0</v>
      </c>
      <c r="AN19" s="186">
        <f>($C19*H19)*(1+'Datos de Entrada'!G$76)</f>
        <v>0</v>
      </c>
      <c r="AO19" s="186">
        <f>($C19*I19)*(1+'Datos de Entrada'!H$76)</f>
        <v>0</v>
      </c>
      <c r="AP19" s="186">
        <f>($C19*J19)*(1+'Datos de Entrada'!I$76)</f>
        <v>0</v>
      </c>
      <c r="AQ19" s="186">
        <f>($C19*K19)*(1+'Datos de Entrada'!J$76)</f>
        <v>0</v>
      </c>
      <c r="AR19" s="186">
        <f>($C19*L19)*(1+'Datos de Entrada'!K$76)</f>
        <v>0</v>
      </c>
      <c r="AS19" s="186">
        <f>($C19*M19)*(1+'Datos de Entrada'!L$76)</f>
        <v>0</v>
      </c>
      <c r="AT19" s="186">
        <f>($C19*N19)*(1+'Datos de Entrada'!M$76)</f>
        <v>0</v>
      </c>
      <c r="AU19" s="186">
        <f>($C19*O19)*(1+'Datos de Entrada'!N$76)</f>
        <v>0</v>
      </c>
      <c r="AV19" s="186">
        <f>($C19*P19)*(1+'Datos de Entrada'!O$76)</f>
        <v>0</v>
      </c>
      <c r="AW19" s="186">
        <f>($C19*Q19)*(1+'Datos de Entrada'!P$76)</f>
        <v>0</v>
      </c>
      <c r="AX19" s="186">
        <f>($C19*R19)*(1+'Datos de Entrada'!Q$76)</f>
        <v>0</v>
      </c>
      <c r="AY19" s="186">
        <f>($C19*S19)*(1+'Datos de Entrada'!R$76)</f>
        <v>0</v>
      </c>
      <c r="AZ19" s="186">
        <f>($C19*T19)*(1+'Datos de Entrada'!S$76)</f>
        <v>0</v>
      </c>
      <c r="BA19" s="186">
        <f>($C19*U19)*(1+'Datos de Entrada'!T$76)</f>
        <v>0</v>
      </c>
      <c r="BB19" s="186">
        <f>($C19*V19)*(1+'Datos de Entrada'!U$76)</f>
        <v>0</v>
      </c>
      <c r="BC19" s="186">
        <f>($C19*W19)*(1+'Datos de Entrada'!V$76)</f>
        <v>0</v>
      </c>
      <c r="BD19" s="186">
        <f>($C19*X19)*(1+'Datos de Entrada'!W$76)</f>
        <v>0</v>
      </c>
      <c r="BE19" s="186">
        <f>($C19*Y19)*(1+'Datos de Entrada'!X$76)</f>
        <v>0</v>
      </c>
      <c r="BF19" s="186">
        <f>($C19*Z19)*(1+'Datos de Entrada'!Y$76)</f>
        <v>0</v>
      </c>
      <c r="BG19" s="186">
        <f>($C19*AA19)*(1+'Datos de Entrada'!Z$76)</f>
        <v>0</v>
      </c>
      <c r="BH19" s="186">
        <f>($C19*AB19)*(1+'Datos de Entrada'!AA$76)</f>
        <v>0</v>
      </c>
      <c r="BI19" s="186">
        <f>($C19*AC19)*(1+'Datos de Entrada'!AB$76)</f>
        <v>0</v>
      </c>
      <c r="BJ19" s="186">
        <f>($C19*AD19)*(1+'Datos de Entrada'!AC$76)</f>
        <v>0</v>
      </c>
      <c r="BK19" s="186">
        <f>($C19*AE19)*(1+'Datos de Entrada'!AD$76)</f>
        <v>0</v>
      </c>
      <c r="BL19" s="186">
        <f>($C19*AF19)*(1+'Datos de Entrada'!AE$76)</f>
        <v>0</v>
      </c>
      <c r="BM19" s="186">
        <f>($C19*AG19)*(1+'Datos de Entrada'!AF$76)</f>
        <v>0</v>
      </c>
      <c r="BN19" s="186">
        <f>SUM(AJ19:BM19)</f>
        <v>1444254.4205610233</v>
      </c>
    </row>
    <row r="20" spans="1:67" s="197" customFormat="1" ht="12.75" customHeight="1" x14ac:dyDescent="0.2">
      <c r="A20" s="190" t="s">
        <v>34</v>
      </c>
      <c r="B20" s="190" t="s">
        <v>33</v>
      </c>
      <c r="C20" s="195">
        <f>'Datos de Entrada'!H49*(1+'Datos de Entrada'!C45)</f>
        <v>89650</v>
      </c>
      <c r="D20" s="199">
        <f>4*[1]Parámetros!$E$24/[1]Parámetros!$C$28</f>
        <v>64.439684129883915</v>
      </c>
      <c r="E20" s="190"/>
      <c r="F20" s="190"/>
      <c r="G20" s="190"/>
      <c r="H20" s="198">
        <f>1*[1]Parámetros!$E$24/[1]Parámetros!$C$28</f>
        <v>16.109921032470979</v>
      </c>
      <c r="I20" s="190"/>
      <c r="J20" s="190"/>
      <c r="K20" s="190"/>
      <c r="L20" s="190"/>
      <c r="M20" s="198">
        <f>1*[1]Parámetros!$E$24/[1]Parámetros!$C$28</f>
        <v>16.109921032470979</v>
      </c>
      <c r="N20" s="190"/>
      <c r="O20" s="190"/>
      <c r="P20" s="190"/>
      <c r="Q20" s="190"/>
      <c r="R20" s="190"/>
      <c r="S20" s="190"/>
      <c r="T20" s="190"/>
      <c r="U20" s="190"/>
      <c r="V20" s="190"/>
      <c r="W20" s="198">
        <f>1*[1]Parámetros!$E$24/[1]Parámetros!$C$28</f>
        <v>16.109921032470979</v>
      </c>
      <c r="X20" s="190"/>
      <c r="Y20" s="190"/>
      <c r="Z20" s="190"/>
      <c r="AA20" s="190"/>
      <c r="AB20" s="190"/>
      <c r="AC20" s="190"/>
      <c r="AD20" s="190"/>
      <c r="AE20" s="190"/>
      <c r="AF20" s="190"/>
      <c r="AG20" s="198">
        <f>1*[1]Parámetros!$E$24/[1]Parámetros!$C$28</f>
        <v>16.109921032470979</v>
      </c>
      <c r="AH20" s="190"/>
      <c r="AI20" s="190"/>
      <c r="AJ20" s="186">
        <f>($C20*D20)*(1+'Datos de Entrada'!C$76)</f>
        <v>5777017.6822440932</v>
      </c>
      <c r="AK20" s="186">
        <f>($C20*E20)*(1+'Datos de Entrada'!D$76)</f>
        <v>0</v>
      </c>
      <c r="AL20" s="186">
        <f>($C20*F20)*(1+'Datos de Entrada'!E$76)</f>
        <v>0</v>
      </c>
      <c r="AM20" s="186">
        <f>($C20*G20)*(1+'Datos de Entrada'!F$76)</f>
        <v>0</v>
      </c>
      <c r="AN20" s="186">
        <f>($C20*H20)*(1+'Datos de Entrada'!G$76)</f>
        <v>1723277.5178126516</v>
      </c>
      <c r="AO20" s="186">
        <f>($C20*I20)*(1+'Datos de Entrada'!H$76)</f>
        <v>0</v>
      </c>
      <c r="AP20" s="186">
        <f>($C20*J20)*(1+'Datos de Entrada'!I$76)</f>
        <v>0</v>
      </c>
      <c r="AQ20" s="186">
        <f>($C20*K20)*(1+'Datos de Entrada'!J$76)</f>
        <v>0</v>
      </c>
      <c r="AR20" s="186">
        <f>($C20*L20)*(1+'Datos de Entrada'!K$76)</f>
        <v>0</v>
      </c>
      <c r="AS20" s="186">
        <f>($C20*M20)*(1+'Datos de Entrada'!L$76)</f>
        <v>2174635.162001322</v>
      </c>
      <c r="AT20" s="186">
        <f>($C20*N20)*(1+'Datos de Entrada'!M$76)</f>
        <v>0</v>
      </c>
      <c r="AU20" s="186">
        <f>($C20*O20)*(1+'Datos de Entrada'!N$76)</f>
        <v>0</v>
      </c>
      <c r="AV20" s="186">
        <f>($C20*P20)*(1+'Datos de Entrada'!O$76)</f>
        <v>0</v>
      </c>
      <c r="AW20" s="186">
        <f>($C20*Q20)*(1+'Datos de Entrada'!P$76)</f>
        <v>0</v>
      </c>
      <c r="AX20" s="186">
        <f>($C20*R20)*(1+'Datos de Entrada'!Q$76)</f>
        <v>0</v>
      </c>
      <c r="AY20" s="186">
        <f>($C20*S20)*(1+'Datos de Entrada'!R$76)</f>
        <v>0</v>
      </c>
      <c r="AZ20" s="186">
        <f>($C20*T20)*(1+'Datos de Entrada'!S$76)</f>
        <v>0</v>
      </c>
      <c r="BA20" s="186">
        <f>($C20*U20)*(1+'Datos de Entrada'!T$76)</f>
        <v>0</v>
      </c>
      <c r="BB20" s="186">
        <f>($C20*V20)*(1+'Datos de Entrada'!U$76)</f>
        <v>0</v>
      </c>
      <c r="BC20" s="186">
        <f>($C20*W20)*(1+'Datos de Entrada'!V$76)</f>
        <v>3400043.4803084363</v>
      </c>
      <c r="BD20" s="186">
        <f>($C20*X20)*(1+'Datos de Entrada'!W$76)</f>
        <v>0</v>
      </c>
      <c r="BE20" s="186">
        <f>($C20*Y20)*(1+'Datos de Entrada'!X$76)</f>
        <v>0</v>
      </c>
      <c r="BF20" s="186">
        <f>($C20*Z20)*(1+'Datos de Entrada'!Y$76)</f>
        <v>0</v>
      </c>
      <c r="BG20" s="186">
        <f>($C20*AA20)*(1+'Datos de Entrada'!Z$76)</f>
        <v>0</v>
      </c>
      <c r="BH20" s="186">
        <f>($C20*AB20)*(1+'Datos de Entrada'!AA$76)</f>
        <v>0</v>
      </c>
      <c r="BI20" s="186">
        <f>($C20*AC20)*(1+'Datos de Entrada'!AB$76)</f>
        <v>0</v>
      </c>
      <c r="BJ20" s="186">
        <f>($C20*AD20)*(1+'Datos de Entrada'!AC$76)</f>
        <v>0</v>
      </c>
      <c r="BK20" s="186">
        <f>($C20*AE20)*(1+'Datos de Entrada'!AD$76)</f>
        <v>0</v>
      </c>
      <c r="BL20" s="186">
        <f>($C20*AF20)*(1+'Datos de Entrada'!AE$76)</f>
        <v>0</v>
      </c>
      <c r="BM20" s="186">
        <f>($C20*AG20)*(1+'Datos de Entrada'!AF$76)</f>
        <v>4682787.3779274514</v>
      </c>
      <c r="BN20" s="186">
        <f t="shared" ref="BN20:BN32" si="4">SUM(AJ20:BM20)</f>
        <v>17757761.220293954</v>
      </c>
    </row>
    <row r="21" spans="1:67" s="197" customFormat="1" ht="12.75" customHeight="1" x14ac:dyDescent="0.2">
      <c r="A21" s="190" t="s">
        <v>35</v>
      </c>
      <c r="B21" s="190" t="s">
        <v>33</v>
      </c>
      <c r="C21" s="195">
        <f>'Datos de Entrada'!H49*(1+'Datos de Entrada'!C45)</f>
        <v>89650</v>
      </c>
      <c r="D21" s="199">
        <f>2*[1]Parámetros!$E$24/[1]Parámetros!$C$28</f>
        <v>32.219842064941957</v>
      </c>
      <c r="E21" s="190"/>
      <c r="F21" s="190"/>
      <c r="G21" s="190"/>
      <c r="H21" s="198">
        <f>1*[1]Parámetros!$E$24/[1]Parámetros!$C$28</f>
        <v>16.109921032470979</v>
      </c>
      <c r="I21" s="190"/>
      <c r="J21" s="190"/>
      <c r="K21" s="190"/>
      <c r="L21" s="190"/>
      <c r="M21" s="198">
        <f>1*[1]Parámetros!$E$24/[1]Parámetros!$C$28</f>
        <v>16.109921032470979</v>
      </c>
      <c r="N21" s="190"/>
      <c r="O21" s="190"/>
      <c r="P21" s="190"/>
      <c r="Q21" s="190"/>
      <c r="R21" s="190"/>
      <c r="S21" s="190"/>
      <c r="T21" s="190"/>
      <c r="U21" s="190"/>
      <c r="V21" s="190"/>
      <c r="W21" s="198">
        <f>1*[1]Parámetros!$E$24/[1]Parámetros!$C$28</f>
        <v>16.109921032470979</v>
      </c>
      <c r="X21" s="190"/>
      <c r="Y21" s="190"/>
      <c r="Z21" s="190"/>
      <c r="AA21" s="190"/>
      <c r="AB21" s="190"/>
      <c r="AC21" s="190"/>
      <c r="AD21" s="190"/>
      <c r="AE21" s="190"/>
      <c r="AF21" s="190"/>
      <c r="AG21" s="198">
        <f>1*[1]Parámetros!$E$24/[1]Parámetros!$C$28</f>
        <v>16.109921032470979</v>
      </c>
      <c r="AH21" s="190"/>
      <c r="AI21" s="190"/>
      <c r="AJ21" s="186">
        <f>($C21*D21)*(1+'Datos de Entrada'!C$76)</f>
        <v>2888508.8411220466</v>
      </c>
      <c r="AK21" s="186">
        <f>($C21*E21)*(1+'Datos de Entrada'!D$76)</f>
        <v>0</v>
      </c>
      <c r="AL21" s="186">
        <f>($C21*F21)*(1+'Datos de Entrada'!E$76)</f>
        <v>0</v>
      </c>
      <c r="AM21" s="186">
        <f>($C21*G21)*(1+'Datos de Entrada'!F$76)</f>
        <v>0</v>
      </c>
      <c r="AN21" s="186">
        <f>($C21*H21)*(1+'Datos de Entrada'!G$76)</f>
        <v>1723277.5178126516</v>
      </c>
      <c r="AO21" s="186">
        <f>($C21*I21)*(1+'Datos de Entrada'!H$76)</f>
        <v>0</v>
      </c>
      <c r="AP21" s="186">
        <f>($C21*J21)*(1+'Datos de Entrada'!I$76)</f>
        <v>0</v>
      </c>
      <c r="AQ21" s="186">
        <f>($C21*K21)*(1+'Datos de Entrada'!J$76)</f>
        <v>0</v>
      </c>
      <c r="AR21" s="186">
        <f>($C21*L21)*(1+'Datos de Entrada'!K$76)</f>
        <v>0</v>
      </c>
      <c r="AS21" s="186">
        <f>($C21*M21)*(1+'Datos de Entrada'!L$76)</f>
        <v>2174635.162001322</v>
      </c>
      <c r="AT21" s="186">
        <f>($C21*N21)*(1+'Datos de Entrada'!M$76)</f>
        <v>0</v>
      </c>
      <c r="AU21" s="186">
        <f>($C21*O21)*(1+'Datos de Entrada'!N$76)</f>
        <v>0</v>
      </c>
      <c r="AV21" s="186">
        <f>($C21*P21)*(1+'Datos de Entrada'!O$76)</f>
        <v>0</v>
      </c>
      <c r="AW21" s="186">
        <f>($C21*Q21)*(1+'Datos de Entrada'!P$76)</f>
        <v>0</v>
      </c>
      <c r="AX21" s="186">
        <f>($C21*R21)*(1+'Datos de Entrada'!Q$76)</f>
        <v>0</v>
      </c>
      <c r="AY21" s="186">
        <f>($C21*S21)*(1+'Datos de Entrada'!R$76)</f>
        <v>0</v>
      </c>
      <c r="AZ21" s="186">
        <f>($C21*T21)*(1+'Datos de Entrada'!S$76)</f>
        <v>0</v>
      </c>
      <c r="BA21" s="186">
        <f>($C21*U21)*(1+'Datos de Entrada'!T$76)</f>
        <v>0</v>
      </c>
      <c r="BB21" s="186">
        <f>($C21*V21)*(1+'Datos de Entrada'!U$76)</f>
        <v>0</v>
      </c>
      <c r="BC21" s="186">
        <f>($C21*W21)*(1+'Datos de Entrada'!V$76)</f>
        <v>3400043.4803084363</v>
      </c>
      <c r="BD21" s="186">
        <f>($C21*X21)*(1+'Datos de Entrada'!W$76)</f>
        <v>0</v>
      </c>
      <c r="BE21" s="186">
        <f>($C21*Y21)*(1+'Datos de Entrada'!X$76)</f>
        <v>0</v>
      </c>
      <c r="BF21" s="186">
        <f>($C21*Z21)*(1+'Datos de Entrada'!Y$76)</f>
        <v>0</v>
      </c>
      <c r="BG21" s="186">
        <f>($C21*AA21)*(1+'Datos de Entrada'!Z$76)</f>
        <v>0</v>
      </c>
      <c r="BH21" s="186">
        <f>($C21*AB21)*(1+'Datos de Entrada'!AA$76)</f>
        <v>0</v>
      </c>
      <c r="BI21" s="186">
        <f>($C21*AC21)*(1+'Datos de Entrada'!AB$76)</f>
        <v>0</v>
      </c>
      <c r="BJ21" s="186">
        <f>($C21*AD21)*(1+'Datos de Entrada'!AC$76)</f>
        <v>0</v>
      </c>
      <c r="BK21" s="186">
        <f>($C21*AE21)*(1+'Datos de Entrada'!AD$76)</f>
        <v>0</v>
      </c>
      <c r="BL21" s="186">
        <f>($C21*AF21)*(1+'Datos de Entrada'!AE$76)</f>
        <v>0</v>
      </c>
      <c r="BM21" s="186">
        <f>($C21*AG21)*(1+'Datos de Entrada'!AF$76)</f>
        <v>4682787.3779274514</v>
      </c>
      <c r="BN21" s="186">
        <f t="shared" si="4"/>
        <v>14869252.379171908</v>
      </c>
    </row>
    <row r="22" spans="1:67" s="197" customFormat="1" ht="12.75" customHeight="1" x14ac:dyDescent="0.2">
      <c r="A22" s="190" t="s">
        <v>36</v>
      </c>
      <c r="B22" s="190" t="s">
        <v>33</v>
      </c>
      <c r="C22" s="195">
        <f>'Datos de Entrada'!H49*(1+'Datos de Entrada'!C45)</f>
        <v>89650</v>
      </c>
      <c r="D22" s="199">
        <f>1*[1]Parámetros!$E$24/[1]Parámetros!$C$28</f>
        <v>16.109921032470979</v>
      </c>
      <c r="E22" s="190"/>
      <c r="F22" s="190"/>
      <c r="G22" s="190"/>
      <c r="H22" s="198">
        <f>1*[1]Parámetros!$E$24/[1]Parámetros!$C$28</f>
        <v>16.109921032470979</v>
      </c>
      <c r="I22" s="190"/>
      <c r="J22" s="190"/>
      <c r="K22" s="190"/>
      <c r="L22" s="190"/>
      <c r="M22" s="198">
        <f>1*[1]Parámetros!$E$24/[1]Parámetros!$C$28</f>
        <v>16.109921032470979</v>
      </c>
      <c r="N22" s="190"/>
      <c r="O22" s="190"/>
      <c r="P22" s="190"/>
      <c r="Q22" s="190"/>
      <c r="R22" s="190"/>
      <c r="S22" s="190"/>
      <c r="T22" s="190"/>
      <c r="U22" s="190"/>
      <c r="V22" s="190"/>
      <c r="W22" s="198">
        <f>1*[1]Parámetros!$E$24/[1]Parámetros!$C$28</f>
        <v>16.109921032470979</v>
      </c>
      <c r="X22" s="190"/>
      <c r="Y22" s="190"/>
      <c r="Z22" s="190"/>
      <c r="AA22" s="190"/>
      <c r="AB22" s="190"/>
      <c r="AC22" s="190"/>
      <c r="AD22" s="190"/>
      <c r="AE22" s="190"/>
      <c r="AF22" s="190"/>
      <c r="AG22" s="198">
        <f>1*[1]Parámetros!$E$24/[1]Parámetros!$C$28</f>
        <v>16.109921032470979</v>
      </c>
      <c r="AH22" s="190"/>
      <c r="AI22" s="190"/>
      <c r="AJ22" s="186">
        <f>($C22*D22)*(1+'Datos de Entrada'!C$76)</f>
        <v>1444254.4205610233</v>
      </c>
      <c r="AK22" s="186">
        <f>($C22*E22)*(1+'Datos de Entrada'!D$76)</f>
        <v>0</v>
      </c>
      <c r="AL22" s="186">
        <f>($C22*F22)*(1+'Datos de Entrada'!E$76)</f>
        <v>0</v>
      </c>
      <c r="AM22" s="186">
        <f>($C22*G22)*(1+'Datos de Entrada'!F$76)</f>
        <v>0</v>
      </c>
      <c r="AN22" s="186">
        <f>($C22*H22)*(1+'Datos de Entrada'!G$76)</f>
        <v>1723277.5178126516</v>
      </c>
      <c r="AO22" s="186">
        <f>($C22*I22)*(1+'Datos de Entrada'!H$76)</f>
        <v>0</v>
      </c>
      <c r="AP22" s="186">
        <f>($C22*J22)*(1+'Datos de Entrada'!I$76)</f>
        <v>0</v>
      </c>
      <c r="AQ22" s="186">
        <f>($C22*K22)*(1+'Datos de Entrada'!J$76)</f>
        <v>0</v>
      </c>
      <c r="AR22" s="186">
        <f>($C22*L22)*(1+'Datos de Entrada'!K$76)</f>
        <v>0</v>
      </c>
      <c r="AS22" s="186">
        <f>($C22*M22)*(1+'Datos de Entrada'!L$76)</f>
        <v>2174635.162001322</v>
      </c>
      <c r="AT22" s="186">
        <f>($C22*N22)*(1+'Datos de Entrada'!M$76)</f>
        <v>0</v>
      </c>
      <c r="AU22" s="186">
        <f>($C22*O22)*(1+'Datos de Entrada'!N$76)</f>
        <v>0</v>
      </c>
      <c r="AV22" s="186">
        <f>($C22*P22)*(1+'Datos de Entrada'!O$76)</f>
        <v>0</v>
      </c>
      <c r="AW22" s="186">
        <f>($C22*Q22)*(1+'Datos de Entrada'!P$76)</f>
        <v>0</v>
      </c>
      <c r="AX22" s="186">
        <f>($C22*R22)*(1+'Datos de Entrada'!Q$76)</f>
        <v>0</v>
      </c>
      <c r="AY22" s="186">
        <f>($C22*S22)*(1+'Datos de Entrada'!R$76)</f>
        <v>0</v>
      </c>
      <c r="AZ22" s="186">
        <f>($C22*T22)*(1+'Datos de Entrada'!S$76)</f>
        <v>0</v>
      </c>
      <c r="BA22" s="186">
        <f>($C22*U22)*(1+'Datos de Entrada'!T$76)</f>
        <v>0</v>
      </c>
      <c r="BB22" s="186">
        <f>($C22*V22)*(1+'Datos de Entrada'!U$76)</f>
        <v>0</v>
      </c>
      <c r="BC22" s="186">
        <f>($C22*W22)*(1+'Datos de Entrada'!V$76)</f>
        <v>3400043.4803084363</v>
      </c>
      <c r="BD22" s="186">
        <f>($C22*X22)*(1+'Datos de Entrada'!W$76)</f>
        <v>0</v>
      </c>
      <c r="BE22" s="186">
        <f>($C22*Y22)*(1+'Datos de Entrada'!X$76)</f>
        <v>0</v>
      </c>
      <c r="BF22" s="186">
        <f>($C22*Z22)*(1+'Datos de Entrada'!Y$76)</f>
        <v>0</v>
      </c>
      <c r="BG22" s="186">
        <f>($C22*AA22)*(1+'Datos de Entrada'!Z$76)</f>
        <v>0</v>
      </c>
      <c r="BH22" s="186">
        <f>($C22*AB22)*(1+'Datos de Entrada'!AA$76)</f>
        <v>0</v>
      </c>
      <c r="BI22" s="186">
        <f>($C22*AC22)*(1+'Datos de Entrada'!AB$76)</f>
        <v>0</v>
      </c>
      <c r="BJ22" s="186">
        <f>($C22*AD22)*(1+'Datos de Entrada'!AC$76)</f>
        <v>0</v>
      </c>
      <c r="BK22" s="186">
        <f>($C22*AE22)*(1+'Datos de Entrada'!AD$76)</f>
        <v>0</v>
      </c>
      <c r="BL22" s="186">
        <f>($C22*AF22)*(1+'Datos de Entrada'!AE$76)</f>
        <v>0</v>
      </c>
      <c r="BM22" s="186">
        <f>($C22*AG22)*(1+'Datos de Entrada'!AF$76)</f>
        <v>4682787.3779274514</v>
      </c>
      <c r="BN22" s="186">
        <f t="shared" si="4"/>
        <v>13424997.958610885</v>
      </c>
    </row>
    <row r="23" spans="1:67" s="197" customFormat="1" ht="12.75" customHeight="1" x14ac:dyDescent="0.2">
      <c r="A23" s="190" t="s">
        <v>37</v>
      </c>
      <c r="B23" s="190" t="s">
        <v>33</v>
      </c>
      <c r="C23" s="195">
        <f>'Datos de Entrada'!H49*(1+'Datos de Entrada'!C45)</f>
        <v>89650</v>
      </c>
      <c r="D23" s="199">
        <f>1*[1]Parámetros!$E$24/[1]Parámetros!$C$28</f>
        <v>16.109921032470979</v>
      </c>
      <c r="E23" s="190"/>
      <c r="F23" s="190"/>
      <c r="G23" s="190"/>
      <c r="H23" s="198">
        <f>1*[1]Parámetros!$E$24/[1]Parámetros!$C$28</f>
        <v>16.109921032470979</v>
      </c>
      <c r="I23" s="190"/>
      <c r="J23" s="190"/>
      <c r="K23" s="190"/>
      <c r="L23" s="190"/>
      <c r="M23" s="198">
        <f>1*[1]Parámetros!$E$24/[1]Parámetros!$C$28</f>
        <v>16.109921032470979</v>
      </c>
      <c r="N23" s="190"/>
      <c r="O23" s="190"/>
      <c r="P23" s="190"/>
      <c r="Q23" s="190"/>
      <c r="R23" s="190"/>
      <c r="S23" s="190"/>
      <c r="T23" s="190"/>
      <c r="U23" s="190"/>
      <c r="V23" s="190"/>
      <c r="W23" s="198">
        <f>1*[1]Parámetros!$E$24/[1]Parámetros!$C$28</f>
        <v>16.109921032470979</v>
      </c>
      <c r="X23" s="190"/>
      <c r="Y23" s="190"/>
      <c r="Z23" s="190"/>
      <c r="AA23" s="190"/>
      <c r="AB23" s="190"/>
      <c r="AC23" s="190"/>
      <c r="AD23" s="190"/>
      <c r="AE23" s="190"/>
      <c r="AF23" s="190"/>
      <c r="AG23" s="198">
        <f>1*[1]Parámetros!$E$24/[1]Parámetros!$C$28</f>
        <v>16.109921032470979</v>
      </c>
      <c r="AH23" s="190"/>
      <c r="AI23" s="190"/>
      <c r="AJ23" s="186">
        <f>($C23*D23)*(1+'Datos de Entrada'!C$76)</f>
        <v>1444254.4205610233</v>
      </c>
      <c r="AK23" s="186">
        <f>($C23*E23)*(1+'Datos de Entrada'!D$76)</f>
        <v>0</v>
      </c>
      <c r="AL23" s="186">
        <f>($C23*F23)*(1+'Datos de Entrada'!E$76)</f>
        <v>0</v>
      </c>
      <c r="AM23" s="186">
        <f>($C23*G23)*(1+'Datos de Entrada'!F$76)</f>
        <v>0</v>
      </c>
      <c r="AN23" s="186">
        <f>($C23*H23)*(1+'Datos de Entrada'!G$76)</f>
        <v>1723277.5178126516</v>
      </c>
      <c r="AO23" s="186">
        <f>($C23*I23)*(1+'Datos de Entrada'!H$76)</f>
        <v>0</v>
      </c>
      <c r="AP23" s="186">
        <f>($C23*J23)*(1+'Datos de Entrada'!I$76)</f>
        <v>0</v>
      </c>
      <c r="AQ23" s="186">
        <f>($C23*K23)*(1+'Datos de Entrada'!J$76)</f>
        <v>0</v>
      </c>
      <c r="AR23" s="186">
        <f>($C23*L23)*(1+'Datos de Entrada'!K$76)</f>
        <v>0</v>
      </c>
      <c r="AS23" s="186">
        <f>($C23*M23)*(1+'Datos de Entrada'!L$76)</f>
        <v>2174635.162001322</v>
      </c>
      <c r="AT23" s="186">
        <f>($C23*N23)*(1+'Datos de Entrada'!M$76)</f>
        <v>0</v>
      </c>
      <c r="AU23" s="186">
        <f>($C23*O23)*(1+'Datos de Entrada'!N$76)</f>
        <v>0</v>
      </c>
      <c r="AV23" s="186">
        <f>($C23*P23)*(1+'Datos de Entrada'!O$76)</f>
        <v>0</v>
      </c>
      <c r="AW23" s="186">
        <f>($C23*Q23)*(1+'Datos de Entrada'!P$76)</f>
        <v>0</v>
      </c>
      <c r="AX23" s="186">
        <f>($C23*R23)*(1+'Datos de Entrada'!Q$76)</f>
        <v>0</v>
      </c>
      <c r="AY23" s="186">
        <f>($C23*S23)*(1+'Datos de Entrada'!R$76)</f>
        <v>0</v>
      </c>
      <c r="AZ23" s="186">
        <f>($C23*T23)*(1+'Datos de Entrada'!S$76)</f>
        <v>0</v>
      </c>
      <c r="BA23" s="186">
        <f>($C23*U23)*(1+'Datos de Entrada'!T$76)</f>
        <v>0</v>
      </c>
      <c r="BB23" s="186">
        <f>($C23*V23)*(1+'Datos de Entrada'!U$76)</f>
        <v>0</v>
      </c>
      <c r="BC23" s="186">
        <f>($C23*W23)*(1+'Datos de Entrada'!V$76)</f>
        <v>3400043.4803084363</v>
      </c>
      <c r="BD23" s="186">
        <f>($C23*X23)*(1+'Datos de Entrada'!W$76)</f>
        <v>0</v>
      </c>
      <c r="BE23" s="186">
        <f>($C23*Y23)*(1+'Datos de Entrada'!X$76)</f>
        <v>0</v>
      </c>
      <c r="BF23" s="186">
        <f>($C23*Z23)*(1+'Datos de Entrada'!Y$76)</f>
        <v>0</v>
      </c>
      <c r="BG23" s="186">
        <f>($C23*AA23)*(1+'Datos de Entrada'!Z$76)</f>
        <v>0</v>
      </c>
      <c r="BH23" s="186">
        <f>($C23*AB23)*(1+'Datos de Entrada'!AA$76)</f>
        <v>0</v>
      </c>
      <c r="BI23" s="186">
        <f>($C23*AC23)*(1+'Datos de Entrada'!AB$76)</f>
        <v>0</v>
      </c>
      <c r="BJ23" s="186">
        <f>($C23*AD23)*(1+'Datos de Entrada'!AC$76)</f>
        <v>0</v>
      </c>
      <c r="BK23" s="186">
        <f>($C23*AE23)*(1+'Datos de Entrada'!AD$76)</f>
        <v>0</v>
      </c>
      <c r="BL23" s="186">
        <f>($C23*AF23)*(1+'Datos de Entrada'!AE$76)</f>
        <v>0</v>
      </c>
      <c r="BM23" s="186">
        <f>($C23*AG23)*(1+'Datos de Entrada'!AF$76)</f>
        <v>4682787.3779274514</v>
      </c>
      <c r="BN23" s="186">
        <f t="shared" si="4"/>
        <v>13424997.958610885</v>
      </c>
    </row>
    <row r="24" spans="1:67" s="197" customFormat="1" ht="12.75" customHeight="1" x14ac:dyDescent="0.2">
      <c r="A24" s="190" t="s">
        <v>38</v>
      </c>
      <c r="B24" s="190" t="s">
        <v>39</v>
      </c>
      <c r="C24" s="195">
        <f>'Datos de Entrada'!H47*(1+'Datos de Entrada'!C45)</f>
        <v>143983.33333333331</v>
      </c>
      <c r="D24" s="199">
        <f>1*[1]Parámetros!$E$24/[1]Parámetros!$C$28</f>
        <v>16.109921032470979</v>
      </c>
      <c r="E24" s="190"/>
      <c r="F24" s="190"/>
      <c r="G24" s="190"/>
      <c r="H24" s="198">
        <f>1*[1]Parámetros!$E$24/[1]Parámetros!$C$28</f>
        <v>16.109921032470979</v>
      </c>
      <c r="I24" s="190"/>
      <c r="J24" s="190"/>
      <c r="K24" s="190"/>
      <c r="L24" s="190"/>
      <c r="M24" s="198">
        <f>1*[1]Parámetros!$E$24/[1]Parámetros!$C$28</f>
        <v>16.109921032470979</v>
      </c>
      <c r="N24" s="190"/>
      <c r="O24" s="190"/>
      <c r="P24" s="190"/>
      <c r="Q24" s="190"/>
      <c r="R24" s="190"/>
      <c r="S24" s="190"/>
      <c r="T24" s="190"/>
      <c r="U24" s="190"/>
      <c r="V24" s="190"/>
      <c r="W24" s="198">
        <f>1*[1]Parámetros!$E$24/[1]Parámetros!$C$28</f>
        <v>16.109921032470979</v>
      </c>
      <c r="X24" s="190"/>
      <c r="Y24" s="190"/>
      <c r="Z24" s="190"/>
      <c r="AA24" s="190"/>
      <c r="AB24" s="190"/>
      <c r="AC24" s="190"/>
      <c r="AD24" s="190"/>
      <c r="AE24" s="190"/>
      <c r="AF24" s="190"/>
      <c r="AG24" s="198">
        <f>1*[1]Parámetros!$E$24/[1]Parámetros!$C$28</f>
        <v>16.109921032470979</v>
      </c>
      <c r="AH24" s="190"/>
      <c r="AI24" s="190"/>
      <c r="AJ24" s="186">
        <f>($C24*D24)*(1+'Datos de Entrada'!C$76)</f>
        <v>2319560.1299919463</v>
      </c>
      <c r="AK24" s="186">
        <f>($C24*E24)*(1+'Datos de Entrada'!D$76)</f>
        <v>0</v>
      </c>
      <c r="AL24" s="186">
        <f>($C24*F24)*(1+'Datos de Entrada'!E$76)</f>
        <v>0</v>
      </c>
      <c r="AM24" s="186">
        <f>($C24*G24)*(1+'Datos de Entrada'!F$76)</f>
        <v>0</v>
      </c>
      <c r="AN24" s="186">
        <f>($C24*H24)*(1+'Datos de Entrada'!G$76)</f>
        <v>2767688.1346688038</v>
      </c>
      <c r="AO24" s="186">
        <f>($C24*I24)*(1+'Datos de Entrada'!H$76)</f>
        <v>0</v>
      </c>
      <c r="AP24" s="186">
        <f>($C24*J24)*(1+'Datos de Entrada'!I$76)</f>
        <v>0</v>
      </c>
      <c r="AQ24" s="186">
        <f>($C24*K24)*(1+'Datos de Entrada'!J$76)</f>
        <v>0</v>
      </c>
      <c r="AR24" s="186">
        <f>($C24*L24)*(1+'Datos de Entrada'!K$76)</f>
        <v>0</v>
      </c>
      <c r="AS24" s="186">
        <f>($C24*M24)*(1+'Datos de Entrada'!L$76)</f>
        <v>3492595.8662445475</v>
      </c>
      <c r="AT24" s="186">
        <f>($C24*N24)*(1+'Datos de Entrada'!M$76)</f>
        <v>0</v>
      </c>
      <c r="AU24" s="186">
        <f>($C24*O24)*(1+'Datos de Entrada'!N$76)</f>
        <v>0</v>
      </c>
      <c r="AV24" s="186">
        <f>($C24*P24)*(1+'Datos de Entrada'!O$76)</f>
        <v>0</v>
      </c>
      <c r="AW24" s="186">
        <f>($C24*Q24)*(1+'Datos de Entrada'!P$76)</f>
        <v>0</v>
      </c>
      <c r="AX24" s="186">
        <f>($C24*R24)*(1+'Datos de Entrada'!Q$76)</f>
        <v>0</v>
      </c>
      <c r="AY24" s="186">
        <f>($C24*S24)*(1+'Datos de Entrada'!R$76)</f>
        <v>0</v>
      </c>
      <c r="AZ24" s="186">
        <f>($C24*T24)*(1+'Datos de Entrada'!S$76)</f>
        <v>0</v>
      </c>
      <c r="BA24" s="186">
        <f>($C24*U24)*(1+'Datos de Entrada'!T$76)</f>
        <v>0</v>
      </c>
      <c r="BB24" s="186">
        <f>($C24*V24)*(1+'Datos de Entrada'!U$76)</f>
        <v>0</v>
      </c>
      <c r="BC24" s="186">
        <f>($C24*W24)*(1+'Datos de Entrada'!V$76)</f>
        <v>5460675.8926165793</v>
      </c>
      <c r="BD24" s="186">
        <f>($C24*X24)*(1+'Datos de Entrada'!W$76)</f>
        <v>0</v>
      </c>
      <c r="BE24" s="186">
        <f>($C24*Y24)*(1+'Datos de Entrada'!X$76)</f>
        <v>0</v>
      </c>
      <c r="BF24" s="186">
        <f>($C24*Z24)*(1+'Datos de Entrada'!Y$76)</f>
        <v>0</v>
      </c>
      <c r="BG24" s="186">
        <f>($C24*AA24)*(1+'Datos de Entrada'!Z$76)</f>
        <v>0</v>
      </c>
      <c r="BH24" s="186">
        <f>($C24*AB24)*(1+'Datos de Entrada'!AA$76)</f>
        <v>0</v>
      </c>
      <c r="BI24" s="186">
        <f>($C24*AC24)*(1+'Datos de Entrada'!AB$76)</f>
        <v>0</v>
      </c>
      <c r="BJ24" s="186">
        <f>($C24*AD24)*(1+'Datos de Entrada'!AC$76)</f>
        <v>0</v>
      </c>
      <c r="BK24" s="186">
        <f>($C24*AE24)*(1+'Datos de Entrada'!AD$76)</f>
        <v>0</v>
      </c>
      <c r="BL24" s="186">
        <f>($C24*AF24)*(1+'Datos de Entrada'!AE$76)</f>
        <v>0</v>
      </c>
      <c r="BM24" s="186">
        <f>($C24*AG24)*(1+'Datos de Entrada'!AF$76)</f>
        <v>7520840.3342471188</v>
      </c>
      <c r="BN24" s="186">
        <f t="shared" si="4"/>
        <v>21561360.357768994</v>
      </c>
    </row>
    <row r="25" spans="1:67" s="197" customFormat="1" ht="12.75" customHeight="1" x14ac:dyDescent="0.2">
      <c r="A25" s="190" t="s">
        <v>40</v>
      </c>
      <c r="B25" s="190" t="s">
        <v>41</v>
      </c>
      <c r="C25" s="195">
        <f>'Equipos y Herramientas'!C8</f>
        <v>950</v>
      </c>
      <c r="D25" s="199">
        <f>+[1]Parámetros!E24*[1]Parámetros!C31</f>
        <v>25775.873651953563</v>
      </c>
      <c r="E25" s="190"/>
      <c r="F25" s="190"/>
      <c r="G25" s="190"/>
      <c r="H25" s="198">
        <f>[1]Parámetros!$C$35*$D$25</f>
        <v>7732.7620955860684</v>
      </c>
      <c r="I25" s="190"/>
      <c r="J25" s="190"/>
      <c r="K25" s="190"/>
      <c r="L25" s="190"/>
      <c r="M25" s="198">
        <f>[1]Parámetros!$C$35*$D$25</f>
        <v>7732.7620955860684</v>
      </c>
      <c r="N25" s="190"/>
      <c r="O25" s="190"/>
      <c r="P25" s="190"/>
      <c r="Q25" s="190"/>
      <c r="R25" s="190"/>
      <c r="S25" s="190"/>
      <c r="T25" s="190"/>
      <c r="U25" s="190"/>
      <c r="V25" s="190"/>
      <c r="W25" s="198">
        <f>[1]Parámetros!$C$35*$D$25</f>
        <v>7732.7620955860684</v>
      </c>
      <c r="X25" s="190"/>
      <c r="Y25" s="190"/>
      <c r="Z25" s="190"/>
      <c r="AA25" s="190"/>
      <c r="AB25" s="190"/>
      <c r="AC25" s="190"/>
      <c r="AD25" s="190"/>
      <c r="AE25" s="190"/>
      <c r="AF25" s="190"/>
      <c r="AG25" s="198">
        <f>[1]Parámetros!$C$35*$D$25</f>
        <v>7732.7620955860684</v>
      </c>
      <c r="AH25" s="190"/>
      <c r="AI25" s="190"/>
      <c r="AJ25" s="186">
        <f>($C25*D25)*(1+'Datos de Entrada'!C$76)</f>
        <v>24487079.969355885</v>
      </c>
      <c r="AK25" s="186">
        <f>($C25*E25)*(1+'Datos de Entrada'!D$76)</f>
        <v>0</v>
      </c>
      <c r="AL25" s="186">
        <f>($C25*F25)*(1+'Datos de Entrada'!E$76)</f>
        <v>0</v>
      </c>
      <c r="AM25" s="186">
        <f>($C25*G25)*(1+'Datos de Entrada'!F$76)</f>
        <v>0</v>
      </c>
      <c r="AN25" s="186">
        <f>($C25*H25)*(1+'Datos de Entrada'!G$76)</f>
        <v>8765360.2690749466</v>
      </c>
      <c r="AO25" s="186">
        <f>($C25*I25)*(1+'Datos de Entrada'!H$76)</f>
        <v>0</v>
      </c>
      <c r="AP25" s="186">
        <f>($C25*J25)*(1+'Datos de Entrada'!I$76)</f>
        <v>0</v>
      </c>
      <c r="AQ25" s="186">
        <f>($C25*K25)*(1+'Datos de Entrada'!J$76)</f>
        <v>0</v>
      </c>
      <c r="AR25" s="186">
        <f>($C25*L25)*(1+'Datos de Entrada'!K$76)</f>
        <v>0</v>
      </c>
      <c r="AS25" s="186">
        <f>($C25*M25)*(1+'Datos de Entrada'!L$76)</f>
        <v>11061167.137452345</v>
      </c>
      <c r="AT25" s="186">
        <f>($C25*N25)*(1+'Datos de Entrada'!M$76)</f>
        <v>0</v>
      </c>
      <c r="AU25" s="186">
        <f>($C25*O25)*(1+'Datos de Entrada'!N$76)</f>
        <v>0</v>
      </c>
      <c r="AV25" s="186">
        <f>($C25*P25)*(1+'Datos de Entrada'!O$76)</f>
        <v>0</v>
      </c>
      <c r="AW25" s="186">
        <f>($C25*Q25)*(1+'Datos de Entrada'!P$76)</f>
        <v>0</v>
      </c>
      <c r="AX25" s="186">
        <f>($C25*R25)*(1+'Datos de Entrada'!Q$76)</f>
        <v>0</v>
      </c>
      <c r="AY25" s="186">
        <f>($C25*S25)*(1+'Datos de Entrada'!R$76)</f>
        <v>0</v>
      </c>
      <c r="AZ25" s="186">
        <f>($C25*T25)*(1+'Datos de Entrada'!S$76)</f>
        <v>0</v>
      </c>
      <c r="BA25" s="186">
        <f>($C25*U25)*(1+'Datos de Entrada'!T$76)</f>
        <v>0</v>
      </c>
      <c r="BB25" s="186">
        <f>($C25*V25)*(1+'Datos de Entrada'!U$76)</f>
        <v>0</v>
      </c>
      <c r="BC25" s="186">
        <f>($C25*W25)*(1+'Datos de Entrada'!V$76)</f>
        <v>17294141.963420488</v>
      </c>
      <c r="BD25" s="186">
        <f>($C25*X25)*(1+'Datos de Entrada'!W$76)</f>
        <v>0</v>
      </c>
      <c r="BE25" s="186">
        <f>($C25*Y25)*(1+'Datos de Entrada'!X$76)</f>
        <v>0</v>
      </c>
      <c r="BF25" s="186">
        <f>($C25*Z25)*(1+'Datos de Entrada'!Y$76)</f>
        <v>0</v>
      </c>
      <c r="BG25" s="186">
        <f>($C25*AA25)*(1+'Datos de Entrada'!Z$76)</f>
        <v>0</v>
      </c>
      <c r="BH25" s="186">
        <f>($C25*AB25)*(1+'Datos de Entrada'!AA$76)</f>
        <v>0</v>
      </c>
      <c r="BI25" s="186">
        <f>($C25*AC25)*(1+'Datos de Entrada'!AB$76)</f>
        <v>0</v>
      </c>
      <c r="BJ25" s="186">
        <f>($C25*AD25)*(1+'Datos de Entrada'!AC$76)</f>
        <v>0</v>
      </c>
      <c r="BK25" s="186">
        <f>($C25*AE25)*(1+'Datos de Entrada'!AD$76)</f>
        <v>0</v>
      </c>
      <c r="BL25" s="186">
        <f>($C25*AF25)*(1+'Datos de Entrada'!AE$76)</f>
        <v>0</v>
      </c>
      <c r="BM25" s="186">
        <f>($C25*AG25)*(1+'Datos de Entrada'!AF$76)</f>
        <v>23818751.191688985</v>
      </c>
      <c r="BN25" s="186">
        <f t="shared" si="4"/>
        <v>85426500.530992657</v>
      </c>
    </row>
    <row r="26" spans="1:67" s="197" customFormat="1" ht="12.75" customHeight="1" x14ac:dyDescent="0.2">
      <c r="A26" s="190" t="s">
        <v>42</v>
      </c>
      <c r="B26" s="190" t="s">
        <v>43</v>
      </c>
      <c r="C26" s="195">
        <f>'Equipos y Herramientas'!C9</f>
        <v>35000</v>
      </c>
      <c r="D26" s="199">
        <f>+[1]Parámetros!E24/[1]Parámetros!C30</f>
        <v>2147.9894709961304</v>
      </c>
      <c r="E26" s="190"/>
      <c r="F26" s="190"/>
      <c r="G26" s="190"/>
      <c r="H26" s="198">
        <f>[1]Parámetros!$C$35*$D$26</f>
        <v>644.39684129883915</v>
      </c>
      <c r="I26" s="200"/>
      <c r="J26" s="200"/>
      <c r="K26" s="200"/>
      <c r="L26" s="200"/>
      <c r="M26" s="198">
        <f>[1]Parámetros!$C$35*$D$26</f>
        <v>644.39684129883915</v>
      </c>
      <c r="N26" s="200"/>
      <c r="O26" s="200"/>
      <c r="P26" s="200"/>
      <c r="Q26" s="200"/>
      <c r="R26" s="200"/>
      <c r="S26" s="200"/>
      <c r="T26" s="200"/>
      <c r="U26" s="200"/>
      <c r="V26" s="200"/>
      <c r="W26" s="198">
        <f>[1]Parámetros!$C$35*$D$26</f>
        <v>644.39684129883915</v>
      </c>
      <c r="X26" s="200"/>
      <c r="Y26" s="200"/>
      <c r="Z26" s="200"/>
      <c r="AA26" s="200"/>
      <c r="AB26" s="200"/>
      <c r="AC26" s="200"/>
      <c r="AD26" s="200"/>
      <c r="AE26" s="200"/>
      <c r="AF26" s="200"/>
      <c r="AG26" s="198">
        <f>[1]Parámetros!$C$35*$D$26</f>
        <v>644.39684129883915</v>
      </c>
      <c r="AH26" s="190"/>
      <c r="AI26" s="190"/>
      <c r="AJ26" s="186">
        <f>($C26*D26)*(1+'Datos de Entrada'!C$76)</f>
        <v>75179631.484864563</v>
      </c>
      <c r="AK26" s="186">
        <f>($C26*E26)*(1+'Datos de Entrada'!D$76)</f>
        <v>0</v>
      </c>
      <c r="AL26" s="186">
        <f>($C26*F26)*(1+'Datos de Entrada'!E$76)</f>
        <v>0</v>
      </c>
      <c r="AM26" s="186">
        <f>($C26*G26)*(1+'Datos de Entrada'!F$76)</f>
        <v>0</v>
      </c>
      <c r="AN26" s="186">
        <f>($C26*H26)*(1+'Datos de Entrada'!G$76)</f>
        <v>26911193.808563437</v>
      </c>
      <c r="AO26" s="186">
        <f>($C26*I26)*(1+'Datos de Entrada'!H$76)</f>
        <v>0</v>
      </c>
      <c r="AP26" s="186">
        <f>($C26*J26)*(1+'Datos de Entrada'!I$76)</f>
        <v>0</v>
      </c>
      <c r="AQ26" s="186">
        <f>($C26*K26)*(1+'Datos de Entrada'!J$76)</f>
        <v>0</v>
      </c>
      <c r="AR26" s="186">
        <f>($C26*L26)*(1+'Datos de Entrada'!K$76)</f>
        <v>0</v>
      </c>
      <c r="AS26" s="186">
        <f>($C26*M26)*(1+'Datos de Entrada'!L$76)</f>
        <v>33959723.667616852</v>
      </c>
      <c r="AT26" s="186">
        <f>($C26*N26)*(1+'Datos de Entrada'!M$76)</f>
        <v>0</v>
      </c>
      <c r="AU26" s="186">
        <f>($C26*O26)*(1+'Datos de Entrada'!N$76)</f>
        <v>0</v>
      </c>
      <c r="AV26" s="186">
        <f>($C26*P26)*(1+'Datos de Entrada'!O$76)</f>
        <v>0</v>
      </c>
      <c r="AW26" s="186">
        <f>($C26*Q26)*(1+'Datos de Entrada'!P$76)</f>
        <v>0</v>
      </c>
      <c r="AX26" s="186">
        <f>($C26*R26)*(1+'Datos de Entrada'!Q$76)</f>
        <v>0</v>
      </c>
      <c r="AY26" s="186">
        <f>($C26*S26)*(1+'Datos de Entrada'!R$76)</f>
        <v>0</v>
      </c>
      <c r="AZ26" s="186">
        <f>($C26*T26)*(1+'Datos de Entrada'!S$76)</f>
        <v>0</v>
      </c>
      <c r="BA26" s="186">
        <f>($C26*U26)*(1+'Datos de Entrada'!T$76)</f>
        <v>0</v>
      </c>
      <c r="BB26" s="186">
        <f>($C26*V26)*(1+'Datos de Entrada'!U$76)</f>
        <v>0</v>
      </c>
      <c r="BC26" s="186">
        <f>($C26*W26)*(1+'Datos de Entrada'!V$76)</f>
        <v>53096049.887694485</v>
      </c>
      <c r="BD26" s="186">
        <f>($C26*X26)*(1+'Datos de Entrada'!W$76)</f>
        <v>0</v>
      </c>
      <c r="BE26" s="186">
        <f>($C26*Y26)*(1+'Datos de Entrada'!X$76)</f>
        <v>0</v>
      </c>
      <c r="BF26" s="186">
        <f>($C26*Z26)*(1+'Datos de Entrada'!Y$76)</f>
        <v>0</v>
      </c>
      <c r="BG26" s="186">
        <f>($C26*AA26)*(1+'Datos de Entrada'!Z$76)</f>
        <v>0</v>
      </c>
      <c r="BH26" s="186">
        <f>($C26*AB26)*(1+'Datos de Entrada'!AA$76)</f>
        <v>0</v>
      </c>
      <c r="BI26" s="186">
        <f>($C26*AC26)*(1+'Datos de Entrada'!AB$76)</f>
        <v>0</v>
      </c>
      <c r="BJ26" s="186">
        <f>($C26*AD26)*(1+'Datos de Entrada'!AC$76)</f>
        <v>0</v>
      </c>
      <c r="BK26" s="186">
        <f>($C26*AE26)*(1+'Datos de Entrada'!AD$76)</f>
        <v>0</v>
      </c>
      <c r="BL26" s="186">
        <f>($C26*AF26)*(1+'Datos de Entrada'!AE$76)</f>
        <v>0</v>
      </c>
      <c r="BM26" s="186">
        <f>($C26*AG26)*(1+'Datos de Entrada'!AF$76)</f>
        <v>73127744.886764437</v>
      </c>
      <c r="BN26" s="186">
        <f t="shared" si="4"/>
        <v>262274343.73550376</v>
      </c>
    </row>
    <row r="27" spans="1:67" s="197" customFormat="1" ht="12.75" customHeight="1" x14ac:dyDescent="0.2">
      <c r="A27" s="190" t="s">
        <v>44</v>
      </c>
      <c r="B27" s="190" t="s">
        <v>43</v>
      </c>
      <c r="C27" s="195">
        <f>'Equipos y Herramientas'!C10</f>
        <v>38000</v>
      </c>
      <c r="D27" s="199">
        <f>+[1]Parámetros!E24/[1]Parámetros!C32</f>
        <v>214.79894709961303</v>
      </c>
      <c r="E27" s="190">
        <v>30</v>
      </c>
      <c r="F27" s="190"/>
      <c r="G27" s="190"/>
      <c r="H27" s="198">
        <f>[1]Parámetros!$C$35*$D$27</f>
        <v>64.439684129883901</v>
      </c>
      <c r="I27" s="200"/>
      <c r="J27" s="200"/>
      <c r="K27" s="200"/>
      <c r="L27" s="200"/>
      <c r="M27" s="198">
        <f>[1]Parámetros!$C$35*$D$27</f>
        <v>64.439684129883901</v>
      </c>
      <c r="N27" s="200"/>
      <c r="O27" s="200"/>
      <c r="P27" s="200"/>
      <c r="Q27" s="200"/>
      <c r="R27" s="200"/>
      <c r="S27" s="200"/>
      <c r="T27" s="200"/>
      <c r="U27" s="200"/>
      <c r="V27" s="200"/>
      <c r="W27" s="198">
        <f>[1]Parámetros!$C$35*$D$27</f>
        <v>64.439684129883901</v>
      </c>
      <c r="X27" s="200"/>
      <c r="Y27" s="200"/>
      <c r="Z27" s="200"/>
      <c r="AA27" s="200"/>
      <c r="AB27" s="200"/>
      <c r="AC27" s="200"/>
      <c r="AD27" s="200"/>
      <c r="AE27" s="200"/>
      <c r="AF27" s="200"/>
      <c r="AG27" s="198">
        <f>[1]Parámetros!$C$35*$D$27</f>
        <v>64.439684129883901</v>
      </c>
      <c r="AH27" s="190"/>
      <c r="AI27" s="190"/>
      <c r="AJ27" s="186">
        <f>($C27*D27)*(1+'Datos de Entrada'!C$76)</f>
        <v>8162359.989785295</v>
      </c>
      <c r="AK27" s="186">
        <f>($C27*E27)*(1+'Datos de Entrada'!D$76)</f>
        <v>1189947.5818415585</v>
      </c>
      <c r="AL27" s="186">
        <f>($C27*F27)*(1+'Datos de Entrada'!E$76)</f>
        <v>0</v>
      </c>
      <c r="AM27" s="186">
        <f>($C27*G27)*(1+'Datos de Entrada'!F$76)</f>
        <v>0</v>
      </c>
      <c r="AN27" s="186">
        <f>($C27*H27)*(1+'Datos de Entrada'!G$76)</f>
        <v>2921786.7563583152</v>
      </c>
      <c r="AO27" s="186">
        <f>($C27*I27)*(1+'Datos de Entrada'!H$76)</f>
        <v>0</v>
      </c>
      <c r="AP27" s="186">
        <f>($C27*J27)*(1+'Datos de Entrada'!I$76)</f>
        <v>0</v>
      </c>
      <c r="AQ27" s="186">
        <f>($C27*K27)*(1+'Datos de Entrada'!J$76)</f>
        <v>0</v>
      </c>
      <c r="AR27" s="186">
        <f>($C27*L27)*(1+'Datos de Entrada'!K$76)</f>
        <v>0</v>
      </c>
      <c r="AS27" s="186">
        <f>($C27*M27)*(1+'Datos de Entrada'!L$76)</f>
        <v>3687055.7124841148</v>
      </c>
      <c r="AT27" s="186">
        <f>($C27*N27)*(1+'Datos de Entrada'!M$76)</f>
        <v>0</v>
      </c>
      <c r="AU27" s="186">
        <f>($C27*O27)*(1+'Datos de Entrada'!N$76)</f>
        <v>0</v>
      </c>
      <c r="AV27" s="186">
        <f>($C27*P27)*(1+'Datos de Entrada'!O$76)</f>
        <v>0</v>
      </c>
      <c r="AW27" s="186">
        <f>($C27*Q27)*(1+'Datos de Entrada'!P$76)</f>
        <v>0</v>
      </c>
      <c r="AX27" s="186">
        <f>($C27*R27)*(1+'Datos de Entrada'!Q$76)</f>
        <v>0</v>
      </c>
      <c r="AY27" s="186">
        <f>($C27*S27)*(1+'Datos de Entrada'!R$76)</f>
        <v>0</v>
      </c>
      <c r="AZ27" s="186">
        <f>($C27*T27)*(1+'Datos de Entrada'!S$76)</f>
        <v>0</v>
      </c>
      <c r="BA27" s="186">
        <f>($C27*U27)*(1+'Datos de Entrada'!T$76)</f>
        <v>0</v>
      </c>
      <c r="BB27" s="186">
        <f>($C27*V27)*(1+'Datos de Entrada'!U$76)</f>
        <v>0</v>
      </c>
      <c r="BC27" s="186">
        <f>($C27*W27)*(1+'Datos de Entrada'!V$76)</f>
        <v>5764713.9878068296</v>
      </c>
      <c r="BD27" s="186">
        <f>($C27*X27)*(1+'Datos de Entrada'!W$76)</f>
        <v>0</v>
      </c>
      <c r="BE27" s="186">
        <f>($C27*Y27)*(1+'Datos de Entrada'!X$76)</f>
        <v>0</v>
      </c>
      <c r="BF27" s="186">
        <f>($C27*Z27)*(1+'Datos de Entrada'!Y$76)</f>
        <v>0</v>
      </c>
      <c r="BG27" s="186">
        <f>($C27*AA27)*(1+'Datos de Entrada'!Z$76)</f>
        <v>0</v>
      </c>
      <c r="BH27" s="186">
        <f>($C27*AB27)*(1+'Datos de Entrada'!AA$76)</f>
        <v>0</v>
      </c>
      <c r="BI27" s="186">
        <f>($C27*AC27)*(1+'Datos de Entrada'!AB$76)</f>
        <v>0</v>
      </c>
      <c r="BJ27" s="186">
        <f>($C27*AD27)*(1+'Datos de Entrada'!AC$76)</f>
        <v>0</v>
      </c>
      <c r="BK27" s="186">
        <f>($C27*AE27)*(1+'Datos de Entrada'!AD$76)</f>
        <v>0</v>
      </c>
      <c r="BL27" s="186">
        <f>($C27*AF27)*(1+'Datos de Entrada'!AE$76)</f>
        <v>0</v>
      </c>
      <c r="BM27" s="186">
        <f>($C27*AG27)*(1+'Datos de Entrada'!AF$76)</f>
        <v>7939583.7305629952</v>
      </c>
      <c r="BN27" s="186">
        <f t="shared" si="4"/>
        <v>29665447.758839108</v>
      </c>
    </row>
    <row r="28" spans="1:67" s="197" customFormat="1" ht="12.75" customHeight="1" x14ac:dyDescent="0.2">
      <c r="A28" s="190" t="s">
        <v>45</v>
      </c>
      <c r="B28" s="190" t="s">
        <v>46</v>
      </c>
      <c r="C28" s="195">
        <f>'Equipos y Herramientas'!C11</f>
        <v>10450</v>
      </c>
      <c r="D28" s="199">
        <f>4*(D26+D27)/[1]Parámetros!C33</f>
        <v>41.091972488621629</v>
      </c>
      <c r="E28" s="190">
        <f>+E27*'Datos de Entrada'!D11</f>
        <v>19.853889127632144</v>
      </c>
      <c r="F28" s="190"/>
      <c r="G28" s="190"/>
      <c r="H28" s="198">
        <f>[1]Parámetros!$C$35*$D$28</f>
        <v>12.327591746586489</v>
      </c>
      <c r="I28" s="200"/>
      <c r="J28" s="200"/>
      <c r="K28" s="200"/>
      <c r="L28" s="200"/>
      <c r="M28" s="198">
        <f>[1]Parámetros!$C$35*$D$28</f>
        <v>12.327591746586489</v>
      </c>
      <c r="N28" s="200"/>
      <c r="O28" s="200"/>
      <c r="P28" s="200"/>
      <c r="Q28" s="200"/>
      <c r="R28" s="200"/>
      <c r="S28" s="200"/>
      <c r="T28" s="200"/>
      <c r="U28" s="200"/>
      <c r="V28" s="200"/>
      <c r="W28" s="198">
        <f>[1]Parámetros!$C$35*$D$28</f>
        <v>12.327591746586489</v>
      </c>
      <c r="X28" s="200"/>
      <c r="Y28" s="200"/>
      <c r="Z28" s="200"/>
      <c r="AA28" s="200"/>
      <c r="AB28" s="200"/>
      <c r="AC28" s="200"/>
      <c r="AD28" s="200"/>
      <c r="AE28" s="200"/>
      <c r="AF28" s="200"/>
      <c r="AG28" s="198">
        <f>[1]Parámetros!$C$35*$D$28</f>
        <v>12.327591746586489</v>
      </c>
      <c r="AH28" s="190"/>
      <c r="AI28" s="190"/>
      <c r="AJ28" s="186">
        <f>($C28*D28)*(1+'Datos de Entrada'!C$76)</f>
        <v>429411.11250609602</v>
      </c>
      <c r="AK28" s="186">
        <f>($C28*E28)*(1+'Datos de Entrada'!D$76)</f>
        <v>216563.30077778257</v>
      </c>
      <c r="AL28" s="186">
        <f>($C28*F28)*(1+'Datos de Entrada'!E$76)</f>
        <v>0</v>
      </c>
      <c r="AM28" s="186">
        <f>($C28*G28)*(1+'Datos de Entrada'!F$76)</f>
        <v>0</v>
      </c>
      <c r="AN28" s="186">
        <f>($C28*H28)*(1+'Datos de Entrada'!G$76)</f>
        <v>153711.39022580706</v>
      </c>
      <c r="AO28" s="186">
        <f>($C28*I28)*(1+'Datos de Entrada'!H$76)</f>
        <v>0</v>
      </c>
      <c r="AP28" s="186">
        <f>($C28*J28)*(1+'Datos de Entrada'!I$76)</f>
        <v>0</v>
      </c>
      <c r="AQ28" s="186">
        <f>($C28*K28)*(1+'Datos de Entrada'!J$76)</f>
        <v>0</v>
      </c>
      <c r="AR28" s="186">
        <f>($C28*L28)*(1+'Datos de Entrada'!K$76)</f>
        <v>0</v>
      </c>
      <c r="AS28" s="186">
        <f>($C28*M28)*(1+'Datos de Entrada'!L$76)</f>
        <v>193971.19183068609</v>
      </c>
      <c r="AT28" s="186">
        <f>($C28*N28)*(1+'Datos de Entrada'!M$76)</f>
        <v>0</v>
      </c>
      <c r="AU28" s="186">
        <f>($C28*O28)*(1+'Datos de Entrada'!N$76)</f>
        <v>0</v>
      </c>
      <c r="AV28" s="186">
        <f>($C28*P28)*(1+'Datos de Entrada'!O$76)</f>
        <v>0</v>
      </c>
      <c r="AW28" s="186">
        <f>($C28*Q28)*(1+'Datos de Entrada'!P$76)</f>
        <v>0</v>
      </c>
      <c r="AX28" s="186">
        <f>($C28*R28)*(1+'Datos de Entrada'!Q$76)</f>
        <v>0</v>
      </c>
      <c r="AY28" s="186">
        <f>($C28*S28)*(1+'Datos de Entrada'!R$76)</f>
        <v>0</v>
      </c>
      <c r="AZ28" s="186">
        <f>($C28*T28)*(1+'Datos de Entrada'!S$76)</f>
        <v>0</v>
      </c>
      <c r="BA28" s="186">
        <f>($C28*U28)*(1+'Datos de Entrada'!T$76)</f>
        <v>0</v>
      </c>
      <c r="BB28" s="186">
        <f>($C28*V28)*(1+'Datos de Entrada'!U$76)</f>
        <v>0</v>
      </c>
      <c r="BC28" s="186">
        <f>($C28*W28)*(1+'Datos de Entrada'!V$76)</f>
        <v>303274.08370635932</v>
      </c>
      <c r="BD28" s="186">
        <f>($C28*X28)*(1+'Datos de Entrada'!W$76)</f>
        <v>0</v>
      </c>
      <c r="BE28" s="186">
        <f>($C28*Y28)*(1+'Datos de Entrada'!X$76)</f>
        <v>0</v>
      </c>
      <c r="BF28" s="186">
        <f>($C28*Z28)*(1+'Datos de Entrada'!Y$76)</f>
        <v>0</v>
      </c>
      <c r="BG28" s="186">
        <f>($C28*AA28)*(1+'Datos de Entrada'!Z$76)</f>
        <v>0</v>
      </c>
      <c r="BH28" s="186">
        <f>($C28*AB28)*(1+'Datos de Entrada'!AA$76)</f>
        <v>0</v>
      </c>
      <c r="BI28" s="186">
        <f>($C28*AC28)*(1+'Datos de Entrada'!AB$76)</f>
        <v>0</v>
      </c>
      <c r="BJ28" s="186">
        <f>($C28*AD28)*(1+'Datos de Entrada'!AC$76)</f>
        <v>0</v>
      </c>
      <c r="BK28" s="186">
        <f>($C28*AE28)*(1+'Datos de Entrada'!AD$76)</f>
        <v>0</v>
      </c>
      <c r="BL28" s="186">
        <f>($C28*AF28)*(1+'Datos de Entrada'!AE$76)</f>
        <v>0</v>
      </c>
      <c r="BM28" s="186">
        <f>($C28*AG28)*(1+'Datos de Entrada'!AF$76)</f>
        <v>417691.14408614027</v>
      </c>
      <c r="BN28" s="186">
        <f t="shared" si="4"/>
        <v>1714622.2231328713</v>
      </c>
    </row>
    <row r="29" spans="1:67" s="197" customFormat="1" ht="12.75" customHeight="1" x14ac:dyDescent="0.2">
      <c r="A29" s="190" t="s">
        <v>47</v>
      </c>
      <c r="B29" s="190" t="s">
        <v>23</v>
      </c>
      <c r="C29" s="195">
        <f>'Equipos y Herramientas'!C12</f>
        <v>95000</v>
      </c>
      <c r="D29" s="199">
        <f>+D20</f>
        <v>64.439684129883915</v>
      </c>
      <c r="E29" s="190"/>
      <c r="F29" s="190"/>
      <c r="G29" s="190"/>
      <c r="H29" s="198">
        <v>1</v>
      </c>
      <c r="I29" s="200"/>
      <c r="J29" s="200"/>
      <c r="K29" s="200"/>
      <c r="L29" s="200"/>
      <c r="M29" s="198">
        <v>1</v>
      </c>
      <c r="N29" s="200"/>
      <c r="O29" s="200"/>
      <c r="P29" s="200"/>
      <c r="Q29" s="200"/>
      <c r="R29" s="200"/>
      <c r="S29" s="200"/>
      <c r="T29" s="200"/>
      <c r="U29" s="200"/>
      <c r="V29" s="200"/>
      <c r="W29" s="198">
        <v>1</v>
      </c>
      <c r="X29" s="200"/>
      <c r="Y29" s="200"/>
      <c r="Z29" s="200"/>
      <c r="AA29" s="200"/>
      <c r="AB29" s="200"/>
      <c r="AC29" s="200"/>
      <c r="AD29" s="200"/>
      <c r="AE29" s="200"/>
      <c r="AF29" s="200"/>
      <c r="AG29" s="198">
        <v>1</v>
      </c>
      <c r="AH29" s="190"/>
      <c r="AI29" s="190"/>
      <c r="AJ29" s="186">
        <f>($C29*D29)*(1+'Datos de Entrada'!C$76)</f>
        <v>6121769.9923389722</v>
      </c>
      <c r="AK29" s="186">
        <f>($C29*E29)*(1+'Datos de Entrada'!D$76)</f>
        <v>0</v>
      </c>
      <c r="AL29" s="186">
        <f>($C29*F29)*(1+'Datos de Entrada'!E$76)</f>
        <v>0</v>
      </c>
      <c r="AM29" s="186">
        <f>($C29*G29)*(1+'Datos de Entrada'!F$76)</f>
        <v>0</v>
      </c>
      <c r="AN29" s="186">
        <f>($C29*H29)*(1+'Datos de Entrada'!G$76)</f>
        <v>113353.54897415367</v>
      </c>
      <c r="AO29" s="186">
        <f>($C29*I29)*(1+'Datos de Entrada'!H$76)</f>
        <v>0</v>
      </c>
      <c r="AP29" s="186">
        <f>($C29*J29)*(1+'Datos de Entrada'!I$76)</f>
        <v>0</v>
      </c>
      <c r="AQ29" s="186">
        <f>($C29*K29)*(1+'Datos de Entrada'!J$76)</f>
        <v>0</v>
      </c>
      <c r="AR29" s="186">
        <f>($C29*L29)*(1+'Datos de Entrada'!K$76)</f>
        <v>0</v>
      </c>
      <c r="AS29" s="186">
        <f>($C29*M29)*(1+'Datos de Entrada'!L$76)</f>
        <v>143042.8998166924</v>
      </c>
      <c r="AT29" s="186">
        <f>($C29*N29)*(1+'Datos de Entrada'!M$76)</f>
        <v>0</v>
      </c>
      <c r="AU29" s="186">
        <f>($C29*O29)*(1+'Datos de Entrada'!N$76)</f>
        <v>0</v>
      </c>
      <c r="AV29" s="186">
        <f>($C29*P29)*(1+'Datos de Entrada'!O$76)</f>
        <v>0</v>
      </c>
      <c r="AW29" s="186">
        <f>($C29*Q29)*(1+'Datos de Entrada'!P$76)</f>
        <v>0</v>
      </c>
      <c r="AX29" s="186">
        <f>($C29*R29)*(1+'Datos de Entrada'!Q$76)</f>
        <v>0</v>
      </c>
      <c r="AY29" s="186">
        <f>($C29*S29)*(1+'Datos de Entrada'!R$76)</f>
        <v>0</v>
      </c>
      <c r="AZ29" s="186">
        <f>($C29*T29)*(1+'Datos de Entrada'!S$76)</f>
        <v>0</v>
      </c>
      <c r="BA29" s="186">
        <f>($C29*U29)*(1+'Datos de Entrada'!T$76)</f>
        <v>0</v>
      </c>
      <c r="BB29" s="186">
        <f>($C29*V29)*(1+'Datos de Entrada'!U$76)</f>
        <v>0</v>
      </c>
      <c r="BC29" s="186">
        <f>($C29*W29)*(1+'Datos de Entrada'!V$76)</f>
        <v>223647.66624971098</v>
      </c>
      <c r="BD29" s="186">
        <f>($C29*X29)*(1+'Datos de Entrada'!W$76)</f>
        <v>0</v>
      </c>
      <c r="BE29" s="186">
        <f>($C29*Y29)*(1+'Datos de Entrada'!X$76)</f>
        <v>0</v>
      </c>
      <c r="BF29" s="186">
        <f>($C29*Z29)*(1+'Datos de Entrada'!Y$76)</f>
        <v>0</v>
      </c>
      <c r="BG29" s="186">
        <f>($C29*AA29)*(1+'Datos de Entrada'!Z$76)</f>
        <v>0</v>
      </c>
      <c r="BH29" s="186">
        <f>($C29*AB29)*(1+'Datos de Entrada'!AA$76)</f>
        <v>0</v>
      </c>
      <c r="BI29" s="186">
        <f>($C29*AC29)*(1+'Datos de Entrada'!AB$76)</f>
        <v>0</v>
      </c>
      <c r="BJ29" s="186">
        <f>($C29*AD29)*(1+'Datos de Entrada'!AC$76)</f>
        <v>0</v>
      </c>
      <c r="BK29" s="186">
        <f>($C29*AE29)*(1+'Datos de Entrada'!AD$76)</f>
        <v>0</v>
      </c>
      <c r="BL29" s="186">
        <f>($C29*AF29)*(1+'Datos de Entrada'!AE$76)</f>
        <v>0</v>
      </c>
      <c r="BM29" s="186">
        <f>($C29*AG29)*(1+'Datos de Entrada'!AF$76)</f>
        <v>308023.84577801696</v>
      </c>
      <c r="BN29" s="186">
        <f>SUM(AJ29:BM29)</f>
        <v>6909837.9531575469</v>
      </c>
    </row>
    <row r="30" spans="1:67" s="197" customFormat="1" ht="12.75" customHeight="1" x14ac:dyDescent="0.2">
      <c r="A30" s="190" t="s">
        <v>48</v>
      </c>
      <c r="B30" s="190" t="s">
        <v>23</v>
      </c>
      <c r="C30" s="195">
        <f>'Equipos y Herramientas'!C13</f>
        <v>45000</v>
      </c>
      <c r="D30" s="199">
        <f>+D20</f>
        <v>64.439684129883915</v>
      </c>
      <c r="E30" s="190">
        <f>+E28*50%</f>
        <v>9.9269445638160718</v>
      </c>
      <c r="F30" s="190"/>
      <c r="G30" s="190"/>
      <c r="H30" s="198">
        <v>1</v>
      </c>
      <c r="I30" s="200"/>
      <c r="J30" s="200"/>
      <c r="K30" s="200"/>
      <c r="L30" s="200"/>
      <c r="M30" s="198">
        <v>1</v>
      </c>
      <c r="N30" s="200"/>
      <c r="O30" s="200"/>
      <c r="P30" s="200"/>
      <c r="Q30" s="200"/>
      <c r="R30" s="200"/>
      <c r="S30" s="200"/>
      <c r="T30" s="200"/>
      <c r="U30" s="200"/>
      <c r="V30" s="200"/>
      <c r="W30" s="198">
        <v>1</v>
      </c>
      <c r="X30" s="200"/>
      <c r="Y30" s="200"/>
      <c r="Z30" s="200"/>
      <c r="AA30" s="200"/>
      <c r="AB30" s="200"/>
      <c r="AC30" s="200"/>
      <c r="AD30" s="200"/>
      <c r="AE30" s="200"/>
      <c r="AF30" s="200"/>
      <c r="AG30" s="198">
        <v>1</v>
      </c>
      <c r="AH30" s="190"/>
      <c r="AI30" s="190"/>
      <c r="AJ30" s="186">
        <f>($C30*D30)*(1+'Datos de Entrada'!C$76)</f>
        <v>2899785.7858447763</v>
      </c>
      <c r="AK30" s="186">
        <f>($C30*E30)*(1+'Datos de Entrada'!D$76)</f>
        <v>466284.61889953184</v>
      </c>
      <c r="AL30" s="186">
        <f>($C30*F30)*(1+'Datos de Entrada'!E$76)</f>
        <v>0</v>
      </c>
      <c r="AM30" s="186">
        <f>($C30*G30)*(1+'Datos de Entrada'!F$76)</f>
        <v>0</v>
      </c>
      <c r="AN30" s="186">
        <f>($C30*H30)*(1+'Datos de Entrada'!G$76)</f>
        <v>53693.786356178061</v>
      </c>
      <c r="AO30" s="186">
        <f>($C30*I30)*(1+'Datos de Entrada'!H$76)</f>
        <v>0</v>
      </c>
      <c r="AP30" s="186">
        <f>($C30*J30)*(1+'Datos de Entrada'!I$76)</f>
        <v>0</v>
      </c>
      <c r="AQ30" s="186">
        <f>($C30*K30)*(1+'Datos de Entrada'!J$76)</f>
        <v>0</v>
      </c>
      <c r="AR30" s="186">
        <f>($C30*L30)*(1+'Datos de Entrada'!K$76)</f>
        <v>0</v>
      </c>
      <c r="AS30" s="186">
        <f>($C30*M30)*(1+'Datos de Entrada'!L$76)</f>
        <v>67757.163071064831</v>
      </c>
      <c r="AT30" s="186">
        <f>($C30*N30)*(1+'Datos de Entrada'!M$76)</f>
        <v>0</v>
      </c>
      <c r="AU30" s="186">
        <f>($C30*O30)*(1+'Datos de Entrada'!N$76)</f>
        <v>0</v>
      </c>
      <c r="AV30" s="186">
        <f>($C30*P30)*(1+'Datos de Entrada'!O$76)</f>
        <v>0</v>
      </c>
      <c r="AW30" s="186">
        <f>($C30*Q30)*(1+'Datos de Entrada'!P$76)</f>
        <v>0</v>
      </c>
      <c r="AX30" s="186">
        <f>($C30*R30)*(1+'Datos de Entrada'!Q$76)</f>
        <v>0</v>
      </c>
      <c r="AY30" s="186">
        <f>($C30*S30)*(1+'Datos de Entrada'!R$76)</f>
        <v>0</v>
      </c>
      <c r="AZ30" s="186">
        <f>($C30*T30)*(1+'Datos de Entrada'!S$76)</f>
        <v>0</v>
      </c>
      <c r="BA30" s="186">
        <f>($C30*U30)*(1+'Datos de Entrada'!T$76)</f>
        <v>0</v>
      </c>
      <c r="BB30" s="186">
        <f>($C30*V30)*(1+'Datos de Entrada'!U$76)</f>
        <v>0</v>
      </c>
      <c r="BC30" s="186">
        <f>($C30*W30)*(1+'Datos de Entrada'!V$76)</f>
        <v>105938.36822354731</v>
      </c>
      <c r="BD30" s="186">
        <f>($C30*X30)*(1+'Datos de Entrada'!W$76)</f>
        <v>0</v>
      </c>
      <c r="BE30" s="186">
        <f>($C30*Y30)*(1+'Datos de Entrada'!X$76)</f>
        <v>0</v>
      </c>
      <c r="BF30" s="186">
        <f>($C30*Z30)*(1+'Datos de Entrada'!Y$76)</f>
        <v>0</v>
      </c>
      <c r="BG30" s="186">
        <f>($C30*AA30)*(1+'Datos de Entrada'!Z$76)</f>
        <v>0</v>
      </c>
      <c r="BH30" s="186">
        <f>($C30*AB30)*(1+'Datos de Entrada'!AA$76)</f>
        <v>0</v>
      </c>
      <c r="BI30" s="186">
        <f>($C30*AC30)*(1+'Datos de Entrada'!AB$76)</f>
        <v>0</v>
      </c>
      <c r="BJ30" s="186">
        <f>($C30*AD30)*(1+'Datos de Entrada'!AC$76)</f>
        <v>0</v>
      </c>
      <c r="BK30" s="186">
        <f>($C30*AE30)*(1+'Datos de Entrada'!AD$76)</f>
        <v>0</v>
      </c>
      <c r="BL30" s="186">
        <f>($C30*AF30)*(1+'Datos de Entrada'!AE$76)</f>
        <v>0</v>
      </c>
      <c r="BM30" s="186">
        <f>($C30*AG30)*(1+'Datos de Entrada'!AF$76)</f>
        <v>145906.03221063962</v>
      </c>
      <c r="BN30" s="186">
        <f t="shared" si="4"/>
        <v>3739365.754605738</v>
      </c>
    </row>
    <row r="31" spans="1:67" s="197" customFormat="1" ht="12.75" customHeight="1" x14ac:dyDescent="0.2">
      <c r="A31" s="190" t="s">
        <v>49</v>
      </c>
      <c r="B31" s="190" t="s">
        <v>50</v>
      </c>
      <c r="C31" s="195">
        <f>'Equipos y Herramientas'!D92</f>
        <v>1850000</v>
      </c>
      <c r="D31" s="199">
        <f>+D26/[1]Parámetros!C34</f>
        <v>6.5090590030185771</v>
      </c>
      <c r="E31" s="190"/>
      <c r="F31" s="190"/>
      <c r="G31" s="190"/>
      <c r="H31" s="198">
        <v>1</v>
      </c>
      <c r="I31" s="200"/>
      <c r="J31" s="200"/>
      <c r="K31" s="200"/>
      <c r="L31" s="200"/>
      <c r="M31" s="198">
        <v>1</v>
      </c>
      <c r="N31" s="200"/>
      <c r="O31" s="200"/>
      <c r="P31" s="200"/>
      <c r="Q31" s="200"/>
      <c r="R31" s="200"/>
      <c r="S31" s="200"/>
      <c r="T31" s="200"/>
      <c r="U31" s="200"/>
      <c r="V31" s="200"/>
      <c r="W31" s="198">
        <v>1</v>
      </c>
      <c r="X31" s="200"/>
      <c r="Y31" s="200"/>
      <c r="Z31" s="200"/>
      <c r="AA31" s="200"/>
      <c r="AB31" s="200"/>
      <c r="AC31" s="200"/>
      <c r="AD31" s="200"/>
      <c r="AE31" s="200"/>
      <c r="AF31" s="200"/>
      <c r="AG31" s="198">
        <v>1</v>
      </c>
      <c r="AH31" s="190"/>
      <c r="AI31" s="190"/>
      <c r="AJ31" s="186">
        <f>($C31*D31)*(1+'Datos de Entrada'!C$76)</f>
        <v>12041759.155584367</v>
      </c>
      <c r="AK31" s="186">
        <f>($C31*E31)*(1+'Datos de Entrada'!D$76)</f>
        <v>0</v>
      </c>
      <c r="AL31" s="186">
        <f>($C31*F31)*(1+'Datos de Entrada'!E$76)</f>
        <v>0</v>
      </c>
      <c r="AM31" s="186">
        <f>($C31*G31)*(1+'Datos de Entrada'!F$76)</f>
        <v>0</v>
      </c>
      <c r="AN31" s="186">
        <f>($C31*H31)*(1+'Datos de Entrada'!G$76)</f>
        <v>2207411.2168650981</v>
      </c>
      <c r="AO31" s="186">
        <f>($C31*I31)*(1+'Datos de Entrada'!H$76)</f>
        <v>0</v>
      </c>
      <c r="AP31" s="186">
        <f>($C31*J31)*(1+'Datos de Entrada'!I$76)</f>
        <v>0</v>
      </c>
      <c r="AQ31" s="186">
        <f>($C31*K31)*(1+'Datos de Entrada'!J$76)</f>
        <v>0</v>
      </c>
      <c r="AR31" s="186">
        <f>($C31*L31)*(1+'Datos de Entrada'!K$76)</f>
        <v>0</v>
      </c>
      <c r="AS31" s="186">
        <f>($C31*M31)*(1+'Datos de Entrada'!L$76)</f>
        <v>2785572.2595882206</v>
      </c>
      <c r="AT31" s="186">
        <f>($C31*N31)*(1+'Datos de Entrada'!M$76)</f>
        <v>0</v>
      </c>
      <c r="AU31" s="186">
        <f>($C31*O31)*(1+'Datos de Entrada'!N$76)</f>
        <v>0</v>
      </c>
      <c r="AV31" s="186">
        <f>($C31*P31)*(1+'Datos de Entrada'!O$76)</f>
        <v>0</v>
      </c>
      <c r="AW31" s="186">
        <f>($C31*Q31)*(1+'Datos de Entrada'!P$76)</f>
        <v>0</v>
      </c>
      <c r="AX31" s="186">
        <f>($C31*R31)*(1+'Datos de Entrada'!Q$76)</f>
        <v>0</v>
      </c>
      <c r="AY31" s="186">
        <f>($C31*S31)*(1+'Datos de Entrada'!R$76)</f>
        <v>0</v>
      </c>
      <c r="AZ31" s="186">
        <f>($C31*T31)*(1+'Datos de Entrada'!S$76)</f>
        <v>0</v>
      </c>
      <c r="BA31" s="186">
        <f>($C31*U31)*(1+'Datos de Entrada'!T$76)</f>
        <v>0</v>
      </c>
      <c r="BB31" s="186">
        <f>($C31*V31)*(1+'Datos de Entrada'!U$76)</f>
        <v>0</v>
      </c>
      <c r="BC31" s="186">
        <f>($C31*W31)*(1+'Datos de Entrada'!V$76)</f>
        <v>4355244.0269680563</v>
      </c>
      <c r="BD31" s="186">
        <f>($C31*X31)*(1+'Datos de Entrada'!W$76)</f>
        <v>0</v>
      </c>
      <c r="BE31" s="186">
        <f>($C31*Y31)*(1+'Datos de Entrada'!X$76)</f>
        <v>0</v>
      </c>
      <c r="BF31" s="186">
        <f>($C31*Z31)*(1+'Datos de Entrada'!Y$76)</f>
        <v>0</v>
      </c>
      <c r="BG31" s="186">
        <f>($C31*AA31)*(1+'Datos de Entrada'!Z$76)</f>
        <v>0</v>
      </c>
      <c r="BH31" s="186">
        <f>($C31*AB31)*(1+'Datos de Entrada'!AA$76)</f>
        <v>0</v>
      </c>
      <c r="BI31" s="186">
        <f>($C31*AC31)*(1+'Datos de Entrada'!AB$76)</f>
        <v>0</v>
      </c>
      <c r="BJ31" s="186">
        <f>($C31*AD31)*(1+'Datos de Entrada'!AC$76)</f>
        <v>0</v>
      </c>
      <c r="BK31" s="186">
        <f>($C31*AE31)*(1+'Datos de Entrada'!AD$76)</f>
        <v>0</v>
      </c>
      <c r="BL31" s="186">
        <f>($C31*AF31)*(1+'Datos de Entrada'!AE$76)</f>
        <v>0</v>
      </c>
      <c r="BM31" s="186">
        <f>($C31*AG31)*(1+'Datos de Entrada'!AF$76)</f>
        <v>5998359.101992962</v>
      </c>
      <c r="BN31" s="186">
        <f t="shared" si="4"/>
        <v>27388345.7609987</v>
      </c>
    </row>
    <row r="32" spans="1:67" s="197" customFormat="1" ht="12.75" customHeight="1" x14ac:dyDescent="0.2">
      <c r="A32" s="190" t="s">
        <v>20</v>
      </c>
      <c r="B32" s="190" t="s">
        <v>39</v>
      </c>
      <c r="C32" s="195">
        <f>'Datos de Entrada'!C54</f>
        <v>150000</v>
      </c>
      <c r="D32" s="199">
        <f>+D24</f>
        <v>16.109921032470979</v>
      </c>
      <c r="E32" s="190"/>
      <c r="F32" s="190"/>
      <c r="G32" s="190"/>
      <c r="H32" s="198">
        <f>+H24</f>
        <v>16.109921032470979</v>
      </c>
      <c r="I32" s="200"/>
      <c r="J32" s="200"/>
      <c r="K32" s="200"/>
      <c r="L32" s="200"/>
      <c r="M32" s="198">
        <f>+M24</f>
        <v>16.109921032470979</v>
      </c>
      <c r="N32" s="200"/>
      <c r="O32" s="200"/>
      <c r="P32" s="200"/>
      <c r="Q32" s="200"/>
      <c r="R32" s="200"/>
      <c r="S32" s="200"/>
      <c r="T32" s="200"/>
      <c r="U32" s="200"/>
      <c r="V32" s="200"/>
      <c r="W32" s="198">
        <f>+W24</f>
        <v>16.109921032470979</v>
      </c>
      <c r="X32" s="200"/>
      <c r="Y32" s="200"/>
      <c r="Z32" s="200"/>
      <c r="AA32" s="200"/>
      <c r="AB32" s="200"/>
      <c r="AC32" s="200"/>
      <c r="AD32" s="200"/>
      <c r="AE32" s="200"/>
      <c r="AF32" s="200"/>
      <c r="AG32" s="198">
        <f>+AG24</f>
        <v>16.109921032470979</v>
      </c>
      <c r="AH32" s="190"/>
      <c r="AI32" s="190"/>
      <c r="AJ32" s="186">
        <f>($C32*D32)*(1+'Datos de Entrada'!C$76)</f>
        <v>2416488.154870647</v>
      </c>
      <c r="AK32" s="186">
        <f>($C32*E32)*(1+'Datos de Entrada'!D$76)</f>
        <v>0</v>
      </c>
      <c r="AL32" s="186">
        <f>($C32*F32)*(1+'Datos de Entrada'!E$76)</f>
        <v>0</v>
      </c>
      <c r="AM32" s="186">
        <f>($C32*G32)*(1+'Datos de Entrada'!F$76)</f>
        <v>0</v>
      </c>
      <c r="AN32" s="186">
        <f>($C32*H32)*(1+'Datos de Entrada'!G$76)</f>
        <v>2883342.1937746541</v>
      </c>
      <c r="AO32" s="186">
        <f>($C32*I32)*(1+'Datos de Entrada'!H$76)</f>
        <v>0</v>
      </c>
      <c r="AP32" s="186">
        <f>($C32*J32)*(1+'Datos de Entrada'!I$76)</f>
        <v>0</v>
      </c>
      <c r="AQ32" s="186">
        <f>($C32*K32)*(1+'Datos de Entrada'!J$76)</f>
        <v>0</v>
      </c>
      <c r="AR32" s="186">
        <f>($C32*L32)*(1+'Datos de Entrada'!K$76)</f>
        <v>0</v>
      </c>
      <c r="AS32" s="186">
        <f>($C32*M32)*(1+'Datos de Entrada'!L$76)</f>
        <v>3638541.8215303775</v>
      </c>
      <c r="AT32" s="186">
        <f>($C32*N32)*(1+'Datos de Entrada'!M$76)</f>
        <v>0</v>
      </c>
      <c r="AU32" s="186">
        <f>($C32*O32)*(1+'Datos de Entrada'!N$76)</f>
        <v>0</v>
      </c>
      <c r="AV32" s="186">
        <f>($C32*P32)*(1+'Datos de Entrada'!O$76)</f>
        <v>0</v>
      </c>
      <c r="AW32" s="186">
        <f>($C32*Q32)*(1+'Datos de Entrada'!P$76)</f>
        <v>0</v>
      </c>
      <c r="AX32" s="186">
        <f>($C32*R32)*(1+'Datos de Entrada'!Q$76)</f>
        <v>0</v>
      </c>
      <c r="AY32" s="186">
        <f>($C32*S32)*(1+'Datos de Entrada'!R$76)</f>
        <v>0</v>
      </c>
      <c r="AZ32" s="186">
        <f>($C32*T32)*(1+'Datos de Entrada'!S$76)</f>
        <v>0</v>
      </c>
      <c r="BA32" s="186">
        <f>($C32*U32)*(1+'Datos de Entrada'!T$76)</f>
        <v>0</v>
      </c>
      <c r="BB32" s="186">
        <f>($C32*V32)*(1+'Datos de Entrada'!U$76)</f>
        <v>0</v>
      </c>
      <c r="BC32" s="186">
        <f>($C32*W32)*(1+'Datos de Entrada'!V$76)</f>
        <v>5688862.4879672667</v>
      </c>
      <c r="BD32" s="186">
        <f>($C32*X32)*(1+'Datos de Entrada'!W$76)</f>
        <v>0</v>
      </c>
      <c r="BE32" s="186">
        <f>($C32*Y32)*(1+'Datos de Entrada'!X$76)</f>
        <v>0</v>
      </c>
      <c r="BF32" s="186">
        <f>($C32*Z32)*(1+'Datos de Entrada'!Y$76)</f>
        <v>0</v>
      </c>
      <c r="BG32" s="186">
        <f>($C32*AA32)*(1+'Datos de Entrada'!Z$76)</f>
        <v>0</v>
      </c>
      <c r="BH32" s="186">
        <f>($C32*AB32)*(1+'Datos de Entrada'!AA$76)</f>
        <v>0</v>
      </c>
      <c r="BI32" s="186">
        <f>($C32*AC32)*(1+'Datos de Entrada'!AB$76)</f>
        <v>0</v>
      </c>
      <c r="BJ32" s="186">
        <f>($C32*AD32)*(1+'Datos de Entrada'!AC$76)</f>
        <v>0</v>
      </c>
      <c r="BK32" s="186">
        <f>($C32*AE32)*(1+'Datos de Entrada'!AD$76)</f>
        <v>0</v>
      </c>
      <c r="BL32" s="186">
        <f>($C32*AF32)*(1+'Datos de Entrada'!AE$76)</f>
        <v>0</v>
      </c>
      <c r="BM32" s="186">
        <f>($C32*AG32)*(1+'Datos de Entrada'!AF$76)</f>
        <v>7835115.5235819053</v>
      </c>
      <c r="BN32" s="186">
        <f t="shared" si="4"/>
        <v>22462350.181724854</v>
      </c>
    </row>
    <row r="33" spans="1:67" ht="12.75" customHeight="1" x14ac:dyDescent="0.2">
      <c r="A33" s="18"/>
      <c r="B33" s="18"/>
      <c r="C33" s="19"/>
      <c r="D33" s="24"/>
      <c r="E33" s="18"/>
      <c r="F33" s="18"/>
      <c r="G33" s="18"/>
      <c r="H33" s="21"/>
      <c r="I33" s="25"/>
      <c r="J33" s="25"/>
      <c r="K33" s="25"/>
      <c r="L33" s="25"/>
      <c r="M33" s="21"/>
      <c r="N33" s="25"/>
      <c r="O33" s="25"/>
      <c r="P33" s="25"/>
      <c r="Q33" s="25"/>
      <c r="R33" s="25"/>
      <c r="S33" s="25"/>
      <c r="T33" s="25"/>
      <c r="U33" s="25"/>
      <c r="V33" s="25"/>
      <c r="W33" s="21"/>
      <c r="X33" s="25"/>
      <c r="Y33" s="25"/>
      <c r="Z33" s="25"/>
      <c r="AA33" s="25"/>
      <c r="AB33" s="25"/>
      <c r="AC33" s="25"/>
      <c r="AD33" s="25"/>
      <c r="AE33" s="25"/>
      <c r="AF33" s="25"/>
      <c r="AG33" s="21"/>
      <c r="AH33" s="18"/>
      <c r="AI33" s="9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26"/>
      <c r="BJ33" s="26"/>
      <c r="BK33" s="26"/>
      <c r="BL33" s="26"/>
      <c r="BM33" s="26"/>
    </row>
    <row r="34" spans="1:67" ht="12.75" customHeight="1" x14ac:dyDescent="0.2">
      <c r="A34" s="18"/>
      <c r="B34" s="18"/>
      <c r="C34" s="19"/>
      <c r="D34" s="24"/>
      <c r="E34" s="18"/>
      <c r="F34" s="18"/>
      <c r="G34" s="18"/>
      <c r="H34" s="21"/>
      <c r="I34" s="25"/>
      <c r="J34" s="25"/>
      <c r="K34" s="25"/>
      <c r="L34" s="25"/>
      <c r="M34" s="21"/>
      <c r="N34" s="25"/>
      <c r="O34" s="25"/>
      <c r="P34" s="25"/>
      <c r="Q34" s="25"/>
      <c r="R34" s="25"/>
      <c r="S34" s="25"/>
      <c r="T34" s="25"/>
      <c r="U34" s="25"/>
      <c r="V34" s="25"/>
      <c r="W34" s="21"/>
      <c r="X34" s="25"/>
      <c r="Y34" s="25"/>
      <c r="Z34" s="25"/>
      <c r="AA34" s="25"/>
      <c r="AB34" s="25"/>
      <c r="AC34" s="25"/>
      <c r="AD34" s="25"/>
      <c r="AE34" s="25"/>
      <c r="AF34" s="25"/>
      <c r="AG34" s="21"/>
      <c r="AH34" s="18"/>
      <c r="AI34" s="9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</row>
    <row r="35" spans="1:67" x14ac:dyDescent="0.2">
      <c r="A35" s="3" t="s">
        <v>51</v>
      </c>
      <c r="B35" s="3"/>
      <c r="C35" s="3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3">
        <f>SUM(AJ35:BM35)</f>
        <v>2642486393.1895533</v>
      </c>
      <c r="AI35" s="3"/>
      <c r="AJ35" s="23">
        <f>SUM(AJ36:AJ39)</f>
        <v>43688483.025354534</v>
      </c>
      <c r="AK35" s="23">
        <f t="shared" ref="AK35:BM35" si="5">SUM(AK36:AK39)</f>
        <v>45602635.728374213</v>
      </c>
      <c r="AL35" s="23">
        <f t="shared" si="5"/>
        <v>47645109.870139055</v>
      </c>
      <c r="AM35" s="23">
        <f t="shared" si="5"/>
        <v>49819444.875509128</v>
      </c>
      <c r="AN35" s="23">
        <f t="shared" si="5"/>
        <v>52128890.528642178</v>
      </c>
      <c r="AO35" s="23">
        <f t="shared" si="5"/>
        <v>54576303.761338159</v>
      </c>
      <c r="AP35" s="23">
        <f t="shared" si="5"/>
        <v>57164035.367722318</v>
      </c>
      <c r="AQ35" s="23">
        <f t="shared" si="5"/>
        <v>59893806.507723458</v>
      </c>
      <c r="AR35" s="23">
        <f t="shared" si="5"/>
        <v>62766575.1162282</v>
      </c>
      <c r="AS35" s="23">
        <f t="shared" si="5"/>
        <v>65782392.637253225</v>
      </c>
      <c r="AT35" s="23">
        <f t="shared" si="5"/>
        <v>68940251.855814233</v>
      </c>
      <c r="AU35" s="23">
        <f t="shared" si="5"/>
        <v>72237927.005812749</v>
      </c>
      <c r="AV35" s="23">
        <f t="shared" si="5"/>
        <v>75671807.789829433</v>
      </c>
      <c r="AW35" s="23">
        <f t="shared" si="5"/>
        <v>79236729.453555733</v>
      </c>
      <c r="AX35" s="23">
        <f t="shared" si="5"/>
        <v>82925801.608333632</v>
      </c>
      <c r="AY35" s="23">
        <f t="shared" si="5"/>
        <v>86730239.081320345</v>
      </c>
      <c r="AZ35" s="23">
        <f t="shared" si="5"/>
        <v>90639198.681923404</v>
      </c>
      <c r="BA35" s="23">
        <f t="shared" si="5"/>
        <v>94639626.38910532</v>
      </c>
      <c r="BB35" s="23">
        <f t="shared" si="5"/>
        <v>98716120.066382378</v>
      </c>
      <c r="BC35" s="23">
        <f t="shared" si="5"/>
        <v>102850813.37484899</v>
      </c>
      <c r="BD35" s="23">
        <f t="shared" si="5"/>
        <v>107023287.05000171</v>
      </c>
      <c r="BE35" s="23">
        <f t="shared" si="5"/>
        <v>111210514.10212332</v>
      </c>
      <c r="BF35" s="23">
        <f t="shared" si="5"/>
        <v>115386845.75572219</v>
      </c>
      <c r="BG35" s="23">
        <f t="shared" si="5"/>
        <v>119524045.02176586</v>
      </c>
      <c r="BH35" s="23">
        <f t="shared" si="5"/>
        <v>123591374.65690142</v>
      </c>
      <c r="BI35" s="23">
        <f t="shared" si="5"/>
        <v>127555745.86692247</v>
      </c>
      <c r="BJ35" s="23">
        <f t="shared" si="5"/>
        <v>131381933.42072567</v>
      </c>
      <c r="BK35" s="23">
        <f t="shared" si="5"/>
        <v>135032861.82465819</v>
      </c>
      <c r="BL35" s="23">
        <f t="shared" si="5"/>
        <v>138469965.84260231</v>
      </c>
      <c r="BM35" s="23">
        <f t="shared" si="5"/>
        <v>141653626.92291915</v>
      </c>
      <c r="BN35" s="23"/>
      <c r="BO35" s="23"/>
    </row>
    <row r="36" spans="1:67" s="197" customFormat="1" ht="12.75" customHeight="1" x14ac:dyDescent="0.2">
      <c r="A36" s="190" t="s">
        <v>52</v>
      </c>
      <c r="B36" s="182" t="s">
        <v>15</v>
      </c>
      <c r="C36" s="195">
        <f>'Datos de Entrada'!G49*(1+'Datos de Entrada'!C45)*'Datos de Entrada'!D11</f>
        <v>1779901.1602922217</v>
      </c>
      <c r="D36" s="201">
        <v>6</v>
      </c>
      <c r="E36" s="201">
        <v>6</v>
      </c>
      <c r="F36" s="201">
        <v>6</v>
      </c>
      <c r="G36" s="201">
        <v>6</v>
      </c>
      <c r="H36" s="201">
        <v>6</v>
      </c>
      <c r="I36" s="201">
        <v>6</v>
      </c>
      <c r="J36" s="201">
        <v>6</v>
      </c>
      <c r="K36" s="201">
        <v>6</v>
      </c>
      <c r="L36" s="201">
        <v>6</v>
      </c>
      <c r="M36" s="201">
        <v>6</v>
      </c>
      <c r="N36" s="201">
        <v>6</v>
      </c>
      <c r="O36" s="201">
        <v>6</v>
      </c>
      <c r="P36" s="201">
        <v>6</v>
      </c>
      <c r="Q36" s="201">
        <v>6</v>
      </c>
      <c r="R36" s="201">
        <v>6</v>
      </c>
      <c r="S36" s="201">
        <v>6</v>
      </c>
      <c r="T36" s="201">
        <v>6</v>
      </c>
      <c r="U36" s="201">
        <v>6</v>
      </c>
      <c r="V36" s="201">
        <v>6</v>
      </c>
      <c r="W36" s="201">
        <v>6</v>
      </c>
      <c r="X36" s="201">
        <v>6</v>
      </c>
      <c r="Y36" s="201">
        <v>6</v>
      </c>
      <c r="Z36" s="201">
        <v>6</v>
      </c>
      <c r="AA36" s="201">
        <v>6</v>
      </c>
      <c r="AB36" s="201">
        <v>6</v>
      </c>
      <c r="AC36" s="201">
        <v>6</v>
      </c>
      <c r="AD36" s="201">
        <v>6</v>
      </c>
      <c r="AE36" s="201">
        <v>6</v>
      </c>
      <c r="AF36" s="201">
        <v>6</v>
      </c>
      <c r="AG36" s="201">
        <v>6</v>
      </c>
      <c r="AH36" s="190">
        <f>AH35/AH105</f>
        <v>0.22479212370786608</v>
      </c>
      <c r="AI36" s="190"/>
      <c r="AJ36" s="186">
        <f>($C36*D36)*(1+'Datos de Entrada'!C$76)</f>
        <v>10679406.961753331</v>
      </c>
      <c r="AK36" s="186">
        <f>($C36*E36)*(1+'Datos de Entrada'!D$76)</f>
        <v>11147310.955824809</v>
      </c>
      <c r="AL36" s="186">
        <f>($C36*F36)*(1+'Datos de Entrada'!E$76)</f>
        <v>11646582.412700659</v>
      </c>
      <c r="AM36" s="186">
        <f>($C36*G36)*(1+'Datos de Entrada'!F$76)</f>
        <v>12178086.525124453</v>
      </c>
      <c r="AN36" s="186">
        <f>($C36*H36)*(1+'Datos de Entrada'!G$76)</f>
        <v>12742617.684779199</v>
      </c>
      <c r="AO36" s="186">
        <f>($C36*I36)*(1+'Datos de Entrada'!H$76)</f>
        <v>13340874.252771551</v>
      </c>
      <c r="AP36" s="186">
        <f>($C36*J36)*(1+'Datos de Entrada'!I$76)</f>
        <v>13973430.867665455</v>
      </c>
      <c r="AQ36" s="186">
        <f>($C36*K36)*(1+'Datos de Entrada'!J$76)</f>
        <v>14640708.257443512</v>
      </c>
      <c r="AR36" s="186">
        <f>($C36*L36)*(1+'Datos de Entrada'!K$76)</f>
        <v>15342940.583966894</v>
      </c>
      <c r="AS36" s="186">
        <f>($C36*M36)*(1+'Datos de Entrada'!L$76)</f>
        <v>16080140.422439676</v>
      </c>
      <c r="AT36" s="186">
        <f>($C36*N36)*(1+'Datos de Entrada'!M$76)</f>
        <v>16852061.56475459</v>
      </c>
      <c r="AU36" s="186">
        <f>($C36*O36)*(1+'Datos de Entrada'!N$76)</f>
        <v>17658159.934754226</v>
      </c>
      <c r="AV36" s="186">
        <f>($C36*P36)*(1+'Datos de Entrada'!O$76)</f>
        <v>18497553.015291639</v>
      </c>
      <c r="AW36" s="186">
        <f>($C36*Q36)*(1+'Datos de Entrada'!P$76)</f>
        <v>19368978.31086918</v>
      </c>
      <c r="AX36" s="186">
        <f>($C36*R36)*(1+'Datos de Entrada'!Q$76)</f>
        <v>20270751.504259333</v>
      </c>
      <c r="AY36" s="186">
        <f>($C36*S36)*(1+'Datos de Entrada'!R$76)</f>
        <v>21200725.108767193</v>
      </c>
      <c r="AZ36" s="186">
        <f>($C36*T36)*(1+'Datos de Entrada'!S$76)</f>
        <v>22156248.566692386</v>
      </c>
      <c r="BA36" s="186">
        <f>($C36*U36)*(1+'Datos de Entrada'!T$76)</f>
        <v>23134130.895114634</v>
      </c>
      <c r="BB36" s="186">
        <f>($C36*V36)*(1+'Datos de Entrada'!U$76)</f>
        <v>24130607.127337918</v>
      </c>
      <c r="BC36" s="186">
        <f>($C36*W36)*(1+'Datos de Entrada'!V$76)</f>
        <v>25141309.936074201</v>
      </c>
      <c r="BD36" s="186">
        <f>($C36*X36)*(1+'Datos de Entrada'!W$76)</f>
        <v>26161247.945555978</v>
      </c>
      <c r="BE36" s="186">
        <f>($C36*Y36)*(1+'Datos de Entrada'!X$76)</f>
        <v>27184792.336074591</v>
      </c>
      <c r="BF36" s="186">
        <f>($C36*Z36)*(1+'Datos de Entrada'!Y$76)</f>
        <v>28205673.406954315</v>
      </c>
      <c r="BG36" s="186">
        <f>($C36*AA36)*(1+'Datos de Entrada'!Z$76)</f>
        <v>29216988.783098321</v>
      </c>
      <c r="BH36" s="186">
        <f>($C36*AB36)*(1+'Datos de Entrada'!AA$76)</f>
        <v>30211224.916131455</v>
      </c>
      <c r="BI36" s="186">
        <f>($C36*AC36)*(1+'Datos de Entrada'!AB$76)</f>
        <v>31180293.434136603</v>
      </c>
      <c r="BJ36" s="186">
        <f>($C36*AD36)*(1+'Datos de Entrada'!AC$76)</f>
        <v>32115583.725066278</v>
      </c>
      <c r="BK36" s="186">
        <f>($C36*AE36)*(1+'Datos de Entrada'!AD$76)</f>
        <v>33008032.890472002</v>
      </c>
      <c r="BL36" s="186">
        <f>($C36*AF36)*(1+'Datos de Entrada'!AE$76)</f>
        <v>33848213.872636124</v>
      </c>
      <c r="BM36" s="186">
        <f>($C36*AG36)*(1+'Datos de Entrada'!AF$76)</f>
        <v>34626442.136713564</v>
      </c>
      <c r="BN36" s="186">
        <f t="shared" ref="BN36:BN38" si="6">SUM(AJ36:BM36)</f>
        <v>645941118.33522415</v>
      </c>
    </row>
    <row r="37" spans="1:67" s="197" customFormat="1" ht="12.75" customHeight="1" x14ac:dyDescent="0.2">
      <c r="A37" s="190" t="s">
        <v>53</v>
      </c>
      <c r="B37" s="182" t="s">
        <v>15</v>
      </c>
      <c r="C37" s="195">
        <f>'Datos de Entrada'!G49*(1+'Datos de Entrada'!C45)*'Datos de Entrada'!D11</f>
        <v>1779901.1602922217</v>
      </c>
      <c r="D37" s="201">
        <v>4</v>
      </c>
      <c r="E37" s="201">
        <v>4</v>
      </c>
      <c r="F37" s="201">
        <v>4</v>
      </c>
      <c r="G37" s="201">
        <v>4</v>
      </c>
      <c r="H37" s="201">
        <v>4</v>
      </c>
      <c r="I37" s="201">
        <v>4</v>
      </c>
      <c r="J37" s="201">
        <v>4</v>
      </c>
      <c r="K37" s="201">
        <v>4</v>
      </c>
      <c r="L37" s="201">
        <v>4</v>
      </c>
      <c r="M37" s="201">
        <v>4</v>
      </c>
      <c r="N37" s="201">
        <v>4</v>
      </c>
      <c r="O37" s="201">
        <v>4</v>
      </c>
      <c r="P37" s="201">
        <v>4</v>
      </c>
      <c r="Q37" s="201">
        <v>4</v>
      </c>
      <c r="R37" s="201">
        <v>4</v>
      </c>
      <c r="S37" s="201">
        <v>4</v>
      </c>
      <c r="T37" s="201">
        <v>4</v>
      </c>
      <c r="U37" s="201">
        <v>4</v>
      </c>
      <c r="V37" s="201">
        <v>4</v>
      </c>
      <c r="W37" s="201">
        <v>4</v>
      </c>
      <c r="X37" s="201">
        <v>4</v>
      </c>
      <c r="Y37" s="201">
        <v>4</v>
      </c>
      <c r="Z37" s="201">
        <v>4</v>
      </c>
      <c r="AA37" s="201">
        <v>4</v>
      </c>
      <c r="AB37" s="201">
        <v>4</v>
      </c>
      <c r="AC37" s="201">
        <v>4</v>
      </c>
      <c r="AD37" s="201">
        <v>4</v>
      </c>
      <c r="AE37" s="201">
        <v>4</v>
      </c>
      <c r="AF37" s="201">
        <v>4</v>
      </c>
      <c r="AG37" s="201">
        <v>4</v>
      </c>
      <c r="AH37" s="190"/>
      <c r="AI37" s="190"/>
      <c r="AJ37" s="186">
        <f>($C37*D37)*(1+'Datos de Entrada'!C$76)</f>
        <v>7119604.6411688868</v>
      </c>
      <c r="AK37" s="186">
        <f>($C37*E37)*(1+'Datos de Entrada'!D$76)</f>
        <v>7431540.6372165382</v>
      </c>
      <c r="AL37" s="186">
        <f>($C37*F37)*(1+'Datos de Entrada'!E$76)</f>
        <v>7764388.2751337709</v>
      </c>
      <c r="AM37" s="186">
        <f>($C37*G37)*(1+'Datos de Entrada'!F$76)</f>
        <v>8118724.3500829684</v>
      </c>
      <c r="AN37" s="186">
        <f>($C37*H37)*(1+'Datos de Entrada'!G$76)</f>
        <v>8495078.4565194659</v>
      </c>
      <c r="AO37" s="186">
        <f>($C37*I37)*(1+'Datos de Entrada'!H$76)</f>
        <v>8893916.1685143653</v>
      </c>
      <c r="AP37" s="186">
        <f>($C37*J37)*(1+'Datos de Entrada'!I$76)</f>
        <v>9315620.5784436353</v>
      </c>
      <c r="AQ37" s="186">
        <f>($C37*K37)*(1+'Datos de Entrada'!J$76)</f>
        <v>9760472.1716290079</v>
      </c>
      <c r="AR37" s="186">
        <f>($C37*L37)*(1+'Datos de Entrada'!K$76)</f>
        <v>10228627.055977928</v>
      </c>
      <c r="AS37" s="186">
        <f>($C37*M37)*(1+'Datos de Entrada'!L$76)</f>
        <v>10720093.614959784</v>
      </c>
      <c r="AT37" s="186">
        <f>($C37*N37)*(1+'Datos de Entrada'!M$76)</f>
        <v>11234707.709836394</v>
      </c>
      <c r="AU37" s="186">
        <f>($C37*O37)*(1+'Datos de Entrada'!N$76)</f>
        <v>11772106.623169484</v>
      </c>
      <c r="AV37" s="186">
        <f>($C37*P37)*(1+'Datos de Entrada'!O$76)</f>
        <v>12331702.010194425</v>
      </c>
      <c r="AW37" s="186">
        <f>($C37*Q37)*(1+'Datos de Entrada'!P$76)</f>
        <v>12912652.207246119</v>
      </c>
      <c r="AX37" s="186">
        <f>($C37*R37)*(1+'Datos de Entrada'!Q$76)</f>
        <v>13513834.336172888</v>
      </c>
      <c r="AY37" s="186">
        <f>($C37*S37)*(1+'Datos de Entrada'!R$76)</f>
        <v>14133816.739178129</v>
      </c>
      <c r="AZ37" s="186">
        <f>($C37*T37)*(1+'Datos de Entrada'!S$76)</f>
        <v>14770832.377794923</v>
      </c>
      <c r="BA37" s="186">
        <f>($C37*U37)*(1+'Datos de Entrada'!T$76)</f>
        <v>15422753.930076422</v>
      </c>
      <c r="BB37" s="186">
        <f>($C37*V37)*(1+'Datos de Entrada'!U$76)</f>
        <v>16087071.418225275</v>
      </c>
      <c r="BC37" s="186">
        <f>($C37*W37)*(1+'Datos de Entrada'!V$76)</f>
        <v>16760873.290716132</v>
      </c>
      <c r="BD37" s="186">
        <f>($C37*X37)*(1+'Datos de Entrada'!W$76)</f>
        <v>17440831.963703983</v>
      </c>
      <c r="BE37" s="186">
        <f>($C37*Y37)*(1+'Datos de Entrada'!X$76)</f>
        <v>18123194.890716393</v>
      </c>
      <c r="BF37" s="186">
        <f>($C37*Z37)*(1+'Datos de Entrada'!Y$76)</f>
        <v>18803782.271302875</v>
      </c>
      <c r="BG37" s="186">
        <f>($C37*AA37)*(1+'Datos de Entrada'!Z$76)</f>
        <v>19477992.522065546</v>
      </c>
      <c r="BH37" s="186">
        <f>($C37*AB37)*(1+'Datos de Entrada'!AA$76)</f>
        <v>20140816.610754304</v>
      </c>
      <c r="BI37" s="186">
        <f>($C37*AC37)*(1+'Datos de Entrada'!AB$76)</f>
        <v>20786862.289424401</v>
      </c>
      <c r="BJ37" s="186">
        <f>($C37*AD37)*(1+'Datos de Entrada'!AC$76)</f>
        <v>21410389.150044184</v>
      </c>
      <c r="BK37" s="186">
        <f>($C37*AE37)*(1+'Datos de Entrada'!AD$76)</f>
        <v>22005355.260314666</v>
      </c>
      <c r="BL37" s="186">
        <f>($C37*AF37)*(1+'Datos de Entrada'!AE$76)</f>
        <v>22565475.915090747</v>
      </c>
      <c r="BM37" s="186">
        <f>($C37*AG37)*(1+'Datos de Entrada'!AF$76)</f>
        <v>23084294.757809043</v>
      </c>
      <c r="BN37" s="186">
        <f t="shared" si="6"/>
        <v>430627412.22348267</v>
      </c>
    </row>
    <row r="38" spans="1:67" s="188" customFormat="1" ht="12.75" customHeight="1" x14ac:dyDescent="0.2">
      <c r="A38" s="182" t="s">
        <v>54</v>
      </c>
      <c r="B38" s="182" t="s">
        <v>15</v>
      </c>
      <c r="C38" s="189">
        <f>('Datos de Entrada'!G48*(1+'Datos de Entrada'!C45))*'Datos de Entrada'!D11</f>
        <v>2157455.9518693597</v>
      </c>
      <c r="D38" s="201">
        <v>12</v>
      </c>
      <c r="E38" s="201">
        <v>12</v>
      </c>
      <c r="F38" s="201">
        <v>12</v>
      </c>
      <c r="G38" s="201">
        <v>12</v>
      </c>
      <c r="H38" s="201">
        <v>12</v>
      </c>
      <c r="I38" s="201">
        <v>12</v>
      </c>
      <c r="J38" s="201">
        <v>12</v>
      </c>
      <c r="K38" s="201">
        <v>12</v>
      </c>
      <c r="L38" s="201">
        <v>12</v>
      </c>
      <c r="M38" s="201">
        <v>12</v>
      </c>
      <c r="N38" s="201">
        <v>12</v>
      </c>
      <c r="O38" s="201">
        <v>12</v>
      </c>
      <c r="P38" s="201">
        <v>12</v>
      </c>
      <c r="Q38" s="201">
        <v>12</v>
      </c>
      <c r="R38" s="201">
        <v>12</v>
      </c>
      <c r="S38" s="201">
        <v>12</v>
      </c>
      <c r="T38" s="201">
        <v>12</v>
      </c>
      <c r="U38" s="201">
        <v>12</v>
      </c>
      <c r="V38" s="201">
        <v>12</v>
      </c>
      <c r="W38" s="201">
        <v>12</v>
      </c>
      <c r="X38" s="201">
        <v>12</v>
      </c>
      <c r="Y38" s="201">
        <v>12</v>
      </c>
      <c r="Z38" s="201">
        <v>12</v>
      </c>
      <c r="AA38" s="201">
        <v>12</v>
      </c>
      <c r="AB38" s="201">
        <v>12</v>
      </c>
      <c r="AC38" s="201">
        <v>12</v>
      </c>
      <c r="AD38" s="201">
        <v>12</v>
      </c>
      <c r="AE38" s="201">
        <v>12</v>
      </c>
      <c r="AF38" s="201">
        <v>12</v>
      </c>
      <c r="AG38" s="201">
        <v>12</v>
      </c>
      <c r="AH38" s="182"/>
      <c r="AI38" s="182"/>
      <c r="AJ38" s="186">
        <f>($C38*D38)*(1+'Datos de Entrada'!C$76)</f>
        <v>25889471.422432318</v>
      </c>
      <c r="AK38" s="186">
        <f>($C38*E38)*(1+'Datos de Entrada'!D$76)</f>
        <v>27023784.135332871</v>
      </c>
      <c r="AL38" s="186">
        <f>($C38*F38)*(1+'Datos de Entrada'!E$76)</f>
        <v>28234139.182304624</v>
      </c>
      <c r="AM38" s="186">
        <f>($C38*G38)*(1+'Datos de Entrada'!F$76)</f>
        <v>29522634.000301708</v>
      </c>
      <c r="AN38" s="186">
        <f>($C38*H38)*(1+'Datos de Entrada'!G$76)</f>
        <v>30891194.387343515</v>
      </c>
      <c r="AO38" s="186">
        <f>($C38*I38)*(1+'Datos de Entrada'!H$76)</f>
        <v>32341513.340052243</v>
      </c>
      <c r="AP38" s="186">
        <f>($C38*J38)*(1+'Datos de Entrada'!I$76)</f>
        <v>33874983.921613224</v>
      </c>
      <c r="AQ38" s="186">
        <f>($C38*K38)*(1+'Datos de Entrada'!J$76)</f>
        <v>35492626.078650936</v>
      </c>
      <c r="AR38" s="186">
        <f>($C38*L38)*(1+'Datos de Entrada'!K$76)</f>
        <v>37195007.476283379</v>
      </c>
      <c r="AS38" s="186">
        <f>($C38*M38)*(1+'Datos de Entrada'!L$76)</f>
        <v>38982158.599853761</v>
      </c>
      <c r="AT38" s="186">
        <f>($C38*N38)*(1+'Datos de Entrada'!M$76)</f>
        <v>40853482.581223249</v>
      </c>
      <c r="AU38" s="186">
        <f>($C38*O38)*(1+'Datos de Entrada'!N$76)</f>
        <v>42807660.447889037</v>
      </c>
      <c r="AV38" s="186">
        <f>($C38*P38)*(1+'Datos de Entrada'!O$76)</f>
        <v>44842552.764343366</v>
      </c>
      <c r="AW38" s="186">
        <f>($C38*Q38)*(1+'Datos de Entrada'!P$76)</f>
        <v>46955098.935440436</v>
      </c>
      <c r="AX38" s="186">
        <f>($C38*R38)*(1+'Datos de Entrada'!Q$76)</f>
        <v>49141215.767901413</v>
      </c>
      <c r="AY38" s="186">
        <f>($C38*S38)*(1+'Datos de Entrada'!R$76)</f>
        <v>51395697.23337502</v>
      </c>
      <c r="AZ38" s="186">
        <f>($C38*T38)*(1+'Datos de Entrada'!S$76)</f>
        <v>53712117.737436093</v>
      </c>
      <c r="BA38" s="186">
        <f>($C38*U38)*(1+'Datos de Entrada'!T$76)</f>
        <v>56082741.563914269</v>
      </c>
      <c r="BB38" s="186">
        <f>($C38*V38)*(1+'Datos de Entrada'!U$76)</f>
        <v>58498441.520819195</v>
      </c>
      <c r="BC38" s="186">
        <f>($C38*W38)*(1+'Datos de Entrada'!V$76)</f>
        <v>60948630.148058668</v>
      </c>
      <c r="BD38" s="186">
        <f>($C38*X38)*(1+'Datos de Entrada'!W$76)</f>
        <v>63421207.140741758</v>
      </c>
      <c r="BE38" s="186">
        <f>($C38*Y38)*(1+'Datos de Entrada'!X$76)</f>
        <v>65902526.875332341</v>
      </c>
      <c r="BF38" s="186">
        <f>($C38*Z38)*(1+'Datos de Entrada'!Y$76)</f>
        <v>68377390.077465013</v>
      </c>
      <c r="BG38" s="186">
        <f>($C38*AA38)*(1+'Datos de Entrada'!Z$76)</f>
        <v>70829063.716601998</v>
      </c>
      <c r="BH38" s="186">
        <f>($C38*AB38)*(1+'Datos de Entrada'!AA$76)</f>
        <v>73239333.130015656</v>
      </c>
      <c r="BI38" s="186">
        <f>($C38*AC38)*(1+'Datos de Entrada'!AB$76)</f>
        <v>75588590.143361464</v>
      </c>
      <c r="BJ38" s="186">
        <f>($C38*AD38)*(1+'Datos de Entrada'!AC$76)</f>
        <v>77855960.545615211</v>
      </c>
      <c r="BK38" s="186">
        <f>($C38*AE38)*(1+'Datos de Entrada'!AD$76)</f>
        <v>80019473.673871517</v>
      </c>
      <c r="BL38" s="186">
        <f>($C38*AF38)*(1+'Datos de Entrada'!AE$76)</f>
        <v>82056276.054875448</v>
      </c>
      <c r="BM38" s="186">
        <f>($C38*AG38)*(1+'Datos de Entrada'!AF$76)</f>
        <v>83942890.028396532</v>
      </c>
      <c r="BN38" s="186">
        <f t="shared" si="6"/>
        <v>1565917862.6308463</v>
      </c>
    </row>
    <row r="39" spans="1:67" ht="12.75" customHeight="1" x14ac:dyDescent="0.2">
      <c r="A39" s="25"/>
      <c r="B39" s="18"/>
      <c r="C39" s="28"/>
      <c r="D39" s="29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18"/>
      <c r="AI39" s="9"/>
      <c r="AJ39" s="26">
        <f>+$C39*D39*(1+[1]Inflación!B$32)</f>
        <v>0</v>
      </c>
      <c r="AK39" s="26">
        <f>+$C39*E39*(1+[1]Inflación!C$32)</f>
        <v>0</v>
      </c>
      <c r="AL39" s="26">
        <f>+$C39*F39*(1+[1]Inflación!D$32)</f>
        <v>0</v>
      </c>
      <c r="AM39" s="26">
        <f>+$C39*G39*(1+[1]Inflación!E$32)</f>
        <v>0</v>
      </c>
      <c r="AN39" s="26">
        <f>+$C39*H39*(1+[1]Inflación!F$32)</f>
        <v>0</v>
      </c>
      <c r="AO39" s="26">
        <f>+$C39*I39*(1+[1]Inflación!G$32)</f>
        <v>0</v>
      </c>
      <c r="AP39" s="26">
        <f>+$C39*J39*(1+[1]Inflación!H$32)</f>
        <v>0</v>
      </c>
      <c r="AQ39" s="26">
        <f>+$C39*K39*(1+[1]Inflación!I$32)</f>
        <v>0</v>
      </c>
      <c r="AR39" s="26">
        <f>+$C39*L39*(1+[1]Inflación!J$32)</f>
        <v>0</v>
      </c>
      <c r="AS39" s="26">
        <f>+$C39*M39*(1+[1]Inflación!K$32)</f>
        <v>0</v>
      </c>
      <c r="AT39" s="26">
        <f>+$C39*N39*(1+[1]Inflación!L$32)</f>
        <v>0</v>
      </c>
      <c r="AU39" s="26">
        <f>+$C39*O39*(1+[1]Inflación!M$32)</f>
        <v>0</v>
      </c>
      <c r="AV39" s="26">
        <f>+$C39*P39*(1+[1]Inflación!N$32)</f>
        <v>0</v>
      </c>
      <c r="AW39" s="26">
        <f>+$C39*Q39*(1+[1]Inflación!O$32)</f>
        <v>0</v>
      </c>
      <c r="AX39" s="26">
        <f>+$C39*R39*(1+[1]Inflación!P$32)</f>
        <v>0</v>
      </c>
      <c r="AY39" s="26">
        <f>+$C39*S39*(1+[1]Inflación!Q$32)</f>
        <v>0</v>
      </c>
      <c r="AZ39" s="26">
        <f>+$C39*T39*(1+[1]Inflación!R$32)</f>
        <v>0</v>
      </c>
      <c r="BA39" s="26">
        <f>+$C39*U39*(1+[1]Inflación!S$32)</f>
        <v>0</v>
      </c>
      <c r="BB39" s="26">
        <f>+$C39*V39*(1+[1]Inflación!T$32)</f>
        <v>0</v>
      </c>
      <c r="BC39" s="26">
        <f>+$C39*W39*(1+[1]Inflación!U$32)</f>
        <v>0</v>
      </c>
      <c r="BD39" s="26">
        <f>+$C39*X39*(1+[1]Inflación!V$32)</f>
        <v>0</v>
      </c>
      <c r="BE39" s="26">
        <f>+$C39*Y39*(1+[1]Inflación!W$32)</f>
        <v>0</v>
      </c>
      <c r="BF39" s="26">
        <f>+$C39*Z39*(1+[1]Inflación!X$32)</f>
        <v>0</v>
      </c>
      <c r="BG39" s="26">
        <f>+$C39*AA39*(1+[1]Inflación!Y$32)</f>
        <v>0</v>
      </c>
      <c r="BH39" s="26">
        <f>+$C39*AB39*(1+[1]Inflación!Z$32)</f>
        <v>0</v>
      </c>
      <c r="BI39" s="26">
        <f>+$C39*AC39*(1+[1]Inflación!AA$32)</f>
        <v>0</v>
      </c>
      <c r="BJ39" s="26">
        <f>+$C39*AD39*(1+[1]Inflación!AB$32)</f>
        <v>0</v>
      </c>
      <c r="BK39" s="26">
        <f>+$C39*AE39*(1+[1]Inflación!AC$32)</f>
        <v>0</v>
      </c>
      <c r="BL39" s="26">
        <f>+$C39*AF39*(1+[1]Inflación!AD$32)</f>
        <v>0</v>
      </c>
      <c r="BM39" s="26">
        <f>+$C39*AG39*(1+[1]Inflación!AE$32)</f>
        <v>0</v>
      </c>
    </row>
    <row r="40" spans="1:67" ht="16" customHeight="1" x14ac:dyDescent="0.2">
      <c r="A40" s="3" t="s">
        <v>55</v>
      </c>
      <c r="B40" s="3"/>
      <c r="C40" s="3"/>
      <c r="D40" s="30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3">
        <f>SUM(AJ40:BM40)</f>
        <v>2819678621.7674637</v>
      </c>
      <c r="AI40" s="3"/>
      <c r="AJ40" s="23">
        <f>SUM(AJ41:AJ66)</f>
        <v>1422014747.2058532</v>
      </c>
      <c r="AK40" s="23">
        <f t="shared" ref="AK40:BM40" si="7">SUM(AK41:AK66)</f>
        <v>402829851.83765972</v>
      </c>
      <c r="AL40" s="23">
        <f t="shared" si="7"/>
        <v>129440118.64286301</v>
      </c>
      <c r="AM40" s="23">
        <f t="shared" si="7"/>
        <v>479958234.24161708</v>
      </c>
      <c r="AN40" s="23">
        <f t="shared" si="7"/>
        <v>39152113.615834907</v>
      </c>
      <c r="AO40" s="23">
        <f t="shared" si="7"/>
        <v>0</v>
      </c>
      <c r="AP40" s="23">
        <f t="shared" si="7"/>
        <v>0</v>
      </c>
      <c r="AQ40" s="23">
        <f t="shared" si="7"/>
        <v>44984059.577995047</v>
      </c>
      <c r="AR40" s="23">
        <f t="shared" si="7"/>
        <v>0</v>
      </c>
      <c r="AS40" s="23">
        <f t="shared" si="7"/>
        <v>0</v>
      </c>
      <c r="AT40" s="23">
        <f t="shared" si="7"/>
        <v>51778515.636738189</v>
      </c>
      <c r="AU40" s="23">
        <f t="shared" si="7"/>
        <v>0</v>
      </c>
      <c r="AV40" s="23">
        <f t="shared" si="7"/>
        <v>0</v>
      </c>
      <c r="AW40" s="23">
        <f t="shared" si="7"/>
        <v>0</v>
      </c>
      <c r="AX40" s="23">
        <f t="shared" si="7"/>
        <v>0</v>
      </c>
      <c r="AY40" s="23">
        <f t="shared" si="7"/>
        <v>65139927.97476919</v>
      </c>
      <c r="AZ40" s="23">
        <f t="shared" si="7"/>
        <v>0</v>
      </c>
      <c r="BA40" s="23">
        <f t="shared" si="7"/>
        <v>0</v>
      </c>
      <c r="BB40" s="23">
        <f t="shared" si="7"/>
        <v>0</v>
      </c>
      <c r="BC40" s="23">
        <f t="shared" si="7"/>
        <v>0</v>
      </c>
      <c r="BD40" s="23">
        <f t="shared" si="7"/>
        <v>80381298.194318652</v>
      </c>
      <c r="BE40" s="23">
        <f t="shared" si="7"/>
        <v>0</v>
      </c>
      <c r="BF40" s="23">
        <f t="shared" si="7"/>
        <v>0</v>
      </c>
      <c r="BG40" s="23">
        <f t="shared" si="7"/>
        <v>0</v>
      </c>
      <c r="BH40" s="23">
        <f t="shared" si="7"/>
        <v>0</v>
      </c>
      <c r="BI40" s="23">
        <f t="shared" si="7"/>
        <v>0</v>
      </c>
      <c r="BJ40" s="23">
        <f t="shared" si="7"/>
        <v>0</v>
      </c>
      <c r="BK40" s="23">
        <f t="shared" si="7"/>
        <v>0</v>
      </c>
      <c r="BL40" s="23">
        <f t="shared" si="7"/>
        <v>103999754.83981508</v>
      </c>
      <c r="BM40" s="23">
        <f t="shared" si="7"/>
        <v>0</v>
      </c>
      <c r="BN40" s="23"/>
      <c r="BO40" s="23"/>
    </row>
    <row r="41" spans="1:67" s="197" customFormat="1" ht="12.75" customHeight="1" x14ac:dyDescent="0.2">
      <c r="A41" s="190" t="s">
        <v>56</v>
      </c>
      <c r="B41" s="190" t="s">
        <v>33</v>
      </c>
      <c r="C41" s="195">
        <f>'Datos de Entrada'!H49*(1+'Datos de Entrada'!C45)</f>
        <v>89650</v>
      </c>
      <c r="D41" s="196">
        <f>8*[1]Parámetros!$C$18</f>
        <v>1232</v>
      </c>
      <c r="E41" s="190"/>
      <c r="F41" s="190"/>
      <c r="G41" s="200"/>
      <c r="H41" s="200"/>
      <c r="I41" s="200"/>
      <c r="J41" s="200"/>
      <c r="K41" s="200"/>
      <c r="L41" s="200"/>
      <c r="M41" s="200"/>
      <c r="N41" s="200"/>
      <c r="O41" s="200"/>
      <c r="P41" s="200"/>
      <c r="Q41" s="200"/>
      <c r="R41" s="200"/>
      <c r="S41" s="200"/>
      <c r="T41" s="200"/>
      <c r="U41" s="200"/>
      <c r="V41" s="200"/>
      <c r="W41" s="200"/>
      <c r="X41" s="200"/>
      <c r="Y41" s="200"/>
      <c r="Z41" s="200"/>
      <c r="AA41" s="200"/>
      <c r="AB41" s="200"/>
      <c r="AC41" s="200"/>
      <c r="AD41" s="200"/>
      <c r="AE41" s="200"/>
      <c r="AF41" s="200"/>
      <c r="AG41" s="200"/>
      <c r="AH41" s="190">
        <f>AH40/AH105</f>
        <v>0.2398655853798789</v>
      </c>
      <c r="AI41" s="190"/>
      <c r="AJ41" s="186">
        <f>($C41*D41)*(1+'Datos de Entrada'!C$76)</f>
        <v>110448800</v>
      </c>
      <c r="AK41" s="186">
        <f>($C41*E41)*(1+'Datos de Entrada'!D$76)</f>
        <v>0</v>
      </c>
      <c r="AL41" s="186">
        <f>($C41*F41)*(1+'Datos de Entrada'!E$76)</f>
        <v>0</v>
      </c>
      <c r="AM41" s="186">
        <f>($C41*G41)*(1+'Datos de Entrada'!F$76)</f>
        <v>0</v>
      </c>
      <c r="AN41" s="186">
        <f>($C41*H41)*(1+'Datos de Entrada'!G$76)</f>
        <v>0</v>
      </c>
      <c r="AO41" s="186">
        <f>($C41*I41)*(1+'Datos de Entrada'!H$76)</f>
        <v>0</v>
      </c>
      <c r="AP41" s="186">
        <f>($C41*J41)*(1+'Datos de Entrada'!I$76)</f>
        <v>0</v>
      </c>
      <c r="AQ41" s="186">
        <f>($C41*K41)*(1+'Datos de Entrada'!J$76)</f>
        <v>0</v>
      </c>
      <c r="AR41" s="186">
        <f>($C41*L41)*(1+'Datos de Entrada'!K$76)</f>
        <v>0</v>
      </c>
      <c r="AS41" s="186">
        <f>($C41*M41)*(1+'Datos de Entrada'!L$76)</f>
        <v>0</v>
      </c>
      <c r="AT41" s="186">
        <f>($C41*N41)*(1+'Datos de Entrada'!M$76)</f>
        <v>0</v>
      </c>
      <c r="AU41" s="186">
        <f>($C41*O41)*(1+'Datos de Entrada'!N$76)</f>
        <v>0</v>
      </c>
      <c r="AV41" s="186">
        <f>($C41*P41)*(1+'Datos de Entrada'!O$76)</f>
        <v>0</v>
      </c>
      <c r="AW41" s="186">
        <f>($C41*Q41)*(1+'Datos de Entrada'!P$76)</f>
        <v>0</v>
      </c>
      <c r="AX41" s="186">
        <f>($C41*R41)*(1+'Datos de Entrada'!Q$76)</f>
        <v>0</v>
      </c>
      <c r="AY41" s="186">
        <f>($C41*S41)*(1+'Datos de Entrada'!R$76)</f>
        <v>0</v>
      </c>
      <c r="AZ41" s="186">
        <f>($C41*T41)*(1+'Datos de Entrada'!S$76)</f>
        <v>0</v>
      </c>
      <c r="BA41" s="186">
        <f>($C41*U41)*(1+'Datos de Entrada'!T$76)</f>
        <v>0</v>
      </c>
      <c r="BB41" s="186">
        <f>($C41*V41)*(1+'Datos de Entrada'!U$76)</f>
        <v>0</v>
      </c>
      <c r="BC41" s="186">
        <f>($C41*W41)*(1+'Datos de Entrada'!V$76)</f>
        <v>0</v>
      </c>
      <c r="BD41" s="186">
        <f>($C41*X41)*(1+'Datos de Entrada'!W$76)</f>
        <v>0</v>
      </c>
      <c r="BE41" s="186">
        <f>($C41*Y41)*(1+'Datos de Entrada'!X$76)</f>
        <v>0</v>
      </c>
      <c r="BF41" s="186">
        <f>($C41*Z41)*(1+'Datos de Entrada'!Y$76)</f>
        <v>0</v>
      </c>
      <c r="BG41" s="186">
        <f>($C41*AA41)*(1+'Datos de Entrada'!Z$76)</f>
        <v>0</v>
      </c>
      <c r="BH41" s="186">
        <f>($C41*AB41)*(1+'Datos de Entrada'!AA$76)</f>
        <v>0</v>
      </c>
      <c r="BI41" s="186">
        <f>($C41*AC41)*(1+'Datos de Entrada'!AB$76)</f>
        <v>0</v>
      </c>
      <c r="BJ41" s="186">
        <f>($C41*AD41)*(1+'Datos de Entrada'!AC$76)</f>
        <v>0</v>
      </c>
      <c r="BK41" s="186">
        <f>($C41*AE41)*(1+'Datos de Entrada'!AD$76)</f>
        <v>0</v>
      </c>
      <c r="BL41" s="186">
        <f>($C41*AF41)*(1+'Datos de Entrada'!AE$76)</f>
        <v>0</v>
      </c>
      <c r="BM41" s="186">
        <f>($C41*AG41)*(1+'Datos de Entrada'!AF$76)</f>
        <v>0</v>
      </c>
      <c r="BN41" s="186">
        <f t="shared" ref="BN41:BN65" si="8">SUM(AJ41:BM41)</f>
        <v>110448800</v>
      </c>
    </row>
    <row r="42" spans="1:67" s="197" customFormat="1" ht="12.75" customHeight="1" x14ac:dyDescent="0.2">
      <c r="A42" s="190" t="s">
        <v>57</v>
      </c>
      <c r="B42" s="190" t="s">
        <v>33</v>
      </c>
      <c r="C42" s="195">
        <f>'Datos de Entrada'!H49*(1+'Datos de Entrada'!C45)</f>
        <v>89650</v>
      </c>
      <c r="D42" s="196">
        <f>4*[1]Parámetros!$C$18</f>
        <v>616</v>
      </c>
      <c r="E42" s="190"/>
      <c r="F42" s="190"/>
      <c r="G42" s="190"/>
      <c r="H42" s="190"/>
      <c r="I42" s="190"/>
      <c r="J42" s="190"/>
      <c r="K42" s="190"/>
      <c r="L42" s="190"/>
      <c r="M42" s="190"/>
      <c r="N42" s="190"/>
      <c r="O42" s="190"/>
      <c r="P42" s="190"/>
      <c r="Q42" s="190"/>
      <c r="R42" s="190"/>
      <c r="S42" s="190"/>
      <c r="T42" s="190"/>
      <c r="U42" s="190"/>
      <c r="V42" s="190"/>
      <c r="W42" s="190"/>
      <c r="X42" s="190"/>
      <c r="Y42" s="190"/>
      <c r="Z42" s="190"/>
      <c r="AA42" s="190"/>
      <c r="AB42" s="190"/>
      <c r="AC42" s="190"/>
      <c r="AD42" s="190"/>
      <c r="AE42" s="190"/>
      <c r="AF42" s="190"/>
      <c r="AG42" s="190"/>
      <c r="AH42" s="190"/>
      <c r="AI42" s="190"/>
      <c r="AJ42" s="186">
        <f>($C42*D42)*(1+'Datos de Entrada'!C$76)</f>
        <v>55224400</v>
      </c>
      <c r="AK42" s="186">
        <f>($C42*E42)*(1+'Datos de Entrada'!D$76)</f>
        <v>0</v>
      </c>
      <c r="AL42" s="186">
        <f>($C42*F42)*(1+'Datos de Entrada'!E$76)</f>
        <v>0</v>
      </c>
      <c r="AM42" s="186">
        <f>($C42*G42)*(1+'Datos de Entrada'!F$76)</f>
        <v>0</v>
      </c>
      <c r="AN42" s="186">
        <f>($C42*H42)*(1+'Datos de Entrada'!G$76)</f>
        <v>0</v>
      </c>
      <c r="AO42" s="186">
        <f>($C42*I42)*(1+'Datos de Entrada'!H$76)</f>
        <v>0</v>
      </c>
      <c r="AP42" s="186">
        <f>($C42*J42)*(1+'Datos de Entrada'!I$76)</f>
        <v>0</v>
      </c>
      <c r="AQ42" s="186">
        <f>($C42*K42)*(1+'Datos de Entrada'!J$76)</f>
        <v>0</v>
      </c>
      <c r="AR42" s="186">
        <f>($C42*L42)*(1+'Datos de Entrada'!K$76)</f>
        <v>0</v>
      </c>
      <c r="AS42" s="186">
        <f>($C42*M42)*(1+'Datos de Entrada'!L$76)</f>
        <v>0</v>
      </c>
      <c r="AT42" s="186">
        <f>($C42*N42)*(1+'Datos de Entrada'!M$76)</f>
        <v>0</v>
      </c>
      <c r="AU42" s="186">
        <f>($C42*O42)*(1+'Datos de Entrada'!N$76)</f>
        <v>0</v>
      </c>
      <c r="AV42" s="186">
        <f>($C42*P42)*(1+'Datos de Entrada'!O$76)</f>
        <v>0</v>
      </c>
      <c r="AW42" s="186">
        <f>($C42*Q42)*(1+'Datos de Entrada'!P$76)</f>
        <v>0</v>
      </c>
      <c r="AX42" s="186">
        <f>($C42*R42)*(1+'Datos de Entrada'!Q$76)</f>
        <v>0</v>
      </c>
      <c r="AY42" s="186">
        <f>($C42*S42)*(1+'Datos de Entrada'!R$76)</f>
        <v>0</v>
      </c>
      <c r="AZ42" s="186">
        <f>($C42*T42)*(1+'Datos de Entrada'!S$76)</f>
        <v>0</v>
      </c>
      <c r="BA42" s="186">
        <f>($C42*U42)*(1+'Datos de Entrada'!T$76)</f>
        <v>0</v>
      </c>
      <c r="BB42" s="186">
        <f>($C42*V42)*(1+'Datos de Entrada'!U$76)</f>
        <v>0</v>
      </c>
      <c r="BC42" s="186">
        <f>($C42*W42)*(1+'Datos de Entrada'!V$76)</f>
        <v>0</v>
      </c>
      <c r="BD42" s="186">
        <f>($C42*X42)*(1+'Datos de Entrada'!W$76)</f>
        <v>0</v>
      </c>
      <c r="BE42" s="186">
        <f>($C42*Y42)*(1+'Datos de Entrada'!X$76)</f>
        <v>0</v>
      </c>
      <c r="BF42" s="186">
        <f>($C42*Z42)*(1+'Datos de Entrada'!Y$76)</f>
        <v>0</v>
      </c>
      <c r="BG42" s="186">
        <f>($C42*AA42)*(1+'Datos de Entrada'!Z$76)</f>
        <v>0</v>
      </c>
      <c r="BH42" s="186">
        <f>($C42*AB42)*(1+'Datos de Entrada'!AA$76)</f>
        <v>0</v>
      </c>
      <c r="BI42" s="186">
        <f>($C42*AC42)*(1+'Datos de Entrada'!AB$76)</f>
        <v>0</v>
      </c>
      <c r="BJ42" s="186">
        <f>($C42*AD42)*(1+'Datos de Entrada'!AC$76)</f>
        <v>0</v>
      </c>
      <c r="BK42" s="186">
        <f>($C42*AE42)*(1+'Datos de Entrada'!AD$76)</f>
        <v>0</v>
      </c>
      <c r="BL42" s="186">
        <f>($C42*AF42)*(1+'Datos de Entrada'!AE$76)</f>
        <v>0</v>
      </c>
      <c r="BM42" s="186">
        <f>($C42*AG42)*(1+'Datos de Entrada'!AF$76)</f>
        <v>0</v>
      </c>
      <c r="BN42" s="186">
        <f t="shared" si="8"/>
        <v>55224400</v>
      </c>
    </row>
    <row r="43" spans="1:67" s="197" customFormat="1" ht="12.75" customHeight="1" x14ac:dyDescent="0.2">
      <c r="A43" s="190" t="s">
        <v>58</v>
      </c>
      <c r="B43" s="190" t="s">
        <v>33</v>
      </c>
      <c r="C43" s="195">
        <f>'Datos de Entrada'!H49*(1+'Datos de Entrada'!C45)</f>
        <v>89650</v>
      </c>
      <c r="D43" s="196">
        <f>6*[1]Parámetros!$C$18</f>
        <v>924</v>
      </c>
      <c r="E43" s="190">
        <f>2*[1]Parámetros!$C$18</f>
        <v>308</v>
      </c>
      <c r="F43" s="190"/>
      <c r="G43" s="190"/>
      <c r="H43" s="190"/>
      <c r="I43" s="190"/>
      <c r="J43" s="190"/>
      <c r="K43" s="190"/>
      <c r="L43" s="190"/>
      <c r="M43" s="190"/>
      <c r="N43" s="190"/>
      <c r="O43" s="190"/>
      <c r="P43" s="190"/>
      <c r="Q43" s="190"/>
      <c r="R43" s="190"/>
      <c r="S43" s="190"/>
      <c r="T43" s="190"/>
      <c r="U43" s="190"/>
      <c r="V43" s="190"/>
      <c r="W43" s="190"/>
      <c r="X43" s="190"/>
      <c r="Y43" s="190"/>
      <c r="Z43" s="190"/>
      <c r="AA43" s="190"/>
      <c r="AB43" s="190"/>
      <c r="AC43" s="190"/>
      <c r="AD43" s="190"/>
      <c r="AE43" s="190"/>
      <c r="AF43" s="190"/>
      <c r="AG43" s="190"/>
      <c r="AH43" s="190"/>
      <c r="AI43" s="190"/>
      <c r="AJ43" s="186">
        <f>($C43*D43)*(1+'Datos de Entrada'!C$76)</f>
        <v>82836600</v>
      </c>
      <c r="AK43" s="186">
        <f>($C43*E43)*(1+'Datos de Entrada'!D$76)</f>
        <v>28821991.771338142</v>
      </c>
      <c r="AL43" s="186">
        <f>($C43*F43)*(1+'Datos de Entrada'!E$76)</f>
        <v>0</v>
      </c>
      <c r="AM43" s="186">
        <f>($C43*G43)*(1+'Datos de Entrada'!F$76)</f>
        <v>0</v>
      </c>
      <c r="AN43" s="186">
        <f>($C43*H43)*(1+'Datos de Entrada'!G$76)</f>
        <v>0</v>
      </c>
      <c r="AO43" s="186">
        <f>($C43*I43)*(1+'Datos de Entrada'!H$76)</f>
        <v>0</v>
      </c>
      <c r="AP43" s="186">
        <f>($C43*J43)*(1+'Datos de Entrada'!I$76)</f>
        <v>0</v>
      </c>
      <c r="AQ43" s="186">
        <f>($C43*K43)*(1+'Datos de Entrada'!J$76)</f>
        <v>0</v>
      </c>
      <c r="AR43" s="186">
        <f>($C43*L43)*(1+'Datos de Entrada'!K$76)</f>
        <v>0</v>
      </c>
      <c r="AS43" s="186">
        <f>($C43*M43)*(1+'Datos de Entrada'!L$76)</f>
        <v>0</v>
      </c>
      <c r="AT43" s="186">
        <f>($C43*N43)*(1+'Datos de Entrada'!M$76)</f>
        <v>0</v>
      </c>
      <c r="AU43" s="186">
        <f>($C43*O43)*(1+'Datos de Entrada'!N$76)</f>
        <v>0</v>
      </c>
      <c r="AV43" s="186">
        <f>($C43*P43)*(1+'Datos de Entrada'!O$76)</f>
        <v>0</v>
      </c>
      <c r="AW43" s="186">
        <f>($C43*Q43)*(1+'Datos de Entrada'!P$76)</f>
        <v>0</v>
      </c>
      <c r="AX43" s="186">
        <f>($C43*R43)*(1+'Datos de Entrada'!Q$76)</f>
        <v>0</v>
      </c>
      <c r="AY43" s="186">
        <f>($C43*S43)*(1+'Datos de Entrada'!R$76)</f>
        <v>0</v>
      </c>
      <c r="AZ43" s="186">
        <f>($C43*T43)*(1+'Datos de Entrada'!S$76)</f>
        <v>0</v>
      </c>
      <c r="BA43" s="186">
        <f>($C43*U43)*(1+'Datos de Entrada'!T$76)</f>
        <v>0</v>
      </c>
      <c r="BB43" s="186">
        <f>($C43*V43)*(1+'Datos de Entrada'!U$76)</f>
        <v>0</v>
      </c>
      <c r="BC43" s="186">
        <f>($C43*W43)*(1+'Datos de Entrada'!V$76)</f>
        <v>0</v>
      </c>
      <c r="BD43" s="186">
        <f>($C43*X43)*(1+'Datos de Entrada'!W$76)</f>
        <v>0</v>
      </c>
      <c r="BE43" s="186">
        <f>($C43*Y43)*(1+'Datos de Entrada'!X$76)</f>
        <v>0</v>
      </c>
      <c r="BF43" s="186">
        <f>($C43*Z43)*(1+'Datos de Entrada'!Y$76)</f>
        <v>0</v>
      </c>
      <c r="BG43" s="186">
        <f>($C43*AA43)*(1+'Datos de Entrada'!Z$76)</f>
        <v>0</v>
      </c>
      <c r="BH43" s="186">
        <f>($C43*AB43)*(1+'Datos de Entrada'!AA$76)</f>
        <v>0</v>
      </c>
      <c r="BI43" s="186">
        <f>($C43*AC43)*(1+'Datos de Entrada'!AB$76)</f>
        <v>0</v>
      </c>
      <c r="BJ43" s="186">
        <f>($C43*AD43)*(1+'Datos de Entrada'!AC$76)</f>
        <v>0</v>
      </c>
      <c r="BK43" s="186">
        <f>($C43*AE43)*(1+'Datos de Entrada'!AD$76)</f>
        <v>0</v>
      </c>
      <c r="BL43" s="186">
        <f>($C43*AF43)*(1+'Datos de Entrada'!AE$76)</f>
        <v>0</v>
      </c>
      <c r="BM43" s="186">
        <f>($C43*AG43)*(1+'Datos de Entrada'!AF$76)</f>
        <v>0</v>
      </c>
      <c r="BN43" s="186">
        <f t="shared" si="8"/>
        <v>111658591.77133814</v>
      </c>
    </row>
    <row r="44" spans="1:67" s="197" customFormat="1" ht="12.75" customHeight="1" x14ac:dyDescent="0.2">
      <c r="A44" s="190" t="s">
        <v>34</v>
      </c>
      <c r="B44" s="190" t="s">
        <v>33</v>
      </c>
      <c r="C44" s="195">
        <f>'Datos de Entrada'!H49*(1+'Datos de Entrada'!C45)</f>
        <v>89650</v>
      </c>
      <c r="D44" s="196">
        <f>10*[1]Parámetros!$C$18</f>
        <v>1540</v>
      </c>
      <c r="E44" s="190">
        <f>3*[1]Parámetros!$C$18</f>
        <v>462</v>
      </c>
      <c r="F44" s="190"/>
      <c r="G44" s="190"/>
      <c r="H44" s="190"/>
      <c r="I44" s="190"/>
      <c r="J44" s="190"/>
      <c r="K44" s="190"/>
      <c r="L44" s="190"/>
      <c r="M44" s="190"/>
      <c r="N44" s="190"/>
      <c r="O44" s="190"/>
      <c r="P44" s="190"/>
      <c r="Q44" s="190"/>
      <c r="R44" s="190"/>
      <c r="S44" s="190"/>
      <c r="T44" s="190"/>
      <c r="U44" s="190"/>
      <c r="V44" s="190"/>
      <c r="W44" s="190"/>
      <c r="X44" s="190"/>
      <c r="Y44" s="190"/>
      <c r="Z44" s="190"/>
      <c r="AA44" s="190"/>
      <c r="AB44" s="190"/>
      <c r="AC44" s="190"/>
      <c r="AD44" s="190"/>
      <c r="AE44" s="190"/>
      <c r="AF44" s="190"/>
      <c r="AG44" s="190"/>
      <c r="AH44" s="190"/>
      <c r="AI44" s="190"/>
      <c r="AJ44" s="186">
        <f>($C44*D44)*(1+'Datos de Entrada'!C$76)</f>
        <v>138061000</v>
      </c>
      <c r="AK44" s="186">
        <f>($C44*E44)*(1+'Datos de Entrada'!D$76)</f>
        <v>43232987.657007217</v>
      </c>
      <c r="AL44" s="186">
        <f>($C44*F44)*(1+'Datos de Entrada'!E$76)</f>
        <v>0</v>
      </c>
      <c r="AM44" s="186">
        <f>($C44*G44)*(1+'Datos de Entrada'!F$76)</f>
        <v>0</v>
      </c>
      <c r="AN44" s="186">
        <f>($C44*H44)*(1+'Datos de Entrada'!G$76)</f>
        <v>0</v>
      </c>
      <c r="AO44" s="186">
        <f>($C44*I44)*(1+'Datos de Entrada'!H$76)</f>
        <v>0</v>
      </c>
      <c r="AP44" s="186">
        <f>($C44*J44)*(1+'Datos de Entrada'!I$76)</f>
        <v>0</v>
      </c>
      <c r="AQ44" s="186">
        <f>($C44*K44)*(1+'Datos de Entrada'!J$76)</f>
        <v>0</v>
      </c>
      <c r="AR44" s="186">
        <f>($C44*L44)*(1+'Datos de Entrada'!K$76)</f>
        <v>0</v>
      </c>
      <c r="AS44" s="186">
        <f>($C44*M44)*(1+'Datos de Entrada'!L$76)</f>
        <v>0</v>
      </c>
      <c r="AT44" s="186">
        <f>($C44*N44)*(1+'Datos de Entrada'!M$76)</f>
        <v>0</v>
      </c>
      <c r="AU44" s="186">
        <f>($C44*O44)*(1+'Datos de Entrada'!N$76)</f>
        <v>0</v>
      </c>
      <c r="AV44" s="186">
        <f>($C44*P44)*(1+'Datos de Entrada'!O$76)</f>
        <v>0</v>
      </c>
      <c r="AW44" s="186">
        <f>($C44*Q44)*(1+'Datos de Entrada'!P$76)</f>
        <v>0</v>
      </c>
      <c r="AX44" s="186">
        <f>($C44*R44)*(1+'Datos de Entrada'!Q$76)</f>
        <v>0</v>
      </c>
      <c r="AY44" s="186">
        <f>($C44*S44)*(1+'Datos de Entrada'!R$76)</f>
        <v>0</v>
      </c>
      <c r="AZ44" s="186">
        <f>($C44*T44)*(1+'Datos de Entrada'!S$76)</f>
        <v>0</v>
      </c>
      <c r="BA44" s="186">
        <f>($C44*U44)*(1+'Datos de Entrada'!T$76)</f>
        <v>0</v>
      </c>
      <c r="BB44" s="186">
        <f>($C44*V44)*(1+'Datos de Entrada'!U$76)</f>
        <v>0</v>
      </c>
      <c r="BC44" s="186">
        <f>($C44*W44)*(1+'Datos de Entrada'!V$76)</f>
        <v>0</v>
      </c>
      <c r="BD44" s="186">
        <f>($C44*X44)*(1+'Datos de Entrada'!W$76)</f>
        <v>0</v>
      </c>
      <c r="BE44" s="186">
        <f>($C44*Y44)*(1+'Datos de Entrada'!X$76)</f>
        <v>0</v>
      </c>
      <c r="BF44" s="186">
        <f>($C44*Z44)*(1+'Datos de Entrada'!Y$76)</f>
        <v>0</v>
      </c>
      <c r="BG44" s="186">
        <f>($C44*AA44)*(1+'Datos de Entrada'!Z$76)</f>
        <v>0</v>
      </c>
      <c r="BH44" s="186">
        <f>($C44*AB44)*(1+'Datos de Entrada'!AA$76)</f>
        <v>0</v>
      </c>
      <c r="BI44" s="186">
        <f>($C44*AC44)*(1+'Datos de Entrada'!AB$76)</f>
        <v>0</v>
      </c>
      <c r="BJ44" s="186">
        <f>($C44*AD44)*(1+'Datos de Entrada'!AC$76)</f>
        <v>0</v>
      </c>
      <c r="BK44" s="186">
        <f>($C44*AE44)*(1+'Datos de Entrada'!AD$76)</f>
        <v>0</v>
      </c>
      <c r="BL44" s="186">
        <f>($C44*AF44)*(1+'Datos de Entrada'!AE$76)</f>
        <v>0</v>
      </c>
      <c r="BM44" s="186">
        <f>($C44*AG44)*(1+'Datos de Entrada'!AF$76)</f>
        <v>0</v>
      </c>
      <c r="BN44" s="186">
        <f t="shared" si="8"/>
        <v>181293987.65700722</v>
      </c>
    </row>
    <row r="45" spans="1:67" s="197" customFormat="1" ht="12.75" customHeight="1" x14ac:dyDescent="0.2">
      <c r="A45" s="190" t="s">
        <v>59</v>
      </c>
      <c r="B45" s="190" t="s">
        <v>33</v>
      </c>
      <c r="C45" s="195">
        <f>'Datos de Entrada'!H49*(1+'Datos de Entrada'!C45)</f>
        <v>89650</v>
      </c>
      <c r="D45" s="196">
        <f>3*[1]Parámetros!$C$18</f>
        <v>462</v>
      </c>
      <c r="E45" s="190">
        <f>2*[1]Parámetros!$C$18</f>
        <v>308</v>
      </c>
      <c r="F45" s="190"/>
      <c r="G45" s="190"/>
      <c r="H45" s="190"/>
      <c r="I45" s="190"/>
      <c r="J45" s="190"/>
      <c r="K45" s="190"/>
      <c r="L45" s="190"/>
      <c r="M45" s="190"/>
      <c r="N45" s="190"/>
      <c r="O45" s="190"/>
      <c r="P45" s="190"/>
      <c r="Q45" s="190"/>
      <c r="R45" s="190"/>
      <c r="S45" s="190"/>
      <c r="T45" s="190"/>
      <c r="U45" s="190"/>
      <c r="V45" s="190"/>
      <c r="W45" s="190"/>
      <c r="X45" s="190"/>
      <c r="Y45" s="190"/>
      <c r="Z45" s="190"/>
      <c r="AA45" s="190"/>
      <c r="AB45" s="190"/>
      <c r="AC45" s="190"/>
      <c r="AD45" s="190"/>
      <c r="AE45" s="190"/>
      <c r="AF45" s="190"/>
      <c r="AG45" s="190"/>
      <c r="AH45" s="190"/>
      <c r="AI45" s="190"/>
      <c r="AJ45" s="186">
        <f>($C45*D45)*(1+'Datos de Entrada'!C$76)</f>
        <v>41418300</v>
      </c>
      <c r="AK45" s="186">
        <f>($C45*E45)*(1+'Datos de Entrada'!D$76)</f>
        <v>28821991.771338142</v>
      </c>
      <c r="AL45" s="186">
        <f>($C45*F45)*(1+'Datos de Entrada'!E$76)</f>
        <v>0</v>
      </c>
      <c r="AM45" s="186">
        <f>($C45*G45)*(1+'Datos de Entrada'!F$76)</f>
        <v>0</v>
      </c>
      <c r="AN45" s="186">
        <f>($C45*H45)*(1+'Datos de Entrada'!G$76)</f>
        <v>0</v>
      </c>
      <c r="AO45" s="186">
        <f>($C45*I45)*(1+'Datos de Entrada'!H$76)</f>
        <v>0</v>
      </c>
      <c r="AP45" s="186">
        <f>($C45*J45)*(1+'Datos de Entrada'!I$76)</f>
        <v>0</v>
      </c>
      <c r="AQ45" s="186">
        <f>($C45*K45)*(1+'Datos de Entrada'!J$76)</f>
        <v>0</v>
      </c>
      <c r="AR45" s="186">
        <f>($C45*L45)*(1+'Datos de Entrada'!K$76)</f>
        <v>0</v>
      </c>
      <c r="AS45" s="186">
        <f>($C45*M45)*(1+'Datos de Entrada'!L$76)</f>
        <v>0</v>
      </c>
      <c r="AT45" s="186">
        <f>($C45*N45)*(1+'Datos de Entrada'!M$76)</f>
        <v>0</v>
      </c>
      <c r="AU45" s="186">
        <f>($C45*O45)*(1+'Datos de Entrada'!N$76)</f>
        <v>0</v>
      </c>
      <c r="AV45" s="186">
        <f>($C45*P45)*(1+'Datos de Entrada'!O$76)</f>
        <v>0</v>
      </c>
      <c r="AW45" s="186">
        <f>($C45*Q45)*(1+'Datos de Entrada'!P$76)</f>
        <v>0</v>
      </c>
      <c r="AX45" s="186">
        <f>($C45*R45)*(1+'Datos de Entrada'!Q$76)</f>
        <v>0</v>
      </c>
      <c r="AY45" s="186">
        <f>($C45*S45)*(1+'Datos de Entrada'!R$76)</f>
        <v>0</v>
      </c>
      <c r="AZ45" s="186">
        <f>($C45*T45)*(1+'Datos de Entrada'!S$76)</f>
        <v>0</v>
      </c>
      <c r="BA45" s="186">
        <f>($C45*U45)*(1+'Datos de Entrada'!T$76)</f>
        <v>0</v>
      </c>
      <c r="BB45" s="186">
        <f>($C45*V45)*(1+'Datos de Entrada'!U$76)</f>
        <v>0</v>
      </c>
      <c r="BC45" s="186">
        <f>($C45*W45)*(1+'Datos de Entrada'!V$76)</f>
        <v>0</v>
      </c>
      <c r="BD45" s="186">
        <f>($C45*X45)*(1+'Datos de Entrada'!W$76)</f>
        <v>0</v>
      </c>
      <c r="BE45" s="186">
        <f>($C45*Y45)*(1+'Datos de Entrada'!X$76)</f>
        <v>0</v>
      </c>
      <c r="BF45" s="186">
        <f>($C45*Z45)*(1+'Datos de Entrada'!Y$76)</f>
        <v>0</v>
      </c>
      <c r="BG45" s="186">
        <f>($C45*AA45)*(1+'Datos de Entrada'!Z$76)</f>
        <v>0</v>
      </c>
      <c r="BH45" s="186">
        <f>($C45*AB45)*(1+'Datos de Entrada'!AA$76)</f>
        <v>0</v>
      </c>
      <c r="BI45" s="186">
        <f>($C45*AC45)*(1+'Datos de Entrada'!AB$76)</f>
        <v>0</v>
      </c>
      <c r="BJ45" s="186">
        <f>($C45*AD45)*(1+'Datos de Entrada'!AC$76)</f>
        <v>0</v>
      </c>
      <c r="BK45" s="186">
        <f>($C45*AE45)*(1+'Datos de Entrada'!AD$76)</f>
        <v>0</v>
      </c>
      <c r="BL45" s="186">
        <f>($C45*AF45)*(1+'Datos de Entrada'!AE$76)</f>
        <v>0</v>
      </c>
      <c r="BM45" s="186">
        <f>($C45*AG45)*(1+'Datos de Entrada'!AF$76)</f>
        <v>0</v>
      </c>
      <c r="BN45" s="186">
        <f t="shared" si="8"/>
        <v>70240291.771338135</v>
      </c>
    </row>
    <row r="46" spans="1:67" s="197" customFormat="1" ht="12.75" customHeight="1" x14ac:dyDescent="0.2">
      <c r="A46" s="190" t="s">
        <v>35</v>
      </c>
      <c r="B46" s="190" t="s">
        <v>33</v>
      </c>
      <c r="C46" s="195">
        <f>'Datos de Entrada'!H49*(1+'Datos de Entrada'!C45)</f>
        <v>89650</v>
      </c>
      <c r="D46" s="196">
        <f>3*[1]Parámetros!$C$18</f>
        <v>462</v>
      </c>
      <c r="E46" s="190">
        <f>1*[1]Parámetros!$C$18</f>
        <v>154</v>
      </c>
      <c r="F46" s="190"/>
      <c r="G46" s="190"/>
      <c r="H46" s="190"/>
      <c r="I46" s="190"/>
      <c r="J46" s="190"/>
      <c r="K46" s="190"/>
      <c r="L46" s="190"/>
      <c r="M46" s="190"/>
      <c r="N46" s="190"/>
      <c r="O46" s="190"/>
      <c r="P46" s="190"/>
      <c r="Q46" s="190"/>
      <c r="R46" s="190"/>
      <c r="S46" s="190"/>
      <c r="T46" s="190"/>
      <c r="U46" s="190"/>
      <c r="V46" s="190"/>
      <c r="W46" s="190"/>
      <c r="X46" s="190"/>
      <c r="Y46" s="190"/>
      <c r="Z46" s="190"/>
      <c r="AA46" s="190"/>
      <c r="AB46" s="190"/>
      <c r="AC46" s="190"/>
      <c r="AD46" s="190"/>
      <c r="AE46" s="190"/>
      <c r="AF46" s="190"/>
      <c r="AG46" s="190"/>
      <c r="AH46" s="190"/>
      <c r="AI46" s="190"/>
      <c r="AJ46" s="186">
        <f>($C46*D46)*(1+'Datos de Entrada'!C$76)</f>
        <v>41418300</v>
      </c>
      <c r="AK46" s="186">
        <f>($C46*E46)*(1+'Datos de Entrada'!D$76)</f>
        <v>14410995.885669071</v>
      </c>
      <c r="AL46" s="186">
        <f>($C46*F46)*(1+'Datos de Entrada'!E$76)</f>
        <v>0</v>
      </c>
      <c r="AM46" s="186">
        <f>($C46*G46)*(1+'Datos de Entrada'!F$76)</f>
        <v>0</v>
      </c>
      <c r="AN46" s="186">
        <f>($C46*H46)*(1+'Datos de Entrada'!G$76)</f>
        <v>0</v>
      </c>
      <c r="AO46" s="186">
        <f>($C46*I46)*(1+'Datos de Entrada'!H$76)</f>
        <v>0</v>
      </c>
      <c r="AP46" s="186">
        <f>($C46*J46)*(1+'Datos de Entrada'!I$76)</f>
        <v>0</v>
      </c>
      <c r="AQ46" s="186">
        <f>($C46*K46)*(1+'Datos de Entrada'!J$76)</f>
        <v>0</v>
      </c>
      <c r="AR46" s="186">
        <f>($C46*L46)*(1+'Datos de Entrada'!K$76)</f>
        <v>0</v>
      </c>
      <c r="AS46" s="186">
        <f>($C46*M46)*(1+'Datos de Entrada'!L$76)</f>
        <v>0</v>
      </c>
      <c r="AT46" s="186">
        <f>($C46*N46)*(1+'Datos de Entrada'!M$76)</f>
        <v>0</v>
      </c>
      <c r="AU46" s="186">
        <f>($C46*O46)*(1+'Datos de Entrada'!N$76)</f>
        <v>0</v>
      </c>
      <c r="AV46" s="186">
        <f>($C46*P46)*(1+'Datos de Entrada'!O$76)</f>
        <v>0</v>
      </c>
      <c r="AW46" s="186">
        <f>($C46*Q46)*(1+'Datos de Entrada'!P$76)</f>
        <v>0</v>
      </c>
      <c r="AX46" s="186">
        <f>($C46*R46)*(1+'Datos de Entrada'!Q$76)</f>
        <v>0</v>
      </c>
      <c r="AY46" s="186">
        <f>($C46*S46)*(1+'Datos de Entrada'!R$76)</f>
        <v>0</v>
      </c>
      <c r="AZ46" s="186">
        <f>($C46*T46)*(1+'Datos de Entrada'!S$76)</f>
        <v>0</v>
      </c>
      <c r="BA46" s="186">
        <f>($C46*U46)*(1+'Datos de Entrada'!T$76)</f>
        <v>0</v>
      </c>
      <c r="BB46" s="186">
        <f>($C46*V46)*(1+'Datos de Entrada'!U$76)</f>
        <v>0</v>
      </c>
      <c r="BC46" s="186">
        <f>($C46*W46)*(1+'Datos de Entrada'!V$76)</f>
        <v>0</v>
      </c>
      <c r="BD46" s="186">
        <f>($C46*X46)*(1+'Datos de Entrada'!W$76)</f>
        <v>0</v>
      </c>
      <c r="BE46" s="186">
        <f>($C46*Y46)*(1+'Datos de Entrada'!X$76)</f>
        <v>0</v>
      </c>
      <c r="BF46" s="186">
        <f>($C46*Z46)*(1+'Datos de Entrada'!Y$76)</f>
        <v>0</v>
      </c>
      <c r="BG46" s="186">
        <f>($C46*AA46)*(1+'Datos de Entrada'!Z$76)</f>
        <v>0</v>
      </c>
      <c r="BH46" s="186">
        <f>($C46*AB46)*(1+'Datos de Entrada'!AA$76)</f>
        <v>0</v>
      </c>
      <c r="BI46" s="186">
        <f>($C46*AC46)*(1+'Datos de Entrada'!AB$76)</f>
        <v>0</v>
      </c>
      <c r="BJ46" s="186">
        <f>($C46*AD46)*(1+'Datos de Entrada'!AC$76)</f>
        <v>0</v>
      </c>
      <c r="BK46" s="186">
        <f>($C46*AE46)*(1+'Datos de Entrada'!AD$76)</f>
        <v>0</v>
      </c>
      <c r="BL46" s="186">
        <f>($C46*AF46)*(1+'Datos de Entrada'!AE$76)</f>
        <v>0</v>
      </c>
      <c r="BM46" s="186">
        <f>($C46*AG46)*(1+'Datos de Entrada'!AF$76)</f>
        <v>0</v>
      </c>
      <c r="BN46" s="186">
        <f t="shared" si="8"/>
        <v>55829295.885669068</v>
      </c>
    </row>
    <row r="47" spans="1:67" s="197" customFormat="1" ht="12.75" customHeight="1" x14ac:dyDescent="0.2">
      <c r="A47" s="190" t="s">
        <v>60</v>
      </c>
      <c r="B47" s="190" t="s">
        <v>33</v>
      </c>
      <c r="C47" s="195">
        <f>'Datos de Entrada'!H49*(1+'Datos de Entrada'!C45)</f>
        <v>89650</v>
      </c>
      <c r="D47" s="196">
        <f>10*[1]Parámetros!$C$18</f>
        <v>1540</v>
      </c>
      <c r="E47" s="190">
        <f>1*[1]Parámetros!$C$18</f>
        <v>154</v>
      </c>
      <c r="F47" s="190"/>
      <c r="G47" s="190"/>
      <c r="H47" s="190"/>
      <c r="I47" s="190"/>
      <c r="J47" s="190"/>
      <c r="K47" s="190"/>
      <c r="L47" s="190"/>
      <c r="M47" s="190"/>
      <c r="N47" s="190"/>
      <c r="O47" s="190"/>
      <c r="P47" s="190"/>
      <c r="Q47" s="190"/>
      <c r="R47" s="190"/>
      <c r="S47" s="190"/>
      <c r="T47" s="190"/>
      <c r="U47" s="190"/>
      <c r="V47" s="190"/>
      <c r="W47" s="190"/>
      <c r="X47" s="190"/>
      <c r="Y47" s="190"/>
      <c r="Z47" s="190"/>
      <c r="AA47" s="190"/>
      <c r="AB47" s="190"/>
      <c r="AC47" s="190"/>
      <c r="AD47" s="190"/>
      <c r="AE47" s="190"/>
      <c r="AF47" s="190"/>
      <c r="AG47" s="190"/>
      <c r="AH47" s="190"/>
      <c r="AI47" s="190"/>
      <c r="AJ47" s="186">
        <f>($C47*D47)*(1+'Datos de Entrada'!C$76)</f>
        <v>138061000</v>
      </c>
      <c r="AK47" s="186">
        <f>($C47*E47)*(1+'Datos de Entrada'!D$76)</f>
        <v>14410995.885669071</v>
      </c>
      <c r="AL47" s="186">
        <f>($C47*F47)*(1+'Datos de Entrada'!E$76)</f>
        <v>0</v>
      </c>
      <c r="AM47" s="186">
        <f>($C47*G47)*(1+'Datos de Entrada'!F$76)</f>
        <v>0</v>
      </c>
      <c r="AN47" s="186">
        <f>($C47*H47)*(1+'Datos de Entrada'!G$76)</f>
        <v>0</v>
      </c>
      <c r="AO47" s="186">
        <f>($C47*I47)*(1+'Datos de Entrada'!H$76)</f>
        <v>0</v>
      </c>
      <c r="AP47" s="186">
        <f>($C47*J47)*(1+'Datos de Entrada'!I$76)</f>
        <v>0</v>
      </c>
      <c r="AQ47" s="186">
        <f>($C47*K47)*(1+'Datos de Entrada'!J$76)</f>
        <v>0</v>
      </c>
      <c r="AR47" s="186">
        <f>($C47*L47)*(1+'Datos de Entrada'!K$76)</f>
        <v>0</v>
      </c>
      <c r="AS47" s="186">
        <f>($C47*M47)*(1+'Datos de Entrada'!L$76)</f>
        <v>0</v>
      </c>
      <c r="AT47" s="186">
        <f>($C47*N47)*(1+'Datos de Entrada'!M$76)</f>
        <v>0</v>
      </c>
      <c r="AU47" s="186">
        <f>($C47*O47)*(1+'Datos de Entrada'!N$76)</f>
        <v>0</v>
      </c>
      <c r="AV47" s="186">
        <f>($C47*P47)*(1+'Datos de Entrada'!O$76)</f>
        <v>0</v>
      </c>
      <c r="AW47" s="186">
        <f>($C47*Q47)*(1+'Datos de Entrada'!P$76)</f>
        <v>0</v>
      </c>
      <c r="AX47" s="186">
        <f>($C47*R47)*(1+'Datos de Entrada'!Q$76)</f>
        <v>0</v>
      </c>
      <c r="AY47" s="186">
        <f>($C47*S47)*(1+'Datos de Entrada'!R$76)</f>
        <v>0</v>
      </c>
      <c r="AZ47" s="186">
        <f>($C47*T47)*(1+'Datos de Entrada'!S$76)</f>
        <v>0</v>
      </c>
      <c r="BA47" s="186">
        <f>($C47*U47)*(1+'Datos de Entrada'!T$76)</f>
        <v>0</v>
      </c>
      <c r="BB47" s="186">
        <f>($C47*V47)*(1+'Datos de Entrada'!U$76)</f>
        <v>0</v>
      </c>
      <c r="BC47" s="186">
        <f>($C47*W47)*(1+'Datos de Entrada'!V$76)</f>
        <v>0</v>
      </c>
      <c r="BD47" s="186">
        <f>($C47*X47)*(1+'Datos de Entrada'!W$76)</f>
        <v>0</v>
      </c>
      <c r="BE47" s="186">
        <f>($C47*Y47)*(1+'Datos de Entrada'!X$76)</f>
        <v>0</v>
      </c>
      <c r="BF47" s="186">
        <f>($C47*Z47)*(1+'Datos de Entrada'!Y$76)</f>
        <v>0</v>
      </c>
      <c r="BG47" s="186">
        <f>($C47*AA47)*(1+'Datos de Entrada'!Z$76)</f>
        <v>0</v>
      </c>
      <c r="BH47" s="186">
        <f>($C47*AB47)*(1+'Datos de Entrada'!AA$76)</f>
        <v>0</v>
      </c>
      <c r="BI47" s="186">
        <f>($C47*AC47)*(1+'Datos de Entrada'!AB$76)</f>
        <v>0</v>
      </c>
      <c r="BJ47" s="186">
        <f>($C47*AD47)*(1+'Datos de Entrada'!AC$76)</f>
        <v>0</v>
      </c>
      <c r="BK47" s="186">
        <f>($C47*AE47)*(1+'Datos de Entrada'!AD$76)</f>
        <v>0</v>
      </c>
      <c r="BL47" s="186">
        <f>($C47*AF47)*(1+'Datos de Entrada'!AE$76)</f>
        <v>0</v>
      </c>
      <c r="BM47" s="186">
        <f>($C47*AG47)*(1+'Datos de Entrada'!AF$76)</f>
        <v>0</v>
      </c>
      <c r="BN47" s="186">
        <f t="shared" si="8"/>
        <v>152471995.88566908</v>
      </c>
    </row>
    <row r="48" spans="1:67" s="197" customFormat="1" ht="18.75" customHeight="1" x14ac:dyDescent="0.2">
      <c r="A48" s="190" t="s">
        <v>61</v>
      </c>
      <c r="B48" s="190" t="s">
        <v>33</v>
      </c>
      <c r="C48" s="195">
        <f>'Datos de Entrada'!H49*(1+'Datos de Entrada'!C45)</f>
        <v>89650</v>
      </c>
      <c r="D48" s="196">
        <f>3*[1]Parámetros!$C$18</f>
        <v>462</v>
      </c>
      <c r="E48" s="190">
        <f>2*[1]Parámetros!$C$18</f>
        <v>308</v>
      </c>
      <c r="F48" s="190"/>
      <c r="G48" s="190"/>
      <c r="H48" s="190"/>
      <c r="I48" s="190"/>
      <c r="J48" s="190"/>
      <c r="K48" s="190"/>
      <c r="L48" s="190"/>
      <c r="M48" s="190"/>
      <c r="N48" s="190"/>
      <c r="O48" s="190"/>
      <c r="P48" s="190"/>
      <c r="Q48" s="190"/>
      <c r="R48" s="190"/>
      <c r="S48" s="190"/>
      <c r="T48" s="190"/>
      <c r="U48" s="190"/>
      <c r="V48" s="190"/>
      <c r="W48" s="190"/>
      <c r="X48" s="190"/>
      <c r="Y48" s="190"/>
      <c r="Z48" s="190"/>
      <c r="AA48" s="190"/>
      <c r="AB48" s="190"/>
      <c r="AC48" s="190"/>
      <c r="AD48" s="190"/>
      <c r="AE48" s="190"/>
      <c r="AF48" s="190"/>
      <c r="AG48" s="190"/>
      <c r="AH48" s="190"/>
      <c r="AI48" s="190"/>
      <c r="AJ48" s="186">
        <f>($C48*D48)*(1+'Datos de Entrada'!C$76)</f>
        <v>41418300</v>
      </c>
      <c r="AK48" s="186">
        <f>($C48*E48)*(1+'Datos de Entrada'!D$76)</f>
        <v>28821991.771338142</v>
      </c>
      <c r="AL48" s="186">
        <f>($C48*F48)*(1+'Datos de Entrada'!E$76)</f>
        <v>0</v>
      </c>
      <c r="AM48" s="186">
        <f>($C48*G48)*(1+'Datos de Entrada'!F$76)</f>
        <v>0</v>
      </c>
      <c r="AN48" s="186">
        <f>($C48*H48)*(1+'Datos de Entrada'!G$76)</f>
        <v>0</v>
      </c>
      <c r="AO48" s="186">
        <f>($C48*I48)*(1+'Datos de Entrada'!H$76)</f>
        <v>0</v>
      </c>
      <c r="AP48" s="186">
        <f>($C48*J48)*(1+'Datos de Entrada'!I$76)</f>
        <v>0</v>
      </c>
      <c r="AQ48" s="186">
        <f>($C48*K48)*(1+'Datos de Entrada'!J$76)</f>
        <v>0</v>
      </c>
      <c r="AR48" s="186">
        <f>($C48*L48)*(1+'Datos de Entrada'!K$76)</f>
        <v>0</v>
      </c>
      <c r="AS48" s="186">
        <f>($C48*M48)*(1+'Datos de Entrada'!L$76)</f>
        <v>0</v>
      </c>
      <c r="AT48" s="186">
        <f>($C48*N48)*(1+'Datos de Entrada'!M$76)</f>
        <v>0</v>
      </c>
      <c r="AU48" s="186">
        <f>($C48*O48)*(1+'Datos de Entrada'!N$76)</f>
        <v>0</v>
      </c>
      <c r="AV48" s="186">
        <f>($C48*P48)*(1+'Datos de Entrada'!O$76)</f>
        <v>0</v>
      </c>
      <c r="AW48" s="186">
        <f>($C48*Q48)*(1+'Datos de Entrada'!P$76)</f>
        <v>0</v>
      </c>
      <c r="AX48" s="186">
        <f>($C48*R48)*(1+'Datos de Entrada'!Q$76)</f>
        <v>0</v>
      </c>
      <c r="AY48" s="186">
        <f>($C48*S48)*(1+'Datos de Entrada'!R$76)</f>
        <v>0</v>
      </c>
      <c r="AZ48" s="186">
        <f>($C48*T48)*(1+'Datos de Entrada'!S$76)</f>
        <v>0</v>
      </c>
      <c r="BA48" s="186">
        <f>($C48*U48)*(1+'Datos de Entrada'!T$76)</f>
        <v>0</v>
      </c>
      <c r="BB48" s="186">
        <f>($C48*V48)*(1+'Datos de Entrada'!U$76)</f>
        <v>0</v>
      </c>
      <c r="BC48" s="186">
        <f>($C48*W48)*(1+'Datos de Entrada'!V$76)</f>
        <v>0</v>
      </c>
      <c r="BD48" s="186">
        <f>($C48*X48)*(1+'Datos de Entrada'!W$76)</f>
        <v>0</v>
      </c>
      <c r="BE48" s="186">
        <f>($C48*Y48)*(1+'Datos de Entrada'!X$76)</f>
        <v>0</v>
      </c>
      <c r="BF48" s="186">
        <f>($C48*Z48)*(1+'Datos de Entrada'!Y$76)</f>
        <v>0</v>
      </c>
      <c r="BG48" s="186">
        <f>($C48*AA48)*(1+'Datos de Entrada'!Z$76)</f>
        <v>0</v>
      </c>
      <c r="BH48" s="186">
        <f>($C48*AB48)*(1+'Datos de Entrada'!AA$76)</f>
        <v>0</v>
      </c>
      <c r="BI48" s="186">
        <f>($C48*AC48)*(1+'Datos de Entrada'!AB$76)</f>
        <v>0</v>
      </c>
      <c r="BJ48" s="186">
        <f>($C48*AD48)*(1+'Datos de Entrada'!AC$76)</f>
        <v>0</v>
      </c>
      <c r="BK48" s="186">
        <f>($C48*AE48)*(1+'Datos de Entrada'!AD$76)</f>
        <v>0</v>
      </c>
      <c r="BL48" s="186">
        <f>($C48*AF48)*(1+'Datos de Entrada'!AE$76)</f>
        <v>0</v>
      </c>
      <c r="BM48" s="186">
        <f>($C48*AG48)*(1+'Datos de Entrada'!AF$76)</f>
        <v>0</v>
      </c>
      <c r="BN48" s="186">
        <f t="shared" si="8"/>
        <v>70240291.771338135</v>
      </c>
    </row>
    <row r="49" spans="1:67" s="197" customFormat="1" ht="12.75" customHeight="1" x14ac:dyDescent="0.2">
      <c r="A49" s="190" t="s">
        <v>62</v>
      </c>
      <c r="B49" s="190" t="s">
        <v>33</v>
      </c>
      <c r="C49" s="195">
        <f>'Datos de Entrada'!H49*(1+'Datos de Entrada'!C45)</f>
        <v>89650</v>
      </c>
      <c r="D49" s="196">
        <f>1*[1]Parámetros!$C$18</f>
        <v>154</v>
      </c>
      <c r="E49" s="190">
        <f>1*[1]Parámetros!$C$18</f>
        <v>154</v>
      </c>
      <c r="F49" s="190">
        <f>1*[1]Parámetros!$C$18</f>
        <v>154</v>
      </c>
      <c r="G49" s="190"/>
      <c r="H49" s="190"/>
      <c r="I49" s="190"/>
      <c r="J49" s="190"/>
      <c r="K49" s="190"/>
      <c r="L49" s="190"/>
      <c r="M49" s="190"/>
      <c r="N49" s="190"/>
      <c r="O49" s="190"/>
      <c r="P49" s="190"/>
      <c r="Q49" s="190"/>
      <c r="R49" s="190"/>
      <c r="S49" s="190"/>
      <c r="T49" s="190"/>
      <c r="U49" s="190"/>
      <c r="V49" s="190"/>
      <c r="W49" s="190"/>
      <c r="X49" s="190"/>
      <c r="Y49" s="190"/>
      <c r="Z49" s="190"/>
      <c r="AA49" s="190"/>
      <c r="AB49" s="190"/>
      <c r="AC49" s="190"/>
      <c r="AD49" s="190"/>
      <c r="AE49" s="190"/>
      <c r="AF49" s="190"/>
      <c r="AG49" s="190"/>
      <c r="AH49" s="190"/>
      <c r="AI49" s="190"/>
      <c r="AJ49" s="186">
        <f>($C49*D49)*(1+'Datos de Entrada'!C$76)</f>
        <v>13806100</v>
      </c>
      <c r="AK49" s="186">
        <f>($C49*E49)*(1+'Datos de Entrada'!D$76)</f>
        <v>14410995.885669071</v>
      </c>
      <c r="AL49" s="186">
        <f>($C49*F49)*(1+'Datos de Entrada'!E$76)</f>
        <v>15056442.930196906</v>
      </c>
      <c r="AM49" s="186">
        <f>($C49*G49)*(1+'Datos de Entrada'!F$76)</f>
        <v>0</v>
      </c>
      <c r="AN49" s="186">
        <f>($C49*H49)*(1+'Datos de Entrada'!G$76)</f>
        <v>0</v>
      </c>
      <c r="AO49" s="186">
        <f>($C49*I49)*(1+'Datos de Entrada'!H$76)</f>
        <v>0</v>
      </c>
      <c r="AP49" s="186">
        <f>($C49*J49)*(1+'Datos de Entrada'!I$76)</f>
        <v>0</v>
      </c>
      <c r="AQ49" s="186">
        <f>($C49*K49)*(1+'Datos de Entrada'!J$76)</f>
        <v>0</v>
      </c>
      <c r="AR49" s="186">
        <f>($C49*L49)*(1+'Datos de Entrada'!K$76)</f>
        <v>0</v>
      </c>
      <c r="AS49" s="186">
        <f>($C49*M49)*(1+'Datos de Entrada'!L$76)</f>
        <v>0</v>
      </c>
      <c r="AT49" s="186">
        <f>($C49*N49)*(1+'Datos de Entrada'!M$76)</f>
        <v>0</v>
      </c>
      <c r="AU49" s="186">
        <f>($C49*O49)*(1+'Datos de Entrada'!N$76)</f>
        <v>0</v>
      </c>
      <c r="AV49" s="186">
        <f>($C49*P49)*(1+'Datos de Entrada'!O$76)</f>
        <v>0</v>
      </c>
      <c r="AW49" s="186">
        <f>($C49*Q49)*(1+'Datos de Entrada'!P$76)</f>
        <v>0</v>
      </c>
      <c r="AX49" s="186">
        <f>($C49*R49)*(1+'Datos de Entrada'!Q$76)</f>
        <v>0</v>
      </c>
      <c r="AY49" s="186">
        <f>($C49*S49)*(1+'Datos de Entrada'!R$76)</f>
        <v>0</v>
      </c>
      <c r="AZ49" s="186">
        <f>($C49*T49)*(1+'Datos de Entrada'!S$76)</f>
        <v>0</v>
      </c>
      <c r="BA49" s="186">
        <f>($C49*U49)*(1+'Datos de Entrada'!T$76)</f>
        <v>0</v>
      </c>
      <c r="BB49" s="186">
        <f>($C49*V49)*(1+'Datos de Entrada'!U$76)</f>
        <v>0</v>
      </c>
      <c r="BC49" s="186">
        <f>($C49*W49)*(1+'Datos de Entrada'!V$76)</f>
        <v>0</v>
      </c>
      <c r="BD49" s="186">
        <f>($C49*X49)*(1+'Datos de Entrada'!W$76)</f>
        <v>0</v>
      </c>
      <c r="BE49" s="186">
        <f>($C49*Y49)*(1+'Datos de Entrada'!X$76)</f>
        <v>0</v>
      </c>
      <c r="BF49" s="186">
        <f>($C49*Z49)*(1+'Datos de Entrada'!Y$76)</f>
        <v>0</v>
      </c>
      <c r="BG49" s="186">
        <f>($C49*AA49)*(1+'Datos de Entrada'!Z$76)</f>
        <v>0</v>
      </c>
      <c r="BH49" s="186">
        <f>($C49*AB49)*(1+'Datos de Entrada'!AA$76)</f>
        <v>0</v>
      </c>
      <c r="BI49" s="186">
        <f>($C49*AC49)*(1+'Datos de Entrada'!AB$76)</f>
        <v>0</v>
      </c>
      <c r="BJ49" s="186">
        <f>($C49*AD49)*(1+'Datos de Entrada'!AC$76)</f>
        <v>0</v>
      </c>
      <c r="BK49" s="186">
        <f>($C49*AE49)*(1+'Datos de Entrada'!AD$76)</f>
        <v>0</v>
      </c>
      <c r="BL49" s="186">
        <f>($C49*AF49)*(1+'Datos de Entrada'!AE$76)</f>
        <v>0</v>
      </c>
      <c r="BM49" s="186">
        <f>($C49*AG49)*(1+'Datos de Entrada'!AF$76)</f>
        <v>0</v>
      </c>
      <c r="BN49" s="186">
        <f t="shared" si="8"/>
        <v>43273538.815865979</v>
      </c>
    </row>
    <row r="50" spans="1:67" s="197" customFormat="1" ht="12.75" customHeight="1" x14ac:dyDescent="0.2">
      <c r="A50" s="190" t="s">
        <v>38</v>
      </c>
      <c r="B50" s="190" t="s">
        <v>39</v>
      </c>
      <c r="C50" s="195">
        <f>'Datos de Entrada'!H47*(1+'Datos de Entrada'!C45)</f>
        <v>143983.33333333331</v>
      </c>
      <c r="D50" s="196">
        <f>0.5*[1]Parámetros!$C$18</f>
        <v>77</v>
      </c>
      <c r="E50" s="190">
        <f>0.5*[1]Parámetros!$C$18</f>
        <v>77</v>
      </c>
      <c r="F50" s="190"/>
      <c r="G50" s="190"/>
      <c r="H50" s="190"/>
      <c r="I50" s="190"/>
      <c r="J50" s="190"/>
      <c r="K50" s="190"/>
      <c r="L50" s="190"/>
      <c r="M50" s="190"/>
      <c r="N50" s="190"/>
      <c r="O50" s="190"/>
      <c r="P50" s="190"/>
      <c r="Q50" s="190"/>
      <c r="R50" s="190"/>
      <c r="S50" s="190"/>
      <c r="T50" s="190"/>
      <c r="U50" s="190"/>
      <c r="V50" s="190"/>
      <c r="W50" s="190"/>
      <c r="X50" s="190"/>
      <c r="Y50" s="190"/>
      <c r="Z50" s="190"/>
      <c r="AA50" s="190"/>
      <c r="AB50" s="190"/>
      <c r="AC50" s="190"/>
      <c r="AD50" s="190"/>
      <c r="AE50" s="190"/>
      <c r="AF50" s="190"/>
      <c r="AG50" s="190"/>
      <c r="AH50" s="190"/>
      <c r="AI50" s="190"/>
      <c r="AJ50" s="186">
        <f>($C50*D50)*(1+'Datos de Entrada'!C$76)</f>
        <v>11086716.666666666</v>
      </c>
      <c r="AK50" s="186">
        <f>($C50*E50)*(1+'Datos de Entrada'!D$76)</f>
        <v>11572466.393037284</v>
      </c>
      <c r="AL50" s="186">
        <f>($C50*F50)*(1+'Datos de Entrada'!E$76)</f>
        <v>0</v>
      </c>
      <c r="AM50" s="186">
        <f>($C50*G50)*(1+'Datos de Entrada'!F$76)</f>
        <v>0</v>
      </c>
      <c r="AN50" s="186">
        <f>($C50*H50)*(1+'Datos de Entrada'!G$76)</f>
        <v>0</v>
      </c>
      <c r="AO50" s="186">
        <f>($C50*I50)*(1+'Datos de Entrada'!H$76)</f>
        <v>0</v>
      </c>
      <c r="AP50" s="186">
        <f>($C50*J50)*(1+'Datos de Entrada'!I$76)</f>
        <v>0</v>
      </c>
      <c r="AQ50" s="186">
        <f>($C50*K50)*(1+'Datos de Entrada'!J$76)</f>
        <v>0</v>
      </c>
      <c r="AR50" s="186">
        <f>($C50*L50)*(1+'Datos de Entrada'!K$76)</f>
        <v>0</v>
      </c>
      <c r="AS50" s="186">
        <f>($C50*M50)*(1+'Datos de Entrada'!L$76)</f>
        <v>0</v>
      </c>
      <c r="AT50" s="186">
        <f>($C50*N50)*(1+'Datos de Entrada'!M$76)</f>
        <v>0</v>
      </c>
      <c r="AU50" s="186">
        <f>($C50*O50)*(1+'Datos de Entrada'!N$76)</f>
        <v>0</v>
      </c>
      <c r="AV50" s="186">
        <f>($C50*P50)*(1+'Datos de Entrada'!O$76)</f>
        <v>0</v>
      </c>
      <c r="AW50" s="186">
        <f>($C50*Q50)*(1+'Datos de Entrada'!P$76)</f>
        <v>0</v>
      </c>
      <c r="AX50" s="186">
        <f>($C50*R50)*(1+'Datos de Entrada'!Q$76)</f>
        <v>0</v>
      </c>
      <c r="AY50" s="186">
        <f>($C50*S50)*(1+'Datos de Entrada'!R$76)</f>
        <v>0</v>
      </c>
      <c r="AZ50" s="186">
        <f>($C50*T50)*(1+'Datos de Entrada'!S$76)</f>
        <v>0</v>
      </c>
      <c r="BA50" s="186">
        <f>($C50*U50)*(1+'Datos de Entrada'!T$76)</f>
        <v>0</v>
      </c>
      <c r="BB50" s="186">
        <f>($C50*V50)*(1+'Datos de Entrada'!U$76)</f>
        <v>0</v>
      </c>
      <c r="BC50" s="186">
        <f>($C50*W50)*(1+'Datos de Entrada'!V$76)</f>
        <v>0</v>
      </c>
      <c r="BD50" s="186">
        <f>($C50*X50)*(1+'Datos de Entrada'!W$76)</f>
        <v>0</v>
      </c>
      <c r="BE50" s="186">
        <f>($C50*Y50)*(1+'Datos de Entrada'!X$76)</f>
        <v>0</v>
      </c>
      <c r="BF50" s="186">
        <f>($C50*Z50)*(1+'Datos de Entrada'!Y$76)</f>
        <v>0</v>
      </c>
      <c r="BG50" s="186">
        <f>($C50*AA50)*(1+'Datos de Entrada'!Z$76)</f>
        <v>0</v>
      </c>
      <c r="BH50" s="186">
        <f>($C50*AB50)*(1+'Datos de Entrada'!AA$76)</f>
        <v>0</v>
      </c>
      <c r="BI50" s="186">
        <f>($C50*AC50)*(1+'Datos de Entrada'!AB$76)</f>
        <v>0</v>
      </c>
      <c r="BJ50" s="186">
        <f>($C50*AD50)*(1+'Datos de Entrada'!AC$76)</f>
        <v>0</v>
      </c>
      <c r="BK50" s="186">
        <f>($C50*AE50)*(1+'Datos de Entrada'!AD$76)</f>
        <v>0</v>
      </c>
      <c r="BL50" s="186">
        <f>($C50*AF50)*(1+'Datos de Entrada'!AE$76)</f>
        <v>0</v>
      </c>
      <c r="BM50" s="186">
        <f>($C50*AG50)*(1+'Datos de Entrada'!AF$76)</f>
        <v>0</v>
      </c>
      <c r="BN50" s="186">
        <f t="shared" si="8"/>
        <v>22659183.05970395</v>
      </c>
    </row>
    <row r="51" spans="1:67" s="197" customFormat="1" ht="12.75" customHeight="1" x14ac:dyDescent="0.2">
      <c r="A51" s="190" t="s">
        <v>63</v>
      </c>
      <c r="B51" s="190" t="s">
        <v>64</v>
      </c>
      <c r="C51" s="195">
        <f>'Equipos y Herramientas'!C14</f>
        <v>3500</v>
      </c>
      <c r="D51" s="199">
        <f>600*[1]Parámetros!C18</f>
        <v>92400</v>
      </c>
      <c r="E51" s="198">
        <f>20%*D51</f>
        <v>18480</v>
      </c>
      <c r="F51" s="190"/>
      <c r="G51" s="198">
        <f>+D51+E51</f>
        <v>110880</v>
      </c>
      <c r="H51" s="190"/>
      <c r="I51" s="190"/>
      <c r="J51" s="190"/>
      <c r="K51" s="190"/>
      <c r="L51" s="190"/>
      <c r="M51" s="190"/>
      <c r="N51" s="190"/>
      <c r="O51" s="190"/>
      <c r="P51" s="190"/>
      <c r="Q51" s="190"/>
      <c r="R51" s="190"/>
      <c r="S51" s="190"/>
      <c r="T51" s="190"/>
      <c r="U51" s="190"/>
      <c r="V51" s="190"/>
      <c r="W51" s="190"/>
      <c r="X51" s="190"/>
      <c r="Y51" s="190"/>
      <c r="Z51" s="190"/>
      <c r="AA51" s="190"/>
      <c r="AB51" s="190"/>
      <c r="AC51" s="190"/>
      <c r="AD51" s="190"/>
      <c r="AE51" s="190"/>
      <c r="AF51" s="190"/>
      <c r="AG51" s="190"/>
      <c r="AH51" s="190"/>
      <c r="AI51" s="190"/>
      <c r="AJ51" s="186">
        <f>($C51*D51)*(1+'Datos de Entrada'!C$76)</f>
        <v>323400000</v>
      </c>
      <c r="AK51" s="186">
        <f>($C51*E51)*(1+'Datos de Entrada'!D$76)</f>
        <v>67513868.064484209</v>
      </c>
      <c r="AL51" s="186">
        <f>($C51*F51)*(1+'Datos de Entrada'!E$76)</f>
        <v>0</v>
      </c>
      <c r="AM51" s="186">
        <f>($C51*G51)*(1+'Datos de Entrada'!F$76)</f>
        <v>442540661.25544274</v>
      </c>
      <c r="AN51" s="186">
        <f>($C51*H51)*(1+'Datos de Entrada'!G$76)</f>
        <v>0</v>
      </c>
      <c r="AO51" s="186">
        <f>($C51*I51)*(1+'Datos de Entrada'!H$76)</f>
        <v>0</v>
      </c>
      <c r="AP51" s="186">
        <f>($C51*J51)*(1+'Datos de Entrada'!I$76)</f>
        <v>0</v>
      </c>
      <c r="AQ51" s="186">
        <f>($C51*K51)*(1+'Datos de Entrada'!J$76)</f>
        <v>0</v>
      </c>
      <c r="AR51" s="186">
        <f>($C51*L51)*(1+'Datos de Entrada'!K$76)</f>
        <v>0</v>
      </c>
      <c r="AS51" s="186">
        <f>($C51*M51)*(1+'Datos de Entrada'!L$76)</f>
        <v>0</v>
      </c>
      <c r="AT51" s="186">
        <f>($C51*N51)*(1+'Datos de Entrada'!M$76)</f>
        <v>0</v>
      </c>
      <c r="AU51" s="186">
        <f>($C51*O51)*(1+'Datos de Entrada'!N$76)</f>
        <v>0</v>
      </c>
      <c r="AV51" s="186">
        <f>($C51*P51)*(1+'Datos de Entrada'!O$76)</f>
        <v>0</v>
      </c>
      <c r="AW51" s="186">
        <f>($C51*Q51)*(1+'Datos de Entrada'!P$76)</f>
        <v>0</v>
      </c>
      <c r="AX51" s="186">
        <f>($C51*R51)*(1+'Datos de Entrada'!Q$76)</f>
        <v>0</v>
      </c>
      <c r="AY51" s="186">
        <f>($C51*S51)*(1+'Datos de Entrada'!R$76)</f>
        <v>0</v>
      </c>
      <c r="AZ51" s="186">
        <f>($C51*T51)*(1+'Datos de Entrada'!S$76)</f>
        <v>0</v>
      </c>
      <c r="BA51" s="186">
        <f>($C51*U51)*(1+'Datos de Entrada'!T$76)</f>
        <v>0</v>
      </c>
      <c r="BB51" s="186">
        <f>($C51*V51)*(1+'Datos de Entrada'!U$76)</f>
        <v>0</v>
      </c>
      <c r="BC51" s="186">
        <f>($C51*W51)*(1+'Datos de Entrada'!V$76)</f>
        <v>0</v>
      </c>
      <c r="BD51" s="186">
        <f>($C51*X51)*(1+'Datos de Entrada'!W$76)</f>
        <v>0</v>
      </c>
      <c r="BE51" s="186">
        <f>($C51*Y51)*(1+'Datos de Entrada'!X$76)</f>
        <v>0</v>
      </c>
      <c r="BF51" s="186">
        <f>($C51*Z51)*(1+'Datos de Entrada'!Y$76)</f>
        <v>0</v>
      </c>
      <c r="BG51" s="186">
        <f>($C51*AA51)*(1+'Datos de Entrada'!Z$76)</f>
        <v>0</v>
      </c>
      <c r="BH51" s="186">
        <f>($C51*AB51)*(1+'Datos de Entrada'!AA$76)</f>
        <v>0</v>
      </c>
      <c r="BI51" s="186">
        <f>($C51*AC51)*(1+'Datos de Entrada'!AB$76)</f>
        <v>0</v>
      </c>
      <c r="BJ51" s="186">
        <f>($C51*AD51)*(1+'Datos de Entrada'!AC$76)</f>
        <v>0</v>
      </c>
      <c r="BK51" s="186">
        <f>($C51*AE51)*(1+'Datos de Entrada'!AD$76)</f>
        <v>0</v>
      </c>
      <c r="BL51" s="186">
        <f>($C51*AF51)*(1+'Datos de Entrada'!AE$76)</f>
        <v>0</v>
      </c>
      <c r="BM51" s="186">
        <f>($C51*AG51)*(1+'Datos de Entrada'!AF$76)</f>
        <v>0</v>
      </c>
      <c r="BN51" s="186">
        <f t="shared" si="8"/>
        <v>833454529.31992698</v>
      </c>
    </row>
    <row r="52" spans="1:67" s="197" customFormat="1" ht="12.75" customHeight="1" x14ac:dyDescent="0.2">
      <c r="A52" s="190" t="s">
        <v>65</v>
      </c>
      <c r="B52" s="190" t="s">
        <v>46</v>
      </c>
      <c r="C52" s="195">
        <f>'Equipos y Herramientas'!C15</f>
        <v>2800</v>
      </c>
      <c r="D52" s="199">
        <f>+D51*[1]Parámetros!$C$46/1000</f>
        <v>6468</v>
      </c>
      <c r="E52" s="202">
        <f>+E51*[1]Parámetros!$C$46/1000</f>
        <v>1293.5999999999999</v>
      </c>
      <c r="F52" s="190"/>
      <c r="G52" s="190"/>
      <c r="H52" s="190"/>
      <c r="I52" s="190"/>
      <c r="J52" s="190"/>
      <c r="K52" s="190"/>
      <c r="L52" s="190"/>
      <c r="M52" s="190"/>
      <c r="N52" s="190"/>
      <c r="O52" s="190"/>
      <c r="P52" s="190"/>
      <c r="Q52" s="190"/>
      <c r="R52" s="190"/>
      <c r="S52" s="190"/>
      <c r="T52" s="190"/>
      <c r="U52" s="190"/>
      <c r="V52" s="190"/>
      <c r="W52" s="190"/>
      <c r="X52" s="190"/>
      <c r="Y52" s="190"/>
      <c r="Z52" s="190"/>
      <c r="AA52" s="190"/>
      <c r="AB52" s="190"/>
      <c r="AC52" s="190"/>
      <c r="AD52" s="190"/>
      <c r="AE52" s="190"/>
      <c r="AF52" s="190"/>
      <c r="AG52" s="190"/>
      <c r="AH52" s="190"/>
      <c r="AI52" s="190"/>
      <c r="AJ52" s="186">
        <f>($C52*D52)*(1+'Datos de Entrada'!C$76)</f>
        <v>18110400</v>
      </c>
      <c r="AK52" s="186">
        <f>($C52*E52)*(1+'Datos de Entrada'!D$76)</f>
        <v>3780776.6116111157</v>
      </c>
      <c r="AL52" s="186">
        <f>($C52*F52)*(1+'Datos de Entrada'!E$76)</f>
        <v>0</v>
      </c>
      <c r="AM52" s="186">
        <f>($C52*G52)*(1+'Datos de Entrada'!F$76)</f>
        <v>0</v>
      </c>
      <c r="AN52" s="186">
        <f>($C52*H52)*(1+'Datos de Entrada'!G$76)</f>
        <v>0</v>
      </c>
      <c r="AO52" s="186">
        <f>($C52*I52)*(1+'Datos de Entrada'!H$76)</f>
        <v>0</v>
      </c>
      <c r="AP52" s="186">
        <f>($C52*J52)*(1+'Datos de Entrada'!I$76)</f>
        <v>0</v>
      </c>
      <c r="AQ52" s="186">
        <f>($C52*K52)*(1+'Datos de Entrada'!J$76)</f>
        <v>0</v>
      </c>
      <c r="AR52" s="186">
        <f>($C52*L52)*(1+'Datos de Entrada'!K$76)</f>
        <v>0</v>
      </c>
      <c r="AS52" s="186">
        <f>($C52*M52)*(1+'Datos de Entrada'!L$76)</f>
        <v>0</v>
      </c>
      <c r="AT52" s="186">
        <f>($C52*N52)*(1+'Datos de Entrada'!M$76)</f>
        <v>0</v>
      </c>
      <c r="AU52" s="186">
        <f>($C52*O52)*(1+'Datos de Entrada'!N$76)</f>
        <v>0</v>
      </c>
      <c r="AV52" s="186">
        <f>($C52*P52)*(1+'Datos de Entrada'!O$76)</f>
        <v>0</v>
      </c>
      <c r="AW52" s="186">
        <f>($C52*Q52)*(1+'Datos de Entrada'!P$76)</f>
        <v>0</v>
      </c>
      <c r="AX52" s="186">
        <f>($C52*R52)*(1+'Datos de Entrada'!Q$76)</f>
        <v>0</v>
      </c>
      <c r="AY52" s="186">
        <f>($C52*S52)*(1+'Datos de Entrada'!R$76)</f>
        <v>0</v>
      </c>
      <c r="AZ52" s="186">
        <f>($C52*T52)*(1+'Datos de Entrada'!S$76)</f>
        <v>0</v>
      </c>
      <c r="BA52" s="186">
        <f>($C52*U52)*(1+'Datos de Entrada'!T$76)</f>
        <v>0</v>
      </c>
      <c r="BB52" s="186">
        <f>($C52*V52)*(1+'Datos de Entrada'!U$76)</f>
        <v>0</v>
      </c>
      <c r="BC52" s="186">
        <f>($C52*W52)*(1+'Datos de Entrada'!V$76)</f>
        <v>0</v>
      </c>
      <c r="BD52" s="186">
        <f>($C52*X52)*(1+'Datos de Entrada'!W$76)</f>
        <v>0</v>
      </c>
      <c r="BE52" s="186">
        <f>($C52*Y52)*(1+'Datos de Entrada'!X$76)</f>
        <v>0</v>
      </c>
      <c r="BF52" s="186">
        <f>($C52*Z52)*(1+'Datos de Entrada'!Y$76)</f>
        <v>0</v>
      </c>
      <c r="BG52" s="186">
        <f>($C52*AA52)*(1+'Datos de Entrada'!Z$76)</f>
        <v>0</v>
      </c>
      <c r="BH52" s="186">
        <f>($C52*AB52)*(1+'Datos de Entrada'!AA$76)</f>
        <v>0</v>
      </c>
      <c r="BI52" s="186">
        <f>($C52*AC52)*(1+'Datos de Entrada'!AB$76)</f>
        <v>0</v>
      </c>
      <c r="BJ52" s="186">
        <f>($C52*AD52)*(1+'Datos de Entrada'!AC$76)</f>
        <v>0</v>
      </c>
      <c r="BK52" s="186">
        <f>($C52*AE52)*(1+'Datos de Entrada'!AD$76)</f>
        <v>0</v>
      </c>
      <c r="BL52" s="186">
        <f>($C52*AF52)*(1+'Datos de Entrada'!AE$76)</f>
        <v>0</v>
      </c>
      <c r="BM52" s="186">
        <f>($C52*AG52)*(1+'Datos de Entrada'!AF$76)</f>
        <v>0</v>
      </c>
      <c r="BN52" s="186">
        <f t="shared" si="8"/>
        <v>21891176.611611117</v>
      </c>
    </row>
    <row r="53" spans="1:67" s="197" customFormat="1" ht="12.75" customHeight="1" x14ac:dyDescent="0.2">
      <c r="A53" s="190" t="s">
        <v>66</v>
      </c>
      <c r="B53" s="190" t="s">
        <v>46</v>
      </c>
      <c r="C53" s="195">
        <f>'Equipos y Herramientas'!C16</f>
        <v>22000</v>
      </c>
      <c r="D53" s="203">
        <f>+D51*[1]Parámetros!$C$47/1000</f>
        <v>462</v>
      </c>
      <c r="E53" s="202">
        <f>+E51*[1]Parámetros!$C$47/1000</f>
        <v>92.4</v>
      </c>
      <c r="F53" s="190"/>
      <c r="G53" s="190"/>
      <c r="H53" s="190"/>
      <c r="I53" s="190"/>
      <c r="J53" s="190"/>
      <c r="K53" s="190"/>
      <c r="L53" s="190"/>
      <c r="M53" s="190"/>
      <c r="N53" s="190"/>
      <c r="O53" s="190"/>
      <c r="P53" s="190"/>
      <c r="Q53" s="190"/>
      <c r="R53" s="190"/>
      <c r="S53" s="190"/>
      <c r="T53" s="190"/>
      <c r="U53" s="190"/>
      <c r="V53" s="190"/>
      <c r="W53" s="190"/>
      <c r="X53" s="190"/>
      <c r="Y53" s="190"/>
      <c r="Z53" s="190"/>
      <c r="AA53" s="190"/>
      <c r="AB53" s="190"/>
      <c r="AC53" s="190"/>
      <c r="AD53" s="190"/>
      <c r="AE53" s="190"/>
      <c r="AF53" s="190"/>
      <c r="AG53" s="190"/>
      <c r="AH53" s="190"/>
      <c r="AI53" s="190"/>
      <c r="AJ53" s="186">
        <f>($C53*D53)*(1+'Datos de Entrada'!C$76)</f>
        <v>10164000</v>
      </c>
      <c r="AK53" s="186">
        <f>($C53*E53)*(1+'Datos de Entrada'!D$76)</f>
        <v>2121864.4248837898</v>
      </c>
      <c r="AL53" s="186">
        <f>($C53*F53)*(1+'Datos de Entrada'!E$76)</f>
        <v>0</v>
      </c>
      <c r="AM53" s="186">
        <f>($C53*G53)*(1+'Datos de Entrada'!F$76)</f>
        <v>0</v>
      </c>
      <c r="AN53" s="186">
        <f>($C53*H53)*(1+'Datos de Entrada'!G$76)</f>
        <v>0</v>
      </c>
      <c r="AO53" s="186">
        <f>($C53*I53)*(1+'Datos de Entrada'!H$76)</f>
        <v>0</v>
      </c>
      <c r="AP53" s="186">
        <f>($C53*J53)*(1+'Datos de Entrada'!I$76)</f>
        <v>0</v>
      </c>
      <c r="AQ53" s="186">
        <f>($C53*K53)*(1+'Datos de Entrada'!J$76)</f>
        <v>0</v>
      </c>
      <c r="AR53" s="186">
        <f>($C53*L53)*(1+'Datos de Entrada'!K$76)</f>
        <v>0</v>
      </c>
      <c r="AS53" s="186">
        <f>($C53*M53)*(1+'Datos de Entrada'!L$76)</f>
        <v>0</v>
      </c>
      <c r="AT53" s="186">
        <f>($C53*N53)*(1+'Datos de Entrada'!M$76)</f>
        <v>0</v>
      </c>
      <c r="AU53" s="186">
        <f>($C53*O53)*(1+'Datos de Entrada'!N$76)</f>
        <v>0</v>
      </c>
      <c r="AV53" s="186">
        <f>($C53*P53)*(1+'Datos de Entrada'!O$76)</f>
        <v>0</v>
      </c>
      <c r="AW53" s="186">
        <f>($C53*Q53)*(1+'Datos de Entrada'!P$76)</f>
        <v>0</v>
      </c>
      <c r="AX53" s="186">
        <f>($C53*R53)*(1+'Datos de Entrada'!Q$76)</f>
        <v>0</v>
      </c>
      <c r="AY53" s="186">
        <f>($C53*S53)*(1+'Datos de Entrada'!R$76)</f>
        <v>0</v>
      </c>
      <c r="AZ53" s="186">
        <f>($C53*T53)*(1+'Datos de Entrada'!S$76)</f>
        <v>0</v>
      </c>
      <c r="BA53" s="186">
        <f>($C53*U53)*(1+'Datos de Entrada'!T$76)</f>
        <v>0</v>
      </c>
      <c r="BB53" s="186">
        <f>($C53*V53)*(1+'Datos de Entrada'!U$76)</f>
        <v>0</v>
      </c>
      <c r="BC53" s="186">
        <f>($C53*W53)*(1+'Datos de Entrada'!V$76)</f>
        <v>0</v>
      </c>
      <c r="BD53" s="186">
        <f>($C53*X53)*(1+'Datos de Entrada'!W$76)</f>
        <v>0</v>
      </c>
      <c r="BE53" s="186">
        <f>($C53*Y53)*(1+'Datos de Entrada'!X$76)</f>
        <v>0</v>
      </c>
      <c r="BF53" s="186">
        <f>($C53*Z53)*(1+'Datos de Entrada'!Y$76)</f>
        <v>0</v>
      </c>
      <c r="BG53" s="186">
        <f>($C53*AA53)*(1+'Datos de Entrada'!Z$76)</f>
        <v>0</v>
      </c>
      <c r="BH53" s="186">
        <f>($C53*AB53)*(1+'Datos de Entrada'!AA$76)</f>
        <v>0</v>
      </c>
      <c r="BI53" s="186">
        <f>($C53*AC53)*(1+'Datos de Entrada'!AB$76)</f>
        <v>0</v>
      </c>
      <c r="BJ53" s="186">
        <f>($C53*AD53)*(1+'Datos de Entrada'!AC$76)</f>
        <v>0</v>
      </c>
      <c r="BK53" s="186">
        <f>($C53*AE53)*(1+'Datos de Entrada'!AD$76)</f>
        <v>0</v>
      </c>
      <c r="BL53" s="186">
        <f>($C53*AF53)*(1+'Datos de Entrada'!AE$76)</f>
        <v>0</v>
      </c>
      <c r="BM53" s="186">
        <f>($C53*AG53)*(1+'Datos de Entrada'!AF$76)</f>
        <v>0</v>
      </c>
      <c r="BN53" s="186">
        <f t="shared" si="8"/>
        <v>12285864.42488379</v>
      </c>
    </row>
    <row r="54" spans="1:67" s="197" customFormat="1" ht="12.75" customHeight="1" x14ac:dyDescent="0.2">
      <c r="A54" s="190" t="s">
        <v>67</v>
      </c>
      <c r="B54" s="190" t="s">
        <v>46</v>
      </c>
      <c r="C54" s="195">
        <f>'Equipos y Herramientas'!C17</f>
        <v>4000</v>
      </c>
      <c r="D54" s="203">
        <f>+D51*[1]Parámetros!$C$48/1000</f>
        <v>6930</v>
      </c>
      <c r="E54" s="202">
        <f>+E51*[1]Parámetros!$C$48/1000</f>
        <v>1386</v>
      </c>
      <c r="F54" s="190"/>
      <c r="G54" s="190"/>
      <c r="H54" s="190"/>
      <c r="I54" s="190"/>
      <c r="J54" s="190"/>
      <c r="K54" s="190"/>
      <c r="L54" s="190"/>
      <c r="M54" s="190"/>
      <c r="N54" s="190"/>
      <c r="O54" s="190"/>
      <c r="P54" s="190"/>
      <c r="Q54" s="190"/>
      <c r="R54" s="190"/>
      <c r="S54" s="190"/>
      <c r="T54" s="190"/>
      <c r="U54" s="190"/>
      <c r="V54" s="190"/>
      <c r="W54" s="190"/>
      <c r="X54" s="190"/>
      <c r="Y54" s="190"/>
      <c r="Z54" s="190"/>
      <c r="AA54" s="190"/>
      <c r="AB54" s="190"/>
      <c r="AC54" s="190"/>
      <c r="AD54" s="190"/>
      <c r="AE54" s="190"/>
      <c r="AF54" s="190"/>
      <c r="AG54" s="190"/>
      <c r="AH54" s="190"/>
      <c r="AI54" s="190"/>
      <c r="AJ54" s="186">
        <f>($C54*D54)*(1+'Datos de Entrada'!C$76)</f>
        <v>27720000</v>
      </c>
      <c r="AK54" s="186">
        <f>($C54*E54)*(1+'Datos de Entrada'!D$76)</f>
        <v>5786902.9769557901</v>
      </c>
      <c r="AL54" s="186">
        <f>($C54*F54)*(1+'Datos de Entrada'!E$76)</f>
        <v>0</v>
      </c>
      <c r="AM54" s="186">
        <f>($C54*G54)*(1+'Datos de Entrada'!F$76)</f>
        <v>0</v>
      </c>
      <c r="AN54" s="186">
        <f>($C54*H54)*(1+'Datos de Entrada'!G$76)</f>
        <v>0</v>
      </c>
      <c r="AO54" s="186">
        <f>($C54*I54)*(1+'Datos de Entrada'!H$76)</f>
        <v>0</v>
      </c>
      <c r="AP54" s="186">
        <f>($C54*J54)*(1+'Datos de Entrada'!I$76)</f>
        <v>0</v>
      </c>
      <c r="AQ54" s="186">
        <f>($C54*K54)*(1+'Datos de Entrada'!J$76)</f>
        <v>0</v>
      </c>
      <c r="AR54" s="186">
        <f>($C54*L54)*(1+'Datos de Entrada'!K$76)</f>
        <v>0</v>
      </c>
      <c r="AS54" s="186">
        <f>($C54*M54)*(1+'Datos de Entrada'!L$76)</f>
        <v>0</v>
      </c>
      <c r="AT54" s="186">
        <f>($C54*N54)*(1+'Datos de Entrada'!M$76)</f>
        <v>0</v>
      </c>
      <c r="AU54" s="186">
        <f>($C54*O54)*(1+'Datos de Entrada'!N$76)</f>
        <v>0</v>
      </c>
      <c r="AV54" s="186">
        <f>($C54*P54)*(1+'Datos de Entrada'!O$76)</f>
        <v>0</v>
      </c>
      <c r="AW54" s="186">
        <f>($C54*Q54)*(1+'Datos de Entrada'!P$76)</f>
        <v>0</v>
      </c>
      <c r="AX54" s="186">
        <f>($C54*R54)*(1+'Datos de Entrada'!Q$76)</f>
        <v>0</v>
      </c>
      <c r="AY54" s="186">
        <f>($C54*S54)*(1+'Datos de Entrada'!R$76)</f>
        <v>0</v>
      </c>
      <c r="AZ54" s="186">
        <f>($C54*T54)*(1+'Datos de Entrada'!S$76)</f>
        <v>0</v>
      </c>
      <c r="BA54" s="186">
        <f>($C54*U54)*(1+'Datos de Entrada'!T$76)</f>
        <v>0</v>
      </c>
      <c r="BB54" s="186">
        <f>($C54*V54)*(1+'Datos de Entrada'!U$76)</f>
        <v>0</v>
      </c>
      <c r="BC54" s="186">
        <f>($C54*W54)*(1+'Datos de Entrada'!V$76)</f>
        <v>0</v>
      </c>
      <c r="BD54" s="186">
        <f>($C54*X54)*(1+'Datos de Entrada'!W$76)</f>
        <v>0</v>
      </c>
      <c r="BE54" s="186">
        <f>($C54*Y54)*(1+'Datos de Entrada'!X$76)</f>
        <v>0</v>
      </c>
      <c r="BF54" s="186">
        <f>($C54*Z54)*(1+'Datos de Entrada'!Y$76)</f>
        <v>0</v>
      </c>
      <c r="BG54" s="186">
        <f>($C54*AA54)*(1+'Datos de Entrada'!Z$76)</f>
        <v>0</v>
      </c>
      <c r="BH54" s="186">
        <f>($C54*AB54)*(1+'Datos de Entrada'!AA$76)</f>
        <v>0</v>
      </c>
      <c r="BI54" s="186">
        <f>($C54*AC54)*(1+'Datos de Entrada'!AB$76)</f>
        <v>0</v>
      </c>
      <c r="BJ54" s="186">
        <f>($C54*AD54)*(1+'Datos de Entrada'!AC$76)</f>
        <v>0</v>
      </c>
      <c r="BK54" s="186">
        <f>($C54*AE54)*(1+'Datos de Entrada'!AD$76)</f>
        <v>0</v>
      </c>
      <c r="BL54" s="186">
        <f>($C54*AF54)*(1+'Datos de Entrada'!AE$76)</f>
        <v>0</v>
      </c>
      <c r="BM54" s="186">
        <f>($C54*AG54)*(1+'Datos de Entrada'!AF$76)</f>
        <v>0</v>
      </c>
      <c r="BN54" s="186">
        <f t="shared" si="8"/>
        <v>33506902.97695579</v>
      </c>
    </row>
    <row r="55" spans="1:67" s="197" customFormat="1" ht="12.75" customHeight="1" x14ac:dyDescent="0.2">
      <c r="A55" s="190" t="s">
        <v>68</v>
      </c>
      <c r="B55" s="190" t="s">
        <v>69</v>
      </c>
      <c r="C55" s="195">
        <f>'Equipos y Herramientas'!C18</f>
        <v>35000</v>
      </c>
      <c r="D55" s="203">
        <f>+D51*[1]Parámetros!$C$50/1000</f>
        <v>30.8</v>
      </c>
      <c r="E55" s="202">
        <f>+E51*[1]Parámetros!$C$50/1000</f>
        <v>6.16</v>
      </c>
      <c r="F55" s="190"/>
      <c r="G55" s="190"/>
      <c r="H55" s="190"/>
      <c r="I55" s="190"/>
      <c r="J55" s="190"/>
      <c r="K55" s="190"/>
      <c r="L55" s="190"/>
      <c r="M55" s="190"/>
      <c r="N55" s="190"/>
      <c r="O55" s="190"/>
      <c r="P55" s="190"/>
      <c r="Q55" s="190"/>
      <c r="R55" s="190"/>
      <c r="S55" s="190"/>
      <c r="T55" s="190"/>
      <c r="U55" s="190"/>
      <c r="V55" s="190"/>
      <c r="W55" s="190"/>
      <c r="X55" s="190"/>
      <c r="Y55" s="190"/>
      <c r="Z55" s="190"/>
      <c r="AA55" s="190"/>
      <c r="AB55" s="190"/>
      <c r="AC55" s="190"/>
      <c r="AD55" s="190"/>
      <c r="AE55" s="190"/>
      <c r="AF55" s="190"/>
      <c r="AG55" s="190"/>
      <c r="AH55" s="190"/>
      <c r="AI55" s="190"/>
      <c r="AJ55" s="186">
        <f>($C55*D55)*(1+'Datos de Entrada'!C$76)</f>
        <v>1078000</v>
      </c>
      <c r="AK55" s="186">
        <f>($C55*E55)*(1+'Datos de Entrada'!D$76)</f>
        <v>225046.22688161404</v>
      </c>
      <c r="AL55" s="186">
        <f>($C55*F55)*(1+'Datos de Entrada'!E$76)</f>
        <v>0</v>
      </c>
      <c r="AM55" s="186">
        <f>($C55*G55)*(1+'Datos de Entrada'!F$76)</f>
        <v>0</v>
      </c>
      <c r="AN55" s="186">
        <f>($C55*H55)*(1+'Datos de Entrada'!G$76)</f>
        <v>0</v>
      </c>
      <c r="AO55" s="186">
        <f>($C55*I55)*(1+'Datos de Entrada'!H$76)</f>
        <v>0</v>
      </c>
      <c r="AP55" s="186">
        <f>($C55*J55)*(1+'Datos de Entrada'!I$76)</f>
        <v>0</v>
      </c>
      <c r="AQ55" s="186">
        <f>($C55*K55)*(1+'Datos de Entrada'!J$76)</f>
        <v>0</v>
      </c>
      <c r="AR55" s="186">
        <f>($C55*L55)*(1+'Datos de Entrada'!K$76)</f>
        <v>0</v>
      </c>
      <c r="AS55" s="186">
        <f>($C55*M55)*(1+'Datos de Entrada'!L$76)</f>
        <v>0</v>
      </c>
      <c r="AT55" s="186">
        <f>($C55*N55)*(1+'Datos de Entrada'!M$76)</f>
        <v>0</v>
      </c>
      <c r="AU55" s="186">
        <f>($C55*O55)*(1+'Datos de Entrada'!N$76)</f>
        <v>0</v>
      </c>
      <c r="AV55" s="186">
        <f>($C55*P55)*(1+'Datos de Entrada'!O$76)</f>
        <v>0</v>
      </c>
      <c r="AW55" s="186">
        <f>($C55*Q55)*(1+'Datos de Entrada'!P$76)</f>
        <v>0</v>
      </c>
      <c r="AX55" s="186">
        <f>($C55*R55)*(1+'Datos de Entrada'!Q$76)</f>
        <v>0</v>
      </c>
      <c r="AY55" s="186">
        <f>($C55*S55)*(1+'Datos de Entrada'!R$76)</f>
        <v>0</v>
      </c>
      <c r="AZ55" s="186">
        <f>($C55*T55)*(1+'Datos de Entrada'!S$76)</f>
        <v>0</v>
      </c>
      <c r="BA55" s="186">
        <f>($C55*U55)*(1+'Datos de Entrada'!T$76)</f>
        <v>0</v>
      </c>
      <c r="BB55" s="186">
        <f>($C55*V55)*(1+'Datos de Entrada'!U$76)</f>
        <v>0</v>
      </c>
      <c r="BC55" s="186">
        <f>($C55*W55)*(1+'Datos de Entrada'!V$76)</f>
        <v>0</v>
      </c>
      <c r="BD55" s="186">
        <f>($C55*X55)*(1+'Datos de Entrada'!W$76)</f>
        <v>0</v>
      </c>
      <c r="BE55" s="186">
        <f>($C55*Y55)*(1+'Datos de Entrada'!X$76)</f>
        <v>0</v>
      </c>
      <c r="BF55" s="186">
        <f>($C55*Z55)*(1+'Datos de Entrada'!Y$76)</f>
        <v>0</v>
      </c>
      <c r="BG55" s="186">
        <f>($C55*AA55)*(1+'Datos de Entrada'!Z$76)</f>
        <v>0</v>
      </c>
      <c r="BH55" s="186">
        <f>($C55*AB55)*(1+'Datos de Entrada'!AA$76)</f>
        <v>0</v>
      </c>
      <c r="BI55" s="186">
        <f>($C55*AC55)*(1+'Datos de Entrada'!AB$76)</f>
        <v>0</v>
      </c>
      <c r="BJ55" s="186">
        <f>($C55*AD55)*(1+'Datos de Entrada'!AC$76)</f>
        <v>0</v>
      </c>
      <c r="BK55" s="186">
        <f>($C55*AE55)*(1+'Datos de Entrada'!AD$76)</f>
        <v>0</v>
      </c>
      <c r="BL55" s="186">
        <f>($C55*AF55)*(1+'Datos de Entrada'!AE$76)</f>
        <v>0</v>
      </c>
      <c r="BM55" s="186">
        <f>($C55*AG55)*(1+'Datos de Entrada'!AF$76)</f>
        <v>0</v>
      </c>
      <c r="BN55" s="186">
        <f t="shared" si="8"/>
        <v>1303046.226881614</v>
      </c>
    </row>
    <row r="56" spans="1:67" s="197" customFormat="1" ht="12.75" customHeight="1" x14ac:dyDescent="0.2">
      <c r="A56" s="190" t="s">
        <v>70</v>
      </c>
      <c r="B56" s="190" t="s">
        <v>50</v>
      </c>
      <c r="C56" s="195">
        <f>'Equipos y Herramientas'!C19</f>
        <v>450000</v>
      </c>
      <c r="D56" s="196">
        <f>+D51/[1]Parámetros!$C$53</f>
        <v>184.8</v>
      </c>
      <c r="E56" s="190">
        <f>+E51/[1]Parámetros!$C$53</f>
        <v>36.96</v>
      </c>
      <c r="F56" s="190"/>
      <c r="G56" s="190"/>
      <c r="H56" s="190"/>
      <c r="I56" s="190"/>
      <c r="J56" s="190"/>
      <c r="K56" s="190"/>
      <c r="L56" s="190"/>
      <c r="M56" s="190"/>
      <c r="N56" s="190"/>
      <c r="O56" s="190"/>
      <c r="P56" s="190"/>
      <c r="Q56" s="190"/>
      <c r="R56" s="190"/>
      <c r="S56" s="190"/>
      <c r="T56" s="190"/>
      <c r="U56" s="190"/>
      <c r="V56" s="190"/>
      <c r="W56" s="190"/>
      <c r="X56" s="190"/>
      <c r="Y56" s="190"/>
      <c r="Z56" s="190"/>
      <c r="AA56" s="190"/>
      <c r="AB56" s="190"/>
      <c r="AC56" s="190"/>
      <c r="AD56" s="190"/>
      <c r="AE56" s="190"/>
      <c r="AF56" s="190"/>
      <c r="AG56" s="190"/>
      <c r="AH56" s="190"/>
      <c r="AI56" s="190"/>
      <c r="AJ56" s="186">
        <f>($C56*D56)*(1+'Datos de Entrada'!C$76)</f>
        <v>83160000</v>
      </c>
      <c r="AK56" s="186">
        <f>($C56*E56)*(1+'Datos de Entrada'!D$76)</f>
        <v>17360708.93086737</v>
      </c>
      <c r="AL56" s="186">
        <f>($C56*F56)*(1+'Datos de Entrada'!E$76)</f>
        <v>0</v>
      </c>
      <c r="AM56" s="186">
        <f>($C56*G56)*(1+'Datos de Entrada'!F$76)</f>
        <v>0</v>
      </c>
      <c r="AN56" s="186">
        <f>($C56*H56)*(1+'Datos de Entrada'!G$76)</f>
        <v>0</v>
      </c>
      <c r="AO56" s="186">
        <f>($C56*I56)*(1+'Datos de Entrada'!H$76)</f>
        <v>0</v>
      </c>
      <c r="AP56" s="186">
        <f>($C56*J56)*(1+'Datos de Entrada'!I$76)</f>
        <v>0</v>
      </c>
      <c r="AQ56" s="186">
        <f>($C56*K56)*(1+'Datos de Entrada'!J$76)</f>
        <v>0</v>
      </c>
      <c r="AR56" s="186">
        <f>($C56*L56)*(1+'Datos de Entrada'!K$76)</f>
        <v>0</v>
      </c>
      <c r="AS56" s="186">
        <f>($C56*M56)*(1+'Datos de Entrada'!L$76)</f>
        <v>0</v>
      </c>
      <c r="AT56" s="186">
        <f>($C56*N56)*(1+'Datos de Entrada'!M$76)</f>
        <v>0</v>
      </c>
      <c r="AU56" s="186">
        <f>($C56*O56)*(1+'Datos de Entrada'!N$76)</f>
        <v>0</v>
      </c>
      <c r="AV56" s="186">
        <f>($C56*P56)*(1+'Datos de Entrada'!O$76)</f>
        <v>0</v>
      </c>
      <c r="AW56" s="186">
        <f>($C56*Q56)*(1+'Datos de Entrada'!P$76)</f>
        <v>0</v>
      </c>
      <c r="AX56" s="186">
        <f>($C56*R56)*(1+'Datos de Entrada'!Q$76)</f>
        <v>0</v>
      </c>
      <c r="AY56" s="186">
        <f>($C56*S56)*(1+'Datos de Entrada'!R$76)</f>
        <v>0</v>
      </c>
      <c r="AZ56" s="186">
        <f>($C56*T56)*(1+'Datos de Entrada'!S$76)</f>
        <v>0</v>
      </c>
      <c r="BA56" s="186">
        <f>($C56*U56)*(1+'Datos de Entrada'!T$76)</f>
        <v>0</v>
      </c>
      <c r="BB56" s="186">
        <f>($C56*V56)*(1+'Datos de Entrada'!U$76)</f>
        <v>0</v>
      </c>
      <c r="BC56" s="186">
        <f>($C56*W56)*(1+'Datos de Entrada'!V$76)</f>
        <v>0</v>
      </c>
      <c r="BD56" s="186">
        <f>($C56*X56)*(1+'Datos de Entrada'!W$76)</f>
        <v>0</v>
      </c>
      <c r="BE56" s="186">
        <f>($C56*Y56)*(1+'Datos de Entrada'!X$76)</f>
        <v>0</v>
      </c>
      <c r="BF56" s="186">
        <f>($C56*Z56)*(1+'Datos de Entrada'!Y$76)</f>
        <v>0</v>
      </c>
      <c r="BG56" s="186">
        <f>($C56*AA56)*(1+'Datos de Entrada'!Z$76)</f>
        <v>0</v>
      </c>
      <c r="BH56" s="186">
        <f>($C56*AB56)*(1+'Datos de Entrada'!AA$76)</f>
        <v>0</v>
      </c>
      <c r="BI56" s="186">
        <f>($C56*AC56)*(1+'Datos de Entrada'!AB$76)</f>
        <v>0</v>
      </c>
      <c r="BJ56" s="186">
        <f>($C56*AD56)*(1+'Datos de Entrada'!AC$76)</f>
        <v>0</v>
      </c>
      <c r="BK56" s="186">
        <f>($C56*AE56)*(1+'Datos de Entrada'!AD$76)</f>
        <v>0</v>
      </c>
      <c r="BL56" s="186">
        <f>($C56*AF56)*(1+'Datos de Entrada'!AE$76)</f>
        <v>0</v>
      </c>
      <c r="BM56" s="186">
        <f>($C56*AG56)*(1+'Datos de Entrada'!AF$76)</f>
        <v>0</v>
      </c>
      <c r="BN56" s="186">
        <f t="shared" si="8"/>
        <v>100520708.93086737</v>
      </c>
    </row>
    <row r="57" spans="1:67" s="197" customFormat="1" ht="12.75" customHeight="1" x14ac:dyDescent="0.2">
      <c r="A57" s="190" t="s">
        <v>71</v>
      </c>
      <c r="B57" s="190" t="s">
        <v>50</v>
      </c>
      <c r="C57" s="195">
        <f>'Equipos y Herramientas'!C20</f>
        <v>650000</v>
      </c>
      <c r="D57" s="196">
        <f>+D51*4/1000</f>
        <v>369.6</v>
      </c>
      <c r="E57" s="202">
        <f>30%*D57</f>
        <v>110.88000000000001</v>
      </c>
      <c r="F57" s="202">
        <f>30%*D57</f>
        <v>110.88000000000001</v>
      </c>
      <c r="G57" s="190"/>
      <c r="H57" s="190"/>
      <c r="I57" s="190"/>
      <c r="J57" s="190"/>
      <c r="K57" s="190"/>
      <c r="L57" s="190"/>
      <c r="M57" s="190"/>
      <c r="N57" s="190"/>
      <c r="O57" s="190"/>
      <c r="P57" s="190"/>
      <c r="Q57" s="190"/>
      <c r="R57" s="190"/>
      <c r="S57" s="190"/>
      <c r="T57" s="190"/>
      <c r="U57" s="190"/>
      <c r="V57" s="190"/>
      <c r="W57" s="190"/>
      <c r="X57" s="190"/>
      <c r="Y57" s="190"/>
      <c r="Z57" s="190"/>
      <c r="AA57" s="190"/>
      <c r="AB57" s="190"/>
      <c r="AC57" s="190"/>
      <c r="AD57" s="190"/>
      <c r="AE57" s="190"/>
      <c r="AF57" s="190"/>
      <c r="AG57" s="190"/>
      <c r="AH57" s="190"/>
      <c r="AI57" s="190"/>
      <c r="AJ57" s="186">
        <f>($C57*D57)*(1+'Datos de Entrada'!C$76)</f>
        <v>240240000</v>
      </c>
      <c r="AK57" s="186">
        <f>($C57*E57)*(1+'Datos de Entrada'!D$76)</f>
        <v>75229738.700425267</v>
      </c>
      <c r="AL57" s="186">
        <f>($C57*F57)*(1+'Datos de Entrada'!E$76)</f>
        <v>78599166.662935317</v>
      </c>
      <c r="AM57" s="186">
        <f>($C57*G57)*(1+'Datos de Entrada'!F$76)</f>
        <v>0</v>
      </c>
      <c r="AN57" s="186">
        <f>($C57*H57)*(1+'Datos de Entrada'!G$76)</f>
        <v>0</v>
      </c>
      <c r="AO57" s="186">
        <f>($C57*I57)*(1+'Datos de Entrada'!H$76)</f>
        <v>0</v>
      </c>
      <c r="AP57" s="186">
        <f>($C57*J57)*(1+'Datos de Entrada'!I$76)</f>
        <v>0</v>
      </c>
      <c r="AQ57" s="186">
        <f>($C57*K57)*(1+'Datos de Entrada'!J$76)</f>
        <v>0</v>
      </c>
      <c r="AR57" s="186">
        <f>($C57*L57)*(1+'Datos de Entrada'!K$76)</f>
        <v>0</v>
      </c>
      <c r="AS57" s="186">
        <f>($C57*M57)*(1+'Datos de Entrada'!L$76)</f>
        <v>0</v>
      </c>
      <c r="AT57" s="186">
        <f>($C57*N57)*(1+'Datos de Entrada'!M$76)</f>
        <v>0</v>
      </c>
      <c r="AU57" s="186">
        <f>($C57*O57)*(1+'Datos de Entrada'!N$76)</f>
        <v>0</v>
      </c>
      <c r="AV57" s="186">
        <f>($C57*P57)*(1+'Datos de Entrada'!O$76)</f>
        <v>0</v>
      </c>
      <c r="AW57" s="186">
        <f>($C57*Q57)*(1+'Datos de Entrada'!P$76)</f>
        <v>0</v>
      </c>
      <c r="AX57" s="186">
        <f>($C57*R57)*(1+'Datos de Entrada'!Q$76)</f>
        <v>0</v>
      </c>
      <c r="AY57" s="186">
        <f>($C57*S57)*(1+'Datos de Entrada'!R$76)</f>
        <v>0</v>
      </c>
      <c r="AZ57" s="186">
        <f>($C57*T57)*(1+'Datos de Entrada'!S$76)</f>
        <v>0</v>
      </c>
      <c r="BA57" s="186">
        <f>($C57*U57)*(1+'Datos de Entrada'!T$76)</f>
        <v>0</v>
      </c>
      <c r="BB57" s="186">
        <f>($C57*V57)*(1+'Datos de Entrada'!U$76)</f>
        <v>0</v>
      </c>
      <c r="BC57" s="186">
        <f>($C57*W57)*(1+'Datos de Entrada'!V$76)</f>
        <v>0</v>
      </c>
      <c r="BD57" s="186">
        <f>($C57*X57)*(1+'Datos de Entrada'!W$76)</f>
        <v>0</v>
      </c>
      <c r="BE57" s="186">
        <f>($C57*Y57)*(1+'Datos de Entrada'!X$76)</f>
        <v>0</v>
      </c>
      <c r="BF57" s="186">
        <f>($C57*Z57)*(1+'Datos de Entrada'!Y$76)</f>
        <v>0</v>
      </c>
      <c r="BG57" s="186">
        <f>($C57*AA57)*(1+'Datos de Entrada'!Z$76)</f>
        <v>0</v>
      </c>
      <c r="BH57" s="186">
        <f>($C57*AB57)*(1+'Datos de Entrada'!AA$76)</f>
        <v>0</v>
      </c>
      <c r="BI57" s="186">
        <f>($C57*AC57)*(1+'Datos de Entrada'!AB$76)</f>
        <v>0</v>
      </c>
      <c r="BJ57" s="186">
        <f>($C57*AD57)*(1+'Datos de Entrada'!AC$76)</f>
        <v>0</v>
      </c>
      <c r="BK57" s="186">
        <f>($C57*AE57)*(1+'Datos de Entrada'!AD$76)</f>
        <v>0</v>
      </c>
      <c r="BL57" s="186">
        <f>($C57*AF57)*(1+'Datos de Entrada'!AE$76)</f>
        <v>0</v>
      </c>
      <c r="BM57" s="186">
        <f>($C57*AG57)*(1+'Datos de Entrada'!AF$76)</f>
        <v>0</v>
      </c>
      <c r="BN57" s="186">
        <f t="shared" si="8"/>
        <v>394068905.36336058</v>
      </c>
    </row>
    <row r="58" spans="1:67" s="197" customFormat="1" ht="12.75" customHeight="1" x14ac:dyDescent="0.2">
      <c r="A58" s="190" t="s">
        <v>20</v>
      </c>
      <c r="B58" s="190" t="s">
        <v>39</v>
      </c>
      <c r="C58" s="195">
        <f>C32</f>
        <v>150000</v>
      </c>
      <c r="D58" s="196">
        <f t="shared" ref="D58:E58" si="9">+D50</f>
        <v>77</v>
      </c>
      <c r="E58" s="190">
        <f t="shared" si="9"/>
        <v>77</v>
      </c>
      <c r="F58" s="190"/>
      <c r="G58" s="190"/>
      <c r="H58" s="190"/>
      <c r="I58" s="190"/>
      <c r="J58" s="190"/>
      <c r="K58" s="190"/>
      <c r="L58" s="190"/>
      <c r="M58" s="190"/>
      <c r="N58" s="190"/>
      <c r="O58" s="190"/>
      <c r="P58" s="190"/>
      <c r="Q58" s="190"/>
      <c r="R58" s="190"/>
      <c r="S58" s="190"/>
      <c r="T58" s="190"/>
      <c r="U58" s="190"/>
      <c r="V58" s="190"/>
      <c r="W58" s="190"/>
      <c r="X58" s="190"/>
      <c r="Y58" s="190"/>
      <c r="Z58" s="190"/>
      <c r="AA58" s="190"/>
      <c r="AB58" s="190"/>
      <c r="AC58" s="190"/>
      <c r="AD58" s="190"/>
      <c r="AE58" s="190"/>
      <c r="AF58" s="190"/>
      <c r="AG58" s="190"/>
      <c r="AH58" s="190"/>
      <c r="AI58" s="190"/>
      <c r="AJ58" s="186">
        <f>($C58*D58)*(1+'Datos de Entrada'!C$76)</f>
        <v>11550000</v>
      </c>
      <c r="AK58" s="186">
        <f>($C58*E58)*(1+'Datos de Entrada'!D$76)</f>
        <v>12056047.868657896</v>
      </c>
      <c r="AL58" s="186">
        <f>($C58*F58)*(1+'Datos de Entrada'!E$76)</f>
        <v>0</v>
      </c>
      <c r="AM58" s="186">
        <f>($C58*G58)*(1+'Datos de Entrada'!F$76)</f>
        <v>0</v>
      </c>
      <c r="AN58" s="186">
        <f>($C58*H58)*(1+'Datos de Entrada'!G$76)</f>
        <v>0</v>
      </c>
      <c r="AO58" s="186">
        <f>($C58*I58)*(1+'Datos de Entrada'!H$76)</f>
        <v>0</v>
      </c>
      <c r="AP58" s="186">
        <f>($C58*J58)*(1+'Datos de Entrada'!I$76)</f>
        <v>0</v>
      </c>
      <c r="AQ58" s="186">
        <f>($C58*K58)*(1+'Datos de Entrada'!J$76)</f>
        <v>0</v>
      </c>
      <c r="AR58" s="186">
        <f>($C58*L58)*(1+'Datos de Entrada'!K$76)</f>
        <v>0</v>
      </c>
      <c r="AS58" s="186">
        <f>($C58*M58)*(1+'Datos de Entrada'!L$76)</f>
        <v>0</v>
      </c>
      <c r="AT58" s="186">
        <f>($C58*N58)*(1+'Datos de Entrada'!M$76)</f>
        <v>0</v>
      </c>
      <c r="AU58" s="186">
        <f>($C58*O58)*(1+'Datos de Entrada'!N$76)</f>
        <v>0</v>
      </c>
      <c r="AV58" s="186">
        <f>($C58*P58)*(1+'Datos de Entrada'!O$76)</f>
        <v>0</v>
      </c>
      <c r="AW58" s="186">
        <f>($C58*Q58)*(1+'Datos de Entrada'!P$76)</f>
        <v>0</v>
      </c>
      <c r="AX58" s="186">
        <f>($C58*R58)*(1+'Datos de Entrada'!Q$76)</f>
        <v>0</v>
      </c>
      <c r="AY58" s="186">
        <f>($C58*S58)*(1+'Datos de Entrada'!R$76)</f>
        <v>0</v>
      </c>
      <c r="AZ58" s="186">
        <f>($C58*T58)*(1+'Datos de Entrada'!S$76)</f>
        <v>0</v>
      </c>
      <c r="BA58" s="186">
        <f>($C58*U58)*(1+'Datos de Entrada'!T$76)</f>
        <v>0</v>
      </c>
      <c r="BB58" s="186">
        <f>($C58*V58)*(1+'Datos de Entrada'!U$76)</f>
        <v>0</v>
      </c>
      <c r="BC58" s="186">
        <f>($C58*W58)*(1+'Datos de Entrada'!V$76)</f>
        <v>0</v>
      </c>
      <c r="BD58" s="186">
        <f>($C58*X58)*(1+'Datos de Entrada'!W$76)</f>
        <v>0</v>
      </c>
      <c r="BE58" s="186">
        <f>($C58*Y58)*(1+'Datos de Entrada'!X$76)</f>
        <v>0</v>
      </c>
      <c r="BF58" s="186">
        <f>($C58*Z58)*(1+'Datos de Entrada'!Y$76)</f>
        <v>0</v>
      </c>
      <c r="BG58" s="186">
        <f>($C58*AA58)*(1+'Datos de Entrada'!Z$76)</f>
        <v>0</v>
      </c>
      <c r="BH58" s="186">
        <f>($C58*AB58)*(1+'Datos de Entrada'!AA$76)</f>
        <v>0</v>
      </c>
      <c r="BI58" s="186">
        <f>($C58*AC58)*(1+'Datos de Entrada'!AB$76)</f>
        <v>0</v>
      </c>
      <c r="BJ58" s="186">
        <f>($C58*AD58)*(1+'Datos de Entrada'!AC$76)</f>
        <v>0</v>
      </c>
      <c r="BK58" s="186">
        <f>($C58*AE58)*(1+'Datos de Entrada'!AD$76)</f>
        <v>0</v>
      </c>
      <c r="BL58" s="186">
        <f>($C58*AF58)*(1+'Datos de Entrada'!AE$76)</f>
        <v>0</v>
      </c>
      <c r="BM58" s="186">
        <f>($C58*AG58)*(1+'Datos de Entrada'!AF$76)</f>
        <v>0</v>
      </c>
      <c r="BN58" s="186">
        <f t="shared" si="8"/>
        <v>23606047.868657894</v>
      </c>
    </row>
    <row r="59" spans="1:67" ht="12.75" customHeight="1" x14ac:dyDescent="0.2">
      <c r="A59" s="18"/>
      <c r="B59" s="18"/>
      <c r="C59" s="19"/>
      <c r="D59" s="20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9"/>
      <c r="AJ59" s="16">
        <f>($C59*D59)*(1+'Datos de Entrada'!C$76)</f>
        <v>0</v>
      </c>
      <c r="AK59" s="16">
        <f>($C59*E59)*(1+'Datos de Entrada'!D$76)</f>
        <v>0</v>
      </c>
      <c r="AL59" s="16">
        <f>($C59*F59)*(1+'Datos de Entrada'!E$76)</f>
        <v>0</v>
      </c>
      <c r="AM59" s="16">
        <f>($C59*G59)*(1+'Datos de Entrada'!F$76)</f>
        <v>0</v>
      </c>
      <c r="AN59" s="16">
        <f>($C59*H59)*(1+'Datos de Entrada'!G$76)</f>
        <v>0</v>
      </c>
      <c r="AO59" s="16">
        <f>($C59*I59)*(1+'Datos de Entrada'!H$76)</f>
        <v>0</v>
      </c>
      <c r="AP59" s="16">
        <f>($C59*J59)*(1+'Datos de Entrada'!I$76)</f>
        <v>0</v>
      </c>
      <c r="AQ59" s="16">
        <f>($C59*K59)*(1+'Datos de Entrada'!J$76)</f>
        <v>0</v>
      </c>
      <c r="AR59" s="16">
        <f>($C59*L59)*(1+'Datos de Entrada'!K$76)</f>
        <v>0</v>
      </c>
      <c r="AS59" s="16">
        <f>($C59*M59)*(1+'Datos de Entrada'!L$76)</f>
        <v>0</v>
      </c>
      <c r="AT59" s="16">
        <f>($C59*N59)*(1+'Datos de Entrada'!M$76)</f>
        <v>0</v>
      </c>
      <c r="AU59" s="16">
        <f>($C59*O59)*(1+'Datos de Entrada'!N$76)</f>
        <v>0</v>
      </c>
      <c r="AV59" s="16">
        <f>($C59*P59)*(1+'Datos de Entrada'!O$76)</f>
        <v>0</v>
      </c>
      <c r="AW59" s="16">
        <f>($C59*Q59)*(1+'Datos de Entrada'!P$76)</f>
        <v>0</v>
      </c>
      <c r="AX59" s="16">
        <f>($C59*R59)*(1+'Datos de Entrada'!Q$76)</f>
        <v>0</v>
      </c>
      <c r="AY59" s="16">
        <f>($C59*S59)*(1+'Datos de Entrada'!R$76)</f>
        <v>0</v>
      </c>
      <c r="AZ59" s="16">
        <f>($C59*T59)*(1+'Datos de Entrada'!S$76)</f>
        <v>0</v>
      </c>
      <c r="BA59" s="16">
        <f>($C59*U59)*(1+'Datos de Entrada'!T$76)</f>
        <v>0</v>
      </c>
      <c r="BB59" s="16">
        <f>($C59*V59)*(1+'Datos de Entrada'!U$76)</f>
        <v>0</v>
      </c>
      <c r="BC59" s="16">
        <f>($C59*W59)*(1+'Datos de Entrada'!V$76)</f>
        <v>0</v>
      </c>
      <c r="BD59" s="16">
        <f>($C59*X59)*(1+'Datos de Entrada'!W$76)</f>
        <v>0</v>
      </c>
      <c r="BE59" s="16">
        <f>($C59*Y59)*(1+'Datos de Entrada'!X$76)</f>
        <v>0</v>
      </c>
      <c r="BF59" s="16">
        <f>($C59*Z59)*(1+'Datos de Entrada'!Y$76)</f>
        <v>0</v>
      </c>
      <c r="BG59" s="16">
        <f>($C59*AA59)*(1+'Datos de Entrada'!Z$76)</f>
        <v>0</v>
      </c>
      <c r="BH59" s="16">
        <f>($C59*AB59)*(1+'Datos de Entrada'!AA$76)</f>
        <v>0</v>
      </c>
      <c r="BI59" s="16">
        <f>($C59*AC59)*(1+'Datos de Entrada'!AB$76)</f>
        <v>0</v>
      </c>
      <c r="BJ59" s="16">
        <f>($C59*AD59)*(1+'Datos de Entrada'!AC$76)</f>
        <v>0</v>
      </c>
      <c r="BK59" s="16">
        <f>($C59*AE59)*(1+'Datos de Entrada'!AD$76)</f>
        <v>0</v>
      </c>
      <c r="BL59" s="16">
        <f>($C59*AF59)*(1+'Datos de Entrada'!AE$76)</f>
        <v>0</v>
      </c>
      <c r="BM59" s="16">
        <f>($C59*AG59)*(1+'Datos de Entrada'!AF$76)</f>
        <v>0</v>
      </c>
      <c r="BN59" s="172">
        <f t="shared" si="8"/>
        <v>0</v>
      </c>
    </row>
    <row r="60" spans="1:67" s="204" customFormat="1" ht="12.75" customHeight="1" x14ac:dyDescent="0.2">
      <c r="A60" s="190" t="s">
        <v>72</v>
      </c>
      <c r="B60" s="190"/>
      <c r="C60" s="195"/>
      <c r="D60" s="196"/>
      <c r="E60" s="190"/>
      <c r="F60" s="190"/>
      <c r="G60" s="190"/>
      <c r="H60" s="190"/>
      <c r="I60" s="190"/>
      <c r="J60" s="190"/>
      <c r="K60" s="190"/>
      <c r="L60" s="190"/>
      <c r="M60" s="190"/>
      <c r="N60" s="190"/>
      <c r="O60" s="190"/>
      <c r="P60" s="190"/>
      <c r="Q60" s="190"/>
      <c r="R60" s="190"/>
      <c r="S60" s="190"/>
      <c r="T60" s="190"/>
      <c r="U60" s="190"/>
      <c r="V60" s="190"/>
      <c r="W60" s="190"/>
      <c r="X60" s="190"/>
      <c r="Y60" s="190"/>
      <c r="Z60" s="190"/>
      <c r="AA60" s="190"/>
      <c r="AB60" s="190"/>
      <c r="AC60" s="190"/>
      <c r="AD60" s="190"/>
      <c r="AE60" s="190"/>
      <c r="AF60" s="190"/>
      <c r="AG60" s="190"/>
      <c r="AH60" s="190"/>
      <c r="AI60" s="190"/>
      <c r="AJ60" s="186">
        <f>($C60*D60)*(1+'Datos de Entrada'!C$76)</f>
        <v>0</v>
      </c>
      <c r="AK60" s="186">
        <f>($C60*E60)*(1+'Datos de Entrada'!D$76)</f>
        <v>0</v>
      </c>
      <c r="AL60" s="186">
        <f>($C60*F60)*(1+'Datos de Entrada'!E$76)</f>
        <v>0</v>
      </c>
      <c r="AM60" s="186">
        <f>($C60*G60)*(1+'Datos de Entrada'!F$76)</f>
        <v>0</v>
      </c>
      <c r="AN60" s="186">
        <f>($C60*H60)*(1+'Datos de Entrada'!G$76)</f>
        <v>0</v>
      </c>
      <c r="AO60" s="186">
        <f>($C60*I60)*(1+'Datos de Entrada'!H$76)</f>
        <v>0</v>
      </c>
      <c r="AP60" s="186">
        <f>($C60*J60)*(1+'Datos de Entrada'!I$76)</f>
        <v>0</v>
      </c>
      <c r="AQ60" s="186">
        <f>($C60*K60)*(1+'Datos de Entrada'!J$76)</f>
        <v>0</v>
      </c>
      <c r="AR60" s="186">
        <f>($C60*L60)*(1+'Datos de Entrada'!K$76)</f>
        <v>0</v>
      </c>
      <c r="AS60" s="186">
        <f>($C60*M60)*(1+'Datos de Entrada'!L$76)</f>
        <v>0</v>
      </c>
      <c r="AT60" s="186">
        <f>($C60*N60)*(1+'Datos de Entrada'!M$76)</f>
        <v>0</v>
      </c>
      <c r="AU60" s="186">
        <f>($C60*O60)*(1+'Datos de Entrada'!N$76)</f>
        <v>0</v>
      </c>
      <c r="AV60" s="186">
        <f>($C60*P60)*(1+'Datos de Entrada'!O$76)</f>
        <v>0</v>
      </c>
      <c r="AW60" s="186">
        <f>($C60*Q60)*(1+'Datos de Entrada'!P$76)</f>
        <v>0</v>
      </c>
      <c r="AX60" s="186">
        <f>($C60*R60)*(1+'Datos de Entrada'!Q$76)</f>
        <v>0</v>
      </c>
      <c r="AY60" s="186">
        <f>($C60*S60)*(1+'Datos de Entrada'!R$76)</f>
        <v>0</v>
      </c>
      <c r="AZ60" s="186">
        <f>($C60*T60)*(1+'Datos de Entrada'!S$76)</f>
        <v>0</v>
      </c>
      <c r="BA60" s="186">
        <f>($C60*U60)*(1+'Datos de Entrada'!T$76)</f>
        <v>0</v>
      </c>
      <c r="BB60" s="186">
        <f>($C60*V60)*(1+'Datos de Entrada'!U$76)</f>
        <v>0</v>
      </c>
      <c r="BC60" s="186">
        <f>($C60*W60)*(1+'Datos de Entrada'!V$76)</f>
        <v>0</v>
      </c>
      <c r="BD60" s="186">
        <f>($C60*X60)*(1+'Datos de Entrada'!W$76)</f>
        <v>0</v>
      </c>
      <c r="BE60" s="186">
        <f>($C60*Y60)*(1+'Datos de Entrada'!X$76)</f>
        <v>0</v>
      </c>
      <c r="BF60" s="186">
        <f>($C60*Z60)*(1+'Datos de Entrada'!Y$76)</f>
        <v>0</v>
      </c>
      <c r="BG60" s="186">
        <f>($C60*AA60)*(1+'Datos de Entrada'!Z$76)</f>
        <v>0</v>
      </c>
      <c r="BH60" s="186">
        <f>($C60*AB60)*(1+'Datos de Entrada'!AA$76)</f>
        <v>0</v>
      </c>
      <c r="BI60" s="186">
        <f>($C60*AC60)*(1+'Datos de Entrada'!AB$76)</f>
        <v>0</v>
      </c>
      <c r="BJ60" s="186">
        <f>($C60*AD60)*(1+'Datos de Entrada'!AC$76)</f>
        <v>0</v>
      </c>
      <c r="BK60" s="186">
        <f>($C60*AE60)*(1+'Datos de Entrada'!AD$76)</f>
        <v>0</v>
      </c>
      <c r="BL60" s="186">
        <f>($C60*AF60)*(1+'Datos de Entrada'!AE$76)</f>
        <v>0</v>
      </c>
      <c r="BM60" s="186">
        <f>($C60*AG60)*(1+'Datos de Entrada'!AF$76)</f>
        <v>0</v>
      </c>
      <c r="BN60" s="186">
        <f t="shared" si="8"/>
        <v>0</v>
      </c>
    </row>
    <row r="61" spans="1:67" s="204" customFormat="1" ht="12.75" customHeight="1" x14ac:dyDescent="0.2">
      <c r="A61" s="205" t="s">
        <v>73</v>
      </c>
      <c r="B61" s="190" t="s">
        <v>39</v>
      </c>
      <c r="C61" s="195">
        <f>'Datos de Entrada'!H47*(1+'Datos de Entrada'!C45)*'Datos de Entrada'!E48</f>
        <v>93589.166666666657</v>
      </c>
      <c r="D61" s="206">
        <v>30</v>
      </c>
      <c r="E61" s="206">
        <v>30</v>
      </c>
      <c r="F61" s="207">
        <v>30</v>
      </c>
      <c r="G61" s="207">
        <v>30</v>
      </c>
      <c r="H61" s="207">
        <v>30</v>
      </c>
      <c r="I61" s="208"/>
      <c r="J61" s="207"/>
      <c r="K61" s="207">
        <v>30</v>
      </c>
      <c r="L61" s="208"/>
      <c r="M61" s="207"/>
      <c r="N61" s="207">
        <v>30</v>
      </c>
      <c r="O61" s="190"/>
      <c r="P61" s="190"/>
      <c r="Q61" s="190"/>
      <c r="R61" s="198"/>
      <c r="S61" s="207">
        <v>30</v>
      </c>
      <c r="T61" s="190"/>
      <c r="U61" s="190"/>
      <c r="V61" s="190"/>
      <c r="W61" s="206"/>
      <c r="X61" s="207">
        <v>30</v>
      </c>
      <c r="Y61" s="190"/>
      <c r="Z61" s="190"/>
      <c r="AA61" s="190"/>
      <c r="AB61" s="198"/>
      <c r="AC61" s="190"/>
      <c r="AD61" s="190"/>
      <c r="AE61" s="190"/>
      <c r="AF61" s="207">
        <v>30</v>
      </c>
      <c r="AG61" s="198"/>
      <c r="AH61" s="190"/>
      <c r="AI61" s="190"/>
      <c r="AJ61" s="186">
        <f>($C61*D61)*(1+'Datos de Entrada'!C$76)</f>
        <v>2807674.9999999995</v>
      </c>
      <c r="AK61" s="186">
        <f>($C61*E61)*(1+'Datos de Entrada'!D$76)</f>
        <v>2930689.5410938575</v>
      </c>
      <c r="AL61" s="186">
        <f>($C61*F61)*(1+'Datos de Entrada'!E$76)</f>
        <v>3061950.7611882132</v>
      </c>
      <c r="AM61" s="186">
        <f>($C61*G61)*(1+'Datos de Entrada'!F$76)</f>
        <v>3201686.1242279299</v>
      </c>
      <c r="AN61" s="186">
        <f>($C61*H61)*(1+'Datos de Entrada'!G$76)</f>
        <v>3350104.4801684935</v>
      </c>
      <c r="AO61" s="186">
        <f>($C61*I61)*(1+'Datos de Entrada'!H$76)</f>
        <v>0</v>
      </c>
      <c r="AP61" s="186">
        <f>($C61*J61)*(1+'Datos de Entrada'!I$76)</f>
        <v>0</v>
      </c>
      <c r="AQ61" s="186">
        <f>($C61*K61)*(1+'Datos de Entrada'!J$76)</f>
        <v>3849122.9619710008</v>
      </c>
      <c r="AR61" s="186">
        <f>($C61*L61)*(1+'Datos de Entrada'!K$76)</f>
        <v>0</v>
      </c>
      <c r="AS61" s="186">
        <f>($C61*M61)*(1+'Datos de Entrada'!L$76)</f>
        <v>0</v>
      </c>
      <c r="AT61" s="186">
        <f>($C61*N61)*(1+'Datos de Entrada'!M$76)</f>
        <v>4430499.9447323438</v>
      </c>
      <c r="AU61" s="186">
        <f>($C61*O61)*(1+'Datos de Entrada'!N$76)</f>
        <v>0</v>
      </c>
      <c r="AV61" s="186">
        <f>($C61*P61)*(1+'Datos de Entrada'!O$76)</f>
        <v>0</v>
      </c>
      <c r="AW61" s="186">
        <f>($C61*Q61)*(1+'Datos de Entrada'!P$76)</f>
        <v>0</v>
      </c>
      <c r="AX61" s="186">
        <f>($C61*R61)*(1+'Datos de Entrada'!Q$76)</f>
        <v>0</v>
      </c>
      <c r="AY61" s="186">
        <f>($C61*S61)*(1+'Datos de Entrada'!R$76)</f>
        <v>5573787.5785553195</v>
      </c>
      <c r="AZ61" s="186">
        <f>($C61*T61)*(1+'Datos de Entrada'!S$76)</f>
        <v>0</v>
      </c>
      <c r="BA61" s="186">
        <f>($C61*U61)*(1+'Datos de Entrada'!T$76)</f>
        <v>0</v>
      </c>
      <c r="BB61" s="186">
        <f>($C61*V61)*(1+'Datos de Entrada'!U$76)</f>
        <v>0</v>
      </c>
      <c r="BC61" s="186">
        <f>($C61*W61)*(1+'Datos de Entrada'!V$76)</f>
        <v>0</v>
      </c>
      <c r="BD61" s="186">
        <f>($C61*X61)*(1+'Datos de Entrada'!W$76)</f>
        <v>6877936.395587978</v>
      </c>
      <c r="BE61" s="186">
        <f>($C61*Y61)*(1+'Datos de Entrada'!X$76)</f>
        <v>0</v>
      </c>
      <c r="BF61" s="186">
        <f>($C61*Z61)*(1+'Datos de Entrada'!Y$76)</f>
        <v>0</v>
      </c>
      <c r="BG61" s="186">
        <f>($C61*AA61)*(1+'Datos de Entrada'!Z$76)</f>
        <v>0</v>
      </c>
      <c r="BH61" s="186">
        <f>($C61*AB61)*(1+'Datos de Entrada'!AA$76)</f>
        <v>0</v>
      </c>
      <c r="BI61" s="186">
        <f>($C61*AC61)*(1+'Datos de Entrada'!AB$76)</f>
        <v>0</v>
      </c>
      <c r="BJ61" s="186">
        <f>($C61*AD61)*(1+'Datos de Entrada'!AC$76)</f>
        <v>0</v>
      </c>
      <c r="BK61" s="186">
        <f>($C61*AE61)*(1+'Datos de Entrada'!AD$76)</f>
        <v>0</v>
      </c>
      <c r="BL61" s="186">
        <f>($C61*AF61)*(1+'Datos de Entrada'!AE$76)</f>
        <v>8898882.1406662576</v>
      </c>
      <c r="BM61" s="186">
        <f>($C61*AG61)*(1+'Datos de Entrada'!AF$76)</f>
        <v>0</v>
      </c>
      <c r="BN61" s="186">
        <f t="shared" si="8"/>
        <v>44982334.928191394</v>
      </c>
    </row>
    <row r="62" spans="1:67" s="204" customFormat="1" ht="12.75" customHeight="1" x14ac:dyDescent="0.2">
      <c r="A62" s="205" t="s">
        <v>74</v>
      </c>
      <c r="B62" s="190" t="s">
        <v>39</v>
      </c>
      <c r="C62" s="195">
        <f>'Datos de Entrada'!H47*(1+'Datos de Entrada'!C45)*'Datos de Entrada'!E48</f>
        <v>93589.166666666657</v>
      </c>
      <c r="D62" s="206">
        <v>30</v>
      </c>
      <c r="E62" s="206">
        <v>30</v>
      </c>
      <c r="F62" s="207">
        <v>30</v>
      </c>
      <c r="G62" s="207">
        <v>30</v>
      </c>
      <c r="H62" s="207">
        <v>30</v>
      </c>
      <c r="I62" s="207"/>
      <c r="J62" s="207"/>
      <c r="K62" s="207">
        <v>30</v>
      </c>
      <c r="L62" s="208"/>
      <c r="M62" s="207"/>
      <c r="N62" s="207">
        <v>30</v>
      </c>
      <c r="O62" s="190"/>
      <c r="P62" s="190"/>
      <c r="Q62" s="190"/>
      <c r="R62" s="198"/>
      <c r="S62" s="207">
        <v>30</v>
      </c>
      <c r="T62" s="190"/>
      <c r="U62" s="190"/>
      <c r="V62" s="190"/>
      <c r="W62" s="206"/>
      <c r="X62" s="207">
        <v>30</v>
      </c>
      <c r="Y62" s="190"/>
      <c r="Z62" s="190"/>
      <c r="AA62" s="190"/>
      <c r="AB62" s="198"/>
      <c r="AC62" s="190"/>
      <c r="AD62" s="190"/>
      <c r="AE62" s="190"/>
      <c r="AF62" s="207">
        <v>30</v>
      </c>
      <c r="AG62" s="198"/>
      <c r="AH62" s="190"/>
      <c r="AI62" s="190"/>
      <c r="AJ62" s="186">
        <f>($C62*D62)*(1+'Datos de Entrada'!C$76)</f>
        <v>2807674.9999999995</v>
      </c>
      <c r="AK62" s="186">
        <f>($C62*E62)*(1+'Datos de Entrada'!D$76)</f>
        <v>2930689.5410938575</v>
      </c>
      <c r="AL62" s="186">
        <f>($C62*F62)*(1+'Datos de Entrada'!E$76)</f>
        <v>3061950.7611882132</v>
      </c>
      <c r="AM62" s="186">
        <f>($C62*G62)*(1+'Datos de Entrada'!F$76)</f>
        <v>3201686.1242279299</v>
      </c>
      <c r="AN62" s="186">
        <f>($C62*H62)*(1+'Datos de Entrada'!G$76)</f>
        <v>3350104.4801684935</v>
      </c>
      <c r="AO62" s="186">
        <f>($C62*I62)*(1+'Datos de Entrada'!H$76)</f>
        <v>0</v>
      </c>
      <c r="AP62" s="186">
        <f>($C62*J62)*(1+'Datos de Entrada'!I$76)</f>
        <v>0</v>
      </c>
      <c r="AQ62" s="186">
        <f>($C62*K62)*(1+'Datos de Entrada'!J$76)</f>
        <v>3849122.9619710008</v>
      </c>
      <c r="AR62" s="186">
        <f>($C62*L62)*(1+'Datos de Entrada'!K$76)</f>
        <v>0</v>
      </c>
      <c r="AS62" s="186">
        <f>($C62*M62)*(1+'Datos de Entrada'!L$76)</f>
        <v>0</v>
      </c>
      <c r="AT62" s="186">
        <f>($C62*N62)*(1+'Datos de Entrada'!M$76)</f>
        <v>4430499.9447323438</v>
      </c>
      <c r="AU62" s="186">
        <f>($C62*O62)*(1+'Datos de Entrada'!N$76)</f>
        <v>0</v>
      </c>
      <c r="AV62" s="186">
        <f>($C62*P62)*(1+'Datos de Entrada'!O$76)</f>
        <v>0</v>
      </c>
      <c r="AW62" s="186">
        <f>($C62*Q62)*(1+'Datos de Entrada'!P$76)</f>
        <v>0</v>
      </c>
      <c r="AX62" s="186">
        <f>($C62*R62)*(1+'Datos de Entrada'!Q$76)</f>
        <v>0</v>
      </c>
      <c r="AY62" s="186">
        <f>($C62*S62)*(1+'Datos de Entrada'!R$76)</f>
        <v>5573787.5785553195</v>
      </c>
      <c r="AZ62" s="186">
        <f>($C62*T62)*(1+'Datos de Entrada'!S$76)</f>
        <v>0</v>
      </c>
      <c r="BA62" s="186">
        <f>($C62*U62)*(1+'Datos de Entrada'!T$76)</f>
        <v>0</v>
      </c>
      <c r="BB62" s="186">
        <f>($C62*V62)*(1+'Datos de Entrada'!U$76)</f>
        <v>0</v>
      </c>
      <c r="BC62" s="186">
        <f>($C62*W62)*(1+'Datos de Entrada'!V$76)</f>
        <v>0</v>
      </c>
      <c r="BD62" s="186">
        <f>($C62*X62)*(1+'Datos de Entrada'!W$76)</f>
        <v>6877936.395587978</v>
      </c>
      <c r="BE62" s="186">
        <f>($C62*Y62)*(1+'Datos de Entrada'!X$76)</f>
        <v>0</v>
      </c>
      <c r="BF62" s="186">
        <f>($C62*Z62)*(1+'Datos de Entrada'!Y$76)</f>
        <v>0</v>
      </c>
      <c r="BG62" s="186">
        <f>($C62*AA62)*(1+'Datos de Entrada'!Z$76)</f>
        <v>0</v>
      </c>
      <c r="BH62" s="186">
        <f>($C62*AB62)*(1+'Datos de Entrada'!AA$76)</f>
        <v>0</v>
      </c>
      <c r="BI62" s="186">
        <f>($C62*AC62)*(1+'Datos de Entrada'!AB$76)</f>
        <v>0</v>
      </c>
      <c r="BJ62" s="186">
        <f>($C62*AD62)*(1+'Datos de Entrada'!AC$76)</f>
        <v>0</v>
      </c>
      <c r="BK62" s="186">
        <f>($C62*AE62)*(1+'Datos de Entrada'!AD$76)</f>
        <v>0</v>
      </c>
      <c r="BL62" s="186">
        <f>($C62*AF62)*(1+'Datos de Entrada'!AE$76)</f>
        <v>8898882.1406662576</v>
      </c>
      <c r="BM62" s="186">
        <f>($C62*AG62)*(1+'Datos de Entrada'!AF$76)</f>
        <v>0</v>
      </c>
      <c r="BN62" s="186">
        <f t="shared" si="8"/>
        <v>44982334.928191394</v>
      </c>
      <c r="BO62" s="209"/>
    </row>
    <row r="63" spans="1:67" s="204" customFormat="1" ht="12.75" customHeight="1" x14ac:dyDescent="0.2">
      <c r="A63" s="205" t="s">
        <v>75</v>
      </c>
      <c r="B63" s="190" t="s">
        <v>39</v>
      </c>
      <c r="C63" s="195">
        <f>'Datos de Entrada'!H47*(1+'Datos de Entrada'!C45)*'Datos de Entrada'!E48</f>
        <v>93589.166666666657</v>
      </c>
      <c r="D63" s="206">
        <v>30</v>
      </c>
      <c r="E63" s="206">
        <v>30</v>
      </c>
      <c r="F63" s="207">
        <v>30</v>
      </c>
      <c r="G63" s="207">
        <v>30</v>
      </c>
      <c r="H63" s="207">
        <v>30</v>
      </c>
      <c r="I63" s="207"/>
      <c r="J63" s="207"/>
      <c r="K63" s="207">
        <v>30</v>
      </c>
      <c r="L63" s="208"/>
      <c r="M63" s="207"/>
      <c r="N63" s="207">
        <v>30</v>
      </c>
      <c r="O63" s="190"/>
      <c r="P63" s="190"/>
      <c r="Q63" s="190"/>
      <c r="R63" s="198"/>
      <c r="S63" s="207">
        <v>30</v>
      </c>
      <c r="T63" s="190"/>
      <c r="U63" s="190"/>
      <c r="V63" s="190"/>
      <c r="W63" s="206"/>
      <c r="X63" s="207">
        <v>30</v>
      </c>
      <c r="Y63" s="190"/>
      <c r="Z63" s="190"/>
      <c r="AA63" s="190"/>
      <c r="AB63" s="198"/>
      <c r="AC63" s="190"/>
      <c r="AD63" s="190"/>
      <c r="AE63" s="190"/>
      <c r="AF63" s="207">
        <v>30</v>
      </c>
      <c r="AG63" s="198"/>
      <c r="AH63" s="190"/>
      <c r="AI63" s="190"/>
      <c r="AJ63" s="186">
        <f>($C63*D63)*(1+'Datos de Entrada'!C$76)</f>
        <v>2807674.9999999995</v>
      </c>
      <c r="AK63" s="186">
        <f>($C63*E63)*(1+'Datos de Entrada'!D$76)</f>
        <v>2930689.5410938575</v>
      </c>
      <c r="AL63" s="186">
        <f>($C63*F63)*(1+'Datos de Entrada'!E$76)</f>
        <v>3061950.7611882132</v>
      </c>
      <c r="AM63" s="186">
        <f>($C63*G63)*(1+'Datos de Entrada'!F$76)</f>
        <v>3201686.1242279299</v>
      </c>
      <c r="AN63" s="186">
        <f>($C63*H63)*(1+'Datos de Entrada'!G$76)</f>
        <v>3350104.4801684935</v>
      </c>
      <c r="AO63" s="186">
        <f>($C63*I63)*(1+'Datos de Entrada'!H$76)</f>
        <v>0</v>
      </c>
      <c r="AP63" s="186">
        <f>($C63*J63)*(1+'Datos de Entrada'!I$76)</f>
        <v>0</v>
      </c>
      <c r="AQ63" s="186">
        <f>($C63*K63)*(1+'Datos de Entrada'!J$76)</f>
        <v>3849122.9619710008</v>
      </c>
      <c r="AR63" s="186">
        <f>($C63*L63)*(1+'Datos de Entrada'!K$76)</f>
        <v>0</v>
      </c>
      <c r="AS63" s="186">
        <f>($C63*M63)*(1+'Datos de Entrada'!L$76)</f>
        <v>0</v>
      </c>
      <c r="AT63" s="186">
        <f>($C63*N63)*(1+'Datos de Entrada'!M$76)</f>
        <v>4430499.9447323438</v>
      </c>
      <c r="AU63" s="186">
        <f>($C63*O63)*(1+'Datos de Entrada'!N$76)</f>
        <v>0</v>
      </c>
      <c r="AV63" s="186">
        <f>($C63*P63)*(1+'Datos de Entrada'!O$76)</f>
        <v>0</v>
      </c>
      <c r="AW63" s="186">
        <f>($C63*Q63)*(1+'Datos de Entrada'!P$76)</f>
        <v>0</v>
      </c>
      <c r="AX63" s="186">
        <f>($C63*R63)*(1+'Datos de Entrada'!Q$76)</f>
        <v>0</v>
      </c>
      <c r="AY63" s="186">
        <f>($C63*S63)*(1+'Datos de Entrada'!R$76)</f>
        <v>5573787.5785553195</v>
      </c>
      <c r="AZ63" s="186">
        <f>($C63*T63)*(1+'Datos de Entrada'!S$76)</f>
        <v>0</v>
      </c>
      <c r="BA63" s="186">
        <f>($C63*U63)*(1+'Datos de Entrada'!T$76)</f>
        <v>0</v>
      </c>
      <c r="BB63" s="186">
        <f>($C63*V63)*(1+'Datos de Entrada'!U$76)</f>
        <v>0</v>
      </c>
      <c r="BC63" s="186">
        <f>($C63*W63)*(1+'Datos de Entrada'!V$76)</f>
        <v>0</v>
      </c>
      <c r="BD63" s="186">
        <f>($C63*X63)*(1+'Datos de Entrada'!W$76)</f>
        <v>6877936.395587978</v>
      </c>
      <c r="BE63" s="186">
        <f>($C63*Y63)*(1+'Datos de Entrada'!X$76)</f>
        <v>0</v>
      </c>
      <c r="BF63" s="186">
        <f>($C63*Z63)*(1+'Datos de Entrada'!Y$76)</f>
        <v>0</v>
      </c>
      <c r="BG63" s="186">
        <f>($C63*AA63)*(1+'Datos de Entrada'!Z$76)</f>
        <v>0</v>
      </c>
      <c r="BH63" s="186">
        <f>($C63*AB63)*(1+'Datos de Entrada'!AA$76)</f>
        <v>0</v>
      </c>
      <c r="BI63" s="186">
        <f>($C63*AC63)*(1+'Datos de Entrada'!AB$76)</f>
        <v>0</v>
      </c>
      <c r="BJ63" s="186">
        <f>($C63*AD63)*(1+'Datos de Entrada'!AC$76)</f>
        <v>0</v>
      </c>
      <c r="BK63" s="186">
        <f>($C63*AE63)*(1+'Datos de Entrada'!AD$76)</f>
        <v>0</v>
      </c>
      <c r="BL63" s="186">
        <f>($C63*AF63)*(1+'Datos de Entrada'!AE$76)</f>
        <v>8898882.1406662576</v>
      </c>
      <c r="BM63" s="186">
        <f>($C63*AG63)*(1+'Datos de Entrada'!AF$76)</f>
        <v>0</v>
      </c>
      <c r="BN63" s="186">
        <f t="shared" si="8"/>
        <v>44982334.928191394</v>
      </c>
      <c r="BO63" s="209"/>
    </row>
    <row r="64" spans="1:67" s="204" customFormat="1" ht="12.75" customHeight="1" x14ac:dyDescent="0.2">
      <c r="A64" s="205" t="s">
        <v>20</v>
      </c>
      <c r="B64" s="190" t="s">
        <v>39</v>
      </c>
      <c r="C64" s="195">
        <f>C58</f>
        <v>150000</v>
      </c>
      <c r="D64" s="210">
        <v>90</v>
      </c>
      <c r="E64" s="208">
        <v>90</v>
      </c>
      <c r="F64" s="208">
        <v>90</v>
      </c>
      <c r="G64" s="208">
        <v>90</v>
      </c>
      <c r="H64" s="208">
        <v>90</v>
      </c>
      <c r="I64" s="208"/>
      <c r="J64" s="208"/>
      <c r="K64" s="208">
        <v>90</v>
      </c>
      <c r="L64" s="208"/>
      <c r="M64" s="208"/>
      <c r="N64" s="208">
        <v>90</v>
      </c>
      <c r="O64" s="190"/>
      <c r="P64" s="190"/>
      <c r="Q64" s="190"/>
      <c r="R64" s="190"/>
      <c r="S64" s="208">
        <v>90</v>
      </c>
      <c r="T64" s="190"/>
      <c r="U64" s="190"/>
      <c r="V64" s="190"/>
      <c r="W64" s="190"/>
      <c r="X64" s="208">
        <v>90</v>
      </c>
      <c r="Y64" s="190"/>
      <c r="Z64" s="190"/>
      <c r="AA64" s="190"/>
      <c r="AB64" s="190"/>
      <c r="AC64" s="190"/>
      <c r="AD64" s="190"/>
      <c r="AE64" s="190"/>
      <c r="AF64" s="208">
        <v>90</v>
      </c>
      <c r="AG64" s="190"/>
      <c r="AH64" s="190"/>
      <c r="AI64" s="190"/>
      <c r="AJ64" s="186">
        <f>($C64*D64)*(1+'Datos de Entrada'!C$76)</f>
        <v>13500000</v>
      </c>
      <c r="AK64" s="186">
        <f>($C64*E64)*(1+'Datos de Entrada'!D$76)</f>
        <v>14091484.52180793</v>
      </c>
      <c r="AL64" s="186">
        <f>($C64*F64)*(1+'Datos de Entrada'!E$76)</f>
        <v>14722621.1281722</v>
      </c>
      <c r="AM64" s="186">
        <f>($C64*G64)*(1+'Datos de Entrada'!F$76)</f>
        <v>15394503.522336831</v>
      </c>
      <c r="AN64" s="186">
        <f>($C64*H64)*(1+'Datos de Entrada'!G$76)</f>
        <v>16108135.906853417</v>
      </c>
      <c r="AO64" s="186">
        <f>($C64*I64)*(1+'Datos de Entrada'!H$76)</f>
        <v>0</v>
      </c>
      <c r="AP64" s="186">
        <f>($C64*J64)*(1+'Datos de Entrada'!I$76)</f>
        <v>0</v>
      </c>
      <c r="AQ64" s="186">
        <f>($C64*K64)*(1+'Datos de Entrada'!J$76)</f>
        <v>18507540.932126589</v>
      </c>
      <c r="AR64" s="186">
        <f>($C64*L64)*(1+'Datos de Entrada'!K$76)</f>
        <v>0</v>
      </c>
      <c r="AS64" s="186">
        <f>($C64*M64)*(1+'Datos de Entrada'!L$76)</f>
        <v>0</v>
      </c>
      <c r="AT64" s="186">
        <f>($C64*N64)*(1+'Datos de Entrada'!M$76)</f>
        <v>21302946.122285038</v>
      </c>
      <c r="AU64" s="186">
        <f>($C64*O64)*(1+'Datos de Entrada'!N$76)</f>
        <v>0</v>
      </c>
      <c r="AV64" s="186">
        <f>($C64*P64)*(1+'Datos de Entrada'!O$76)</f>
        <v>0</v>
      </c>
      <c r="AW64" s="186">
        <f>($C64*Q64)*(1+'Datos de Entrada'!P$76)</f>
        <v>0</v>
      </c>
      <c r="AX64" s="186">
        <f>($C64*R64)*(1+'Datos de Entrada'!Q$76)</f>
        <v>0</v>
      </c>
      <c r="AY64" s="186">
        <f>($C64*S64)*(1+'Datos de Entrada'!R$76)</f>
        <v>26800157.536216561</v>
      </c>
      <c r="AZ64" s="186">
        <f>($C64*T64)*(1+'Datos de Entrada'!S$76)</f>
        <v>0</v>
      </c>
      <c r="BA64" s="186">
        <f>($C64*U64)*(1+'Datos de Entrada'!T$76)</f>
        <v>0</v>
      </c>
      <c r="BB64" s="186">
        <f>($C64*V64)*(1+'Datos de Entrada'!U$76)</f>
        <v>0</v>
      </c>
      <c r="BC64" s="186">
        <f>($C64*W64)*(1+'Datos de Entrada'!V$76)</f>
        <v>0</v>
      </c>
      <c r="BD64" s="186">
        <f>($C64*X64)*(1+'Datos de Entrada'!W$76)</f>
        <v>33070829.544173636</v>
      </c>
      <c r="BE64" s="186">
        <f>($C64*Y64)*(1+'Datos de Entrada'!X$76)</f>
        <v>0</v>
      </c>
      <c r="BF64" s="186">
        <f>($C64*Z64)*(1+'Datos de Entrada'!Y$76)</f>
        <v>0</v>
      </c>
      <c r="BG64" s="186">
        <f>($C64*AA64)*(1+'Datos de Entrada'!Z$76)</f>
        <v>0</v>
      </c>
      <c r="BH64" s="186">
        <f>($C64*AB64)*(1+'Datos de Entrada'!AA$76)</f>
        <v>0</v>
      </c>
      <c r="BI64" s="186">
        <f>($C64*AC64)*(1+'Datos de Entrada'!AB$76)</f>
        <v>0</v>
      </c>
      <c r="BJ64" s="186">
        <f>($C64*AD64)*(1+'Datos de Entrada'!AC$76)</f>
        <v>0</v>
      </c>
      <c r="BK64" s="186">
        <f>($C64*AE64)*(1+'Datos de Entrada'!AD$76)</f>
        <v>0</v>
      </c>
      <c r="BL64" s="186">
        <f>($C64*AF64)*(1+'Datos de Entrada'!AE$76)</f>
        <v>42788039.534132153</v>
      </c>
      <c r="BM64" s="186">
        <f>($C64*AG64)*(1+'Datos de Entrada'!AF$76)</f>
        <v>0</v>
      </c>
      <c r="BN64" s="186">
        <f t="shared" si="8"/>
        <v>216286258.74810433</v>
      </c>
      <c r="BO64" s="209"/>
    </row>
    <row r="65" spans="1:67" s="204" customFormat="1" ht="12.75" customHeight="1" x14ac:dyDescent="0.2">
      <c r="A65" s="205" t="s">
        <v>76</v>
      </c>
      <c r="B65" s="190" t="s">
        <v>39</v>
      </c>
      <c r="C65" s="195">
        <f>'Equipos y Herramientas'!C21*'Datos de Entrada'!C17</f>
        <v>362993.51797289337</v>
      </c>
      <c r="D65" s="196">
        <v>30</v>
      </c>
      <c r="E65" s="190">
        <v>30</v>
      </c>
      <c r="F65" s="190">
        <v>30</v>
      </c>
      <c r="G65" s="190">
        <v>30</v>
      </c>
      <c r="H65" s="190">
        <v>30</v>
      </c>
      <c r="I65" s="190"/>
      <c r="J65" s="190"/>
      <c r="K65" s="190">
        <v>30</v>
      </c>
      <c r="L65" s="190"/>
      <c r="M65" s="190"/>
      <c r="N65" s="190">
        <v>30</v>
      </c>
      <c r="O65" s="190"/>
      <c r="P65" s="190"/>
      <c r="Q65" s="190"/>
      <c r="R65" s="190"/>
      <c r="S65" s="190">
        <v>30</v>
      </c>
      <c r="T65" s="190"/>
      <c r="U65" s="190"/>
      <c r="V65" s="190"/>
      <c r="W65" s="190"/>
      <c r="X65" s="190">
        <v>30</v>
      </c>
      <c r="Y65" s="190"/>
      <c r="Z65" s="190"/>
      <c r="AA65" s="190"/>
      <c r="AB65" s="190"/>
      <c r="AC65" s="190"/>
      <c r="AD65" s="190"/>
      <c r="AE65" s="190"/>
      <c r="AF65" s="190">
        <v>30</v>
      </c>
      <c r="AG65" s="190"/>
      <c r="AH65" s="190"/>
      <c r="AI65" s="190"/>
      <c r="AJ65" s="186">
        <f>($C65*D65)*(1+'Datos de Entrada'!C$76)</f>
        <v>10889805.539186802</v>
      </c>
      <c r="AK65" s="186">
        <f>($C65*E65)*(1+'Datos de Entrada'!D$76)</f>
        <v>11366927.866736969</v>
      </c>
      <c r="AL65" s="186">
        <f>($C65*F65)*(1+'Datos de Entrada'!E$76)</f>
        <v>11876035.637993947</v>
      </c>
      <c r="AM65" s="186">
        <f>($C65*G65)*(1+'Datos de Entrada'!F$76)</f>
        <v>12418011.091153655</v>
      </c>
      <c r="AN65" s="186">
        <f>($C65*H65)*(1+'Datos de Entrada'!G$76)</f>
        <v>12993664.268476011</v>
      </c>
      <c r="AO65" s="186">
        <f>($C65*I65)*(1+'Datos de Entrada'!H$76)</f>
        <v>0</v>
      </c>
      <c r="AP65" s="186">
        <f>($C65*J65)*(1+'Datos de Entrada'!I$76)</f>
        <v>0</v>
      </c>
      <c r="AQ65" s="186">
        <f>($C65*K65)*(1+'Datos de Entrada'!J$76)</f>
        <v>14929149.759955451</v>
      </c>
      <c r="AR65" s="186">
        <f>($C65*L65)*(1+'Datos de Entrada'!K$76)</f>
        <v>0</v>
      </c>
      <c r="AS65" s="186">
        <f>($C65*M65)*(1+'Datos de Entrada'!L$76)</f>
        <v>0</v>
      </c>
      <c r="AT65" s="186">
        <f>($C65*N65)*(1+'Datos de Entrada'!M$76)</f>
        <v>17184069.680256121</v>
      </c>
      <c r="AU65" s="186">
        <f>($C65*O65)*(1+'Datos de Entrada'!N$76)</f>
        <v>0</v>
      </c>
      <c r="AV65" s="186">
        <f>($C65*P65)*(1+'Datos de Entrada'!O$76)</f>
        <v>0</v>
      </c>
      <c r="AW65" s="186">
        <f>($C65*Q65)*(1+'Datos de Entrada'!P$76)</f>
        <v>0</v>
      </c>
      <c r="AX65" s="186">
        <f>($C65*R65)*(1+'Datos de Entrada'!Q$76)</f>
        <v>0</v>
      </c>
      <c r="AY65" s="186">
        <f>($C65*S65)*(1+'Datos de Entrada'!R$76)</f>
        <v>21618407.702886667</v>
      </c>
      <c r="AZ65" s="186">
        <f>($C65*T65)*(1+'Datos de Entrada'!S$76)</f>
        <v>0</v>
      </c>
      <c r="BA65" s="186">
        <f>($C65*U65)*(1+'Datos de Entrada'!T$76)</f>
        <v>0</v>
      </c>
      <c r="BB65" s="186">
        <f>($C65*V65)*(1+'Datos de Entrada'!U$76)</f>
        <v>0</v>
      </c>
      <c r="BC65" s="186">
        <f>($C65*W65)*(1+'Datos de Entrada'!V$76)</f>
        <v>0</v>
      </c>
      <c r="BD65" s="186">
        <f>($C65*X65)*(1+'Datos de Entrada'!W$76)</f>
        <v>26676659.463381082</v>
      </c>
      <c r="BE65" s="186">
        <f>($C65*Y65)*(1+'Datos de Entrada'!X$76)</f>
        <v>0</v>
      </c>
      <c r="BF65" s="186">
        <f>($C65*Z65)*(1+'Datos de Entrada'!Y$76)</f>
        <v>0</v>
      </c>
      <c r="BG65" s="186">
        <f>($C65*AA65)*(1+'Datos de Entrada'!Z$76)</f>
        <v>0</v>
      </c>
      <c r="BH65" s="186">
        <f>($C65*AB65)*(1+'Datos de Entrada'!AA$76)</f>
        <v>0</v>
      </c>
      <c r="BI65" s="186">
        <f>($C65*AC65)*(1+'Datos de Entrada'!AB$76)</f>
        <v>0</v>
      </c>
      <c r="BJ65" s="186">
        <f>($C65*AD65)*(1+'Datos de Entrada'!AC$76)</f>
        <v>0</v>
      </c>
      <c r="BK65" s="186">
        <f>($C65*AE65)*(1+'Datos de Entrada'!AD$76)</f>
        <v>0</v>
      </c>
      <c r="BL65" s="186">
        <f>($C65*AF65)*(1+'Datos de Entrada'!AE$76)</f>
        <v>34515068.883684158</v>
      </c>
      <c r="BM65" s="186">
        <f>($C65*AG65)*(1+'Datos de Entrada'!AF$76)</f>
        <v>0</v>
      </c>
      <c r="BN65" s="186">
        <f t="shared" si="8"/>
        <v>174467799.89371085</v>
      </c>
    </row>
    <row r="66" spans="1:67" ht="12.75" customHeight="1" x14ac:dyDescent="0.2">
      <c r="A66" s="18"/>
      <c r="B66" s="18"/>
      <c r="C66" s="19"/>
      <c r="D66" s="20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9"/>
      <c r="AJ66" s="26"/>
      <c r="AK66" s="26"/>
      <c r="AL66" s="26"/>
      <c r="AM66" s="26"/>
      <c r="AN66" s="26"/>
      <c r="AO66" s="26"/>
      <c r="AP66" s="26"/>
      <c r="AQ66" s="26"/>
      <c r="AR66" s="26"/>
      <c r="AS66" s="26"/>
      <c r="AT66" s="26"/>
      <c r="AU66" s="26"/>
      <c r="AV66" s="26"/>
      <c r="AW66" s="26"/>
      <c r="AX66" s="26"/>
      <c r="AY66" s="26"/>
      <c r="AZ66" s="26"/>
      <c r="BA66" s="26"/>
      <c r="BB66" s="26"/>
      <c r="BC66" s="26"/>
      <c r="BD66" s="26"/>
      <c r="BE66" s="26"/>
      <c r="BF66" s="26"/>
      <c r="BG66" s="26"/>
      <c r="BH66" s="26"/>
      <c r="BI66" s="26"/>
      <c r="BJ66" s="26"/>
      <c r="BK66" s="26"/>
      <c r="BL66" s="26"/>
      <c r="BM66" s="26"/>
    </row>
    <row r="67" spans="1:67" ht="12.75" customHeight="1" x14ac:dyDescent="0.2">
      <c r="A67" s="31" t="s">
        <v>77</v>
      </c>
      <c r="B67" s="31"/>
      <c r="C67" s="31"/>
      <c r="D67" s="32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">
        <f>SUM(AJ67:BM67)</f>
        <v>18331172.657631114</v>
      </c>
      <c r="AI67" s="31"/>
      <c r="AJ67" s="3">
        <f>SUM(AJ68:AJ74)</f>
        <v>18331172.657631114</v>
      </c>
      <c r="AK67" s="3">
        <f t="shared" ref="AK67:BM67" si="10">SUM(AK68:AK74)</f>
        <v>0</v>
      </c>
      <c r="AL67" s="3">
        <f t="shared" si="10"/>
        <v>0</v>
      </c>
      <c r="AM67" s="3">
        <f t="shared" si="10"/>
        <v>0</v>
      </c>
      <c r="AN67" s="3">
        <f t="shared" si="10"/>
        <v>0</v>
      </c>
      <c r="AO67" s="3">
        <f t="shared" si="10"/>
        <v>0</v>
      </c>
      <c r="AP67" s="3">
        <f t="shared" si="10"/>
        <v>0</v>
      </c>
      <c r="AQ67" s="3">
        <f t="shared" si="10"/>
        <v>0</v>
      </c>
      <c r="AR67" s="3">
        <f t="shared" si="10"/>
        <v>0</v>
      </c>
      <c r="AS67" s="3">
        <f t="shared" si="10"/>
        <v>0</v>
      </c>
      <c r="AT67" s="3">
        <f t="shared" si="10"/>
        <v>0</v>
      </c>
      <c r="AU67" s="3">
        <f t="shared" si="10"/>
        <v>0</v>
      </c>
      <c r="AV67" s="3">
        <f t="shared" si="10"/>
        <v>0</v>
      </c>
      <c r="AW67" s="3">
        <f t="shared" si="10"/>
        <v>0</v>
      </c>
      <c r="AX67" s="3">
        <f t="shared" si="10"/>
        <v>0</v>
      </c>
      <c r="AY67" s="3">
        <f t="shared" si="10"/>
        <v>0</v>
      </c>
      <c r="AZ67" s="3">
        <f t="shared" si="10"/>
        <v>0</v>
      </c>
      <c r="BA67" s="3">
        <f t="shared" si="10"/>
        <v>0</v>
      </c>
      <c r="BB67" s="3">
        <f t="shared" si="10"/>
        <v>0</v>
      </c>
      <c r="BC67" s="3">
        <f t="shared" si="10"/>
        <v>0</v>
      </c>
      <c r="BD67" s="3">
        <f t="shared" si="10"/>
        <v>0</v>
      </c>
      <c r="BE67" s="3">
        <f t="shared" si="10"/>
        <v>0</v>
      </c>
      <c r="BF67" s="3">
        <f t="shared" si="10"/>
        <v>0</v>
      </c>
      <c r="BG67" s="3">
        <f t="shared" si="10"/>
        <v>0</v>
      </c>
      <c r="BH67" s="3">
        <f t="shared" si="10"/>
        <v>0</v>
      </c>
      <c r="BI67" s="3">
        <f t="shared" si="10"/>
        <v>0</v>
      </c>
      <c r="BJ67" s="3">
        <f t="shared" si="10"/>
        <v>0</v>
      </c>
      <c r="BK67" s="3">
        <f t="shared" si="10"/>
        <v>0</v>
      </c>
      <c r="BL67" s="3">
        <f t="shared" si="10"/>
        <v>0</v>
      </c>
      <c r="BM67" s="3">
        <f t="shared" si="10"/>
        <v>0</v>
      </c>
    </row>
    <row r="68" spans="1:67" s="197" customFormat="1" ht="12.75" customHeight="1" x14ac:dyDescent="0.2">
      <c r="A68" s="190" t="s">
        <v>78</v>
      </c>
      <c r="B68" s="190" t="s">
        <v>23</v>
      </c>
      <c r="C68" s="195">
        <f>'Equipos y Herramientas'!C22*'Datos de Entrada'!C17</f>
        <v>635238.65645256336</v>
      </c>
      <c r="D68" s="196">
        <v>1</v>
      </c>
      <c r="E68" s="190"/>
      <c r="F68" s="190"/>
      <c r="G68" s="190"/>
      <c r="H68" s="190"/>
      <c r="I68" s="190"/>
      <c r="J68" s="190"/>
      <c r="K68" s="190"/>
      <c r="L68" s="190"/>
      <c r="M68" s="190"/>
      <c r="N68" s="190"/>
      <c r="O68" s="190"/>
      <c r="P68" s="190"/>
      <c r="Q68" s="190"/>
      <c r="R68" s="190"/>
      <c r="S68" s="190"/>
      <c r="T68" s="190"/>
      <c r="U68" s="190"/>
      <c r="V68" s="190"/>
      <c r="W68" s="190"/>
      <c r="X68" s="190"/>
      <c r="Y68" s="190"/>
      <c r="Z68" s="190"/>
      <c r="AA68" s="190"/>
      <c r="AB68" s="190"/>
      <c r="AC68" s="190"/>
      <c r="AD68" s="190"/>
      <c r="AE68" s="190"/>
      <c r="AF68" s="190"/>
      <c r="AG68" s="190"/>
      <c r="AH68" s="190">
        <f>AH67/AH105</f>
        <v>1.5594037654781125E-3</v>
      </c>
      <c r="AI68" s="190"/>
      <c r="AJ68" s="186">
        <f>($C68*D68)*(1+'Datos de Entrada'!C$76)</f>
        <v>635238.65645256336</v>
      </c>
      <c r="AK68" s="186">
        <f>($C68*E68)*(1+'Datos de Entrada'!D$76)</f>
        <v>0</v>
      </c>
      <c r="AL68" s="186">
        <f>($C68*F68)*(1+'Datos de Entrada'!E$76)</f>
        <v>0</v>
      </c>
      <c r="AM68" s="186">
        <f>($C68*G68)*(1+'Datos de Entrada'!F$76)</f>
        <v>0</v>
      </c>
      <c r="AN68" s="186">
        <f>($C68*H68)*(1+'Datos de Entrada'!G$76)</f>
        <v>0</v>
      </c>
      <c r="AO68" s="186">
        <f>($C68*I68)*(1+'Datos de Entrada'!H$76)</f>
        <v>0</v>
      </c>
      <c r="AP68" s="186">
        <f>($C68*J68)*(1+'Datos de Entrada'!I$76)</f>
        <v>0</v>
      </c>
      <c r="AQ68" s="186">
        <f>($C68*K68)*(1+'Datos de Entrada'!J$76)</f>
        <v>0</v>
      </c>
      <c r="AR68" s="186">
        <f>($C68*L68)*(1+'Datos de Entrada'!K$76)</f>
        <v>0</v>
      </c>
      <c r="AS68" s="186">
        <f>($C68*M68)*(1+'Datos de Entrada'!L$76)</f>
        <v>0</v>
      </c>
      <c r="AT68" s="186">
        <f>($C68*N68)*(1+'Datos de Entrada'!M$76)</f>
        <v>0</v>
      </c>
      <c r="AU68" s="186">
        <f>($C68*O68)*(1+'Datos de Entrada'!N$76)</f>
        <v>0</v>
      </c>
      <c r="AV68" s="186">
        <f>($C68*P68)*(1+'Datos de Entrada'!O$76)</f>
        <v>0</v>
      </c>
      <c r="AW68" s="186">
        <f>($C68*Q68)*(1+'Datos de Entrada'!P$76)</f>
        <v>0</v>
      </c>
      <c r="AX68" s="186">
        <f>($C68*R68)*(1+'Datos de Entrada'!Q$76)</f>
        <v>0</v>
      </c>
      <c r="AY68" s="186">
        <f>($C68*S68)*(1+'Datos de Entrada'!R$76)</f>
        <v>0</v>
      </c>
      <c r="AZ68" s="186">
        <f>($C68*T68)*(1+'Datos de Entrada'!S$76)</f>
        <v>0</v>
      </c>
      <c r="BA68" s="186">
        <f>($C68*U68)*(1+'Datos de Entrada'!T$76)</f>
        <v>0</v>
      </c>
      <c r="BB68" s="186">
        <f>($C68*V68)*(1+'Datos de Entrada'!U$76)</f>
        <v>0</v>
      </c>
      <c r="BC68" s="186">
        <f>($C68*W68)*(1+'Datos de Entrada'!V$76)</f>
        <v>0</v>
      </c>
      <c r="BD68" s="186">
        <f>($C68*X68)*(1+'Datos de Entrada'!W$76)</f>
        <v>0</v>
      </c>
      <c r="BE68" s="186">
        <f>($C68*Y68)*(1+'Datos de Entrada'!X$76)</f>
        <v>0</v>
      </c>
      <c r="BF68" s="186">
        <f>($C68*Z68)*(1+'Datos de Entrada'!Y$76)</f>
        <v>0</v>
      </c>
      <c r="BG68" s="186">
        <f>($C68*AA68)*(1+'Datos de Entrada'!Z$76)</f>
        <v>0</v>
      </c>
      <c r="BH68" s="186">
        <f>($C68*AB68)*(1+'Datos de Entrada'!AA$76)</f>
        <v>0</v>
      </c>
      <c r="BI68" s="186">
        <f>($C68*AC68)*(1+'Datos de Entrada'!AB$76)</f>
        <v>0</v>
      </c>
      <c r="BJ68" s="186">
        <f>($C68*AD68)*(1+'Datos de Entrada'!AC$76)</f>
        <v>0</v>
      </c>
      <c r="BK68" s="186">
        <f>($C68*AE68)*(1+'Datos de Entrada'!AD$76)</f>
        <v>0</v>
      </c>
      <c r="BL68" s="186">
        <f>($C68*AF68)*(1+'Datos de Entrada'!AE$76)</f>
        <v>0</v>
      </c>
      <c r="BM68" s="186">
        <f>($C68*AG68)*(1+'Datos de Entrada'!AF$76)</f>
        <v>0</v>
      </c>
      <c r="BN68" s="186">
        <f t="shared" ref="BN68:BN102" si="11">SUM(AJ68:BM68)</f>
        <v>635238.65645256336</v>
      </c>
    </row>
    <row r="69" spans="1:67" s="197" customFormat="1" ht="12.75" customHeight="1" x14ac:dyDescent="0.2">
      <c r="A69" s="190" t="s">
        <v>79</v>
      </c>
      <c r="B69" s="190" t="s">
        <v>23</v>
      </c>
      <c r="C69" s="195">
        <f>'Equipos y Herramientas'!C23*'Datos de Entrada'!C17</f>
        <v>14973482.616381852</v>
      </c>
      <c r="D69" s="196">
        <v>1</v>
      </c>
      <c r="E69" s="190"/>
      <c r="F69" s="190"/>
      <c r="G69" s="190"/>
      <c r="H69" s="190"/>
      <c r="I69" s="190"/>
      <c r="J69" s="190"/>
      <c r="K69" s="190"/>
      <c r="L69" s="190"/>
      <c r="M69" s="190"/>
      <c r="N69" s="190"/>
      <c r="O69" s="190"/>
      <c r="P69" s="190"/>
      <c r="Q69" s="190"/>
      <c r="R69" s="190"/>
      <c r="S69" s="190"/>
      <c r="T69" s="190"/>
      <c r="U69" s="190"/>
      <c r="V69" s="190"/>
      <c r="W69" s="190"/>
      <c r="X69" s="190"/>
      <c r="Y69" s="190"/>
      <c r="Z69" s="190"/>
      <c r="AA69" s="190"/>
      <c r="AB69" s="190"/>
      <c r="AC69" s="190"/>
      <c r="AD69" s="190"/>
      <c r="AE69" s="190"/>
      <c r="AF69" s="190"/>
      <c r="AG69" s="190"/>
      <c r="AH69" s="190"/>
      <c r="AI69" s="190"/>
      <c r="AJ69" s="186">
        <f>($C69*D69)*(1+'Datos de Entrada'!C$76)</f>
        <v>14973482.616381852</v>
      </c>
      <c r="AK69" s="186">
        <f>($C69*E69)*(1+'Datos de Entrada'!D$76)</f>
        <v>0</v>
      </c>
      <c r="AL69" s="186">
        <f>($C69*F69)*(1+'Datos de Entrada'!E$76)</f>
        <v>0</v>
      </c>
      <c r="AM69" s="186">
        <f>($C69*G69)*(1+'Datos de Entrada'!F$76)</f>
        <v>0</v>
      </c>
      <c r="AN69" s="186">
        <f>($C69*H69)*(1+'Datos de Entrada'!G$76)</f>
        <v>0</v>
      </c>
      <c r="AO69" s="186">
        <f>($C69*I69)*(1+'Datos de Entrada'!H$76)</f>
        <v>0</v>
      </c>
      <c r="AP69" s="186">
        <f>($C69*J69)*(1+'Datos de Entrada'!I$76)</f>
        <v>0</v>
      </c>
      <c r="AQ69" s="186">
        <f>($C69*K69)*(1+'Datos de Entrada'!J$76)</f>
        <v>0</v>
      </c>
      <c r="AR69" s="186">
        <f>($C69*L69)*(1+'Datos de Entrada'!K$76)</f>
        <v>0</v>
      </c>
      <c r="AS69" s="186">
        <f>($C69*M69)*(1+'Datos de Entrada'!L$76)</f>
        <v>0</v>
      </c>
      <c r="AT69" s="186">
        <f>($C69*N69)*(1+'Datos de Entrada'!M$76)</f>
        <v>0</v>
      </c>
      <c r="AU69" s="186">
        <f>($C69*O69)*(1+'Datos de Entrada'!N$76)</f>
        <v>0</v>
      </c>
      <c r="AV69" s="186">
        <f>($C69*P69)*(1+'Datos de Entrada'!O$76)</f>
        <v>0</v>
      </c>
      <c r="AW69" s="186">
        <f>($C69*Q69)*(1+'Datos de Entrada'!P$76)</f>
        <v>0</v>
      </c>
      <c r="AX69" s="186">
        <f>($C69*R69)*(1+'Datos de Entrada'!Q$76)</f>
        <v>0</v>
      </c>
      <c r="AY69" s="186">
        <f>($C69*S69)*(1+'Datos de Entrada'!R$76)</f>
        <v>0</v>
      </c>
      <c r="AZ69" s="186">
        <f>($C69*T69)*(1+'Datos de Entrada'!S$76)</f>
        <v>0</v>
      </c>
      <c r="BA69" s="186">
        <f>($C69*U69)*(1+'Datos de Entrada'!T$76)</f>
        <v>0</v>
      </c>
      <c r="BB69" s="186">
        <f>($C69*V69)*(1+'Datos de Entrada'!U$76)</f>
        <v>0</v>
      </c>
      <c r="BC69" s="186">
        <f>($C69*W69)*(1+'Datos de Entrada'!V$76)</f>
        <v>0</v>
      </c>
      <c r="BD69" s="186">
        <f>($C69*X69)*(1+'Datos de Entrada'!W$76)</f>
        <v>0</v>
      </c>
      <c r="BE69" s="186">
        <f>($C69*Y69)*(1+'Datos de Entrada'!X$76)</f>
        <v>0</v>
      </c>
      <c r="BF69" s="186">
        <f>($C69*Z69)*(1+'Datos de Entrada'!Y$76)</f>
        <v>0</v>
      </c>
      <c r="BG69" s="186">
        <f>($C69*AA69)*(1+'Datos de Entrada'!Z$76)</f>
        <v>0</v>
      </c>
      <c r="BH69" s="186">
        <f>($C69*AB69)*(1+'Datos de Entrada'!AA$76)</f>
        <v>0</v>
      </c>
      <c r="BI69" s="186">
        <f>($C69*AC69)*(1+'Datos de Entrada'!AB$76)</f>
        <v>0</v>
      </c>
      <c r="BJ69" s="186">
        <f>($C69*AD69)*(1+'Datos de Entrada'!AC$76)</f>
        <v>0</v>
      </c>
      <c r="BK69" s="186">
        <f>($C69*AE69)*(1+'Datos de Entrada'!AD$76)</f>
        <v>0</v>
      </c>
      <c r="BL69" s="186">
        <f>($C69*AF69)*(1+'Datos de Entrada'!AE$76)</f>
        <v>0</v>
      </c>
      <c r="BM69" s="186">
        <f>($C69*AG69)*(1+'Datos de Entrada'!AF$76)</f>
        <v>0</v>
      </c>
      <c r="BN69" s="186">
        <f t="shared" si="11"/>
        <v>14973482.616381852</v>
      </c>
    </row>
    <row r="70" spans="1:67" s="197" customFormat="1" ht="12.75" customHeight="1" x14ac:dyDescent="0.2">
      <c r="A70" s="190" t="s">
        <v>80</v>
      </c>
      <c r="B70" s="190" t="s">
        <v>23</v>
      </c>
      <c r="C70" s="195">
        <f>'Equipos y Herramientas'!C24*'Datos de Entrada'!C17</f>
        <v>2722451.3847967004</v>
      </c>
      <c r="D70" s="196">
        <v>1</v>
      </c>
      <c r="E70" s="190"/>
      <c r="F70" s="190"/>
      <c r="G70" s="190"/>
      <c r="H70" s="190"/>
      <c r="I70" s="190"/>
      <c r="J70" s="190"/>
      <c r="K70" s="190"/>
      <c r="L70" s="190"/>
      <c r="M70" s="190"/>
      <c r="N70" s="190"/>
      <c r="O70" s="190"/>
      <c r="P70" s="190"/>
      <c r="Q70" s="190"/>
      <c r="R70" s="190"/>
      <c r="S70" s="190"/>
      <c r="T70" s="190"/>
      <c r="U70" s="190"/>
      <c r="V70" s="190"/>
      <c r="W70" s="190"/>
      <c r="X70" s="190"/>
      <c r="Y70" s="190"/>
      <c r="Z70" s="190"/>
      <c r="AA70" s="190"/>
      <c r="AB70" s="190"/>
      <c r="AC70" s="190"/>
      <c r="AD70" s="190"/>
      <c r="AE70" s="190"/>
      <c r="AF70" s="190"/>
      <c r="AG70" s="190"/>
      <c r="AH70" s="190"/>
      <c r="AI70" s="190"/>
      <c r="AJ70" s="186">
        <f>($C70*D70)*(1+'Datos de Entrada'!C$76)</f>
        <v>2722451.3847967004</v>
      </c>
      <c r="AK70" s="186">
        <f>($C70*E70)*(1+'Datos de Entrada'!D$76)</f>
        <v>0</v>
      </c>
      <c r="AL70" s="186">
        <f>($C70*F70)*(1+'Datos de Entrada'!E$76)</f>
        <v>0</v>
      </c>
      <c r="AM70" s="186">
        <f>($C70*G70)*(1+'Datos de Entrada'!F$76)</f>
        <v>0</v>
      </c>
      <c r="AN70" s="186">
        <f>($C70*H70)*(1+'Datos de Entrada'!G$76)</f>
        <v>0</v>
      </c>
      <c r="AO70" s="186">
        <f>($C70*I70)*(1+'Datos de Entrada'!H$76)</f>
        <v>0</v>
      </c>
      <c r="AP70" s="186">
        <f>($C70*J70)*(1+'Datos de Entrada'!I$76)</f>
        <v>0</v>
      </c>
      <c r="AQ70" s="186">
        <f>($C70*K70)*(1+'Datos de Entrada'!J$76)</f>
        <v>0</v>
      </c>
      <c r="AR70" s="186">
        <f>($C70*L70)*(1+'Datos de Entrada'!K$76)</f>
        <v>0</v>
      </c>
      <c r="AS70" s="186">
        <f>($C70*M70)*(1+'Datos de Entrada'!L$76)</f>
        <v>0</v>
      </c>
      <c r="AT70" s="186">
        <f>($C70*N70)*(1+'Datos de Entrada'!M$76)</f>
        <v>0</v>
      </c>
      <c r="AU70" s="186">
        <f>($C70*O70)*(1+'Datos de Entrada'!N$76)</f>
        <v>0</v>
      </c>
      <c r="AV70" s="186">
        <f>($C70*P70)*(1+'Datos de Entrada'!O$76)</f>
        <v>0</v>
      </c>
      <c r="AW70" s="186">
        <f>($C70*Q70)*(1+'Datos de Entrada'!P$76)</f>
        <v>0</v>
      </c>
      <c r="AX70" s="186">
        <f>($C70*R70)*(1+'Datos de Entrada'!Q$76)</f>
        <v>0</v>
      </c>
      <c r="AY70" s="186">
        <f>($C70*S70)*(1+'Datos de Entrada'!R$76)</f>
        <v>0</v>
      </c>
      <c r="AZ70" s="186">
        <f>($C70*T70)*(1+'Datos de Entrada'!S$76)</f>
        <v>0</v>
      </c>
      <c r="BA70" s="186">
        <f>($C70*U70)*(1+'Datos de Entrada'!T$76)</f>
        <v>0</v>
      </c>
      <c r="BB70" s="186">
        <f>($C70*V70)*(1+'Datos de Entrada'!U$76)</f>
        <v>0</v>
      </c>
      <c r="BC70" s="186">
        <f>($C70*W70)*(1+'Datos de Entrada'!V$76)</f>
        <v>0</v>
      </c>
      <c r="BD70" s="186">
        <f>($C70*X70)*(1+'Datos de Entrada'!W$76)</f>
        <v>0</v>
      </c>
      <c r="BE70" s="186">
        <f>($C70*Y70)*(1+'Datos de Entrada'!X$76)</f>
        <v>0</v>
      </c>
      <c r="BF70" s="186">
        <f>($C70*Z70)*(1+'Datos de Entrada'!Y$76)</f>
        <v>0</v>
      </c>
      <c r="BG70" s="186">
        <f>($C70*AA70)*(1+'Datos de Entrada'!Z$76)</f>
        <v>0</v>
      </c>
      <c r="BH70" s="186">
        <f>($C70*AB70)*(1+'Datos de Entrada'!AA$76)</f>
        <v>0</v>
      </c>
      <c r="BI70" s="186">
        <f>($C70*AC70)*(1+'Datos de Entrada'!AB$76)</f>
        <v>0</v>
      </c>
      <c r="BJ70" s="186">
        <f>($C70*AD70)*(1+'Datos de Entrada'!AC$76)</f>
        <v>0</v>
      </c>
      <c r="BK70" s="186">
        <f>($C70*AE70)*(1+'Datos de Entrada'!AD$76)</f>
        <v>0</v>
      </c>
      <c r="BL70" s="186">
        <f>($C70*AF70)*(1+'Datos de Entrada'!AE$76)</f>
        <v>0</v>
      </c>
      <c r="BM70" s="186">
        <f>($C70*AG70)*(1+'Datos de Entrada'!AF$76)</f>
        <v>0</v>
      </c>
      <c r="BN70" s="186">
        <f t="shared" si="11"/>
        <v>2722451.3847967004</v>
      </c>
    </row>
    <row r="71" spans="1:67" ht="12.75" customHeight="1" x14ac:dyDescent="0.2">
      <c r="A71" s="18"/>
      <c r="B71" s="18"/>
      <c r="C71" s="19"/>
      <c r="D71" s="20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9"/>
      <c r="AJ71" s="16">
        <f>($C71*D71)*(1+'Datos de Entrada'!C$76)</f>
        <v>0</v>
      </c>
      <c r="AK71" s="16">
        <f>($C71*E71)*(1+'Datos de Entrada'!D$76)</f>
        <v>0</v>
      </c>
      <c r="AL71" s="16">
        <f>($C71*F71)*(1+'Datos de Entrada'!E$76)</f>
        <v>0</v>
      </c>
      <c r="AM71" s="16">
        <f>($C71*G71)*(1+'Datos de Entrada'!F$76)</f>
        <v>0</v>
      </c>
      <c r="AN71" s="16">
        <f>($C71*H71)*(1+'Datos de Entrada'!G$76)</f>
        <v>0</v>
      </c>
      <c r="AO71" s="16">
        <f>($C71*I71)*(1+'Datos de Entrada'!H$76)</f>
        <v>0</v>
      </c>
      <c r="AP71" s="16">
        <f>($C71*J71)*(1+'Datos de Entrada'!I$76)</f>
        <v>0</v>
      </c>
      <c r="AQ71" s="16">
        <f>($C71*K71)*(1+'Datos de Entrada'!J$76)</f>
        <v>0</v>
      </c>
      <c r="AR71" s="16">
        <f>($C71*L71)*(1+'Datos de Entrada'!K$76)</f>
        <v>0</v>
      </c>
      <c r="AS71" s="16">
        <f>($C71*M71)*(1+'Datos de Entrada'!L$76)</f>
        <v>0</v>
      </c>
      <c r="AT71" s="16">
        <f>($C71*N71)*(1+'Datos de Entrada'!M$76)</f>
        <v>0</v>
      </c>
      <c r="AU71" s="16">
        <f>($C71*O71)*(1+'Datos de Entrada'!N$76)</f>
        <v>0</v>
      </c>
      <c r="AV71" s="16">
        <f>($C71*P71)*(1+'Datos de Entrada'!O$76)</f>
        <v>0</v>
      </c>
      <c r="AW71" s="16">
        <f>($C71*Q71)*(1+'Datos de Entrada'!P$76)</f>
        <v>0</v>
      </c>
      <c r="AX71" s="16">
        <f>($C71*R71)*(1+'Datos de Entrada'!Q$76)</f>
        <v>0</v>
      </c>
      <c r="AY71" s="16">
        <f>($C71*S71)*(1+'Datos de Entrada'!R$76)</f>
        <v>0</v>
      </c>
      <c r="AZ71" s="16">
        <f>($C71*T71)*(1+'Datos de Entrada'!S$76)</f>
        <v>0</v>
      </c>
      <c r="BA71" s="16">
        <f>($C71*U71)*(1+'Datos de Entrada'!T$76)</f>
        <v>0</v>
      </c>
      <c r="BB71" s="16">
        <f>($C71*V71)*(1+'Datos de Entrada'!U$76)</f>
        <v>0</v>
      </c>
      <c r="BC71" s="16">
        <f>($C71*W71)*(1+'Datos de Entrada'!V$76)</f>
        <v>0</v>
      </c>
      <c r="BD71" s="16">
        <f>($C71*X71)*(1+'Datos de Entrada'!W$76)</f>
        <v>0</v>
      </c>
      <c r="BE71" s="16">
        <f>($C71*Y71)*(1+'Datos de Entrada'!X$76)</f>
        <v>0</v>
      </c>
      <c r="BF71" s="16">
        <f>($C71*Z71)*(1+'Datos de Entrada'!Y$76)</f>
        <v>0</v>
      </c>
      <c r="BG71" s="16">
        <f>($C71*AA71)*(1+'Datos de Entrada'!Z$76)</f>
        <v>0</v>
      </c>
      <c r="BH71" s="16">
        <f>($C71*AB71)*(1+'Datos de Entrada'!AA$76)</f>
        <v>0</v>
      </c>
      <c r="BI71" s="16">
        <f>($C71*AC71)*(1+'Datos de Entrada'!AB$76)</f>
        <v>0</v>
      </c>
      <c r="BJ71" s="16">
        <f>($C71*AD71)*(1+'Datos de Entrada'!AC$76)</f>
        <v>0</v>
      </c>
      <c r="BK71" s="16">
        <f>($C71*AE71)*(1+'Datos de Entrada'!AD$76)</f>
        <v>0</v>
      </c>
      <c r="BL71" s="16">
        <f>($C71*AF71)*(1+'Datos de Entrada'!AE$76)</f>
        <v>0</v>
      </c>
      <c r="BM71" s="16">
        <f>($C71*AG71)*(1+'Datos de Entrada'!AF$76)</f>
        <v>0</v>
      </c>
      <c r="BN71" s="172">
        <f t="shared" si="11"/>
        <v>0</v>
      </c>
    </row>
    <row r="72" spans="1:67" ht="12.75" customHeight="1" x14ac:dyDescent="0.2">
      <c r="A72" s="18"/>
      <c r="B72" s="18"/>
      <c r="C72" s="19"/>
      <c r="D72" s="20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9"/>
      <c r="AJ72" s="16">
        <f>($C72*D72)*(1+'Datos de Entrada'!C$76)</f>
        <v>0</v>
      </c>
      <c r="AK72" s="16">
        <f>($C72*E72)*(1+'Datos de Entrada'!D$76)</f>
        <v>0</v>
      </c>
      <c r="AL72" s="16">
        <f>($C72*F72)*(1+'Datos de Entrada'!E$76)</f>
        <v>0</v>
      </c>
      <c r="AM72" s="16">
        <f>($C72*G72)*(1+'Datos de Entrada'!F$76)</f>
        <v>0</v>
      </c>
      <c r="AN72" s="16">
        <f>($C72*H72)*(1+'Datos de Entrada'!G$76)</f>
        <v>0</v>
      </c>
      <c r="AO72" s="16">
        <f>($C72*I72)*(1+'Datos de Entrada'!H$76)</f>
        <v>0</v>
      </c>
      <c r="AP72" s="16">
        <f>($C72*J72)*(1+'Datos de Entrada'!I$76)</f>
        <v>0</v>
      </c>
      <c r="AQ72" s="16">
        <f>($C72*K72)*(1+'Datos de Entrada'!J$76)</f>
        <v>0</v>
      </c>
      <c r="AR72" s="16">
        <f>($C72*L72)*(1+'Datos de Entrada'!K$76)</f>
        <v>0</v>
      </c>
      <c r="AS72" s="16">
        <f>($C72*M72)*(1+'Datos de Entrada'!L$76)</f>
        <v>0</v>
      </c>
      <c r="AT72" s="16">
        <f>($C72*N72)*(1+'Datos de Entrada'!M$76)</f>
        <v>0</v>
      </c>
      <c r="AU72" s="16">
        <f>($C72*O72)*(1+'Datos de Entrada'!N$76)</f>
        <v>0</v>
      </c>
      <c r="AV72" s="16">
        <f>($C72*P72)*(1+'Datos de Entrada'!O$76)</f>
        <v>0</v>
      </c>
      <c r="AW72" s="16">
        <f>($C72*Q72)*(1+'Datos de Entrada'!P$76)</f>
        <v>0</v>
      </c>
      <c r="AX72" s="16">
        <f>($C72*R72)*(1+'Datos de Entrada'!Q$76)</f>
        <v>0</v>
      </c>
      <c r="AY72" s="16">
        <f>($C72*S72)*(1+'Datos de Entrada'!R$76)</f>
        <v>0</v>
      </c>
      <c r="AZ72" s="16">
        <f>($C72*T72)*(1+'Datos de Entrada'!S$76)</f>
        <v>0</v>
      </c>
      <c r="BA72" s="16">
        <f>($C72*U72)*(1+'Datos de Entrada'!T$76)</f>
        <v>0</v>
      </c>
      <c r="BB72" s="16">
        <f>($C72*V72)*(1+'Datos de Entrada'!U$76)</f>
        <v>0</v>
      </c>
      <c r="BC72" s="16">
        <f>($C72*W72)*(1+'Datos de Entrada'!V$76)</f>
        <v>0</v>
      </c>
      <c r="BD72" s="16">
        <f>($C72*X72)*(1+'Datos de Entrada'!W$76)</f>
        <v>0</v>
      </c>
      <c r="BE72" s="16">
        <f>($C72*Y72)*(1+'Datos de Entrada'!X$76)</f>
        <v>0</v>
      </c>
      <c r="BF72" s="16">
        <f>($C72*Z72)*(1+'Datos de Entrada'!Y$76)</f>
        <v>0</v>
      </c>
      <c r="BG72" s="16">
        <f>($C72*AA72)*(1+'Datos de Entrada'!Z$76)</f>
        <v>0</v>
      </c>
      <c r="BH72" s="16">
        <f>($C72*AB72)*(1+'Datos de Entrada'!AA$76)</f>
        <v>0</v>
      </c>
      <c r="BI72" s="16">
        <f>($C72*AC72)*(1+'Datos de Entrada'!AB$76)</f>
        <v>0</v>
      </c>
      <c r="BJ72" s="16">
        <f>($C72*AD72)*(1+'Datos de Entrada'!AC$76)</f>
        <v>0</v>
      </c>
      <c r="BK72" s="16">
        <f>($C72*AE72)*(1+'Datos de Entrada'!AD$76)</f>
        <v>0</v>
      </c>
      <c r="BL72" s="16">
        <f>($C72*AF72)*(1+'Datos de Entrada'!AE$76)</f>
        <v>0</v>
      </c>
      <c r="BM72" s="16">
        <f>($C72*AG72)*(1+'Datos de Entrada'!AF$76)</f>
        <v>0</v>
      </c>
      <c r="BN72" s="172">
        <f t="shared" si="11"/>
        <v>0</v>
      </c>
    </row>
    <row r="73" spans="1:67" ht="12.75" customHeight="1" x14ac:dyDescent="0.2">
      <c r="A73" s="18"/>
      <c r="B73" s="18"/>
      <c r="C73" s="19"/>
      <c r="D73" s="20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9"/>
      <c r="AJ73" s="16">
        <f>($C73*D73)*(1+'Datos de Entrada'!C$76)</f>
        <v>0</v>
      </c>
      <c r="AK73" s="16">
        <f>($C73*E73)*(1+'Datos de Entrada'!D$76)</f>
        <v>0</v>
      </c>
      <c r="AL73" s="16">
        <f>($C73*F73)*(1+'Datos de Entrada'!E$76)</f>
        <v>0</v>
      </c>
      <c r="AM73" s="16">
        <f>($C73*G73)*(1+'Datos de Entrada'!F$76)</f>
        <v>0</v>
      </c>
      <c r="AN73" s="16">
        <f>($C73*H73)*(1+'Datos de Entrada'!G$76)</f>
        <v>0</v>
      </c>
      <c r="AO73" s="16">
        <f>($C73*I73)*(1+'Datos de Entrada'!H$76)</f>
        <v>0</v>
      </c>
      <c r="AP73" s="16">
        <f>($C73*J73)*(1+'Datos de Entrada'!I$76)</f>
        <v>0</v>
      </c>
      <c r="AQ73" s="16">
        <f>($C73*K73)*(1+'Datos de Entrada'!J$76)</f>
        <v>0</v>
      </c>
      <c r="AR73" s="16">
        <f>($C73*L73)*(1+'Datos de Entrada'!K$76)</f>
        <v>0</v>
      </c>
      <c r="AS73" s="16">
        <f>($C73*M73)*(1+'Datos de Entrada'!L$76)</f>
        <v>0</v>
      </c>
      <c r="AT73" s="16">
        <f>($C73*N73)*(1+'Datos de Entrada'!M$76)</f>
        <v>0</v>
      </c>
      <c r="AU73" s="16">
        <f>($C73*O73)*(1+'Datos de Entrada'!N$76)</f>
        <v>0</v>
      </c>
      <c r="AV73" s="16">
        <f>($C73*P73)*(1+'Datos de Entrada'!O$76)</f>
        <v>0</v>
      </c>
      <c r="AW73" s="16">
        <f>($C73*Q73)*(1+'Datos de Entrada'!P$76)</f>
        <v>0</v>
      </c>
      <c r="AX73" s="16">
        <f>($C73*R73)*(1+'Datos de Entrada'!Q$76)</f>
        <v>0</v>
      </c>
      <c r="AY73" s="16">
        <f>($C73*S73)*(1+'Datos de Entrada'!R$76)</f>
        <v>0</v>
      </c>
      <c r="AZ73" s="16">
        <f>($C73*T73)*(1+'Datos de Entrada'!S$76)</f>
        <v>0</v>
      </c>
      <c r="BA73" s="16">
        <f>($C73*U73)*(1+'Datos de Entrada'!T$76)</f>
        <v>0</v>
      </c>
      <c r="BB73" s="16">
        <f>($C73*V73)*(1+'Datos de Entrada'!U$76)</f>
        <v>0</v>
      </c>
      <c r="BC73" s="16">
        <f>($C73*W73)*(1+'Datos de Entrada'!V$76)</f>
        <v>0</v>
      </c>
      <c r="BD73" s="16">
        <f>($C73*X73)*(1+'Datos de Entrada'!W$76)</f>
        <v>0</v>
      </c>
      <c r="BE73" s="16">
        <f>($C73*Y73)*(1+'Datos de Entrada'!X$76)</f>
        <v>0</v>
      </c>
      <c r="BF73" s="16">
        <f>($C73*Z73)*(1+'Datos de Entrada'!Y$76)</f>
        <v>0</v>
      </c>
      <c r="BG73" s="16">
        <f>($C73*AA73)*(1+'Datos de Entrada'!Z$76)</f>
        <v>0</v>
      </c>
      <c r="BH73" s="16">
        <f>($C73*AB73)*(1+'Datos de Entrada'!AA$76)</f>
        <v>0</v>
      </c>
      <c r="BI73" s="16">
        <f>($C73*AC73)*(1+'Datos de Entrada'!AB$76)</f>
        <v>0</v>
      </c>
      <c r="BJ73" s="16">
        <f>($C73*AD73)*(1+'Datos de Entrada'!AC$76)</f>
        <v>0</v>
      </c>
      <c r="BK73" s="16">
        <f>($C73*AE73)*(1+'Datos de Entrada'!AD$76)</f>
        <v>0</v>
      </c>
      <c r="BL73" s="16">
        <f>($C73*AF73)*(1+'Datos de Entrada'!AE$76)</f>
        <v>0</v>
      </c>
      <c r="BM73" s="16">
        <f>($C73*AG73)*(1+'Datos de Entrada'!AF$76)</f>
        <v>0</v>
      </c>
      <c r="BN73" s="172">
        <f t="shared" si="11"/>
        <v>0</v>
      </c>
    </row>
    <row r="74" spans="1:67" ht="12.75" customHeight="1" x14ac:dyDescent="0.2">
      <c r="A74" s="18"/>
      <c r="B74" s="18"/>
      <c r="C74" s="19"/>
      <c r="D74" s="20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9"/>
      <c r="AJ74" s="16">
        <f>($C74*D74)*(1+'Datos de Entrada'!C$76)</f>
        <v>0</v>
      </c>
      <c r="AK74" s="16">
        <f>($C74*E74)*(1+'Datos de Entrada'!D$76)</f>
        <v>0</v>
      </c>
      <c r="AL74" s="16">
        <f>($C74*F74)*(1+'Datos de Entrada'!E$76)</f>
        <v>0</v>
      </c>
      <c r="AM74" s="16">
        <f>($C74*G74)*(1+'Datos de Entrada'!F$76)</f>
        <v>0</v>
      </c>
      <c r="AN74" s="16">
        <f>($C74*H74)*(1+'Datos de Entrada'!G$76)</f>
        <v>0</v>
      </c>
      <c r="AO74" s="16">
        <f>($C74*I74)*(1+'Datos de Entrada'!H$76)</f>
        <v>0</v>
      </c>
      <c r="AP74" s="16">
        <f>($C74*J74)*(1+'Datos de Entrada'!I$76)</f>
        <v>0</v>
      </c>
      <c r="AQ74" s="16">
        <f>($C74*K74)*(1+'Datos de Entrada'!J$76)</f>
        <v>0</v>
      </c>
      <c r="AR74" s="16">
        <f>($C74*L74)*(1+'Datos de Entrada'!K$76)</f>
        <v>0</v>
      </c>
      <c r="AS74" s="16">
        <f>($C74*M74)*(1+'Datos de Entrada'!L$76)</f>
        <v>0</v>
      </c>
      <c r="AT74" s="16">
        <f>($C74*N74)*(1+'Datos de Entrada'!M$76)</f>
        <v>0</v>
      </c>
      <c r="AU74" s="16">
        <f>($C74*O74)*(1+'Datos de Entrada'!N$76)</f>
        <v>0</v>
      </c>
      <c r="AV74" s="16">
        <f>($C74*P74)*(1+'Datos de Entrada'!O$76)</f>
        <v>0</v>
      </c>
      <c r="AW74" s="16">
        <f>($C74*Q74)*(1+'Datos de Entrada'!P$76)</f>
        <v>0</v>
      </c>
      <c r="AX74" s="16">
        <f>($C74*R74)*(1+'Datos de Entrada'!Q$76)</f>
        <v>0</v>
      </c>
      <c r="AY74" s="16">
        <f>($C74*S74)*(1+'Datos de Entrada'!R$76)</f>
        <v>0</v>
      </c>
      <c r="AZ74" s="16">
        <f>($C74*T74)*(1+'Datos de Entrada'!S$76)</f>
        <v>0</v>
      </c>
      <c r="BA74" s="16">
        <f>($C74*U74)*(1+'Datos de Entrada'!T$76)</f>
        <v>0</v>
      </c>
      <c r="BB74" s="16">
        <f>($C74*V74)*(1+'Datos de Entrada'!U$76)</f>
        <v>0</v>
      </c>
      <c r="BC74" s="16">
        <f>($C74*W74)*(1+'Datos de Entrada'!V$76)</f>
        <v>0</v>
      </c>
      <c r="BD74" s="16">
        <f>($C74*X74)*(1+'Datos de Entrada'!W$76)</f>
        <v>0</v>
      </c>
      <c r="BE74" s="16">
        <f>($C74*Y74)*(1+'Datos de Entrada'!X$76)</f>
        <v>0</v>
      </c>
      <c r="BF74" s="16">
        <f>($C74*Z74)*(1+'Datos de Entrada'!Y$76)</f>
        <v>0</v>
      </c>
      <c r="BG74" s="16">
        <f>($C74*AA74)*(1+'Datos de Entrada'!Z$76)</f>
        <v>0</v>
      </c>
      <c r="BH74" s="16">
        <f>($C74*AB74)*(1+'Datos de Entrada'!AA$76)</f>
        <v>0</v>
      </c>
      <c r="BI74" s="16">
        <f>($C74*AC74)*(1+'Datos de Entrada'!AB$76)</f>
        <v>0</v>
      </c>
      <c r="BJ74" s="16">
        <f>($C74*AD74)*(1+'Datos de Entrada'!AC$76)</f>
        <v>0</v>
      </c>
      <c r="BK74" s="16">
        <f>($C74*AE74)*(1+'Datos de Entrada'!AD$76)</f>
        <v>0</v>
      </c>
      <c r="BL74" s="16">
        <f>($C74*AF74)*(1+'Datos de Entrada'!AE$76)</f>
        <v>0</v>
      </c>
      <c r="BM74" s="16">
        <f>($C74*AG74)*(1+'Datos de Entrada'!AF$76)</f>
        <v>0</v>
      </c>
      <c r="BN74" s="172">
        <f t="shared" si="11"/>
        <v>0</v>
      </c>
    </row>
    <row r="75" spans="1:67" ht="12.75" customHeight="1" x14ac:dyDescent="0.2">
      <c r="A75" s="31" t="s">
        <v>81</v>
      </c>
      <c r="B75" s="31"/>
      <c r="C75" s="31"/>
      <c r="D75" s="32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">
        <f>SUM(AJ75:BM75)</f>
        <v>1235322107.4779472</v>
      </c>
      <c r="AI75" s="31"/>
      <c r="AJ75" s="33">
        <f>SUM(AJ76:AJ103)</f>
        <v>90284827.732834458</v>
      </c>
      <c r="AK75" s="33">
        <f>SUM(AK76:AK103)</f>
        <v>90271742.786553755</v>
      </c>
      <c r="AL75" s="33">
        <f t="shared" ref="AL75:BL75" si="12">SUM(AL76:AL103)</f>
        <v>94314879.711178079</v>
      </c>
      <c r="AM75" s="33">
        <f t="shared" si="12"/>
        <v>21321656.054560315</v>
      </c>
      <c r="AN75" s="33">
        <f t="shared" si="12"/>
        <v>101295744.46557817</v>
      </c>
      <c r="AO75" s="33">
        <f t="shared" si="12"/>
        <v>6382028.1226661019</v>
      </c>
      <c r="AP75" s="33">
        <f t="shared" si="12"/>
        <v>93299578.118145838</v>
      </c>
      <c r="AQ75" s="33">
        <f t="shared" si="12"/>
        <v>7003844.7304413216</v>
      </c>
      <c r="AR75" s="33">
        <f t="shared" si="12"/>
        <v>7339779.7202780172</v>
      </c>
      <c r="AS75" s="33">
        <f t="shared" si="12"/>
        <v>107365924.06706598</v>
      </c>
      <c r="AT75" s="33">
        <f t="shared" si="12"/>
        <v>8061715.3563845996</v>
      </c>
      <c r="AU75" s="33">
        <f t="shared" si="12"/>
        <v>8447337.9452418629</v>
      </c>
      <c r="AV75" s="33">
        <f t="shared" si="12"/>
        <v>8848888.1093810815</v>
      </c>
      <c r="AW75" s="33">
        <f t="shared" si="12"/>
        <v>9265761.8942473996</v>
      </c>
      <c r="AX75" s="33">
        <f t="shared" si="12"/>
        <v>9697153.5535523929</v>
      </c>
      <c r="AY75" s="33">
        <f t="shared" si="12"/>
        <v>10142035.769279245</v>
      </c>
      <c r="AZ75" s="33">
        <f t="shared" si="12"/>
        <v>10599140.56352306</v>
      </c>
      <c r="BA75" s="33">
        <f t="shared" si="12"/>
        <v>11066941.428923801</v>
      </c>
      <c r="BB75" s="33">
        <f t="shared" si="12"/>
        <v>11543637.274872288</v>
      </c>
      <c r="BC75" s="33">
        <f t="shared" si="12"/>
        <v>167866691.62268263</v>
      </c>
      <c r="BD75" s="33">
        <f t="shared" si="12"/>
        <v>12515058.379917862</v>
      </c>
      <c r="BE75" s="33">
        <f t="shared" si="12"/>
        <v>13004703.133426417</v>
      </c>
      <c r="BF75" s="33">
        <f t="shared" si="12"/>
        <v>13493073.803954124</v>
      </c>
      <c r="BG75" s="33">
        <f t="shared" si="12"/>
        <v>13976868.422593515</v>
      </c>
      <c r="BH75" s="33">
        <f t="shared" si="12"/>
        <v>14452492.646416031</v>
      </c>
      <c r="BI75" s="33">
        <f t="shared" si="12"/>
        <v>14916077.147515303</v>
      </c>
      <c r="BJ75" s="33">
        <f t="shared" si="12"/>
        <v>15363502.767941166</v>
      </c>
      <c r="BK75" s="33">
        <f t="shared" si="12"/>
        <v>15790433.984273255</v>
      </c>
      <c r="BL75" s="33">
        <f t="shared" si="12"/>
        <v>16192361.066015046</v>
      </c>
      <c r="BM75" s="33">
        <f>SUM(BM76:BM103)</f>
        <v>231198227.0985041</v>
      </c>
      <c r="BN75" s="34"/>
      <c r="BO75" s="34"/>
    </row>
    <row r="76" spans="1:67" s="197" customFormat="1" ht="12.75" customHeight="1" x14ac:dyDescent="0.2">
      <c r="A76" s="190" t="s">
        <v>82</v>
      </c>
      <c r="B76" s="190" t="s">
        <v>83</v>
      </c>
      <c r="C76" s="195"/>
      <c r="D76" s="196">
        <v>2</v>
      </c>
      <c r="E76" s="190">
        <v>1</v>
      </c>
      <c r="F76" s="190">
        <v>1</v>
      </c>
      <c r="G76" s="190">
        <v>1</v>
      </c>
      <c r="H76" s="190">
        <v>1</v>
      </c>
      <c r="I76" s="190">
        <v>1</v>
      </c>
      <c r="J76" s="190">
        <v>1</v>
      </c>
      <c r="K76" s="190">
        <v>1</v>
      </c>
      <c r="L76" s="190">
        <v>1</v>
      </c>
      <c r="M76" s="190">
        <v>1</v>
      </c>
      <c r="N76" s="190">
        <v>1</v>
      </c>
      <c r="O76" s="190">
        <v>1</v>
      </c>
      <c r="P76" s="190">
        <v>1</v>
      </c>
      <c r="Q76" s="190">
        <v>1</v>
      </c>
      <c r="R76" s="190">
        <v>1</v>
      </c>
      <c r="S76" s="190">
        <v>1</v>
      </c>
      <c r="T76" s="190">
        <v>1</v>
      </c>
      <c r="U76" s="190">
        <v>1</v>
      </c>
      <c r="V76" s="190">
        <v>1</v>
      </c>
      <c r="W76" s="190">
        <v>1</v>
      </c>
      <c r="X76" s="190">
        <v>1</v>
      </c>
      <c r="Y76" s="190">
        <v>1</v>
      </c>
      <c r="Z76" s="190">
        <v>1</v>
      </c>
      <c r="AA76" s="190">
        <v>1</v>
      </c>
      <c r="AB76" s="190">
        <v>1</v>
      </c>
      <c r="AC76" s="190">
        <v>1</v>
      </c>
      <c r="AD76" s="190">
        <v>1</v>
      </c>
      <c r="AE76" s="190">
        <v>1</v>
      </c>
      <c r="AF76" s="190">
        <v>1</v>
      </c>
      <c r="AG76" s="190">
        <v>1</v>
      </c>
      <c r="AH76" s="190">
        <f>AH75/AH105</f>
        <v>0.10508689116391789</v>
      </c>
      <c r="AI76" s="190"/>
      <c r="AJ76" s="186">
        <f>($C76*D76)*(1+'Datos de Entrada'!C$76)</f>
        <v>0</v>
      </c>
      <c r="AK76" s="186">
        <f>($C76*E76)*(1+'Datos de Entrada'!D$76)</f>
        <v>0</v>
      </c>
      <c r="AL76" s="186">
        <f>($C76*F76)*(1+'Datos de Entrada'!E$76)</f>
        <v>0</v>
      </c>
      <c r="AM76" s="186">
        <f>($C76*G76)*(1+'Datos de Entrada'!F$76)</f>
        <v>0</v>
      </c>
      <c r="AN76" s="186">
        <f>($C76*H76)*(1+'Datos de Entrada'!G$76)</f>
        <v>0</v>
      </c>
      <c r="AO76" s="186">
        <f>($C76*I76)*(1+'Datos de Entrada'!H$76)</f>
        <v>0</v>
      </c>
      <c r="AP76" s="186">
        <f>($C76*J76)*(1+'Datos de Entrada'!I$76)</f>
        <v>0</v>
      </c>
      <c r="AQ76" s="186">
        <f>($C76*K76)*(1+'Datos de Entrada'!J$76)</f>
        <v>0</v>
      </c>
      <c r="AR76" s="186">
        <f>($C76*L76)*(1+'Datos de Entrada'!K$76)</f>
        <v>0</v>
      </c>
      <c r="AS76" s="186">
        <f>($C76*M76)*(1+'Datos de Entrada'!L$76)</f>
        <v>0</v>
      </c>
      <c r="AT76" s="186">
        <f>($C76*N76)*(1+'Datos de Entrada'!M$76)</f>
        <v>0</v>
      </c>
      <c r="AU76" s="186">
        <f>($C76*O76)*(1+'Datos de Entrada'!N$76)</f>
        <v>0</v>
      </c>
      <c r="AV76" s="186">
        <f>($C76*P76)*(1+'Datos de Entrada'!O$76)</f>
        <v>0</v>
      </c>
      <c r="AW76" s="186">
        <f>($C76*Q76)*(1+'Datos de Entrada'!P$76)</f>
        <v>0</v>
      </c>
      <c r="AX76" s="186">
        <f>($C76*R76)*(1+'Datos de Entrada'!Q$76)</f>
        <v>0</v>
      </c>
      <c r="AY76" s="186">
        <f>($C76*S76)*(1+'Datos de Entrada'!R$76)</f>
        <v>0</v>
      </c>
      <c r="AZ76" s="186">
        <f>($C76*T76)*(1+'Datos de Entrada'!S$76)</f>
        <v>0</v>
      </c>
      <c r="BA76" s="186">
        <f>($C76*U76)*(1+'Datos de Entrada'!T$76)</f>
        <v>0</v>
      </c>
      <c r="BB76" s="186">
        <f>($C76*V76)*(1+'Datos de Entrada'!U$76)</f>
        <v>0</v>
      </c>
      <c r="BC76" s="186">
        <f>($C76*W76)*(1+'Datos de Entrada'!V$76)</f>
        <v>0</v>
      </c>
      <c r="BD76" s="186">
        <f>($C76*X76)*(1+'Datos de Entrada'!W$76)</f>
        <v>0</v>
      </c>
      <c r="BE76" s="186">
        <f>($C76*Y76)*(1+'Datos de Entrada'!X$76)</f>
        <v>0</v>
      </c>
      <c r="BF76" s="186">
        <f>($C76*Z76)*(1+'Datos de Entrada'!Y$76)</f>
        <v>0</v>
      </c>
      <c r="BG76" s="186">
        <f>($C76*AA76)*(1+'Datos de Entrada'!Z$76)</f>
        <v>0</v>
      </c>
      <c r="BH76" s="186">
        <f>($C76*AB76)*(1+'Datos de Entrada'!AA$76)</f>
        <v>0</v>
      </c>
      <c r="BI76" s="186">
        <f>($C76*AC76)*(1+'Datos de Entrada'!AB$76)</f>
        <v>0</v>
      </c>
      <c r="BJ76" s="186">
        <f>($C76*AD76)*(1+'Datos de Entrada'!AC$76)</f>
        <v>0</v>
      </c>
      <c r="BK76" s="186">
        <f>($C76*AE76)*(1+'Datos de Entrada'!AD$76)</f>
        <v>0</v>
      </c>
      <c r="BL76" s="186">
        <f>($C76*AF76)*(1+'Datos de Entrada'!AE$76)</f>
        <v>0</v>
      </c>
      <c r="BM76" s="186">
        <f>($C76*AG76)*(1+'Datos de Entrada'!AF$76)</f>
        <v>0</v>
      </c>
      <c r="BN76" s="186">
        <f t="shared" si="11"/>
        <v>0</v>
      </c>
    </row>
    <row r="77" spans="1:67" s="197" customFormat="1" ht="12.75" customHeight="1" x14ac:dyDescent="0.2">
      <c r="A77" s="205" t="s">
        <v>84</v>
      </c>
      <c r="B77" s="190" t="s">
        <v>39</v>
      </c>
      <c r="C77" s="195">
        <f>'Datos de Entrada'!H47*(1+'Datos de Entrada'!C45)*'Datos de Entrada'!C17</f>
        <v>130662.54174032605</v>
      </c>
      <c r="D77" s="196">
        <v>20</v>
      </c>
      <c r="E77" s="190">
        <v>15</v>
      </c>
      <c r="F77" s="190">
        <v>15</v>
      </c>
      <c r="G77" s="190">
        <v>15</v>
      </c>
      <c r="H77" s="190">
        <v>15</v>
      </c>
      <c r="I77" s="190">
        <v>15</v>
      </c>
      <c r="J77" s="190">
        <v>15</v>
      </c>
      <c r="K77" s="190">
        <v>15</v>
      </c>
      <c r="L77" s="190">
        <v>15</v>
      </c>
      <c r="M77" s="190">
        <v>15</v>
      </c>
      <c r="N77" s="190">
        <v>15</v>
      </c>
      <c r="O77" s="190">
        <v>15</v>
      </c>
      <c r="P77" s="190">
        <v>15</v>
      </c>
      <c r="Q77" s="190">
        <v>15</v>
      </c>
      <c r="R77" s="190">
        <v>15</v>
      </c>
      <c r="S77" s="190">
        <v>15</v>
      </c>
      <c r="T77" s="190">
        <v>15</v>
      </c>
      <c r="U77" s="190">
        <v>15</v>
      </c>
      <c r="V77" s="190">
        <v>15</v>
      </c>
      <c r="W77" s="190">
        <v>15</v>
      </c>
      <c r="X77" s="190">
        <v>15</v>
      </c>
      <c r="Y77" s="190">
        <v>15</v>
      </c>
      <c r="Z77" s="190">
        <v>15</v>
      </c>
      <c r="AA77" s="190">
        <v>15</v>
      </c>
      <c r="AB77" s="190">
        <v>15</v>
      </c>
      <c r="AC77" s="190">
        <v>15</v>
      </c>
      <c r="AD77" s="190">
        <v>15</v>
      </c>
      <c r="AE77" s="190">
        <v>15</v>
      </c>
      <c r="AF77" s="190">
        <v>15</v>
      </c>
      <c r="AG77" s="190">
        <v>15</v>
      </c>
      <c r="AH77" s="190"/>
      <c r="AI77" s="190"/>
      <c r="AJ77" s="186">
        <f>($C77*D77)*(1+'Datos de Entrada'!C$76)</f>
        <v>2613250.834806521</v>
      </c>
      <c r="AK77" s="186">
        <f>($C77*E77)*(1+'Datos de Entrada'!D$76)</f>
        <v>2045810.2050154302</v>
      </c>
      <c r="AL77" s="186">
        <f>($C77*F77)*(1+'Datos de Entrada'!E$76)</f>
        <v>2137438.9974297849</v>
      </c>
      <c r="AM77" s="186">
        <f>($C77*G77)*(1+'Datos de Entrada'!F$76)</f>
        <v>2234983.2878432586</v>
      </c>
      <c r="AN77" s="186">
        <f>($C77*H77)*(1+'Datos de Entrada'!G$76)</f>
        <v>2338588.8669867553</v>
      </c>
      <c r="AO77" s="186">
        <f>($C77*I77)*(1+'Datos de Entrada'!H$76)</f>
        <v>2448383.9015799835</v>
      </c>
      <c r="AP77" s="186">
        <f>($C77*J77)*(1+'Datos de Entrada'!I$76)</f>
        <v>2564473.8521634256</v>
      </c>
      <c r="AQ77" s="186">
        <f>($C77*K77)*(1+'Datos de Entrada'!J$76)</f>
        <v>2686935.9328386481</v>
      </c>
      <c r="AR77" s="186">
        <f>($C77*L77)*(1+'Datos de Entrada'!K$76)</f>
        <v>2815813.1181604206</v>
      </c>
      <c r="AS77" s="186">
        <f>($C77*M77)*(1+'Datos de Entrada'!L$76)</f>
        <v>2951107.7159930291</v>
      </c>
      <c r="AT77" s="186">
        <f>($C77*N77)*(1+'Datos de Entrada'!M$76)</f>
        <v>3092774.540994429</v>
      </c>
      <c r="AU77" s="186">
        <f>($C77*O77)*(1+'Datos de Entrada'!N$76)</f>
        <v>3240713.7415896938</v>
      </c>
      <c r="AV77" s="186">
        <f>($C77*P77)*(1+'Datos de Entrada'!O$76)</f>
        <v>3394763.3538224506</v>
      </c>
      <c r="AW77" s="186">
        <f>($C77*Q77)*(1+'Datos de Entrada'!P$76)</f>
        <v>3554691.6782108154</v>
      </c>
      <c r="AX77" s="186">
        <f>($C77*R77)*(1+'Datos de Entrada'!Q$76)</f>
        <v>3720189.6004413725</v>
      </c>
      <c r="AY77" s="186">
        <f>($C77*S77)*(1+'Datos de Entrada'!R$76)</f>
        <v>3890863.0030257888</v>
      </c>
      <c r="AZ77" s="186">
        <f>($C77*T77)*(1+'Datos de Entrada'!S$76)</f>
        <v>4066225.4423711756</v>
      </c>
      <c r="BA77" s="186">
        <f>($C77*U77)*(1+'Datos de Entrada'!T$76)</f>
        <v>4245691.2933480097</v>
      </c>
      <c r="BB77" s="186">
        <f>($C77*V77)*(1+'Datos de Entrada'!U$76)</f>
        <v>4428569.5904562902</v>
      </c>
      <c r="BC77" s="186">
        <f>($C77*W77)*(1+'Datos de Entrada'!V$76)</f>
        <v>4614058.8199704271</v>
      </c>
      <c r="BD77" s="186">
        <f>($C77*X77)*(1+'Datos de Entrada'!W$76)</f>
        <v>4801242.939669773</v>
      </c>
      <c r="BE77" s="186">
        <f>($C77*Y77)*(1+'Datos de Entrada'!X$76)</f>
        <v>4989088.920436562</v>
      </c>
      <c r="BF77" s="186">
        <f>($C77*Z77)*(1+'Datos de Entrada'!Y$76)</f>
        <v>5176446.1154757394</v>
      </c>
      <c r="BG77" s="186">
        <f>($C77*AA77)*(1+'Datos de Entrada'!Z$76)</f>
        <v>5362047.7664212817</v>
      </c>
      <c r="BH77" s="186">
        <f>($C77*AB77)*(1+'Datos de Entrada'!AA$76)</f>
        <v>5544514.9493333576</v>
      </c>
      <c r="BI77" s="186">
        <f>($C77*AC77)*(1+'Datos de Entrada'!AB$76)</f>
        <v>5722363.2457835581</v>
      </c>
      <c r="BJ77" s="186">
        <f>($C77*AD77)*(1+'Datos de Entrada'!AC$76)</f>
        <v>5894012.393225342</v>
      </c>
      <c r="BK77" s="186">
        <f>($C77*AE77)*(1+'Datos de Entrada'!AD$76)</f>
        <v>6057799.1232519681</v>
      </c>
      <c r="BL77" s="186">
        <f>($C77*AF77)*(1+'Datos de Entrada'!AE$76)</f>
        <v>6211993.3351280708</v>
      </c>
      <c r="BM77" s="186">
        <f>($C77*AG77)*(1+'Datos de Entrada'!AF$76)</f>
        <v>6354817.6746293521</v>
      </c>
      <c r="BN77" s="186">
        <f t="shared" si="11"/>
        <v>119199654.24040271</v>
      </c>
    </row>
    <row r="78" spans="1:67" s="197" customFormat="1" ht="12.75" customHeight="1" x14ac:dyDescent="0.2">
      <c r="A78" s="205" t="s">
        <v>85</v>
      </c>
      <c r="B78" s="190" t="s">
        <v>39</v>
      </c>
      <c r="C78" s="195">
        <f>'Datos de Entrada'!H47*(1+'Datos de Entrada'!C45)*'Datos de Entrada'!C17</f>
        <v>130662.54174032605</v>
      </c>
      <c r="D78" s="196">
        <v>10</v>
      </c>
      <c r="E78" s="190">
        <v>5</v>
      </c>
      <c r="F78" s="190">
        <v>5</v>
      </c>
      <c r="G78" s="190">
        <v>5</v>
      </c>
      <c r="H78" s="190">
        <v>5</v>
      </c>
      <c r="I78" s="190">
        <v>5</v>
      </c>
      <c r="J78" s="190">
        <v>5</v>
      </c>
      <c r="K78" s="190">
        <v>5</v>
      </c>
      <c r="L78" s="190">
        <v>5</v>
      </c>
      <c r="M78" s="190">
        <v>5</v>
      </c>
      <c r="N78" s="190">
        <v>5</v>
      </c>
      <c r="O78" s="190">
        <v>5</v>
      </c>
      <c r="P78" s="190">
        <v>5</v>
      </c>
      <c r="Q78" s="190">
        <v>5</v>
      </c>
      <c r="R78" s="190">
        <v>5</v>
      </c>
      <c r="S78" s="190">
        <v>5</v>
      </c>
      <c r="T78" s="190">
        <v>5</v>
      </c>
      <c r="U78" s="190">
        <v>5</v>
      </c>
      <c r="V78" s="190">
        <v>5</v>
      </c>
      <c r="W78" s="190">
        <v>5</v>
      </c>
      <c r="X78" s="190">
        <v>5</v>
      </c>
      <c r="Y78" s="190">
        <v>5</v>
      </c>
      <c r="Z78" s="190">
        <v>5</v>
      </c>
      <c r="AA78" s="190">
        <v>5</v>
      </c>
      <c r="AB78" s="190">
        <v>5</v>
      </c>
      <c r="AC78" s="190">
        <v>5</v>
      </c>
      <c r="AD78" s="190">
        <v>5</v>
      </c>
      <c r="AE78" s="190">
        <v>5</v>
      </c>
      <c r="AF78" s="190">
        <v>5</v>
      </c>
      <c r="AG78" s="190">
        <v>5</v>
      </c>
      <c r="AH78" s="190"/>
      <c r="AI78" s="190"/>
      <c r="AJ78" s="186">
        <f>($C78*D78)*(1+'Datos de Entrada'!C$76)</f>
        <v>1306625.4174032605</v>
      </c>
      <c r="AK78" s="186">
        <f>($C78*E78)*(1+'Datos de Entrada'!D$76)</f>
        <v>681936.73500514333</v>
      </c>
      <c r="AL78" s="186">
        <f>($C78*F78)*(1+'Datos de Entrada'!E$76)</f>
        <v>712479.66580992832</v>
      </c>
      <c r="AM78" s="186">
        <f>($C78*G78)*(1+'Datos de Entrada'!F$76)</f>
        <v>744994.42928108608</v>
      </c>
      <c r="AN78" s="186">
        <f>($C78*H78)*(1+'Datos de Entrada'!G$76)</f>
        <v>779529.62232891831</v>
      </c>
      <c r="AO78" s="186">
        <f>($C78*I78)*(1+'Datos de Entrada'!H$76)</f>
        <v>816127.96719332773</v>
      </c>
      <c r="AP78" s="186">
        <f>($C78*J78)*(1+'Datos de Entrada'!I$76)</f>
        <v>854824.61738780839</v>
      </c>
      <c r="AQ78" s="186">
        <f>($C78*K78)*(1+'Datos de Entrada'!J$76)</f>
        <v>895645.31094621599</v>
      </c>
      <c r="AR78" s="186">
        <f>($C78*L78)*(1+'Datos de Entrada'!K$76)</f>
        <v>938604.37272014015</v>
      </c>
      <c r="AS78" s="186">
        <f>($C78*M78)*(1+'Datos de Entrada'!L$76)</f>
        <v>983702.57199767628</v>
      </c>
      <c r="AT78" s="186">
        <f>($C78*N78)*(1+'Datos de Entrada'!M$76)</f>
        <v>1030924.8469981429</v>
      </c>
      <c r="AU78" s="186">
        <f>($C78*O78)*(1+'Datos de Entrada'!N$76)</f>
        <v>1080237.9138632312</v>
      </c>
      <c r="AV78" s="186">
        <f>($C78*P78)*(1+'Datos de Entrada'!O$76)</f>
        <v>1131587.7846074835</v>
      </c>
      <c r="AW78" s="186">
        <f>($C78*Q78)*(1+'Datos de Entrada'!P$76)</f>
        <v>1184897.2260702718</v>
      </c>
      <c r="AX78" s="186">
        <f>($C78*R78)*(1+'Datos de Entrada'!Q$76)</f>
        <v>1240063.200147124</v>
      </c>
      <c r="AY78" s="186">
        <f>($C78*S78)*(1+'Datos de Entrada'!R$76)</f>
        <v>1296954.3343419295</v>
      </c>
      <c r="AZ78" s="186">
        <f>($C78*T78)*(1+'Datos de Entrada'!S$76)</f>
        <v>1355408.4807903918</v>
      </c>
      <c r="BA78" s="186">
        <f>($C78*U78)*(1+'Datos de Entrada'!T$76)</f>
        <v>1415230.4311160031</v>
      </c>
      <c r="BB78" s="186">
        <f>($C78*V78)*(1+'Datos de Entrada'!U$76)</f>
        <v>1476189.8634854299</v>
      </c>
      <c r="BC78" s="186">
        <f>($C78*W78)*(1+'Datos de Entrada'!V$76)</f>
        <v>1538019.6066568091</v>
      </c>
      <c r="BD78" s="186">
        <f>($C78*X78)*(1+'Datos de Entrada'!W$76)</f>
        <v>1600414.3132232577</v>
      </c>
      <c r="BE78" s="186">
        <f>($C78*Y78)*(1+'Datos de Entrada'!X$76)</f>
        <v>1663029.6401455204</v>
      </c>
      <c r="BF78" s="186">
        <f>($C78*Z78)*(1+'Datos de Entrada'!Y$76)</f>
        <v>1725482.0384919129</v>
      </c>
      <c r="BG78" s="186">
        <f>($C78*AA78)*(1+'Datos de Entrada'!Z$76)</f>
        <v>1787349.2554737607</v>
      </c>
      <c r="BH78" s="186">
        <f>($C78*AB78)*(1+'Datos de Entrada'!AA$76)</f>
        <v>1848171.6497777856</v>
      </c>
      <c r="BI78" s="186">
        <f>($C78*AC78)*(1+'Datos de Entrada'!AB$76)</f>
        <v>1907454.415261186</v>
      </c>
      <c r="BJ78" s="186">
        <f>($C78*AD78)*(1+'Datos de Entrada'!AC$76)</f>
        <v>1964670.7977417805</v>
      </c>
      <c r="BK78" s="186">
        <f>($C78*AE78)*(1+'Datos de Entrada'!AD$76)</f>
        <v>2019266.3744173227</v>
      </c>
      <c r="BL78" s="186">
        <f>($C78*AF78)*(1+'Datos de Entrada'!AE$76)</f>
        <v>2070664.44504269</v>
      </c>
      <c r="BM78" s="186">
        <f>($C78*AG78)*(1+'Datos de Entrada'!AF$76)</f>
        <v>2118272.5582097839</v>
      </c>
      <c r="BN78" s="186">
        <f t="shared" si="11"/>
        <v>40168759.885935321</v>
      </c>
    </row>
    <row r="79" spans="1:67" s="197" customFormat="1" ht="12.75" customHeight="1" x14ac:dyDescent="0.2">
      <c r="A79" s="205" t="s">
        <v>20</v>
      </c>
      <c r="B79" s="190" t="s">
        <v>39</v>
      </c>
      <c r="C79" s="195">
        <f>C32*'Datos de Entrada'!C17</f>
        <v>136122.56923983502</v>
      </c>
      <c r="D79" s="196">
        <v>10</v>
      </c>
      <c r="E79" s="190">
        <v>5</v>
      </c>
      <c r="F79" s="190">
        <v>5</v>
      </c>
      <c r="G79" s="190">
        <v>5</v>
      </c>
      <c r="H79" s="190">
        <v>5</v>
      </c>
      <c r="I79" s="190">
        <v>5</v>
      </c>
      <c r="J79" s="190">
        <v>5</v>
      </c>
      <c r="K79" s="190">
        <v>5</v>
      </c>
      <c r="L79" s="190">
        <v>5</v>
      </c>
      <c r="M79" s="190">
        <v>5</v>
      </c>
      <c r="N79" s="190">
        <v>5</v>
      </c>
      <c r="O79" s="190">
        <v>5</v>
      </c>
      <c r="P79" s="190">
        <v>5</v>
      </c>
      <c r="Q79" s="190">
        <v>5</v>
      </c>
      <c r="R79" s="190">
        <v>5</v>
      </c>
      <c r="S79" s="190">
        <v>5</v>
      </c>
      <c r="T79" s="190">
        <v>5</v>
      </c>
      <c r="U79" s="190">
        <v>5</v>
      </c>
      <c r="V79" s="190">
        <v>5</v>
      </c>
      <c r="W79" s="190">
        <v>5</v>
      </c>
      <c r="X79" s="190">
        <v>5</v>
      </c>
      <c r="Y79" s="190">
        <v>5</v>
      </c>
      <c r="Z79" s="190">
        <v>5</v>
      </c>
      <c r="AA79" s="190">
        <v>5</v>
      </c>
      <c r="AB79" s="190">
        <v>5</v>
      </c>
      <c r="AC79" s="190">
        <v>5</v>
      </c>
      <c r="AD79" s="190">
        <v>5</v>
      </c>
      <c r="AE79" s="190">
        <v>5</v>
      </c>
      <c r="AF79" s="190">
        <v>5</v>
      </c>
      <c r="AG79" s="190">
        <v>5</v>
      </c>
      <c r="AH79" s="190"/>
      <c r="AI79" s="190"/>
      <c r="AJ79" s="186">
        <f>($C79*D79)*(1+'Datos de Entrada'!C$76)</f>
        <v>1361225.6923983502</v>
      </c>
      <c r="AK79" s="186">
        <f>($C79*E79)*(1+'Datos de Entrada'!D$76)</f>
        <v>710432.99167106056</v>
      </c>
      <c r="AL79" s="186">
        <f>($C79*F79)*(1+'Datos de Entrada'!E$76)</f>
        <v>742252.22737462167</v>
      </c>
      <c r="AM79" s="186">
        <f>($C79*G79)*(1+'Datos de Entrada'!F$76)</f>
        <v>776125.69319710345</v>
      </c>
      <c r="AN79" s="186">
        <f>($C79*H79)*(1+'Datos de Entrada'!G$76)</f>
        <v>812104.0167797507</v>
      </c>
      <c r="AO79" s="186">
        <f>($C79*I79)*(1+'Datos de Entrada'!H$76)</f>
        <v>850231.70560712484</v>
      </c>
      <c r="AP79" s="186">
        <f>($C79*J79)*(1+'Datos de Entrada'!I$76)</f>
        <v>890545.38216116198</v>
      </c>
      <c r="AQ79" s="186">
        <f>($C79*K79)*(1+'Datos de Entrada'!J$76)</f>
        <v>933071.85999721568</v>
      </c>
      <c r="AR79" s="186">
        <f>($C79*L79)*(1+'Datos de Entrada'!K$76)</f>
        <v>977826.06256294297</v>
      </c>
      <c r="AS79" s="186">
        <f>($C79*M79)*(1+'Datos de Entrada'!L$76)</f>
        <v>1024808.7912928683</v>
      </c>
      <c r="AT79" s="186">
        <f>($C79*N79)*(1+'Datos de Entrada'!M$76)</f>
        <v>1074004.3550160076</v>
      </c>
      <c r="AU79" s="186">
        <f>($C79*O79)*(1+'Datos de Entrada'!N$76)</f>
        <v>1125378.0790333468</v>
      </c>
      <c r="AV79" s="186">
        <f>($C79*P79)*(1+'Datos de Entrada'!O$76)</f>
        <v>1178873.7193503131</v>
      </c>
      <c r="AW79" s="186">
        <f>($C79*Q79)*(1+'Datos de Entrada'!P$76)</f>
        <v>1234410.8154453582</v>
      </c>
      <c r="AX79" s="186">
        <f>($C79*R79)*(1+'Datos de Entrada'!Q$76)</f>
        <v>1291882.0235356083</v>
      </c>
      <c r="AY79" s="186">
        <f>($C79*S79)*(1+'Datos de Entrada'!R$76)</f>
        <v>1351150.4814304167</v>
      </c>
      <c r="AZ79" s="186">
        <f>($C79*T79)*(1+'Datos de Entrada'!S$76)</f>
        <v>1412047.2655531345</v>
      </c>
      <c r="BA79" s="186">
        <f>($C79*U79)*(1+'Datos de Entrada'!T$76)</f>
        <v>1474369.0103072152</v>
      </c>
      <c r="BB79" s="186">
        <f>($C79*V79)*(1+'Datos de Entrada'!U$76)</f>
        <v>1537875.769344701</v>
      </c>
      <c r="BC79" s="186">
        <f>($C79*W79)*(1+'Datos de Entrada'!V$76)</f>
        <v>1602289.2070738841</v>
      </c>
      <c r="BD79" s="186">
        <f>($C79*X79)*(1+'Datos de Entrada'!W$76)</f>
        <v>1667291.2164613176</v>
      </c>
      <c r="BE79" s="186">
        <f>($C79*Y79)*(1+'Datos de Entrada'!X$76)</f>
        <v>1732523.0653211817</v>
      </c>
      <c r="BF79" s="186">
        <f>($C79*Z79)*(1+'Datos de Entrada'!Y$76)</f>
        <v>1797585.177269038</v>
      </c>
      <c r="BG79" s="186">
        <f>($C79*AA79)*(1+'Datos de Entrada'!Z$76)</f>
        <v>1862037.6547359475</v>
      </c>
      <c r="BH79" s="186">
        <f>($C79*AB79)*(1+'Datos de Entrada'!AA$76)</f>
        <v>1925401.6492649699</v>
      </c>
      <c r="BI79" s="186">
        <f>($C79*AC79)*(1+'Datos de Entrada'!AB$76)</f>
        <v>1987161.6781283342</v>
      </c>
      <c r="BJ79" s="186">
        <f>($C79*AD79)*(1+'Datos de Entrada'!AC$76)</f>
        <v>2046768.9755383758</v>
      </c>
      <c r="BK79" s="186">
        <f>($C79*AE79)*(1+'Datos de Entrada'!AD$76)</f>
        <v>2103645.9508919907</v>
      </c>
      <c r="BL79" s="186">
        <f>($C79*AF79)*(1+'Datos de Entrada'!AE$76)</f>
        <v>2157191.8052302599</v>
      </c>
      <c r="BM79" s="186">
        <f>($C79*AG79)*(1+'Datos de Entrada'!AF$76)</f>
        <v>2206789.3302335991</v>
      </c>
      <c r="BN79" s="186">
        <f t="shared" si="11"/>
        <v>41847301.652207196</v>
      </c>
    </row>
    <row r="80" spans="1:67" s="197" customFormat="1" ht="12.75" customHeight="1" x14ac:dyDescent="0.2">
      <c r="A80" s="205" t="s">
        <v>76</v>
      </c>
      <c r="B80" s="190" t="s">
        <v>39</v>
      </c>
      <c r="C80" s="195">
        <f>'Equipos y Herramientas'!C21*'Datos de Entrada'!C17</f>
        <v>362993.51797289337</v>
      </c>
      <c r="D80" s="196">
        <v>10</v>
      </c>
      <c r="E80" s="190">
        <v>5</v>
      </c>
      <c r="F80" s="190">
        <v>5</v>
      </c>
      <c r="G80" s="190">
        <v>5</v>
      </c>
      <c r="H80" s="190">
        <v>5</v>
      </c>
      <c r="I80" s="190">
        <v>5</v>
      </c>
      <c r="J80" s="190">
        <v>5</v>
      </c>
      <c r="K80" s="190">
        <v>5</v>
      </c>
      <c r="L80" s="190">
        <v>5</v>
      </c>
      <c r="M80" s="190">
        <v>5</v>
      </c>
      <c r="N80" s="190">
        <v>5</v>
      </c>
      <c r="O80" s="190">
        <v>5</v>
      </c>
      <c r="P80" s="190">
        <v>5</v>
      </c>
      <c r="Q80" s="190">
        <v>5</v>
      </c>
      <c r="R80" s="190">
        <v>5</v>
      </c>
      <c r="S80" s="190">
        <v>5</v>
      </c>
      <c r="T80" s="190">
        <v>5</v>
      </c>
      <c r="U80" s="190">
        <v>5</v>
      </c>
      <c r="V80" s="190">
        <v>5</v>
      </c>
      <c r="W80" s="190">
        <v>5</v>
      </c>
      <c r="X80" s="190">
        <v>5</v>
      </c>
      <c r="Y80" s="190">
        <v>5</v>
      </c>
      <c r="Z80" s="190">
        <v>5</v>
      </c>
      <c r="AA80" s="190">
        <v>5</v>
      </c>
      <c r="AB80" s="190">
        <v>5</v>
      </c>
      <c r="AC80" s="190">
        <v>5</v>
      </c>
      <c r="AD80" s="190">
        <v>5</v>
      </c>
      <c r="AE80" s="190">
        <v>5</v>
      </c>
      <c r="AF80" s="190">
        <v>5</v>
      </c>
      <c r="AG80" s="190">
        <v>5</v>
      </c>
      <c r="AH80" s="190"/>
      <c r="AI80" s="190"/>
      <c r="AJ80" s="186">
        <f>($C80*D80)*(1+'Datos de Entrada'!C$76)</f>
        <v>3629935.1797289336</v>
      </c>
      <c r="AK80" s="186">
        <f>($C80*E80)*(1+'Datos de Entrada'!D$76)</f>
        <v>1894487.9777894947</v>
      </c>
      <c r="AL80" s="186">
        <f>($C80*F80)*(1+'Datos de Entrada'!E$76)</f>
        <v>1979339.2729989907</v>
      </c>
      <c r="AM80" s="186">
        <f>($C80*G80)*(1+'Datos de Entrada'!F$76)</f>
        <v>2069668.5151922756</v>
      </c>
      <c r="AN80" s="186">
        <f>($C80*H80)*(1+'Datos de Entrada'!G$76)</f>
        <v>2165610.7114126687</v>
      </c>
      <c r="AO80" s="186">
        <f>($C80*I80)*(1+'Datos de Entrada'!H$76)</f>
        <v>2267284.5482856664</v>
      </c>
      <c r="AP80" s="186">
        <f>($C80*J80)*(1+'Datos de Entrada'!I$76)</f>
        <v>2374787.6857630983</v>
      </c>
      <c r="AQ80" s="186">
        <f>($C80*K80)*(1+'Datos de Entrada'!J$76)</f>
        <v>2488191.6266592415</v>
      </c>
      <c r="AR80" s="186">
        <f>($C80*L80)*(1+'Datos de Entrada'!K$76)</f>
        <v>2607536.1668345141</v>
      </c>
      <c r="AS80" s="186">
        <f>($C80*M80)*(1+'Datos de Entrada'!L$76)</f>
        <v>2732823.4434476485</v>
      </c>
      <c r="AT80" s="186">
        <f>($C80*N80)*(1+'Datos de Entrada'!M$76)</f>
        <v>2864011.61337602</v>
      </c>
      <c r="AU80" s="186">
        <f>($C80*O80)*(1+'Datos de Entrada'!N$76)</f>
        <v>3001008.2107555913</v>
      </c>
      <c r="AV80" s="186">
        <f>($C80*P80)*(1+'Datos de Entrada'!O$76)</f>
        <v>3143663.2516008341</v>
      </c>
      <c r="AW80" s="186">
        <f>($C80*Q80)*(1+'Datos de Entrada'!P$76)</f>
        <v>3291762.174520955</v>
      </c>
      <c r="AX80" s="186">
        <f>($C80*R80)*(1+'Datos de Entrada'!Q$76)</f>
        <v>3445018.7294282885</v>
      </c>
      <c r="AY80" s="186">
        <f>($C80*S80)*(1+'Datos de Entrada'!R$76)</f>
        <v>3603067.9504811107</v>
      </c>
      <c r="AZ80" s="186">
        <f>($C80*T80)*(1+'Datos de Entrada'!S$76)</f>
        <v>3765459.3748083585</v>
      </c>
      <c r="BA80" s="186">
        <f>($C80*U80)*(1+'Datos de Entrada'!T$76)</f>
        <v>3931650.6941525736</v>
      </c>
      <c r="BB80" s="186">
        <f>($C80*V80)*(1+'Datos de Entrada'!U$76)</f>
        <v>4101002.0515858689</v>
      </c>
      <c r="BC80" s="186">
        <f>($C80*W80)*(1+'Datos de Entrada'!V$76)</f>
        <v>4272771.2188636903</v>
      </c>
      <c r="BD80" s="186">
        <f>($C80*X80)*(1+'Datos de Entrada'!W$76)</f>
        <v>4446109.9105635136</v>
      </c>
      <c r="BE80" s="186">
        <f>($C80*Y80)*(1+'Datos de Entrada'!X$76)</f>
        <v>4620061.5075231511</v>
      </c>
      <c r="BF80" s="186">
        <f>($C80*Z80)*(1+'Datos de Entrada'!Y$76)</f>
        <v>4793560.4727174342</v>
      </c>
      <c r="BG80" s="186">
        <f>($C80*AA80)*(1+'Datos de Entrada'!Z$76)</f>
        <v>4965433.7459625257</v>
      </c>
      <c r="BH80" s="186">
        <f>($C80*AB80)*(1+'Datos de Entrada'!AA$76)</f>
        <v>5134404.3980399193</v>
      </c>
      <c r="BI80" s="186">
        <f>($C80*AC80)*(1+'Datos de Entrada'!AB$76)</f>
        <v>5299097.808342224</v>
      </c>
      <c r="BJ80" s="186">
        <f>($C80*AD80)*(1+'Datos de Entrada'!AC$76)</f>
        <v>5458050.6014356688</v>
      </c>
      <c r="BK80" s="186">
        <f>($C80*AE80)*(1+'Datos de Entrada'!AD$76)</f>
        <v>5609722.5357119748</v>
      </c>
      <c r="BL80" s="186">
        <f>($C80*AF80)*(1+'Datos de Entrada'!AE$76)</f>
        <v>5752511.4806140261</v>
      </c>
      <c r="BM80" s="186">
        <f>($C80*AG80)*(1+'Datos de Entrada'!AF$76)</f>
        <v>5884771.5472895969</v>
      </c>
      <c r="BN80" s="186">
        <f t="shared" si="11"/>
        <v>111592804.40588585</v>
      </c>
    </row>
    <row r="81" spans="1:67" ht="12.75" customHeight="1" x14ac:dyDescent="0.2">
      <c r="A81" s="35"/>
      <c r="B81" s="18"/>
      <c r="C81" s="19"/>
      <c r="D81" s="20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9"/>
      <c r="AJ81" s="16">
        <f>($C81*D81)*(1+'Datos de Entrada'!C$76)</f>
        <v>0</v>
      </c>
      <c r="AK81" s="16">
        <f>($C81*E81)*(1+'Datos de Entrada'!D$76)</f>
        <v>0</v>
      </c>
      <c r="AL81" s="16">
        <f>($C81*F81)*(1+'Datos de Entrada'!E$76)</f>
        <v>0</v>
      </c>
      <c r="AM81" s="16">
        <f>($C81*G81)*(1+'Datos de Entrada'!F$76)</f>
        <v>0</v>
      </c>
      <c r="AN81" s="16">
        <f>($C81*H81)*(1+'Datos de Entrada'!G$76)</f>
        <v>0</v>
      </c>
      <c r="AO81" s="16">
        <f>($C81*I81)*(1+'Datos de Entrada'!H$76)</f>
        <v>0</v>
      </c>
      <c r="AP81" s="16">
        <f>($C81*J81)*(1+'Datos de Entrada'!I$76)</f>
        <v>0</v>
      </c>
      <c r="AQ81" s="16">
        <f>($C81*K81)*(1+'Datos de Entrada'!J$76)</f>
        <v>0</v>
      </c>
      <c r="AR81" s="16">
        <f>($C81*L81)*(1+'Datos de Entrada'!K$76)</f>
        <v>0</v>
      </c>
      <c r="AS81" s="16">
        <f>($C81*M81)*(1+'Datos de Entrada'!L$76)</f>
        <v>0</v>
      </c>
      <c r="AT81" s="16">
        <f>($C81*N81)*(1+'Datos de Entrada'!M$76)</f>
        <v>0</v>
      </c>
      <c r="AU81" s="16">
        <f>($C81*O81)*(1+'Datos de Entrada'!N$76)</f>
        <v>0</v>
      </c>
      <c r="AV81" s="16">
        <f>($C81*P81)*(1+'Datos de Entrada'!O$76)</f>
        <v>0</v>
      </c>
      <c r="AW81" s="16">
        <f>($C81*Q81)*(1+'Datos de Entrada'!P$76)</f>
        <v>0</v>
      </c>
      <c r="AX81" s="16">
        <f>($C81*R81)*(1+'Datos de Entrada'!Q$76)</f>
        <v>0</v>
      </c>
      <c r="AY81" s="16">
        <f>($C81*S81)*(1+'Datos de Entrada'!R$76)</f>
        <v>0</v>
      </c>
      <c r="AZ81" s="16">
        <f>($C81*T81)*(1+'Datos de Entrada'!S$76)</f>
        <v>0</v>
      </c>
      <c r="BA81" s="16">
        <f>($C81*U81)*(1+'Datos de Entrada'!T$76)</f>
        <v>0</v>
      </c>
      <c r="BB81" s="16">
        <f>($C81*V81)*(1+'Datos de Entrada'!U$76)</f>
        <v>0</v>
      </c>
      <c r="BC81" s="16">
        <f>($C81*W81)*(1+'Datos de Entrada'!V$76)</f>
        <v>0</v>
      </c>
      <c r="BD81" s="16">
        <f>($C81*X81)*(1+'Datos de Entrada'!W$76)</f>
        <v>0</v>
      </c>
      <c r="BE81" s="16">
        <f>($C81*Y81)*(1+'Datos de Entrada'!X$76)</f>
        <v>0</v>
      </c>
      <c r="BF81" s="16">
        <f>($C81*Z81)*(1+'Datos de Entrada'!Y$76)</f>
        <v>0</v>
      </c>
      <c r="BG81" s="16">
        <f>($C81*AA81)*(1+'Datos de Entrada'!Z$76)</f>
        <v>0</v>
      </c>
      <c r="BH81" s="16">
        <f>($C81*AB81)*(1+'Datos de Entrada'!AA$76)</f>
        <v>0</v>
      </c>
      <c r="BI81" s="16">
        <f>($C81*AC81)*(1+'Datos de Entrada'!AB$76)</f>
        <v>0</v>
      </c>
      <c r="BJ81" s="16">
        <f>($C81*AD81)*(1+'Datos de Entrada'!AC$76)</f>
        <v>0</v>
      </c>
      <c r="BK81" s="16">
        <f>($C81*AE81)*(1+'Datos de Entrada'!AD$76)</f>
        <v>0</v>
      </c>
      <c r="BL81" s="16">
        <f>($C81*AF81)*(1+'Datos de Entrada'!AE$76)</f>
        <v>0</v>
      </c>
      <c r="BM81" s="16">
        <f>($C81*AG81)*(1+'Datos de Entrada'!AF$76)</f>
        <v>0</v>
      </c>
      <c r="BN81" s="172">
        <f t="shared" si="11"/>
        <v>0</v>
      </c>
    </row>
    <row r="82" spans="1:67" ht="12.75" customHeight="1" x14ac:dyDescent="0.2">
      <c r="A82" s="18"/>
      <c r="B82" s="18"/>
      <c r="C82" s="19"/>
      <c r="D82" s="20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9"/>
      <c r="AJ82" s="16">
        <f>($C82*D82)*(1+'Datos de Entrada'!C$76)</f>
        <v>0</v>
      </c>
      <c r="AK82" s="16">
        <f>($C82*E82)*(1+'Datos de Entrada'!D$76)</f>
        <v>0</v>
      </c>
      <c r="AL82" s="16">
        <f>($C82*F82)*(1+'Datos de Entrada'!E$76)</f>
        <v>0</v>
      </c>
      <c r="AM82" s="16">
        <f>($C82*G82)*(1+'Datos de Entrada'!F$76)</f>
        <v>0</v>
      </c>
      <c r="AN82" s="16">
        <f>($C82*H82)*(1+'Datos de Entrada'!G$76)</f>
        <v>0</v>
      </c>
      <c r="AO82" s="16">
        <f>($C82*I82)*(1+'Datos de Entrada'!H$76)</f>
        <v>0</v>
      </c>
      <c r="AP82" s="16">
        <f>($C82*J82)*(1+'Datos de Entrada'!I$76)</f>
        <v>0</v>
      </c>
      <c r="AQ82" s="16">
        <f>($C82*K82)*(1+'Datos de Entrada'!J$76)</f>
        <v>0</v>
      </c>
      <c r="AR82" s="16">
        <f>($C82*L82)*(1+'Datos de Entrada'!K$76)</f>
        <v>0</v>
      </c>
      <c r="AS82" s="16">
        <f>($C82*M82)*(1+'Datos de Entrada'!L$76)</f>
        <v>0</v>
      </c>
      <c r="AT82" s="16">
        <f>($C82*N82)*(1+'Datos de Entrada'!M$76)</f>
        <v>0</v>
      </c>
      <c r="AU82" s="16">
        <f>($C82*O82)*(1+'Datos de Entrada'!N$76)</f>
        <v>0</v>
      </c>
      <c r="AV82" s="16">
        <f>($C82*P82)*(1+'Datos de Entrada'!O$76)</f>
        <v>0</v>
      </c>
      <c r="AW82" s="16">
        <f>($C82*Q82)*(1+'Datos de Entrada'!P$76)</f>
        <v>0</v>
      </c>
      <c r="AX82" s="16">
        <f>($C82*R82)*(1+'Datos de Entrada'!Q$76)</f>
        <v>0</v>
      </c>
      <c r="AY82" s="16">
        <f>($C82*S82)*(1+'Datos de Entrada'!R$76)</f>
        <v>0</v>
      </c>
      <c r="AZ82" s="16">
        <f>($C82*T82)*(1+'Datos de Entrada'!S$76)</f>
        <v>0</v>
      </c>
      <c r="BA82" s="16">
        <f>($C82*U82)*(1+'Datos de Entrada'!T$76)</f>
        <v>0</v>
      </c>
      <c r="BB82" s="16">
        <f>($C82*V82)*(1+'Datos de Entrada'!U$76)</f>
        <v>0</v>
      </c>
      <c r="BC82" s="16">
        <f>($C82*W82)*(1+'Datos de Entrada'!V$76)</f>
        <v>0</v>
      </c>
      <c r="BD82" s="16">
        <f>($C82*X82)*(1+'Datos de Entrada'!W$76)</f>
        <v>0</v>
      </c>
      <c r="BE82" s="16">
        <f>($C82*Y82)*(1+'Datos de Entrada'!X$76)</f>
        <v>0</v>
      </c>
      <c r="BF82" s="16">
        <f>($C82*Z82)*(1+'Datos de Entrada'!Y$76)</f>
        <v>0</v>
      </c>
      <c r="BG82" s="16">
        <f>($C82*AA82)*(1+'Datos de Entrada'!Z$76)</f>
        <v>0</v>
      </c>
      <c r="BH82" s="16">
        <f>($C82*AB82)*(1+'Datos de Entrada'!AA$76)</f>
        <v>0</v>
      </c>
      <c r="BI82" s="16">
        <f>($C82*AC82)*(1+'Datos de Entrada'!AB$76)</f>
        <v>0</v>
      </c>
      <c r="BJ82" s="16">
        <f>($C82*AD82)*(1+'Datos de Entrada'!AC$76)</f>
        <v>0</v>
      </c>
      <c r="BK82" s="16">
        <f>($C82*AE82)*(1+'Datos de Entrada'!AD$76)</f>
        <v>0</v>
      </c>
      <c r="BL82" s="16">
        <f>($C82*AF82)*(1+'Datos de Entrada'!AE$76)</f>
        <v>0</v>
      </c>
      <c r="BM82" s="16">
        <f>($C82*AG82)*(1+'Datos de Entrada'!AF$76)</f>
        <v>0</v>
      </c>
      <c r="BN82" s="172">
        <f t="shared" si="11"/>
        <v>0</v>
      </c>
    </row>
    <row r="83" spans="1:67" ht="12.75" customHeight="1" x14ac:dyDescent="0.2">
      <c r="A83" s="19" t="s">
        <v>86</v>
      </c>
      <c r="B83" s="18" t="s">
        <v>83</v>
      </c>
      <c r="C83" s="19"/>
      <c r="D83" s="20">
        <v>2</v>
      </c>
      <c r="E83" s="18">
        <v>2</v>
      </c>
      <c r="F83" s="18">
        <v>2</v>
      </c>
      <c r="G83" s="18">
        <v>2</v>
      </c>
      <c r="H83" s="18">
        <v>2</v>
      </c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9"/>
      <c r="AJ83" s="16">
        <f>($C83*D83)*(1+'Datos de Entrada'!C$76)</f>
        <v>0</v>
      </c>
      <c r="AK83" s="16">
        <f>($C83*E83)*(1+'Datos de Entrada'!D$76)</f>
        <v>0</v>
      </c>
      <c r="AL83" s="16">
        <f>($C83*F83)*(1+'Datos de Entrada'!E$76)</f>
        <v>0</v>
      </c>
      <c r="AM83" s="16">
        <f>($C83*G83)*(1+'Datos de Entrada'!F$76)</f>
        <v>0</v>
      </c>
      <c r="AN83" s="16">
        <f>($C83*H83)*(1+'Datos de Entrada'!G$76)</f>
        <v>0</v>
      </c>
      <c r="AO83" s="16">
        <f>($C83*I83)*(1+'Datos de Entrada'!H$76)</f>
        <v>0</v>
      </c>
      <c r="AP83" s="16">
        <f>($C83*J83)*(1+'Datos de Entrada'!I$76)</f>
        <v>0</v>
      </c>
      <c r="AQ83" s="16">
        <f>($C83*K83)*(1+'Datos de Entrada'!J$76)</f>
        <v>0</v>
      </c>
      <c r="AR83" s="16">
        <f>($C83*L83)*(1+'Datos de Entrada'!K$76)</f>
        <v>0</v>
      </c>
      <c r="AS83" s="16">
        <f>($C83*M83)*(1+'Datos de Entrada'!L$76)</f>
        <v>0</v>
      </c>
      <c r="AT83" s="16">
        <f>($C83*N83)*(1+'Datos de Entrada'!M$76)</f>
        <v>0</v>
      </c>
      <c r="AU83" s="16">
        <f>($C83*O83)*(1+'Datos de Entrada'!N$76)</f>
        <v>0</v>
      </c>
      <c r="AV83" s="16">
        <f>($C83*P83)*(1+'Datos de Entrada'!O$76)</f>
        <v>0</v>
      </c>
      <c r="AW83" s="16">
        <f>($C83*Q83)*(1+'Datos de Entrada'!P$76)</f>
        <v>0</v>
      </c>
      <c r="AX83" s="16">
        <f>($C83*R83)*(1+'Datos de Entrada'!Q$76)</f>
        <v>0</v>
      </c>
      <c r="AY83" s="16">
        <f>($C83*S83)*(1+'Datos de Entrada'!R$76)</f>
        <v>0</v>
      </c>
      <c r="AZ83" s="16">
        <f>($C83*T83)*(1+'Datos de Entrada'!S$76)</f>
        <v>0</v>
      </c>
      <c r="BA83" s="16">
        <f>($C83*U83)*(1+'Datos de Entrada'!T$76)</f>
        <v>0</v>
      </c>
      <c r="BB83" s="16">
        <f>($C83*V83)*(1+'Datos de Entrada'!U$76)</f>
        <v>0</v>
      </c>
      <c r="BC83" s="16">
        <f>($C83*W83)*(1+'Datos de Entrada'!V$76)</f>
        <v>0</v>
      </c>
      <c r="BD83" s="16">
        <f>($C83*X83)*(1+'Datos de Entrada'!W$76)</f>
        <v>0</v>
      </c>
      <c r="BE83" s="16">
        <f>($C83*Y83)*(1+'Datos de Entrada'!X$76)</f>
        <v>0</v>
      </c>
      <c r="BF83" s="16">
        <f>($C83*Z83)*(1+'Datos de Entrada'!Y$76)</f>
        <v>0</v>
      </c>
      <c r="BG83" s="16">
        <f>($C83*AA83)*(1+'Datos de Entrada'!Z$76)</f>
        <v>0</v>
      </c>
      <c r="BH83" s="16">
        <f>($C83*AB83)*(1+'Datos de Entrada'!AA$76)</f>
        <v>0</v>
      </c>
      <c r="BI83" s="16">
        <f>($C83*AC83)*(1+'Datos de Entrada'!AB$76)</f>
        <v>0</v>
      </c>
      <c r="BJ83" s="16">
        <f>($C83*AD83)*(1+'Datos de Entrada'!AC$76)</f>
        <v>0</v>
      </c>
      <c r="BK83" s="16">
        <f>($C83*AE83)*(1+'Datos de Entrada'!AD$76)</f>
        <v>0</v>
      </c>
      <c r="BL83" s="16">
        <f>($C83*AF83)*(1+'Datos de Entrada'!AE$76)</f>
        <v>0</v>
      </c>
      <c r="BM83" s="16">
        <f>($C83*AG83)*(1+'Datos de Entrada'!AF$76)</f>
        <v>0</v>
      </c>
      <c r="BN83" s="172">
        <f t="shared" si="11"/>
        <v>0</v>
      </c>
    </row>
    <row r="84" spans="1:67" s="197" customFormat="1" ht="12.75" customHeight="1" x14ac:dyDescent="0.2">
      <c r="A84" s="205" t="s">
        <v>84</v>
      </c>
      <c r="B84" s="190" t="s">
        <v>39</v>
      </c>
      <c r="C84" s="195">
        <f>'Datos de Entrada'!H47*(1+'Datos de Entrada'!C45)*'Datos de Entrada'!C17*4</f>
        <v>522650.1669613042</v>
      </c>
      <c r="D84" s="196">
        <v>20</v>
      </c>
      <c r="E84" s="190">
        <v>20</v>
      </c>
      <c r="F84" s="190">
        <v>20</v>
      </c>
      <c r="G84" s="190">
        <v>20</v>
      </c>
      <c r="H84" s="190">
        <v>20</v>
      </c>
      <c r="I84" s="190"/>
      <c r="J84" s="190"/>
      <c r="K84" s="190"/>
      <c r="L84" s="190"/>
      <c r="M84" s="190"/>
      <c r="N84" s="190"/>
      <c r="O84" s="190"/>
      <c r="P84" s="190"/>
      <c r="Q84" s="190"/>
      <c r="R84" s="190"/>
      <c r="S84" s="190"/>
      <c r="T84" s="190"/>
      <c r="U84" s="190"/>
      <c r="V84" s="190"/>
      <c r="W84" s="190"/>
      <c r="X84" s="190"/>
      <c r="Y84" s="190"/>
      <c r="Z84" s="190"/>
      <c r="AA84" s="190"/>
      <c r="AB84" s="190"/>
      <c r="AC84" s="190"/>
      <c r="AD84" s="190"/>
      <c r="AE84" s="190"/>
      <c r="AF84" s="190"/>
      <c r="AG84" s="190"/>
      <c r="AH84" s="190"/>
      <c r="AI84" s="190"/>
      <c r="AJ84" s="186">
        <f>($C84*D84)*(1+'Datos de Entrada'!C$76)</f>
        <v>10453003.339226084</v>
      </c>
      <c r="AK84" s="186">
        <f>($C84*E84)*(1+'Datos de Entrada'!D$76)</f>
        <v>10910987.760082293</v>
      </c>
      <c r="AL84" s="186">
        <f>($C84*F84)*(1+'Datos de Entrada'!E$76)</f>
        <v>11399674.652958853</v>
      </c>
      <c r="AM84" s="186">
        <f>($C84*G84)*(1+'Datos de Entrada'!F$76)</f>
        <v>11919910.868497377</v>
      </c>
      <c r="AN84" s="186">
        <f>($C84*H84)*(1+'Datos de Entrada'!G$76)</f>
        <v>12472473.957262693</v>
      </c>
      <c r="AO84" s="186">
        <f>($C84*I84)*(1+'Datos de Entrada'!H$76)</f>
        <v>0</v>
      </c>
      <c r="AP84" s="186">
        <f>($C84*J84)*(1+'Datos de Entrada'!I$76)</f>
        <v>0</v>
      </c>
      <c r="AQ84" s="186">
        <f>($C84*K84)*(1+'Datos de Entrada'!J$76)</f>
        <v>0</v>
      </c>
      <c r="AR84" s="186">
        <f>($C84*L84)*(1+'Datos de Entrada'!K$76)</f>
        <v>0</v>
      </c>
      <c r="AS84" s="186">
        <f>($C84*M84)*(1+'Datos de Entrada'!L$76)</f>
        <v>0</v>
      </c>
      <c r="AT84" s="186">
        <f>($C84*N84)*(1+'Datos de Entrada'!M$76)</f>
        <v>0</v>
      </c>
      <c r="AU84" s="186">
        <f>($C84*O84)*(1+'Datos de Entrada'!N$76)</f>
        <v>0</v>
      </c>
      <c r="AV84" s="186">
        <f>($C84*P84)*(1+'Datos de Entrada'!O$76)</f>
        <v>0</v>
      </c>
      <c r="AW84" s="186">
        <f>($C84*Q84)*(1+'Datos de Entrada'!P$76)</f>
        <v>0</v>
      </c>
      <c r="AX84" s="186">
        <f>($C84*R84)*(1+'Datos de Entrada'!Q$76)</f>
        <v>0</v>
      </c>
      <c r="AY84" s="186">
        <f>($C84*S84)*(1+'Datos de Entrada'!R$76)</f>
        <v>0</v>
      </c>
      <c r="AZ84" s="186">
        <f>($C84*T84)*(1+'Datos de Entrada'!S$76)</f>
        <v>0</v>
      </c>
      <c r="BA84" s="186">
        <f>($C84*U84)*(1+'Datos de Entrada'!T$76)</f>
        <v>0</v>
      </c>
      <c r="BB84" s="186">
        <f>($C84*V84)*(1+'Datos de Entrada'!U$76)</f>
        <v>0</v>
      </c>
      <c r="BC84" s="186">
        <f>($C84*W84)*(1+'Datos de Entrada'!V$76)</f>
        <v>0</v>
      </c>
      <c r="BD84" s="186">
        <f>($C84*X84)*(1+'Datos de Entrada'!W$76)</f>
        <v>0</v>
      </c>
      <c r="BE84" s="186">
        <f>($C84*Y84)*(1+'Datos de Entrada'!X$76)</f>
        <v>0</v>
      </c>
      <c r="BF84" s="186">
        <f>($C84*Z84)*(1+'Datos de Entrada'!Y$76)</f>
        <v>0</v>
      </c>
      <c r="BG84" s="186">
        <f>($C84*AA84)*(1+'Datos de Entrada'!Z$76)</f>
        <v>0</v>
      </c>
      <c r="BH84" s="186">
        <f>($C84*AB84)*(1+'Datos de Entrada'!AA$76)</f>
        <v>0</v>
      </c>
      <c r="BI84" s="186">
        <f>($C84*AC84)*(1+'Datos de Entrada'!AB$76)</f>
        <v>0</v>
      </c>
      <c r="BJ84" s="186">
        <f>($C84*AD84)*(1+'Datos de Entrada'!AC$76)</f>
        <v>0</v>
      </c>
      <c r="BK84" s="186">
        <f>($C84*AE84)*(1+'Datos de Entrada'!AD$76)</f>
        <v>0</v>
      </c>
      <c r="BL84" s="186">
        <f>($C84*AF84)*(1+'Datos de Entrada'!AE$76)</f>
        <v>0</v>
      </c>
      <c r="BM84" s="186">
        <f>($C84*AG84)*(1+'Datos de Entrada'!AF$76)</f>
        <v>0</v>
      </c>
      <c r="BN84" s="186">
        <f t="shared" si="11"/>
        <v>57156050.578027308</v>
      </c>
    </row>
    <row r="85" spans="1:67" s="197" customFormat="1" ht="12.75" customHeight="1" x14ac:dyDescent="0.2">
      <c r="A85" s="205" t="s">
        <v>85</v>
      </c>
      <c r="B85" s="190" t="s">
        <v>39</v>
      </c>
      <c r="C85" s="195">
        <f>'Datos de Entrada'!H47*(1+'Datos de Entrada'!C45)*'Datos de Entrada'!C17*4</f>
        <v>522650.1669613042</v>
      </c>
      <c r="D85" s="196">
        <v>6</v>
      </c>
      <c r="E85" s="190">
        <v>6</v>
      </c>
      <c r="F85" s="190">
        <v>6</v>
      </c>
      <c r="G85" s="190">
        <v>6</v>
      </c>
      <c r="H85" s="190">
        <v>6</v>
      </c>
      <c r="I85" s="190"/>
      <c r="J85" s="190"/>
      <c r="K85" s="190"/>
      <c r="L85" s="190"/>
      <c r="M85" s="190"/>
      <c r="N85" s="190"/>
      <c r="O85" s="190"/>
      <c r="P85" s="190"/>
      <c r="Q85" s="190"/>
      <c r="R85" s="190"/>
      <c r="S85" s="190"/>
      <c r="T85" s="190"/>
      <c r="U85" s="190"/>
      <c r="V85" s="190"/>
      <c r="W85" s="190"/>
      <c r="X85" s="190"/>
      <c r="Y85" s="190"/>
      <c r="Z85" s="190"/>
      <c r="AA85" s="190"/>
      <c r="AB85" s="190"/>
      <c r="AC85" s="190"/>
      <c r="AD85" s="190"/>
      <c r="AE85" s="190"/>
      <c r="AF85" s="190"/>
      <c r="AG85" s="190"/>
      <c r="AH85" s="190"/>
      <c r="AI85" s="190"/>
      <c r="AJ85" s="186">
        <f>($C85*D85)*(1+'Datos de Entrada'!C$76)</f>
        <v>3135901.0017678253</v>
      </c>
      <c r="AK85" s="186">
        <f>($C85*E85)*(1+'Datos de Entrada'!D$76)</f>
        <v>3273296.3280246882</v>
      </c>
      <c r="AL85" s="186">
        <f>($C85*F85)*(1+'Datos de Entrada'!E$76)</f>
        <v>3419902.3958876561</v>
      </c>
      <c r="AM85" s="186">
        <f>($C85*G85)*(1+'Datos de Entrada'!F$76)</f>
        <v>3575973.2605492133</v>
      </c>
      <c r="AN85" s="186">
        <f>($C85*H85)*(1+'Datos de Entrada'!G$76)</f>
        <v>3741742.1871788083</v>
      </c>
      <c r="AO85" s="186">
        <f>($C85*I85)*(1+'Datos de Entrada'!H$76)</f>
        <v>0</v>
      </c>
      <c r="AP85" s="186">
        <f>($C85*J85)*(1+'Datos de Entrada'!I$76)</f>
        <v>0</v>
      </c>
      <c r="AQ85" s="186">
        <f>($C85*K85)*(1+'Datos de Entrada'!J$76)</f>
        <v>0</v>
      </c>
      <c r="AR85" s="186">
        <f>($C85*L85)*(1+'Datos de Entrada'!K$76)</f>
        <v>0</v>
      </c>
      <c r="AS85" s="186">
        <f>($C85*M85)*(1+'Datos de Entrada'!L$76)</f>
        <v>0</v>
      </c>
      <c r="AT85" s="186">
        <f>($C85*N85)*(1+'Datos de Entrada'!M$76)</f>
        <v>0</v>
      </c>
      <c r="AU85" s="186">
        <f>($C85*O85)*(1+'Datos de Entrada'!N$76)</f>
        <v>0</v>
      </c>
      <c r="AV85" s="186">
        <f>($C85*P85)*(1+'Datos de Entrada'!O$76)</f>
        <v>0</v>
      </c>
      <c r="AW85" s="186">
        <f>($C85*Q85)*(1+'Datos de Entrada'!P$76)</f>
        <v>0</v>
      </c>
      <c r="AX85" s="186">
        <f>($C85*R85)*(1+'Datos de Entrada'!Q$76)</f>
        <v>0</v>
      </c>
      <c r="AY85" s="186">
        <f>($C85*S85)*(1+'Datos de Entrada'!R$76)</f>
        <v>0</v>
      </c>
      <c r="AZ85" s="186">
        <f>($C85*T85)*(1+'Datos de Entrada'!S$76)</f>
        <v>0</v>
      </c>
      <c r="BA85" s="186">
        <f>($C85*U85)*(1+'Datos de Entrada'!T$76)</f>
        <v>0</v>
      </c>
      <c r="BB85" s="186">
        <f>($C85*V85)*(1+'Datos de Entrada'!U$76)</f>
        <v>0</v>
      </c>
      <c r="BC85" s="186">
        <f>($C85*W85)*(1+'Datos de Entrada'!V$76)</f>
        <v>0</v>
      </c>
      <c r="BD85" s="186">
        <f>($C85*X85)*(1+'Datos de Entrada'!W$76)</f>
        <v>0</v>
      </c>
      <c r="BE85" s="186">
        <f>($C85*Y85)*(1+'Datos de Entrada'!X$76)</f>
        <v>0</v>
      </c>
      <c r="BF85" s="186">
        <f>($C85*Z85)*(1+'Datos de Entrada'!Y$76)</f>
        <v>0</v>
      </c>
      <c r="BG85" s="186">
        <f>($C85*AA85)*(1+'Datos de Entrada'!Z$76)</f>
        <v>0</v>
      </c>
      <c r="BH85" s="186">
        <f>($C85*AB85)*(1+'Datos de Entrada'!AA$76)</f>
        <v>0</v>
      </c>
      <c r="BI85" s="186">
        <f>($C85*AC85)*(1+'Datos de Entrada'!AB$76)</f>
        <v>0</v>
      </c>
      <c r="BJ85" s="186">
        <f>($C85*AD85)*(1+'Datos de Entrada'!AC$76)</f>
        <v>0</v>
      </c>
      <c r="BK85" s="186">
        <f>($C85*AE85)*(1+'Datos de Entrada'!AD$76)</f>
        <v>0</v>
      </c>
      <c r="BL85" s="186">
        <f>($C85*AF85)*(1+'Datos de Entrada'!AE$76)</f>
        <v>0</v>
      </c>
      <c r="BM85" s="186">
        <f>($C85*AG85)*(1+'Datos de Entrada'!AF$76)</f>
        <v>0</v>
      </c>
      <c r="BN85" s="186">
        <f t="shared" si="11"/>
        <v>17146815.173408192</v>
      </c>
    </row>
    <row r="86" spans="1:67" ht="12.75" customHeight="1" x14ac:dyDescent="0.2">
      <c r="A86" s="19"/>
      <c r="B86" s="18"/>
      <c r="C86" s="19"/>
      <c r="D86" s="20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9"/>
      <c r="AJ86" s="16">
        <f>($C86*D86)*(1+'Datos de Entrada'!C$76)</f>
        <v>0</v>
      </c>
      <c r="AK86" s="16">
        <f>($C86*E86)*(1+'Datos de Entrada'!D$76)</f>
        <v>0</v>
      </c>
      <c r="AL86" s="16">
        <f>($C86*F86)*(1+'Datos de Entrada'!E$76)</f>
        <v>0</v>
      </c>
      <c r="AM86" s="16">
        <f>($C86*G86)*(1+'Datos de Entrada'!F$76)</f>
        <v>0</v>
      </c>
      <c r="AN86" s="16">
        <f>($C86*H86)*(1+'Datos de Entrada'!G$76)</f>
        <v>0</v>
      </c>
      <c r="AO86" s="16">
        <f>($C86*I86)*(1+'Datos de Entrada'!H$76)</f>
        <v>0</v>
      </c>
      <c r="AP86" s="16">
        <f>($C86*J86)*(1+'Datos de Entrada'!I$76)</f>
        <v>0</v>
      </c>
      <c r="AQ86" s="16">
        <f>($C86*K86)*(1+'Datos de Entrada'!J$76)</f>
        <v>0</v>
      </c>
      <c r="AR86" s="16">
        <f>($C86*L86)*(1+'Datos de Entrada'!K$76)</f>
        <v>0</v>
      </c>
      <c r="AS86" s="16">
        <f>($C86*M86)*(1+'Datos de Entrada'!L$76)</f>
        <v>0</v>
      </c>
      <c r="AT86" s="16">
        <f>($C86*N86)*(1+'Datos de Entrada'!M$76)</f>
        <v>0</v>
      </c>
      <c r="AU86" s="16">
        <f>($C86*O86)*(1+'Datos de Entrada'!N$76)</f>
        <v>0</v>
      </c>
      <c r="AV86" s="16">
        <f>($C86*P86)*(1+'Datos de Entrada'!O$76)</f>
        <v>0</v>
      </c>
      <c r="AW86" s="16">
        <f>($C86*Q86)*(1+'Datos de Entrada'!P$76)</f>
        <v>0</v>
      </c>
      <c r="AX86" s="16">
        <f>($C86*R86)*(1+'Datos de Entrada'!Q$76)</f>
        <v>0</v>
      </c>
      <c r="AY86" s="16">
        <f>($C86*S86)*(1+'Datos de Entrada'!R$76)</f>
        <v>0</v>
      </c>
      <c r="AZ86" s="16">
        <f>($C86*T86)*(1+'Datos de Entrada'!S$76)</f>
        <v>0</v>
      </c>
      <c r="BA86" s="16">
        <f>($C86*U86)*(1+'Datos de Entrada'!T$76)</f>
        <v>0</v>
      </c>
      <c r="BB86" s="16">
        <f>($C86*V86)*(1+'Datos de Entrada'!U$76)</f>
        <v>0</v>
      </c>
      <c r="BC86" s="16">
        <f>($C86*W86)*(1+'Datos de Entrada'!V$76)</f>
        <v>0</v>
      </c>
      <c r="BD86" s="16">
        <f>($C86*X86)*(1+'Datos de Entrada'!W$76)</f>
        <v>0</v>
      </c>
      <c r="BE86" s="16">
        <f>($C86*Y86)*(1+'Datos de Entrada'!X$76)</f>
        <v>0</v>
      </c>
      <c r="BF86" s="16">
        <f>($C86*Z86)*(1+'Datos de Entrada'!Y$76)</f>
        <v>0</v>
      </c>
      <c r="BG86" s="16">
        <f>($C86*AA86)*(1+'Datos de Entrada'!Z$76)</f>
        <v>0</v>
      </c>
      <c r="BH86" s="16">
        <f>($C86*AB86)*(1+'Datos de Entrada'!AA$76)</f>
        <v>0</v>
      </c>
      <c r="BI86" s="16">
        <f>($C86*AC86)*(1+'Datos de Entrada'!AB$76)</f>
        <v>0</v>
      </c>
      <c r="BJ86" s="16">
        <f>($C86*AD86)*(1+'Datos de Entrada'!AC$76)</f>
        <v>0</v>
      </c>
      <c r="BK86" s="16">
        <f>($C86*AE86)*(1+'Datos de Entrada'!AD$76)</f>
        <v>0</v>
      </c>
      <c r="BL86" s="16">
        <f>($C86*AF86)*(1+'Datos de Entrada'!AE$76)</f>
        <v>0</v>
      </c>
      <c r="BM86" s="16">
        <f>($C86*AG86)*(1+'Datos de Entrada'!AF$76)</f>
        <v>0</v>
      </c>
      <c r="BN86" s="172">
        <f t="shared" si="11"/>
        <v>0</v>
      </c>
    </row>
    <row r="87" spans="1:67" ht="12.75" customHeight="1" x14ac:dyDescent="0.2">
      <c r="A87" s="19"/>
      <c r="B87" s="18"/>
      <c r="C87" s="19"/>
      <c r="D87" s="20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9"/>
      <c r="AJ87" s="16">
        <f>($C87*D87)*(1+'Datos de Entrada'!C$76)</f>
        <v>0</v>
      </c>
      <c r="AK87" s="16">
        <f>($C87*E87)*(1+'Datos de Entrada'!D$76)</f>
        <v>0</v>
      </c>
      <c r="AL87" s="16">
        <f>($C87*F87)*(1+'Datos de Entrada'!E$76)</f>
        <v>0</v>
      </c>
      <c r="AM87" s="16">
        <f>($C87*G87)*(1+'Datos de Entrada'!F$76)</f>
        <v>0</v>
      </c>
      <c r="AN87" s="16">
        <f>($C87*H87)*(1+'Datos de Entrada'!G$76)</f>
        <v>0</v>
      </c>
      <c r="AO87" s="16">
        <f>($C87*I87)*(1+'Datos de Entrada'!H$76)</f>
        <v>0</v>
      </c>
      <c r="AP87" s="16">
        <f>($C87*J87)*(1+'Datos de Entrada'!I$76)</f>
        <v>0</v>
      </c>
      <c r="AQ87" s="16">
        <f>($C87*K87)*(1+'Datos de Entrada'!J$76)</f>
        <v>0</v>
      </c>
      <c r="AR87" s="16">
        <f>($C87*L87)*(1+'Datos de Entrada'!K$76)</f>
        <v>0</v>
      </c>
      <c r="AS87" s="16">
        <f>($C87*M87)*(1+'Datos de Entrada'!L$76)</f>
        <v>0</v>
      </c>
      <c r="AT87" s="16">
        <f>($C87*N87)*(1+'Datos de Entrada'!M$76)</f>
        <v>0</v>
      </c>
      <c r="AU87" s="16">
        <f>($C87*O87)*(1+'Datos de Entrada'!N$76)</f>
        <v>0</v>
      </c>
      <c r="AV87" s="16">
        <f>($C87*P87)*(1+'Datos de Entrada'!O$76)</f>
        <v>0</v>
      </c>
      <c r="AW87" s="16">
        <f>($C87*Q87)*(1+'Datos de Entrada'!P$76)</f>
        <v>0</v>
      </c>
      <c r="AX87" s="16">
        <f>($C87*R87)*(1+'Datos de Entrada'!Q$76)</f>
        <v>0</v>
      </c>
      <c r="AY87" s="16">
        <f>($C87*S87)*(1+'Datos de Entrada'!R$76)</f>
        <v>0</v>
      </c>
      <c r="AZ87" s="16">
        <f>($C87*T87)*(1+'Datos de Entrada'!S$76)</f>
        <v>0</v>
      </c>
      <c r="BA87" s="16">
        <f>($C87*U87)*(1+'Datos de Entrada'!T$76)</f>
        <v>0</v>
      </c>
      <c r="BB87" s="16">
        <f>($C87*V87)*(1+'Datos de Entrada'!U$76)</f>
        <v>0</v>
      </c>
      <c r="BC87" s="16">
        <f>($C87*W87)*(1+'Datos de Entrada'!V$76)</f>
        <v>0</v>
      </c>
      <c r="BD87" s="16">
        <f>($C87*X87)*(1+'Datos de Entrada'!W$76)</f>
        <v>0</v>
      </c>
      <c r="BE87" s="16">
        <f>($C87*Y87)*(1+'Datos de Entrada'!X$76)</f>
        <v>0</v>
      </c>
      <c r="BF87" s="16">
        <f>($C87*Z87)*(1+'Datos de Entrada'!Y$76)</f>
        <v>0</v>
      </c>
      <c r="BG87" s="16">
        <f>($C87*AA87)*(1+'Datos de Entrada'!Z$76)</f>
        <v>0</v>
      </c>
      <c r="BH87" s="16">
        <f>($C87*AB87)*(1+'Datos de Entrada'!AA$76)</f>
        <v>0</v>
      </c>
      <c r="BI87" s="16">
        <f>($C87*AC87)*(1+'Datos de Entrada'!AB$76)</f>
        <v>0</v>
      </c>
      <c r="BJ87" s="16">
        <f>($C87*AD87)*(1+'Datos de Entrada'!AC$76)</f>
        <v>0</v>
      </c>
      <c r="BK87" s="16">
        <f>($C87*AE87)*(1+'Datos de Entrada'!AD$76)</f>
        <v>0</v>
      </c>
      <c r="BL87" s="16">
        <f>($C87*AF87)*(1+'Datos de Entrada'!AE$76)</f>
        <v>0</v>
      </c>
      <c r="BM87" s="16">
        <f>($C87*AG87)*(1+'Datos de Entrada'!AF$76)</f>
        <v>0</v>
      </c>
      <c r="BN87" s="172">
        <f t="shared" si="11"/>
        <v>0</v>
      </c>
    </row>
    <row r="88" spans="1:67" ht="12.75" customHeight="1" x14ac:dyDescent="0.2">
      <c r="A88" s="19" t="s">
        <v>87</v>
      </c>
      <c r="B88" s="18" t="s">
        <v>83</v>
      </c>
      <c r="C88" s="19"/>
      <c r="D88" s="36">
        <v>1</v>
      </c>
      <c r="E88" s="37">
        <v>1</v>
      </c>
      <c r="F88" s="37">
        <v>1</v>
      </c>
      <c r="G88" s="37"/>
      <c r="H88" s="37">
        <v>1</v>
      </c>
      <c r="I88" s="37"/>
      <c r="J88" s="37">
        <v>1</v>
      </c>
      <c r="K88" s="37"/>
      <c r="L88" s="37"/>
      <c r="M88" s="37">
        <v>1</v>
      </c>
      <c r="N88" s="18"/>
      <c r="O88" s="18"/>
      <c r="P88" s="18"/>
      <c r="Q88" s="18"/>
      <c r="R88" s="18"/>
      <c r="S88" s="18"/>
      <c r="T88" s="18"/>
      <c r="U88" s="18"/>
      <c r="V88" s="18"/>
      <c r="W88" s="18">
        <v>1</v>
      </c>
      <c r="X88" s="18"/>
      <c r="Y88" s="18"/>
      <c r="Z88" s="18"/>
      <c r="AA88" s="18"/>
      <c r="AB88" s="18"/>
      <c r="AC88" s="18"/>
      <c r="AD88" s="18"/>
      <c r="AE88" s="18"/>
      <c r="AF88" s="18"/>
      <c r="AG88" s="37">
        <v>1</v>
      </c>
      <c r="AH88" s="18"/>
      <c r="AI88" s="9"/>
      <c r="AJ88" s="16">
        <f>($C88*D88)*(1+'Datos de Entrada'!C$76)</f>
        <v>0</v>
      </c>
      <c r="AK88" s="16">
        <f>($C88*E88)*(1+'Datos de Entrada'!D$76)</f>
        <v>0</v>
      </c>
      <c r="AL88" s="16">
        <f>($C88*F88)*(1+'Datos de Entrada'!E$76)</f>
        <v>0</v>
      </c>
      <c r="AM88" s="16">
        <f>($C88*G88)*(1+'Datos de Entrada'!F$76)</f>
        <v>0</v>
      </c>
      <c r="AN88" s="16">
        <f>($C88*H88)*(1+'Datos de Entrada'!G$76)</f>
        <v>0</v>
      </c>
      <c r="AO88" s="16">
        <f>($C88*I88)*(1+'Datos de Entrada'!H$76)</f>
        <v>0</v>
      </c>
      <c r="AP88" s="16">
        <f>($C88*J88)*(1+'Datos de Entrada'!I$76)</f>
        <v>0</v>
      </c>
      <c r="AQ88" s="16">
        <f>($C88*K88)*(1+'Datos de Entrada'!J$76)</f>
        <v>0</v>
      </c>
      <c r="AR88" s="16">
        <f>($C88*L88)*(1+'Datos de Entrada'!K$76)</f>
        <v>0</v>
      </c>
      <c r="AS88" s="16">
        <f>($C88*M88)*(1+'Datos de Entrada'!L$76)</f>
        <v>0</v>
      </c>
      <c r="AT88" s="16">
        <f>($C88*N88)*(1+'Datos de Entrada'!M$76)</f>
        <v>0</v>
      </c>
      <c r="AU88" s="16">
        <f>($C88*O88)*(1+'Datos de Entrada'!N$76)</f>
        <v>0</v>
      </c>
      <c r="AV88" s="16">
        <f>($C88*P88)*(1+'Datos de Entrada'!O$76)</f>
        <v>0</v>
      </c>
      <c r="AW88" s="16">
        <f>($C88*Q88)*(1+'Datos de Entrada'!P$76)</f>
        <v>0</v>
      </c>
      <c r="AX88" s="16">
        <f>($C88*R88)*(1+'Datos de Entrada'!Q$76)</f>
        <v>0</v>
      </c>
      <c r="AY88" s="16">
        <f>($C88*S88)*(1+'Datos de Entrada'!R$76)</f>
        <v>0</v>
      </c>
      <c r="AZ88" s="16">
        <f>($C88*T88)*(1+'Datos de Entrada'!S$76)</f>
        <v>0</v>
      </c>
      <c r="BA88" s="16">
        <f>($C88*U88)*(1+'Datos de Entrada'!T$76)</f>
        <v>0</v>
      </c>
      <c r="BB88" s="16">
        <f>($C88*V88)*(1+'Datos de Entrada'!U$76)</f>
        <v>0</v>
      </c>
      <c r="BC88" s="16">
        <f>($C88*W88)*(1+'Datos de Entrada'!V$76)</f>
        <v>0</v>
      </c>
      <c r="BD88" s="16">
        <f>($C88*X88)*(1+'Datos de Entrada'!W$76)</f>
        <v>0</v>
      </c>
      <c r="BE88" s="16">
        <f>($C88*Y88)*(1+'Datos de Entrada'!X$76)</f>
        <v>0</v>
      </c>
      <c r="BF88" s="16">
        <f>($C88*Z88)*(1+'Datos de Entrada'!Y$76)</f>
        <v>0</v>
      </c>
      <c r="BG88" s="16">
        <f>($C88*AA88)*(1+'Datos de Entrada'!Z$76)</f>
        <v>0</v>
      </c>
      <c r="BH88" s="16">
        <f>($C88*AB88)*(1+'Datos de Entrada'!AA$76)</f>
        <v>0</v>
      </c>
      <c r="BI88" s="16">
        <f>($C88*AC88)*(1+'Datos de Entrada'!AB$76)</f>
        <v>0</v>
      </c>
      <c r="BJ88" s="16">
        <f>($C88*AD88)*(1+'Datos de Entrada'!AC$76)</f>
        <v>0</v>
      </c>
      <c r="BK88" s="16">
        <f>($C88*AE88)*(1+'Datos de Entrada'!AD$76)</f>
        <v>0</v>
      </c>
      <c r="BL88" s="16">
        <f>($C88*AF88)*(1+'Datos de Entrada'!AE$76)</f>
        <v>0</v>
      </c>
      <c r="BM88" s="16">
        <f>($C88*AG88)*(1+'Datos de Entrada'!AF$76)</f>
        <v>0</v>
      </c>
      <c r="BN88" s="172">
        <f t="shared" si="11"/>
        <v>0</v>
      </c>
    </row>
    <row r="89" spans="1:67" s="197" customFormat="1" ht="12.75" customHeight="1" x14ac:dyDescent="0.2">
      <c r="A89" s="205" t="s">
        <v>73</v>
      </c>
      <c r="B89" s="190" t="s">
        <v>39</v>
      </c>
      <c r="C89" s="195">
        <f>'Datos de Entrada'!H47*(1+'Datos de Entrada'!C45)*'Datos de Entrada'!C17</f>
        <v>130662.54174032605</v>
      </c>
      <c r="D89" s="206">
        <v>30</v>
      </c>
      <c r="E89" s="206">
        <v>30</v>
      </c>
      <c r="F89" s="207">
        <v>30</v>
      </c>
      <c r="G89" s="208"/>
      <c r="H89" s="207">
        <v>30</v>
      </c>
      <c r="I89" s="208"/>
      <c r="J89" s="207">
        <v>30</v>
      </c>
      <c r="K89" s="208"/>
      <c r="L89" s="208"/>
      <c r="M89" s="207">
        <v>30</v>
      </c>
      <c r="N89" s="190"/>
      <c r="O89" s="190"/>
      <c r="P89" s="190"/>
      <c r="Q89" s="190"/>
      <c r="R89" s="198"/>
      <c r="S89" s="190"/>
      <c r="T89" s="190"/>
      <c r="U89" s="190"/>
      <c r="V89" s="190"/>
      <c r="W89" s="206">
        <v>30</v>
      </c>
      <c r="X89" s="190"/>
      <c r="Y89" s="190"/>
      <c r="Z89" s="190"/>
      <c r="AA89" s="190"/>
      <c r="AB89" s="198"/>
      <c r="AC89" s="190"/>
      <c r="AD89" s="190"/>
      <c r="AE89" s="190"/>
      <c r="AF89" s="190"/>
      <c r="AG89" s="207">
        <v>30</v>
      </c>
      <c r="AH89" s="190"/>
      <c r="AI89" s="190"/>
      <c r="AJ89" s="186">
        <f>($C89*D89)*(1+'Datos de Entrada'!C$76)</f>
        <v>3919876.2522097817</v>
      </c>
      <c r="AK89" s="186">
        <f>($C89*E89)*(1+'Datos de Entrada'!D$76)</f>
        <v>4091620.4100308605</v>
      </c>
      <c r="AL89" s="186">
        <f>($C89*F89)*(1+'Datos de Entrada'!E$76)</f>
        <v>4274877.9948595697</v>
      </c>
      <c r="AM89" s="186">
        <f>($C89*G89)*(1+'Datos de Entrada'!F$76)</f>
        <v>0</v>
      </c>
      <c r="AN89" s="186">
        <f>($C89*H89)*(1+'Datos de Entrada'!G$76)</f>
        <v>4677177.7339735106</v>
      </c>
      <c r="AO89" s="186">
        <f>($C89*I89)*(1+'Datos de Entrada'!H$76)</f>
        <v>0</v>
      </c>
      <c r="AP89" s="186">
        <f>($C89*J89)*(1+'Datos de Entrada'!I$76)</f>
        <v>5128947.7043268513</v>
      </c>
      <c r="AQ89" s="186">
        <f>($C89*K89)*(1+'Datos de Entrada'!J$76)</f>
        <v>0</v>
      </c>
      <c r="AR89" s="186">
        <f>($C89*L89)*(1+'Datos de Entrada'!K$76)</f>
        <v>0</v>
      </c>
      <c r="AS89" s="186">
        <f>($C89*M89)*(1+'Datos de Entrada'!L$76)</f>
        <v>5902215.4319860581</v>
      </c>
      <c r="AT89" s="186">
        <f>($C89*N89)*(1+'Datos de Entrada'!M$76)</f>
        <v>0</v>
      </c>
      <c r="AU89" s="186">
        <f>($C89*O89)*(1+'Datos de Entrada'!N$76)</f>
        <v>0</v>
      </c>
      <c r="AV89" s="186">
        <f>($C89*P89)*(1+'Datos de Entrada'!O$76)</f>
        <v>0</v>
      </c>
      <c r="AW89" s="186">
        <f>($C89*Q89)*(1+'Datos de Entrada'!P$76)</f>
        <v>0</v>
      </c>
      <c r="AX89" s="186">
        <f>($C89*R89)*(1+'Datos de Entrada'!Q$76)</f>
        <v>0</v>
      </c>
      <c r="AY89" s="186">
        <f>($C89*S89)*(1+'Datos de Entrada'!R$76)</f>
        <v>0</v>
      </c>
      <c r="AZ89" s="186">
        <f>($C89*T89)*(1+'Datos de Entrada'!S$76)</f>
        <v>0</v>
      </c>
      <c r="BA89" s="186">
        <f>($C89*U89)*(1+'Datos de Entrada'!T$76)</f>
        <v>0</v>
      </c>
      <c r="BB89" s="186">
        <f>($C89*V89)*(1+'Datos de Entrada'!U$76)</f>
        <v>0</v>
      </c>
      <c r="BC89" s="186">
        <f>($C89*W89)*(1+'Datos de Entrada'!V$76)</f>
        <v>9228117.6399408542</v>
      </c>
      <c r="BD89" s="186">
        <f>($C89*X89)*(1+'Datos de Entrada'!W$76)</f>
        <v>0</v>
      </c>
      <c r="BE89" s="186">
        <f>($C89*Y89)*(1+'Datos de Entrada'!X$76)</f>
        <v>0</v>
      </c>
      <c r="BF89" s="186">
        <f>($C89*Z89)*(1+'Datos de Entrada'!Y$76)</f>
        <v>0</v>
      </c>
      <c r="BG89" s="186">
        <f>($C89*AA89)*(1+'Datos de Entrada'!Z$76)</f>
        <v>0</v>
      </c>
      <c r="BH89" s="186">
        <f>($C89*AB89)*(1+'Datos de Entrada'!AA$76)</f>
        <v>0</v>
      </c>
      <c r="BI89" s="186">
        <f>($C89*AC89)*(1+'Datos de Entrada'!AB$76)</f>
        <v>0</v>
      </c>
      <c r="BJ89" s="186">
        <f>($C89*AD89)*(1+'Datos de Entrada'!AC$76)</f>
        <v>0</v>
      </c>
      <c r="BK89" s="186">
        <f>($C89*AE89)*(1+'Datos de Entrada'!AD$76)</f>
        <v>0</v>
      </c>
      <c r="BL89" s="186">
        <f>($C89*AF89)*(1+'Datos de Entrada'!AE$76)</f>
        <v>0</v>
      </c>
      <c r="BM89" s="186">
        <f>($C89*AG89)*(1+'Datos de Entrada'!AF$76)</f>
        <v>12709635.349258704</v>
      </c>
      <c r="BN89" s="186">
        <f t="shared" si="11"/>
        <v>49932468.516586185</v>
      </c>
    </row>
    <row r="90" spans="1:67" s="197" customFormat="1" ht="12.75" customHeight="1" x14ac:dyDescent="0.2">
      <c r="A90" s="205" t="s">
        <v>88</v>
      </c>
      <c r="B90" s="190" t="s">
        <v>39</v>
      </c>
      <c r="C90" s="195">
        <f>'Datos de Entrada'!H47*(1+'Datos de Entrada'!C45)*'Datos de Entrada'!C17</f>
        <v>130662.54174032605</v>
      </c>
      <c r="D90" s="206">
        <v>30</v>
      </c>
      <c r="E90" s="206">
        <v>30</v>
      </c>
      <c r="F90" s="208">
        <v>30</v>
      </c>
      <c r="G90" s="208"/>
      <c r="H90" s="208">
        <v>30</v>
      </c>
      <c r="I90" s="208"/>
      <c r="J90" s="208">
        <v>30</v>
      </c>
      <c r="K90" s="208"/>
      <c r="L90" s="208"/>
      <c r="M90" s="208">
        <v>30</v>
      </c>
      <c r="N90" s="190"/>
      <c r="O90" s="190"/>
      <c r="P90" s="190"/>
      <c r="Q90" s="190"/>
      <c r="R90" s="190"/>
      <c r="S90" s="190"/>
      <c r="T90" s="190"/>
      <c r="U90" s="190"/>
      <c r="V90" s="190"/>
      <c r="W90" s="206">
        <v>30</v>
      </c>
      <c r="X90" s="190"/>
      <c r="Y90" s="190"/>
      <c r="Z90" s="190"/>
      <c r="AA90" s="190"/>
      <c r="AB90" s="190"/>
      <c r="AC90" s="190"/>
      <c r="AD90" s="190"/>
      <c r="AE90" s="190"/>
      <c r="AF90" s="190"/>
      <c r="AG90" s="208">
        <v>30</v>
      </c>
      <c r="AH90" s="190"/>
      <c r="AI90" s="190"/>
      <c r="AJ90" s="186">
        <f>($C90*D90)*(1+'Datos de Entrada'!C$76)</f>
        <v>3919876.2522097817</v>
      </c>
      <c r="AK90" s="186">
        <f>($C90*E90)*(1+'Datos de Entrada'!D$76)</f>
        <v>4091620.4100308605</v>
      </c>
      <c r="AL90" s="186">
        <f>($C90*F90)*(1+'Datos de Entrada'!E$76)</f>
        <v>4274877.9948595697</v>
      </c>
      <c r="AM90" s="186">
        <f>($C90*G90)*(1+'Datos de Entrada'!F$76)</f>
        <v>0</v>
      </c>
      <c r="AN90" s="186">
        <f>($C90*H90)*(1+'Datos de Entrada'!G$76)</f>
        <v>4677177.7339735106</v>
      </c>
      <c r="AO90" s="186">
        <f>($C90*I90)*(1+'Datos de Entrada'!H$76)</f>
        <v>0</v>
      </c>
      <c r="AP90" s="186">
        <f>($C90*J90)*(1+'Datos de Entrada'!I$76)</f>
        <v>5128947.7043268513</v>
      </c>
      <c r="AQ90" s="186">
        <f>($C90*K90)*(1+'Datos de Entrada'!J$76)</f>
        <v>0</v>
      </c>
      <c r="AR90" s="186">
        <f>($C90*L90)*(1+'Datos de Entrada'!K$76)</f>
        <v>0</v>
      </c>
      <c r="AS90" s="186">
        <f>($C90*M90)*(1+'Datos de Entrada'!L$76)</f>
        <v>5902215.4319860581</v>
      </c>
      <c r="AT90" s="186">
        <f>($C90*N90)*(1+'Datos de Entrada'!M$76)</f>
        <v>0</v>
      </c>
      <c r="AU90" s="186">
        <f>($C90*O90)*(1+'Datos de Entrada'!N$76)</f>
        <v>0</v>
      </c>
      <c r="AV90" s="186">
        <f>($C90*P90)*(1+'Datos de Entrada'!O$76)</f>
        <v>0</v>
      </c>
      <c r="AW90" s="186">
        <f>($C90*Q90)*(1+'Datos de Entrada'!P$76)</f>
        <v>0</v>
      </c>
      <c r="AX90" s="186">
        <f>($C90*R90)*(1+'Datos de Entrada'!Q$76)</f>
        <v>0</v>
      </c>
      <c r="AY90" s="186">
        <f>($C90*S90)*(1+'Datos de Entrada'!R$76)</f>
        <v>0</v>
      </c>
      <c r="AZ90" s="186">
        <f>($C90*T90)*(1+'Datos de Entrada'!S$76)</f>
        <v>0</v>
      </c>
      <c r="BA90" s="186">
        <f>($C90*U90)*(1+'Datos de Entrada'!T$76)</f>
        <v>0</v>
      </c>
      <c r="BB90" s="186">
        <f>($C90*V90)*(1+'Datos de Entrada'!U$76)</f>
        <v>0</v>
      </c>
      <c r="BC90" s="186">
        <f>($C90*W90)*(1+'Datos de Entrada'!V$76)</f>
        <v>9228117.6399408542</v>
      </c>
      <c r="BD90" s="186">
        <f>($C90*X90)*(1+'Datos de Entrada'!W$76)</f>
        <v>0</v>
      </c>
      <c r="BE90" s="186">
        <f>($C90*Y90)*(1+'Datos de Entrada'!X$76)</f>
        <v>0</v>
      </c>
      <c r="BF90" s="186">
        <f>($C90*Z90)*(1+'Datos de Entrada'!Y$76)</f>
        <v>0</v>
      </c>
      <c r="BG90" s="186">
        <f>($C90*AA90)*(1+'Datos de Entrada'!Z$76)</f>
        <v>0</v>
      </c>
      <c r="BH90" s="186">
        <f>($C90*AB90)*(1+'Datos de Entrada'!AA$76)</f>
        <v>0</v>
      </c>
      <c r="BI90" s="186">
        <f>($C90*AC90)*(1+'Datos de Entrada'!AB$76)</f>
        <v>0</v>
      </c>
      <c r="BJ90" s="186">
        <f>($C90*AD90)*(1+'Datos de Entrada'!AC$76)</f>
        <v>0</v>
      </c>
      <c r="BK90" s="186">
        <f>($C90*AE90)*(1+'Datos de Entrada'!AD$76)</f>
        <v>0</v>
      </c>
      <c r="BL90" s="186">
        <f>($C90*AF90)*(1+'Datos de Entrada'!AE$76)</f>
        <v>0</v>
      </c>
      <c r="BM90" s="186">
        <f>($C90*AG90)*(1+'Datos de Entrada'!AF$76)</f>
        <v>12709635.349258704</v>
      </c>
      <c r="BN90" s="186">
        <f t="shared" si="11"/>
        <v>49932468.516586185</v>
      </c>
    </row>
    <row r="91" spans="1:67" s="197" customFormat="1" ht="12.75" customHeight="1" x14ac:dyDescent="0.2">
      <c r="A91" s="205" t="s">
        <v>89</v>
      </c>
      <c r="B91" s="190" t="s">
        <v>39</v>
      </c>
      <c r="C91" s="195">
        <f>'Datos de Entrada'!H47*(1+'Datos de Entrada'!C45)*'Datos de Entrada'!C17</f>
        <v>130662.54174032605</v>
      </c>
      <c r="D91" s="206">
        <v>30</v>
      </c>
      <c r="E91" s="206">
        <v>30</v>
      </c>
      <c r="F91" s="208">
        <v>30</v>
      </c>
      <c r="G91" s="208"/>
      <c r="H91" s="208">
        <v>30</v>
      </c>
      <c r="I91" s="208"/>
      <c r="J91" s="208">
        <v>30</v>
      </c>
      <c r="K91" s="208"/>
      <c r="L91" s="208"/>
      <c r="M91" s="208">
        <v>30</v>
      </c>
      <c r="N91" s="190"/>
      <c r="O91" s="190"/>
      <c r="P91" s="190"/>
      <c r="Q91" s="190"/>
      <c r="R91" s="190"/>
      <c r="S91" s="190"/>
      <c r="T91" s="190"/>
      <c r="U91" s="190"/>
      <c r="V91" s="190"/>
      <c r="W91" s="206">
        <v>30</v>
      </c>
      <c r="X91" s="190"/>
      <c r="Y91" s="190"/>
      <c r="Z91" s="190"/>
      <c r="AA91" s="190"/>
      <c r="AB91" s="190"/>
      <c r="AC91" s="190"/>
      <c r="AD91" s="190"/>
      <c r="AE91" s="190"/>
      <c r="AF91" s="190"/>
      <c r="AG91" s="208">
        <v>30</v>
      </c>
      <c r="AH91" s="190"/>
      <c r="AI91" s="190"/>
      <c r="AJ91" s="186">
        <f>($C91*D91)*(1+'Datos de Entrada'!C$76)</f>
        <v>3919876.2522097817</v>
      </c>
      <c r="AK91" s="186">
        <f>($C91*E91)*(1+'Datos de Entrada'!D$76)</f>
        <v>4091620.4100308605</v>
      </c>
      <c r="AL91" s="186">
        <f>($C91*F91)*(1+'Datos de Entrada'!E$76)</f>
        <v>4274877.9948595697</v>
      </c>
      <c r="AM91" s="186">
        <f>($C91*G91)*(1+'Datos de Entrada'!F$76)</f>
        <v>0</v>
      </c>
      <c r="AN91" s="186">
        <f>($C91*H91)*(1+'Datos de Entrada'!G$76)</f>
        <v>4677177.7339735106</v>
      </c>
      <c r="AO91" s="186">
        <f>($C91*I91)*(1+'Datos de Entrada'!H$76)</f>
        <v>0</v>
      </c>
      <c r="AP91" s="186">
        <f>($C91*J91)*(1+'Datos de Entrada'!I$76)</f>
        <v>5128947.7043268513</v>
      </c>
      <c r="AQ91" s="186">
        <f>($C91*K91)*(1+'Datos de Entrada'!J$76)</f>
        <v>0</v>
      </c>
      <c r="AR91" s="186">
        <f>($C91*L91)*(1+'Datos de Entrada'!K$76)</f>
        <v>0</v>
      </c>
      <c r="AS91" s="186">
        <f>($C91*M91)*(1+'Datos de Entrada'!L$76)</f>
        <v>5902215.4319860581</v>
      </c>
      <c r="AT91" s="186">
        <f>($C91*N91)*(1+'Datos de Entrada'!M$76)</f>
        <v>0</v>
      </c>
      <c r="AU91" s="186">
        <f>($C91*O91)*(1+'Datos de Entrada'!N$76)</f>
        <v>0</v>
      </c>
      <c r="AV91" s="186">
        <f>($C91*P91)*(1+'Datos de Entrada'!O$76)</f>
        <v>0</v>
      </c>
      <c r="AW91" s="186">
        <f>($C91*Q91)*(1+'Datos de Entrada'!P$76)</f>
        <v>0</v>
      </c>
      <c r="AX91" s="186">
        <f>($C91*R91)*(1+'Datos de Entrada'!Q$76)</f>
        <v>0</v>
      </c>
      <c r="AY91" s="186">
        <f>($C91*S91)*(1+'Datos de Entrada'!R$76)</f>
        <v>0</v>
      </c>
      <c r="AZ91" s="186">
        <f>($C91*T91)*(1+'Datos de Entrada'!S$76)</f>
        <v>0</v>
      </c>
      <c r="BA91" s="186">
        <f>($C91*U91)*(1+'Datos de Entrada'!T$76)</f>
        <v>0</v>
      </c>
      <c r="BB91" s="186">
        <f>($C91*V91)*(1+'Datos de Entrada'!U$76)</f>
        <v>0</v>
      </c>
      <c r="BC91" s="186">
        <f>($C91*W91)*(1+'Datos de Entrada'!V$76)</f>
        <v>9228117.6399408542</v>
      </c>
      <c r="BD91" s="186">
        <f>($C91*X91)*(1+'Datos de Entrada'!W$76)</f>
        <v>0</v>
      </c>
      <c r="BE91" s="186">
        <f>($C91*Y91)*(1+'Datos de Entrada'!X$76)</f>
        <v>0</v>
      </c>
      <c r="BF91" s="186">
        <f>($C91*Z91)*(1+'Datos de Entrada'!Y$76)</f>
        <v>0</v>
      </c>
      <c r="BG91" s="186">
        <f>($C91*AA91)*(1+'Datos de Entrada'!Z$76)</f>
        <v>0</v>
      </c>
      <c r="BH91" s="186">
        <f>($C91*AB91)*(1+'Datos de Entrada'!AA$76)</f>
        <v>0</v>
      </c>
      <c r="BI91" s="186">
        <f>($C91*AC91)*(1+'Datos de Entrada'!AB$76)</f>
        <v>0</v>
      </c>
      <c r="BJ91" s="186">
        <f>($C91*AD91)*(1+'Datos de Entrada'!AC$76)</f>
        <v>0</v>
      </c>
      <c r="BK91" s="186">
        <f>($C91*AE91)*(1+'Datos de Entrada'!AD$76)</f>
        <v>0</v>
      </c>
      <c r="BL91" s="186">
        <f>($C91*AF91)*(1+'Datos de Entrada'!AE$76)</f>
        <v>0</v>
      </c>
      <c r="BM91" s="186">
        <f>($C91*AG91)*(1+'Datos de Entrada'!AF$76)</f>
        <v>12709635.349258704</v>
      </c>
      <c r="BN91" s="186">
        <f t="shared" si="11"/>
        <v>49932468.516586185</v>
      </c>
    </row>
    <row r="92" spans="1:67" s="197" customFormat="1" ht="12.75" customHeight="1" x14ac:dyDescent="0.2">
      <c r="A92" s="205" t="s">
        <v>74</v>
      </c>
      <c r="B92" s="190" t="s">
        <v>39</v>
      </c>
      <c r="C92" s="195">
        <f>'Datos de Entrada'!H47*(1+'Datos de Entrada'!C45)*'Datos de Entrada'!C17</f>
        <v>130662.54174032605</v>
      </c>
      <c r="D92" s="206">
        <v>30</v>
      </c>
      <c r="E92" s="206">
        <v>30</v>
      </c>
      <c r="F92" s="207">
        <v>30</v>
      </c>
      <c r="G92" s="207"/>
      <c r="H92" s="207">
        <v>30</v>
      </c>
      <c r="I92" s="207"/>
      <c r="J92" s="207">
        <v>30</v>
      </c>
      <c r="K92" s="208"/>
      <c r="L92" s="208"/>
      <c r="M92" s="207">
        <v>30</v>
      </c>
      <c r="N92" s="190"/>
      <c r="O92" s="190"/>
      <c r="P92" s="190"/>
      <c r="Q92" s="190"/>
      <c r="R92" s="198"/>
      <c r="S92" s="190"/>
      <c r="T92" s="190"/>
      <c r="U92" s="190"/>
      <c r="V92" s="190"/>
      <c r="W92" s="206">
        <v>30</v>
      </c>
      <c r="X92" s="190"/>
      <c r="Y92" s="190"/>
      <c r="Z92" s="190"/>
      <c r="AA92" s="190"/>
      <c r="AB92" s="198"/>
      <c r="AC92" s="190"/>
      <c r="AD92" s="190"/>
      <c r="AE92" s="190"/>
      <c r="AF92" s="190"/>
      <c r="AG92" s="207">
        <v>30</v>
      </c>
      <c r="AH92" s="190"/>
      <c r="AI92" s="190"/>
      <c r="AJ92" s="186">
        <f>($C92*D92)*(1+'Datos de Entrada'!C$76)</f>
        <v>3919876.2522097817</v>
      </c>
      <c r="AK92" s="186">
        <f>($C92*E92)*(1+'Datos de Entrada'!D$76)</f>
        <v>4091620.4100308605</v>
      </c>
      <c r="AL92" s="186">
        <f>($C92*F92)*(1+'Datos de Entrada'!E$76)</f>
        <v>4274877.9948595697</v>
      </c>
      <c r="AM92" s="186">
        <f>($C92*G92)*(1+'Datos de Entrada'!F$76)</f>
        <v>0</v>
      </c>
      <c r="AN92" s="186">
        <f>($C92*H92)*(1+'Datos de Entrada'!G$76)</f>
        <v>4677177.7339735106</v>
      </c>
      <c r="AO92" s="186">
        <f>($C92*I92)*(1+'Datos de Entrada'!H$76)</f>
        <v>0</v>
      </c>
      <c r="AP92" s="186">
        <f>($C92*J92)*(1+'Datos de Entrada'!I$76)</f>
        <v>5128947.7043268513</v>
      </c>
      <c r="AQ92" s="186">
        <f>($C92*K92)*(1+'Datos de Entrada'!J$76)</f>
        <v>0</v>
      </c>
      <c r="AR92" s="186">
        <f>($C92*L92)*(1+'Datos de Entrada'!K$76)</f>
        <v>0</v>
      </c>
      <c r="AS92" s="186">
        <f>($C92*M92)*(1+'Datos de Entrada'!L$76)</f>
        <v>5902215.4319860581</v>
      </c>
      <c r="AT92" s="186">
        <f>($C92*N92)*(1+'Datos de Entrada'!M$76)</f>
        <v>0</v>
      </c>
      <c r="AU92" s="186">
        <f>($C92*O92)*(1+'Datos de Entrada'!N$76)</f>
        <v>0</v>
      </c>
      <c r="AV92" s="186">
        <f>($C92*P92)*(1+'Datos de Entrada'!O$76)</f>
        <v>0</v>
      </c>
      <c r="AW92" s="186">
        <f>($C92*Q92)*(1+'Datos de Entrada'!P$76)</f>
        <v>0</v>
      </c>
      <c r="AX92" s="186">
        <f>($C92*R92)*(1+'Datos de Entrada'!Q$76)</f>
        <v>0</v>
      </c>
      <c r="AY92" s="186">
        <f>($C92*S92)*(1+'Datos de Entrada'!R$76)</f>
        <v>0</v>
      </c>
      <c r="AZ92" s="186">
        <f>($C92*T92)*(1+'Datos de Entrada'!S$76)</f>
        <v>0</v>
      </c>
      <c r="BA92" s="186">
        <f>($C92*U92)*(1+'Datos de Entrada'!T$76)</f>
        <v>0</v>
      </c>
      <c r="BB92" s="186">
        <f>($C92*V92)*(1+'Datos de Entrada'!U$76)</f>
        <v>0</v>
      </c>
      <c r="BC92" s="186">
        <f>($C92*W92)*(1+'Datos de Entrada'!V$76)</f>
        <v>9228117.6399408542</v>
      </c>
      <c r="BD92" s="186">
        <f>($C92*X92)*(1+'Datos de Entrada'!W$76)</f>
        <v>0</v>
      </c>
      <c r="BE92" s="186">
        <f>($C92*Y92)*(1+'Datos de Entrada'!X$76)</f>
        <v>0</v>
      </c>
      <c r="BF92" s="186">
        <f>($C92*Z92)*(1+'Datos de Entrada'!Y$76)</f>
        <v>0</v>
      </c>
      <c r="BG92" s="186">
        <f>($C92*AA92)*(1+'Datos de Entrada'!Z$76)</f>
        <v>0</v>
      </c>
      <c r="BH92" s="186">
        <f>($C92*AB92)*(1+'Datos de Entrada'!AA$76)</f>
        <v>0</v>
      </c>
      <c r="BI92" s="186">
        <f>($C92*AC92)*(1+'Datos de Entrada'!AB$76)</f>
        <v>0</v>
      </c>
      <c r="BJ92" s="186">
        <f>($C92*AD92)*(1+'Datos de Entrada'!AC$76)</f>
        <v>0</v>
      </c>
      <c r="BK92" s="186">
        <f>($C92*AE92)*(1+'Datos de Entrada'!AD$76)</f>
        <v>0</v>
      </c>
      <c r="BL92" s="186">
        <f>($C92*AF92)*(1+'Datos de Entrada'!AE$76)</f>
        <v>0</v>
      </c>
      <c r="BM92" s="186">
        <f>($C92*AG92)*(1+'Datos de Entrada'!AF$76)</f>
        <v>12709635.349258704</v>
      </c>
      <c r="BN92" s="186">
        <f t="shared" si="11"/>
        <v>49932468.516586185</v>
      </c>
      <c r="BO92" s="209"/>
    </row>
    <row r="93" spans="1:67" s="197" customFormat="1" ht="12.75" customHeight="1" x14ac:dyDescent="0.2">
      <c r="A93" s="205" t="s">
        <v>75</v>
      </c>
      <c r="B93" s="190" t="s">
        <v>39</v>
      </c>
      <c r="C93" s="195">
        <f>'Datos de Entrada'!H47*(1+'Datos de Entrada'!C45)*'Datos de Entrada'!C17</f>
        <v>130662.54174032605</v>
      </c>
      <c r="D93" s="206">
        <v>30</v>
      </c>
      <c r="E93" s="206">
        <v>30</v>
      </c>
      <c r="F93" s="207">
        <v>30</v>
      </c>
      <c r="G93" s="207"/>
      <c r="H93" s="207">
        <v>30</v>
      </c>
      <c r="I93" s="207"/>
      <c r="J93" s="207">
        <v>30</v>
      </c>
      <c r="K93" s="208"/>
      <c r="L93" s="208"/>
      <c r="M93" s="207">
        <v>30</v>
      </c>
      <c r="N93" s="190"/>
      <c r="O93" s="190"/>
      <c r="P93" s="190"/>
      <c r="Q93" s="190"/>
      <c r="R93" s="198"/>
      <c r="S93" s="190"/>
      <c r="T93" s="190"/>
      <c r="U93" s="190"/>
      <c r="V93" s="190"/>
      <c r="W93" s="206">
        <v>30</v>
      </c>
      <c r="X93" s="190"/>
      <c r="Y93" s="190"/>
      <c r="Z93" s="190"/>
      <c r="AA93" s="190"/>
      <c r="AB93" s="198"/>
      <c r="AC93" s="190"/>
      <c r="AD93" s="190"/>
      <c r="AE93" s="190"/>
      <c r="AF93" s="190"/>
      <c r="AG93" s="207">
        <v>30</v>
      </c>
      <c r="AH93" s="190"/>
      <c r="AI93" s="190"/>
      <c r="AJ93" s="186">
        <f>($C93*D93)*(1+'Datos de Entrada'!C$76)</f>
        <v>3919876.2522097817</v>
      </c>
      <c r="AK93" s="186">
        <f>($C93*E93)*(1+'Datos de Entrada'!D$76)</f>
        <v>4091620.4100308605</v>
      </c>
      <c r="AL93" s="186">
        <f>($C93*F93)*(1+'Datos de Entrada'!E$76)</f>
        <v>4274877.9948595697</v>
      </c>
      <c r="AM93" s="186">
        <f>($C93*G93)*(1+'Datos de Entrada'!F$76)</f>
        <v>0</v>
      </c>
      <c r="AN93" s="186">
        <f>($C93*H93)*(1+'Datos de Entrada'!G$76)</f>
        <v>4677177.7339735106</v>
      </c>
      <c r="AO93" s="186">
        <f>($C93*I93)*(1+'Datos de Entrada'!H$76)</f>
        <v>0</v>
      </c>
      <c r="AP93" s="186">
        <f>($C93*J93)*(1+'Datos de Entrada'!I$76)</f>
        <v>5128947.7043268513</v>
      </c>
      <c r="AQ93" s="186">
        <f>($C93*K93)*(1+'Datos de Entrada'!J$76)</f>
        <v>0</v>
      </c>
      <c r="AR93" s="186">
        <f>($C93*L93)*(1+'Datos de Entrada'!K$76)</f>
        <v>0</v>
      </c>
      <c r="AS93" s="186">
        <f>($C93*M93)*(1+'Datos de Entrada'!L$76)</f>
        <v>5902215.4319860581</v>
      </c>
      <c r="AT93" s="186">
        <f>($C93*N93)*(1+'Datos de Entrada'!M$76)</f>
        <v>0</v>
      </c>
      <c r="AU93" s="186">
        <f>($C93*O93)*(1+'Datos de Entrada'!N$76)</f>
        <v>0</v>
      </c>
      <c r="AV93" s="186">
        <f>($C93*P93)*(1+'Datos de Entrada'!O$76)</f>
        <v>0</v>
      </c>
      <c r="AW93" s="186">
        <f>($C93*Q93)*(1+'Datos de Entrada'!P$76)</f>
        <v>0</v>
      </c>
      <c r="AX93" s="186">
        <f>($C93*R93)*(1+'Datos de Entrada'!Q$76)</f>
        <v>0</v>
      </c>
      <c r="AY93" s="186">
        <f>($C93*S93)*(1+'Datos de Entrada'!R$76)</f>
        <v>0</v>
      </c>
      <c r="AZ93" s="186">
        <f>($C93*T93)*(1+'Datos de Entrada'!S$76)</f>
        <v>0</v>
      </c>
      <c r="BA93" s="186">
        <f>($C93*U93)*(1+'Datos de Entrada'!T$76)</f>
        <v>0</v>
      </c>
      <c r="BB93" s="186">
        <f>($C93*V93)*(1+'Datos de Entrada'!U$76)</f>
        <v>0</v>
      </c>
      <c r="BC93" s="186">
        <f>($C93*W93)*(1+'Datos de Entrada'!V$76)</f>
        <v>9228117.6399408542</v>
      </c>
      <c r="BD93" s="186">
        <f>($C93*X93)*(1+'Datos de Entrada'!W$76)</f>
        <v>0</v>
      </c>
      <c r="BE93" s="186">
        <f>($C93*Y93)*(1+'Datos de Entrada'!X$76)</f>
        <v>0</v>
      </c>
      <c r="BF93" s="186">
        <f>($C93*Z93)*(1+'Datos de Entrada'!Y$76)</f>
        <v>0</v>
      </c>
      <c r="BG93" s="186">
        <f>($C93*AA93)*(1+'Datos de Entrada'!Z$76)</f>
        <v>0</v>
      </c>
      <c r="BH93" s="186">
        <f>($C93*AB93)*(1+'Datos de Entrada'!AA$76)</f>
        <v>0</v>
      </c>
      <c r="BI93" s="186">
        <f>($C93*AC93)*(1+'Datos de Entrada'!AB$76)</f>
        <v>0</v>
      </c>
      <c r="BJ93" s="186">
        <f>($C93*AD93)*(1+'Datos de Entrada'!AC$76)</f>
        <v>0</v>
      </c>
      <c r="BK93" s="186">
        <f>($C93*AE93)*(1+'Datos de Entrada'!AD$76)</f>
        <v>0</v>
      </c>
      <c r="BL93" s="186">
        <f>($C93*AF93)*(1+'Datos de Entrada'!AE$76)</f>
        <v>0</v>
      </c>
      <c r="BM93" s="186">
        <f>($C93*AG93)*(1+'Datos de Entrada'!AF$76)</f>
        <v>12709635.349258704</v>
      </c>
      <c r="BN93" s="186">
        <f t="shared" si="11"/>
        <v>49932468.516586185</v>
      </c>
      <c r="BO93" s="209"/>
    </row>
    <row r="94" spans="1:67" s="197" customFormat="1" ht="12.75" customHeight="1" x14ac:dyDescent="0.2">
      <c r="A94" s="205" t="s">
        <v>90</v>
      </c>
      <c r="B94" s="190" t="s">
        <v>39</v>
      </c>
      <c r="C94" s="195">
        <f>'Datos de Entrada'!H47*(1+'Datos de Entrada'!C45)*'Datos de Entrada'!C17</f>
        <v>130662.54174032605</v>
      </c>
      <c r="D94" s="206">
        <v>30</v>
      </c>
      <c r="E94" s="206">
        <v>30</v>
      </c>
      <c r="F94" s="207">
        <v>30</v>
      </c>
      <c r="G94" s="207"/>
      <c r="H94" s="207">
        <v>30</v>
      </c>
      <c r="I94" s="207"/>
      <c r="J94" s="207">
        <v>30</v>
      </c>
      <c r="K94" s="208"/>
      <c r="L94" s="208"/>
      <c r="M94" s="207">
        <v>30</v>
      </c>
      <c r="N94" s="190"/>
      <c r="O94" s="190"/>
      <c r="P94" s="190"/>
      <c r="Q94" s="190"/>
      <c r="R94" s="198"/>
      <c r="S94" s="190"/>
      <c r="T94" s="190"/>
      <c r="U94" s="190"/>
      <c r="V94" s="190"/>
      <c r="W94" s="206">
        <v>30</v>
      </c>
      <c r="X94" s="190"/>
      <c r="Y94" s="190"/>
      <c r="Z94" s="190"/>
      <c r="AA94" s="190"/>
      <c r="AB94" s="198"/>
      <c r="AC94" s="190"/>
      <c r="AD94" s="190"/>
      <c r="AE94" s="190"/>
      <c r="AF94" s="190"/>
      <c r="AG94" s="207">
        <v>30</v>
      </c>
      <c r="AH94" s="190"/>
      <c r="AI94" s="190"/>
      <c r="AJ94" s="186">
        <f>($C94*D94)*(1+'Datos de Entrada'!C$76)</f>
        <v>3919876.2522097817</v>
      </c>
      <c r="AK94" s="186">
        <f>($C94*E94)*(1+'Datos de Entrada'!D$76)</f>
        <v>4091620.4100308605</v>
      </c>
      <c r="AL94" s="186">
        <f>($C94*F94)*(1+'Datos de Entrada'!E$76)</f>
        <v>4274877.9948595697</v>
      </c>
      <c r="AM94" s="186">
        <f>($C94*G94)*(1+'Datos de Entrada'!F$76)</f>
        <v>0</v>
      </c>
      <c r="AN94" s="186">
        <f>($C94*H94)*(1+'Datos de Entrada'!G$76)</f>
        <v>4677177.7339735106</v>
      </c>
      <c r="AO94" s="186">
        <f>($C94*I94)*(1+'Datos de Entrada'!H$76)</f>
        <v>0</v>
      </c>
      <c r="AP94" s="186">
        <f>($C94*J94)*(1+'Datos de Entrada'!I$76)</f>
        <v>5128947.7043268513</v>
      </c>
      <c r="AQ94" s="186">
        <f>($C94*K94)*(1+'Datos de Entrada'!J$76)</f>
        <v>0</v>
      </c>
      <c r="AR94" s="186">
        <f>($C94*L94)*(1+'Datos de Entrada'!K$76)</f>
        <v>0</v>
      </c>
      <c r="AS94" s="186">
        <f>($C94*M94)*(1+'Datos de Entrada'!L$76)</f>
        <v>5902215.4319860581</v>
      </c>
      <c r="AT94" s="186">
        <f>($C94*N94)*(1+'Datos de Entrada'!M$76)</f>
        <v>0</v>
      </c>
      <c r="AU94" s="186">
        <f>($C94*O94)*(1+'Datos de Entrada'!N$76)</f>
        <v>0</v>
      </c>
      <c r="AV94" s="186">
        <f>($C94*P94)*(1+'Datos de Entrada'!O$76)</f>
        <v>0</v>
      </c>
      <c r="AW94" s="186">
        <f>($C94*Q94)*(1+'Datos de Entrada'!P$76)</f>
        <v>0</v>
      </c>
      <c r="AX94" s="186">
        <f>($C94*R94)*(1+'Datos de Entrada'!Q$76)</f>
        <v>0</v>
      </c>
      <c r="AY94" s="186">
        <f>($C94*S94)*(1+'Datos de Entrada'!R$76)</f>
        <v>0</v>
      </c>
      <c r="AZ94" s="186">
        <f>($C94*T94)*(1+'Datos de Entrada'!S$76)</f>
        <v>0</v>
      </c>
      <c r="BA94" s="186">
        <f>($C94*U94)*(1+'Datos de Entrada'!T$76)</f>
        <v>0</v>
      </c>
      <c r="BB94" s="186">
        <f>($C94*V94)*(1+'Datos de Entrada'!U$76)</f>
        <v>0</v>
      </c>
      <c r="BC94" s="186">
        <f>($C94*W94)*(1+'Datos de Entrada'!V$76)</f>
        <v>9228117.6399408542</v>
      </c>
      <c r="BD94" s="186">
        <f>($C94*X94)*(1+'Datos de Entrada'!W$76)</f>
        <v>0</v>
      </c>
      <c r="BE94" s="186">
        <f>($C94*Y94)*(1+'Datos de Entrada'!X$76)</f>
        <v>0</v>
      </c>
      <c r="BF94" s="186">
        <f>($C94*Z94)*(1+'Datos de Entrada'!Y$76)</f>
        <v>0</v>
      </c>
      <c r="BG94" s="186">
        <f>($C94*AA94)*(1+'Datos de Entrada'!Z$76)</f>
        <v>0</v>
      </c>
      <c r="BH94" s="186">
        <f>($C94*AB94)*(1+'Datos de Entrada'!AA$76)</f>
        <v>0</v>
      </c>
      <c r="BI94" s="186">
        <f>($C94*AC94)*(1+'Datos de Entrada'!AB$76)</f>
        <v>0</v>
      </c>
      <c r="BJ94" s="186">
        <f>($C94*AD94)*(1+'Datos de Entrada'!AC$76)</f>
        <v>0</v>
      </c>
      <c r="BK94" s="186">
        <f>($C94*AE94)*(1+'Datos de Entrada'!AD$76)</f>
        <v>0</v>
      </c>
      <c r="BL94" s="186">
        <f>($C94*AF94)*(1+'Datos de Entrada'!AE$76)</f>
        <v>0</v>
      </c>
      <c r="BM94" s="186">
        <f>($C94*AG94)*(1+'Datos de Entrada'!AF$76)</f>
        <v>12709635.349258704</v>
      </c>
      <c r="BN94" s="186">
        <f t="shared" si="11"/>
        <v>49932468.516586185</v>
      </c>
      <c r="BO94" s="209"/>
    </row>
    <row r="95" spans="1:67" s="197" customFormat="1" ht="12.75" customHeight="1" x14ac:dyDescent="0.2">
      <c r="A95" s="205" t="s">
        <v>91</v>
      </c>
      <c r="B95" s="190" t="s">
        <v>39</v>
      </c>
      <c r="C95" s="195">
        <f>'Datos de Entrada'!H49*(1+'Datos de Entrada'!C45)*'Datos de Entrada'!C17</f>
        <v>81355.922215674727</v>
      </c>
      <c r="D95" s="210">
        <f t="shared" ref="D95:F95" si="13">8*8</f>
        <v>64</v>
      </c>
      <c r="E95" s="208">
        <f t="shared" si="13"/>
        <v>64</v>
      </c>
      <c r="F95" s="208">
        <f t="shared" si="13"/>
        <v>64</v>
      </c>
      <c r="G95" s="208"/>
      <c r="H95" s="208">
        <f>8*8</f>
        <v>64</v>
      </c>
      <c r="I95" s="208"/>
      <c r="J95" s="208">
        <f>8*8</f>
        <v>64</v>
      </c>
      <c r="K95" s="208"/>
      <c r="L95" s="208"/>
      <c r="M95" s="208">
        <f>8*8</f>
        <v>64</v>
      </c>
      <c r="N95" s="190"/>
      <c r="O95" s="190"/>
      <c r="P95" s="190"/>
      <c r="Q95" s="190"/>
      <c r="R95" s="190"/>
      <c r="S95" s="190"/>
      <c r="T95" s="190"/>
      <c r="U95" s="190"/>
      <c r="V95" s="190"/>
      <c r="W95" s="190">
        <f>8*8</f>
        <v>64</v>
      </c>
      <c r="X95" s="190"/>
      <c r="Y95" s="190"/>
      <c r="Z95" s="190"/>
      <c r="AA95" s="190"/>
      <c r="AB95" s="190"/>
      <c r="AC95" s="190"/>
      <c r="AD95" s="190"/>
      <c r="AE95" s="190"/>
      <c r="AF95" s="190"/>
      <c r="AG95" s="208">
        <f>8*8</f>
        <v>64</v>
      </c>
      <c r="AH95" s="190"/>
      <c r="AI95" s="190"/>
      <c r="AJ95" s="186">
        <f>($C95*D95)*(1+'Datos de Entrada'!C$76)</f>
        <v>5206779.0218031825</v>
      </c>
      <c r="AK95" s="186">
        <f>($C95*E95)*(1+'Datos de Entrada'!D$76)</f>
        <v>5434907.1106825024</v>
      </c>
      <c r="AL95" s="186">
        <f>($C95*F95)*(1+'Datos de Entrada'!E$76)</f>
        <v>5678328.5063795047</v>
      </c>
      <c r="AM95" s="186">
        <f>($C95*G95)*(1+'Datos de Entrada'!F$76)</f>
        <v>0</v>
      </c>
      <c r="AN95" s="186">
        <f>($C95*H95)*(1+'Datos de Entrada'!G$76)</f>
        <v>6212704.0089006638</v>
      </c>
      <c r="AO95" s="186">
        <f>($C95*I95)*(1+'Datos de Entrada'!H$76)</f>
        <v>0</v>
      </c>
      <c r="AP95" s="186">
        <f>($C95*J95)*(1+'Datos de Entrada'!I$76)</f>
        <v>6812790.9129171772</v>
      </c>
      <c r="AQ95" s="186">
        <f>($C95*K95)*(1+'Datos de Entrada'!J$76)</f>
        <v>0</v>
      </c>
      <c r="AR95" s="186">
        <f>($C95*L95)*(1+'Datos de Entrada'!K$76)</f>
        <v>0</v>
      </c>
      <c r="AS95" s="186">
        <f>($C95*M95)*(1+'Datos de Entrada'!L$76)</f>
        <v>7839923.8945626142</v>
      </c>
      <c r="AT95" s="186">
        <f>($C95*N95)*(1+'Datos de Entrada'!M$76)</f>
        <v>0</v>
      </c>
      <c r="AU95" s="186">
        <f>($C95*O95)*(1+'Datos de Entrada'!N$76)</f>
        <v>0</v>
      </c>
      <c r="AV95" s="186">
        <f>($C95*P95)*(1+'Datos de Entrada'!O$76)</f>
        <v>0</v>
      </c>
      <c r="AW95" s="186">
        <f>($C95*Q95)*(1+'Datos de Entrada'!P$76)</f>
        <v>0</v>
      </c>
      <c r="AX95" s="186">
        <f>($C95*R95)*(1+'Datos de Entrada'!Q$76)</f>
        <v>0</v>
      </c>
      <c r="AY95" s="186">
        <f>($C95*S95)*(1+'Datos de Entrada'!R$76)</f>
        <v>0</v>
      </c>
      <c r="AZ95" s="186">
        <f>($C95*T95)*(1+'Datos de Entrada'!S$76)</f>
        <v>0</v>
      </c>
      <c r="BA95" s="186">
        <f>($C95*U95)*(1+'Datos de Entrada'!T$76)</f>
        <v>0</v>
      </c>
      <c r="BB95" s="186">
        <f>($C95*V95)*(1+'Datos de Entrada'!U$76)</f>
        <v>0</v>
      </c>
      <c r="BC95" s="186">
        <f>($C95*W95)*(1+'Datos de Entrada'!V$76)</f>
        <v>12257726.072676156</v>
      </c>
      <c r="BD95" s="186">
        <f>($C95*X95)*(1+'Datos de Entrada'!W$76)</f>
        <v>0</v>
      </c>
      <c r="BE95" s="186">
        <f>($C95*Y95)*(1+'Datos de Entrada'!X$76)</f>
        <v>0</v>
      </c>
      <c r="BF95" s="186">
        <f>($C95*Z95)*(1+'Datos de Entrada'!Y$76)</f>
        <v>0</v>
      </c>
      <c r="BG95" s="186">
        <f>($C95*AA95)*(1+'Datos de Entrada'!Z$76)</f>
        <v>0</v>
      </c>
      <c r="BH95" s="186">
        <f>($C95*AB95)*(1+'Datos de Entrada'!AA$76)</f>
        <v>0</v>
      </c>
      <c r="BI95" s="186">
        <f>($C95*AC95)*(1+'Datos de Entrada'!AB$76)</f>
        <v>0</v>
      </c>
      <c r="BJ95" s="186">
        <f>($C95*AD95)*(1+'Datos de Entrada'!AC$76)</f>
        <v>0</v>
      </c>
      <c r="BK95" s="186">
        <f>($C95*AE95)*(1+'Datos de Entrada'!AD$76)</f>
        <v>0</v>
      </c>
      <c r="BL95" s="186">
        <f>($C95*AF95)*(1+'Datos de Entrada'!AE$76)</f>
        <v>0</v>
      </c>
      <c r="BM95" s="186">
        <f>($C95*AG95)*(1+'Datos de Entrada'!AF$76)</f>
        <v>16882232.614864394</v>
      </c>
      <c r="BN95" s="186">
        <f t="shared" si="11"/>
        <v>66325392.14278619</v>
      </c>
      <c r="BO95" s="209"/>
    </row>
    <row r="96" spans="1:67" s="197" customFormat="1" ht="12.75" customHeight="1" x14ac:dyDescent="0.2">
      <c r="A96" s="205" t="s">
        <v>85</v>
      </c>
      <c r="B96" s="190" t="s">
        <v>39</v>
      </c>
      <c r="C96" s="195">
        <f>'Datos de Entrada'!H47*(1+'Datos de Entrada'!C45)*'Datos de Entrada'!C17</f>
        <v>130662.54174032605</v>
      </c>
      <c r="D96" s="210">
        <v>10</v>
      </c>
      <c r="E96" s="208">
        <v>10</v>
      </c>
      <c r="F96" s="208">
        <v>10</v>
      </c>
      <c r="G96" s="208"/>
      <c r="H96" s="208">
        <v>10</v>
      </c>
      <c r="I96" s="208"/>
      <c r="J96" s="208">
        <v>10</v>
      </c>
      <c r="K96" s="208"/>
      <c r="L96" s="208"/>
      <c r="M96" s="208">
        <v>10</v>
      </c>
      <c r="N96" s="190"/>
      <c r="O96" s="190"/>
      <c r="P96" s="190"/>
      <c r="Q96" s="190"/>
      <c r="R96" s="190"/>
      <c r="S96" s="190"/>
      <c r="T96" s="190"/>
      <c r="U96" s="190"/>
      <c r="V96" s="190"/>
      <c r="W96" s="190">
        <v>10</v>
      </c>
      <c r="X96" s="190"/>
      <c r="Y96" s="190"/>
      <c r="Z96" s="190"/>
      <c r="AA96" s="190"/>
      <c r="AB96" s="190"/>
      <c r="AC96" s="190"/>
      <c r="AD96" s="190"/>
      <c r="AE96" s="190"/>
      <c r="AF96" s="190"/>
      <c r="AG96" s="208">
        <v>10</v>
      </c>
      <c r="AH96" s="190"/>
      <c r="AI96" s="190"/>
      <c r="AJ96" s="186">
        <f>($C96*D96)*(1+'Datos de Entrada'!C$76)</f>
        <v>1306625.4174032605</v>
      </c>
      <c r="AK96" s="186">
        <f>($C96*E96)*(1+'Datos de Entrada'!D$76)</f>
        <v>1363873.4700102867</v>
      </c>
      <c r="AL96" s="186">
        <f>($C96*F96)*(1+'Datos de Entrada'!E$76)</f>
        <v>1424959.3316198566</v>
      </c>
      <c r="AM96" s="186">
        <f>($C96*G96)*(1+'Datos de Entrada'!F$76)</f>
        <v>0</v>
      </c>
      <c r="AN96" s="186">
        <f>($C96*H96)*(1+'Datos de Entrada'!G$76)</f>
        <v>1559059.2446578366</v>
      </c>
      <c r="AO96" s="186">
        <f>($C96*I96)*(1+'Datos de Entrada'!H$76)</f>
        <v>0</v>
      </c>
      <c r="AP96" s="186">
        <f>($C96*J96)*(1+'Datos de Entrada'!I$76)</f>
        <v>1709649.2347756168</v>
      </c>
      <c r="AQ96" s="186">
        <f>($C96*K96)*(1+'Datos de Entrada'!J$76)</f>
        <v>0</v>
      </c>
      <c r="AR96" s="186">
        <f>($C96*L96)*(1+'Datos de Entrada'!K$76)</f>
        <v>0</v>
      </c>
      <c r="AS96" s="186">
        <f>($C96*M96)*(1+'Datos de Entrada'!L$76)</f>
        <v>1967405.1439953526</v>
      </c>
      <c r="AT96" s="186">
        <f>($C96*N96)*(1+'Datos de Entrada'!M$76)</f>
        <v>0</v>
      </c>
      <c r="AU96" s="186">
        <f>($C96*O96)*(1+'Datos de Entrada'!N$76)</f>
        <v>0</v>
      </c>
      <c r="AV96" s="186">
        <f>($C96*P96)*(1+'Datos de Entrada'!O$76)</f>
        <v>0</v>
      </c>
      <c r="AW96" s="186">
        <f>($C96*Q96)*(1+'Datos de Entrada'!P$76)</f>
        <v>0</v>
      </c>
      <c r="AX96" s="186">
        <f>($C96*R96)*(1+'Datos de Entrada'!Q$76)</f>
        <v>0</v>
      </c>
      <c r="AY96" s="186">
        <f>($C96*S96)*(1+'Datos de Entrada'!R$76)</f>
        <v>0</v>
      </c>
      <c r="AZ96" s="186">
        <f>($C96*T96)*(1+'Datos de Entrada'!S$76)</f>
        <v>0</v>
      </c>
      <c r="BA96" s="186">
        <f>($C96*U96)*(1+'Datos de Entrada'!T$76)</f>
        <v>0</v>
      </c>
      <c r="BB96" s="186">
        <f>($C96*V96)*(1+'Datos de Entrada'!U$76)</f>
        <v>0</v>
      </c>
      <c r="BC96" s="186">
        <f>($C96*W96)*(1+'Datos de Entrada'!V$76)</f>
        <v>3076039.2133136182</v>
      </c>
      <c r="BD96" s="186">
        <f>($C96*X96)*(1+'Datos de Entrada'!W$76)</f>
        <v>0</v>
      </c>
      <c r="BE96" s="186">
        <f>($C96*Y96)*(1+'Datos de Entrada'!X$76)</f>
        <v>0</v>
      </c>
      <c r="BF96" s="186">
        <f>($C96*Z96)*(1+'Datos de Entrada'!Y$76)</f>
        <v>0</v>
      </c>
      <c r="BG96" s="186">
        <f>($C96*AA96)*(1+'Datos de Entrada'!Z$76)</f>
        <v>0</v>
      </c>
      <c r="BH96" s="186">
        <f>($C96*AB96)*(1+'Datos de Entrada'!AA$76)</f>
        <v>0</v>
      </c>
      <c r="BI96" s="186">
        <f>($C96*AC96)*(1+'Datos de Entrada'!AB$76)</f>
        <v>0</v>
      </c>
      <c r="BJ96" s="186">
        <f>($C96*AD96)*(1+'Datos de Entrada'!AC$76)</f>
        <v>0</v>
      </c>
      <c r="BK96" s="186">
        <f>($C96*AE96)*(1+'Datos de Entrada'!AD$76)</f>
        <v>0</v>
      </c>
      <c r="BL96" s="186">
        <f>($C96*AF96)*(1+'Datos de Entrada'!AE$76)</f>
        <v>0</v>
      </c>
      <c r="BM96" s="186">
        <f>($C96*AG96)*(1+'Datos de Entrada'!AF$76)</f>
        <v>4236545.1164195677</v>
      </c>
      <c r="BN96" s="186">
        <f t="shared" si="11"/>
        <v>16644156.172195397</v>
      </c>
      <c r="BO96" s="209"/>
    </row>
    <row r="97" spans="1:67" s="197" customFormat="1" ht="12.75" customHeight="1" x14ac:dyDescent="0.2">
      <c r="A97" s="205" t="s">
        <v>20</v>
      </c>
      <c r="B97" s="190" t="s">
        <v>39</v>
      </c>
      <c r="C97" s="195">
        <f>150000*[1]Parámetros!$D$18</f>
        <v>136130.59107784784</v>
      </c>
      <c r="D97" s="210">
        <f>+(4+2+8)*8</f>
        <v>112</v>
      </c>
      <c r="E97" s="208">
        <f t="shared" ref="E97:F97" si="14">+(4+2+8)*8</f>
        <v>112</v>
      </c>
      <c r="F97" s="208">
        <f t="shared" si="14"/>
        <v>112</v>
      </c>
      <c r="G97" s="208"/>
      <c r="H97" s="208">
        <f>+(4+2+8)*8</f>
        <v>112</v>
      </c>
      <c r="I97" s="208"/>
      <c r="J97" s="208">
        <f>+(4+2+8)*8</f>
        <v>112</v>
      </c>
      <c r="K97" s="208"/>
      <c r="L97" s="208"/>
      <c r="M97" s="208">
        <f>+(4+2+8)*8</f>
        <v>112</v>
      </c>
      <c r="N97" s="190"/>
      <c r="O97" s="190"/>
      <c r="P97" s="190"/>
      <c r="Q97" s="190"/>
      <c r="R97" s="190"/>
      <c r="S97" s="190"/>
      <c r="T97" s="190"/>
      <c r="U97" s="190"/>
      <c r="V97" s="190"/>
      <c r="W97" s="190">
        <f>+(4+2+8)*8</f>
        <v>112</v>
      </c>
      <c r="X97" s="190"/>
      <c r="Y97" s="190"/>
      <c r="Z97" s="190"/>
      <c r="AA97" s="190"/>
      <c r="AB97" s="190"/>
      <c r="AC97" s="190"/>
      <c r="AD97" s="190"/>
      <c r="AE97" s="190"/>
      <c r="AF97" s="190"/>
      <c r="AG97" s="208">
        <f>+(4+2+8)*8</f>
        <v>112</v>
      </c>
      <c r="AH97" s="190"/>
      <c r="AI97" s="190"/>
      <c r="AJ97" s="186">
        <f>($C97*D97)*(1+'Datos de Entrada'!C$76)</f>
        <v>15246626.200718958</v>
      </c>
      <c r="AK97" s="186">
        <f>($C97*E97)*(1+'Datos de Entrada'!D$76)</f>
        <v>15914636.823497958</v>
      </c>
      <c r="AL97" s="186">
        <f>($C97*F97)*(1+'Datos de Entrada'!E$76)</f>
        <v>16627429.706373984</v>
      </c>
      <c r="AM97" s="186">
        <f>($C97*G97)*(1+'Datos de Entrada'!F$76)</f>
        <v>0</v>
      </c>
      <c r="AN97" s="186">
        <f>($C97*H97)*(1+'Datos de Entrada'!G$76)</f>
        <v>18192201.997198012</v>
      </c>
      <c r="AO97" s="186">
        <f>($C97*I97)*(1+'Datos de Entrada'!H$76)</f>
        <v>0</v>
      </c>
      <c r="AP97" s="186">
        <f>($C97*J97)*(1+'Datos de Entrada'!I$76)</f>
        <v>19949392.128596742</v>
      </c>
      <c r="AQ97" s="186">
        <f>($C97*K97)*(1+'Datos de Entrada'!J$76)</f>
        <v>0</v>
      </c>
      <c r="AR97" s="186">
        <f>($C97*L97)*(1+'Datos de Entrada'!K$76)</f>
        <v>0</v>
      </c>
      <c r="AS97" s="186">
        <f>($C97*M97)*(1+'Datos de Entrada'!L$76)</f>
        <v>22957069.72812631</v>
      </c>
      <c r="AT97" s="186">
        <f>($C97*N97)*(1+'Datos de Entrada'!M$76)</f>
        <v>0</v>
      </c>
      <c r="AU97" s="186">
        <f>($C97*O97)*(1+'Datos de Entrada'!N$76)</f>
        <v>0</v>
      </c>
      <c r="AV97" s="186">
        <f>($C97*P97)*(1+'Datos de Entrada'!O$76)</f>
        <v>0</v>
      </c>
      <c r="AW97" s="186">
        <f>($C97*Q97)*(1+'Datos de Entrada'!P$76)</f>
        <v>0</v>
      </c>
      <c r="AX97" s="186">
        <f>($C97*R97)*(1+'Datos de Entrada'!Q$76)</f>
        <v>0</v>
      </c>
      <c r="AY97" s="186">
        <f>($C97*S97)*(1+'Datos de Entrada'!R$76)</f>
        <v>0</v>
      </c>
      <c r="AZ97" s="186">
        <f>($C97*T97)*(1+'Datos de Entrada'!S$76)</f>
        <v>0</v>
      </c>
      <c r="BA97" s="186">
        <f>($C97*U97)*(1+'Datos de Entrada'!T$76)</f>
        <v>0</v>
      </c>
      <c r="BB97" s="186">
        <f>($C97*V97)*(1+'Datos de Entrada'!U$76)</f>
        <v>0</v>
      </c>
      <c r="BC97" s="186">
        <f>($C97*W97)*(1+'Datos de Entrada'!V$76)</f>
        <v>35893393.347078867</v>
      </c>
      <c r="BD97" s="186">
        <f>($C97*X97)*(1+'Datos de Entrada'!W$76)</f>
        <v>0</v>
      </c>
      <c r="BE97" s="186">
        <f>($C97*Y97)*(1+'Datos de Entrada'!X$76)</f>
        <v>0</v>
      </c>
      <c r="BF97" s="186">
        <f>($C97*Z97)*(1+'Datos de Entrada'!Y$76)</f>
        <v>0</v>
      </c>
      <c r="BG97" s="186">
        <f>($C97*AA97)*(1+'Datos de Entrada'!Z$76)</f>
        <v>0</v>
      </c>
      <c r="BH97" s="186">
        <f>($C97*AB97)*(1+'Datos de Entrada'!AA$76)</f>
        <v>0</v>
      </c>
      <c r="BI97" s="186">
        <f>($C97*AC97)*(1+'Datos de Entrada'!AB$76)</f>
        <v>0</v>
      </c>
      <c r="BJ97" s="186">
        <f>($C97*AD97)*(1+'Datos de Entrada'!AC$76)</f>
        <v>0</v>
      </c>
      <c r="BK97" s="186">
        <f>($C97*AE97)*(1+'Datos de Entrada'!AD$76)</f>
        <v>0</v>
      </c>
      <c r="BL97" s="186">
        <f>($C97*AF97)*(1+'Datos de Entrada'!AE$76)</f>
        <v>0</v>
      </c>
      <c r="BM97" s="186">
        <f>($C97*AG97)*(1+'Datos de Entrada'!AF$76)</f>
        <v>49434994.078792937</v>
      </c>
      <c r="BN97" s="186">
        <f t="shared" si="11"/>
        <v>194215744.01038375</v>
      </c>
      <c r="BO97" s="209"/>
    </row>
    <row r="98" spans="1:67" s="197" customFormat="1" ht="12.75" customHeight="1" x14ac:dyDescent="0.2">
      <c r="A98" s="205" t="s">
        <v>92</v>
      </c>
      <c r="B98" s="190" t="s">
        <v>93</v>
      </c>
      <c r="C98" s="195">
        <f>'Datos de Entrada'!C59*'Datos de Entrada'!C17</f>
        <v>453741.8974661167</v>
      </c>
      <c r="D98" s="210">
        <v>2</v>
      </c>
      <c r="E98" s="208">
        <v>2</v>
      </c>
      <c r="F98" s="208">
        <v>2</v>
      </c>
      <c r="G98" s="208"/>
      <c r="H98" s="208">
        <v>2</v>
      </c>
      <c r="I98" s="208"/>
      <c r="J98" s="208">
        <v>2</v>
      </c>
      <c r="K98" s="208"/>
      <c r="L98" s="208"/>
      <c r="M98" s="208">
        <v>2</v>
      </c>
      <c r="N98" s="190"/>
      <c r="O98" s="190"/>
      <c r="P98" s="190"/>
      <c r="Q98" s="190"/>
      <c r="R98" s="190"/>
      <c r="S98" s="190"/>
      <c r="T98" s="190"/>
      <c r="U98" s="190"/>
      <c r="V98" s="190"/>
      <c r="W98" s="190">
        <v>2</v>
      </c>
      <c r="X98" s="190"/>
      <c r="Y98" s="190"/>
      <c r="Z98" s="190"/>
      <c r="AA98" s="190"/>
      <c r="AB98" s="190"/>
      <c r="AC98" s="190"/>
      <c r="AD98" s="190"/>
      <c r="AE98" s="190"/>
      <c r="AF98" s="190"/>
      <c r="AG98" s="208">
        <v>2</v>
      </c>
      <c r="AH98" s="190"/>
      <c r="AI98" s="190"/>
      <c r="AJ98" s="186">
        <f>($C98*D98)*(1+'Datos de Entrada'!C$76)</f>
        <v>907483.7949322334</v>
      </c>
      <c r="AK98" s="186">
        <f>($C98*E98)*(1+'Datos de Entrada'!D$76)</f>
        <v>947243.98889474734</v>
      </c>
      <c r="AL98" s="186">
        <f>($C98*F98)*(1+'Datos de Entrada'!E$76)</f>
        <v>989669.63649949536</v>
      </c>
      <c r="AM98" s="186">
        <f>($C98*G98)*(1+'Datos de Entrada'!F$76)</f>
        <v>0</v>
      </c>
      <c r="AN98" s="186">
        <f>($C98*H98)*(1+'Datos de Entrada'!G$76)</f>
        <v>1082805.3557063343</v>
      </c>
      <c r="AO98" s="186">
        <f>($C98*I98)*(1+'Datos de Entrada'!H$76)</f>
        <v>0</v>
      </c>
      <c r="AP98" s="186">
        <f>($C98*J98)*(1+'Datos de Entrada'!I$76)</f>
        <v>1187393.8428815491</v>
      </c>
      <c r="AQ98" s="186">
        <f>($C98*K98)*(1+'Datos de Entrada'!J$76)</f>
        <v>0</v>
      </c>
      <c r="AR98" s="186">
        <f>($C98*L98)*(1+'Datos de Entrada'!K$76)</f>
        <v>0</v>
      </c>
      <c r="AS98" s="186">
        <f>($C98*M98)*(1+'Datos de Entrada'!L$76)</f>
        <v>1366411.7217238243</v>
      </c>
      <c r="AT98" s="186">
        <f>($C98*N98)*(1+'Datos de Entrada'!M$76)</f>
        <v>0</v>
      </c>
      <c r="AU98" s="186">
        <f>($C98*O98)*(1+'Datos de Entrada'!N$76)</f>
        <v>0</v>
      </c>
      <c r="AV98" s="186">
        <f>($C98*P98)*(1+'Datos de Entrada'!O$76)</f>
        <v>0</v>
      </c>
      <c r="AW98" s="186">
        <f>($C98*Q98)*(1+'Datos de Entrada'!P$76)</f>
        <v>0</v>
      </c>
      <c r="AX98" s="186">
        <f>($C98*R98)*(1+'Datos de Entrada'!Q$76)</f>
        <v>0</v>
      </c>
      <c r="AY98" s="186">
        <f>($C98*S98)*(1+'Datos de Entrada'!R$76)</f>
        <v>0</v>
      </c>
      <c r="AZ98" s="186">
        <f>($C98*T98)*(1+'Datos de Entrada'!S$76)</f>
        <v>0</v>
      </c>
      <c r="BA98" s="186">
        <f>($C98*U98)*(1+'Datos de Entrada'!T$76)</f>
        <v>0</v>
      </c>
      <c r="BB98" s="186">
        <f>($C98*V98)*(1+'Datos de Entrada'!U$76)</f>
        <v>0</v>
      </c>
      <c r="BC98" s="186">
        <f>($C98*W98)*(1+'Datos de Entrada'!V$76)</f>
        <v>2136385.6094318451</v>
      </c>
      <c r="BD98" s="186">
        <f>($C98*X98)*(1+'Datos de Entrada'!W$76)</f>
        <v>0</v>
      </c>
      <c r="BE98" s="186">
        <f>($C98*Y98)*(1+'Datos de Entrada'!X$76)</f>
        <v>0</v>
      </c>
      <c r="BF98" s="186">
        <f>($C98*Z98)*(1+'Datos de Entrada'!Y$76)</f>
        <v>0</v>
      </c>
      <c r="BG98" s="186">
        <f>($C98*AA98)*(1+'Datos de Entrada'!Z$76)</f>
        <v>0</v>
      </c>
      <c r="BH98" s="186">
        <f>($C98*AB98)*(1+'Datos de Entrada'!AA$76)</f>
        <v>0</v>
      </c>
      <c r="BI98" s="186">
        <f>($C98*AC98)*(1+'Datos de Entrada'!AB$76)</f>
        <v>0</v>
      </c>
      <c r="BJ98" s="186">
        <f>($C98*AD98)*(1+'Datos de Entrada'!AC$76)</f>
        <v>0</v>
      </c>
      <c r="BK98" s="186">
        <f>($C98*AE98)*(1+'Datos de Entrada'!AD$76)</f>
        <v>0</v>
      </c>
      <c r="BL98" s="186">
        <f>($C98*AF98)*(1+'Datos de Entrada'!AE$76)</f>
        <v>0</v>
      </c>
      <c r="BM98" s="186">
        <f>($C98*AG98)*(1+'Datos de Entrada'!AF$76)</f>
        <v>2942385.7736447984</v>
      </c>
      <c r="BN98" s="186">
        <f t="shared" si="11"/>
        <v>11559779.723714825</v>
      </c>
    </row>
    <row r="99" spans="1:67" s="197" customFormat="1" ht="12.75" customHeight="1" x14ac:dyDescent="0.2">
      <c r="A99" s="205" t="s">
        <v>94</v>
      </c>
      <c r="B99" s="190" t="s">
        <v>39</v>
      </c>
      <c r="C99" s="195">
        <f>'Equipos y Herramientas'!C21*'Datos de Entrada'!C17</f>
        <v>362993.51797289337</v>
      </c>
      <c r="D99" s="210">
        <f t="shared" ref="D99:F99" si="15">4*8</f>
        <v>32</v>
      </c>
      <c r="E99" s="208">
        <f t="shared" si="15"/>
        <v>32</v>
      </c>
      <c r="F99" s="208">
        <f t="shared" si="15"/>
        <v>32</v>
      </c>
      <c r="G99" s="208"/>
      <c r="H99" s="208">
        <f>4*8</f>
        <v>32</v>
      </c>
      <c r="I99" s="208"/>
      <c r="J99" s="208">
        <f>4*8</f>
        <v>32</v>
      </c>
      <c r="K99" s="208"/>
      <c r="L99" s="208"/>
      <c r="M99" s="208">
        <f>4*8</f>
        <v>32</v>
      </c>
      <c r="N99" s="190"/>
      <c r="O99" s="190"/>
      <c r="P99" s="190"/>
      <c r="Q99" s="190"/>
      <c r="R99" s="190"/>
      <c r="S99" s="190"/>
      <c r="T99" s="190"/>
      <c r="U99" s="190"/>
      <c r="V99" s="190"/>
      <c r="W99" s="190">
        <f>4*8</f>
        <v>32</v>
      </c>
      <c r="X99" s="190"/>
      <c r="Y99" s="190"/>
      <c r="Z99" s="190"/>
      <c r="AA99" s="190"/>
      <c r="AB99" s="190"/>
      <c r="AC99" s="190"/>
      <c r="AD99" s="190"/>
      <c r="AE99" s="190"/>
      <c r="AF99" s="190"/>
      <c r="AG99" s="208">
        <f>4*8</f>
        <v>32</v>
      </c>
      <c r="AH99" s="190"/>
      <c r="AI99" s="190"/>
      <c r="AJ99" s="186">
        <f>($C99*D99)*(1+'Datos de Entrada'!C$76)</f>
        <v>11615792.575132588</v>
      </c>
      <c r="AK99" s="186">
        <f>($C99*E99)*(1+'Datos de Entrada'!D$76)</f>
        <v>12124723.057852766</v>
      </c>
      <c r="AL99" s="186">
        <f>($C99*F99)*(1+'Datos de Entrada'!E$76)</f>
        <v>12667771.347193541</v>
      </c>
      <c r="AM99" s="186">
        <f>($C99*G99)*(1+'Datos de Entrada'!F$76)</f>
        <v>0</v>
      </c>
      <c r="AN99" s="186">
        <f>($C99*H99)*(1+'Datos de Entrada'!G$76)</f>
        <v>13859908.553041078</v>
      </c>
      <c r="AO99" s="186">
        <f>($C99*I99)*(1+'Datos de Entrada'!H$76)</f>
        <v>0</v>
      </c>
      <c r="AP99" s="186">
        <f>($C99*J99)*(1+'Datos de Entrada'!I$76)</f>
        <v>15198641.18888383</v>
      </c>
      <c r="AQ99" s="186">
        <f>($C99*K99)*(1+'Datos de Entrada'!J$76)</f>
        <v>0</v>
      </c>
      <c r="AR99" s="186">
        <f>($C99*L99)*(1+'Datos de Entrada'!K$76)</f>
        <v>0</v>
      </c>
      <c r="AS99" s="186">
        <f>($C99*M99)*(1+'Datos de Entrada'!L$76)</f>
        <v>17490070.038064949</v>
      </c>
      <c r="AT99" s="186">
        <f>($C99*N99)*(1+'Datos de Entrada'!M$76)</f>
        <v>0</v>
      </c>
      <c r="AU99" s="186">
        <f>($C99*O99)*(1+'Datos de Entrada'!N$76)</f>
        <v>0</v>
      </c>
      <c r="AV99" s="186">
        <f>($C99*P99)*(1+'Datos de Entrada'!O$76)</f>
        <v>0</v>
      </c>
      <c r="AW99" s="186">
        <f>($C99*Q99)*(1+'Datos de Entrada'!P$76)</f>
        <v>0</v>
      </c>
      <c r="AX99" s="186">
        <f>($C99*R99)*(1+'Datos de Entrada'!Q$76)</f>
        <v>0</v>
      </c>
      <c r="AY99" s="186">
        <f>($C99*S99)*(1+'Datos de Entrada'!R$76)</f>
        <v>0</v>
      </c>
      <c r="AZ99" s="186">
        <f>($C99*T99)*(1+'Datos de Entrada'!S$76)</f>
        <v>0</v>
      </c>
      <c r="BA99" s="186">
        <f>($C99*U99)*(1+'Datos de Entrada'!T$76)</f>
        <v>0</v>
      </c>
      <c r="BB99" s="186">
        <f>($C99*V99)*(1+'Datos de Entrada'!U$76)</f>
        <v>0</v>
      </c>
      <c r="BC99" s="186">
        <f>($C99*W99)*(1+'Datos de Entrada'!V$76)</f>
        <v>27345735.800727621</v>
      </c>
      <c r="BD99" s="186">
        <f>($C99*X99)*(1+'Datos de Entrada'!W$76)</f>
        <v>0</v>
      </c>
      <c r="BE99" s="186">
        <f>($C99*Y99)*(1+'Datos de Entrada'!X$76)</f>
        <v>0</v>
      </c>
      <c r="BF99" s="186">
        <f>($C99*Z99)*(1+'Datos de Entrada'!Y$76)</f>
        <v>0</v>
      </c>
      <c r="BG99" s="186">
        <f>($C99*AA99)*(1+'Datos de Entrada'!Z$76)</f>
        <v>0</v>
      </c>
      <c r="BH99" s="186">
        <f>($C99*AB99)*(1+'Datos de Entrada'!AA$76)</f>
        <v>0</v>
      </c>
      <c r="BI99" s="186">
        <f>($C99*AC99)*(1+'Datos de Entrada'!AB$76)</f>
        <v>0</v>
      </c>
      <c r="BJ99" s="186">
        <f>($C99*AD99)*(1+'Datos de Entrada'!AC$76)</f>
        <v>0</v>
      </c>
      <c r="BK99" s="186">
        <f>($C99*AE99)*(1+'Datos de Entrada'!AD$76)</f>
        <v>0</v>
      </c>
      <c r="BL99" s="186">
        <f>($C99*AF99)*(1+'Datos de Entrada'!AE$76)</f>
        <v>0</v>
      </c>
      <c r="BM99" s="186">
        <f>($C99*AG99)*(1+'Datos de Entrada'!AF$76)</f>
        <v>37662537.902653418</v>
      </c>
      <c r="BN99" s="186">
        <f t="shared" si="11"/>
        <v>147965180.46354979</v>
      </c>
    </row>
    <row r="100" spans="1:67" s="197" customFormat="1" ht="12.75" customHeight="1" x14ac:dyDescent="0.2">
      <c r="A100" s="205" t="s">
        <v>95</v>
      </c>
      <c r="B100" s="190" t="s">
        <v>23</v>
      </c>
      <c r="C100" s="195">
        <f>'Equipos y Herramientas'!C25*'Datos de Entrada'!C17</f>
        <v>317619.32822628168</v>
      </c>
      <c r="D100" s="210">
        <f t="shared" ref="D100:F100" si="16">5*2</f>
        <v>10</v>
      </c>
      <c r="E100" s="208">
        <f t="shared" si="16"/>
        <v>10</v>
      </c>
      <c r="F100" s="208">
        <f t="shared" si="16"/>
        <v>10</v>
      </c>
      <c r="G100" s="208"/>
      <c r="H100" s="208">
        <v>5</v>
      </c>
      <c r="I100" s="208"/>
      <c r="J100" s="208">
        <v>5</v>
      </c>
      <c r="K100" s="208"/>
      <c r="L100" s="208"/>
      <c r="M100" s="208">
        <v>5</v>
      </c>
      <c r="N100" s="190"/>
      <c r="O100" s="190"/>
      <c r="P100" s="190"/>
      <c r="Q100" s="190"/>
      <c r="R100" s="190"/>
      <c r="S100" s="190"/>
      <c r="T100" s="190"/>
      <c r="U100" s="190"/>
      <c r="V100" s="190"/>
      <c r="W100" s="190">
        <v>5</v>
      </c>
      <c r="X100" s="190"/>
      <c r="Y100" s="190"/>
      <c r="Z100" s="190"/>
      <c r="AA100" s="190"/>
      <c r="AB100" s="190"/>
      <c r="AC100" s="190"/>
      <c r="AD100" s="190"/>
      <c r="AE100" s="190"/>
      <c r="AF100" s="190"/>
      <c r="AG100" s="208">
        <v>5</v>
      </c>
      <c r="AH100" s="190"/>
      <c r="AI100" s="190"/>
      <c r="AJ100" s="186">
        <f>($C100*D100)*(1+'Datos de Entrada'!C$76)</f>
        <v>3176193.282262817</v>
      </c>
      <c r="AK100" s="186">
        <f>($C100*E100)*(1+'Datos de Entrada'!D$76)</f>
        <v>3315353.9611316156</v>
      </c>
      <c r="AL100" s="186">
        <f>($C100*F100)*(1+'Datos de Entrada'!E$76)</f>
        <v>3463843.7277482343</v>
      </c>
      <c r="AM100" s="186">
        <f>($C100*G100)*(1+'Datos de Entrada'!F$76)</f>
        <v>0</v>
      </c>
      <c r="AN100" s="186">
        <f>($C100*H100)*(1+'Datos de Entrada'!G$76)</f>
        <v>1894909.3724860849</v>
      </c>
      <c r="AO100" s="186">
        <f>($C100*I100)*(1+'Datos de Entrada'!H$76)</f>
        <v>0</v>
      </c>
      <c r="AP100" s="186">
        <f>($C100*J100)*(1+'Datos de Entrada'!I$76)</f>
        <v>2077939.225042711</v>
      </c>
      <c r="AQ100" s="186">
        <f>($C100*K100)*(1+'Datos de Entrada'!J$76)</f>
        <v>0</v>
      </c>
      <c r="AR100" s="186">
        <f>($C100*L100)*(1+'Datos de Entrada'!K$76)</f>
        <v>0</v>
      </c>
      <c r="AS100" s="186">
        <f>($C100*M100)*(1+'Datos de Entrada'!L$76)</f>
        <v>2391220.5130166924</v>
      </c>
      <c r="AT100" s="186">
        <f>($C100*N100)*(1+'Datos de Entrada'!M$76)</f>
        <v>0</v>
      </c>
      <c r="AU100" s="186">
        <f>($C100*O100)*(1+'Datos de Entrada'!N$76)</f>
        <v>0</v>
      </c>
      <c r="AV100" s="186">
        <f>($C100*P100)*(1+'Datos de Entrada'!O$76)</f>
        <v>0</v>
      </c>
      <c r="AW100" s="186">
        <f>($C100*Q100)*(1+'Datos de Entrada'!P$76)</f>
        <v>0</v>
      </c>
      <c r="AX100" s="186">
        <f>($C100*R100)*(1+'Datos de Entrada'!Q$76)</f>
        <v>0</v>
      </c>
      <c r="AY100" s="186">
        <f>($C100*S100)*(1+'Datos de Entrada'!R$76)</f>
        <v>0</v>
      </c>
      <c r="AZ100" s="186">
        <f>($C100*T100)*(1+'Datos de Entrada'!S$76)</f>
        <v>0</v>
      </c>
      <c r="BA100" s="186">
        <f>($C100*U100)*(1+'Datos de Entrada'!T$76)</f>
        <v>0</v>
      </c>
      <c r="BB100" s="186">
        <f>($C100*V100)*(1+'Datos de Entrada'!U$76)</f>
        <v>0</v>
      </c>
      <c r="BC100" s="186">
        <f>($C100*W100)*(1+'Datos de Entrada'!V$76)</f>
        <v>3738674.8165057292</v>
      </c>
      <c r="BD100" s="186">
        <f>($C100*X100)*(1+'Datos de Entrada'!W$76)</f>
        <v>0</v>
      </c>
      <c r="BE100" s="186">
        <f>($C100*Y100)*(1+'Datos de Entrada'!X$76)</f>
        <v>0</v>
      </c>
      <c r="BF100" s="186">
        <f>($C100*Z100)*(1+'Datos de Entrada'!Y$76)</f>
        <v>0</v>
      </c>
      <c r="BG100" s="186">
        <f>($C100*AA100)*(1+'Datos de Entrada'!Z$76)</f>
        <v>0</v>
      </c>
      <c r="BH100" s="186">
        <f>($C100*AB100)*(1+'Datos de Entrada'!AA$76)</f>
        <v>0</v>
      </c>
      <c r="BI100" s="186">
        <f>($C100*AC100)*(1+'Datos de Entrada'!AB$76)</f>
        <v>0</v>
      </c>
      <c r="BJ100" s="186">
        <f>($C100*AD100)*(1+'Datos de Entrada'!AC$76)</f>
        <v>0</v>
      </c>
      <c r="BK100" s="186">
        <f>($C100*AE100)*(1+'Datos de Entrada'!AD$76)</f>
        <v>0</v>
      </c>
      <c r="BL100" s="186">
        <f>($C100*AF100)*(1+'Datos de Entrada'!AE$76)</f>
        <v>0</v>
      </c>
      <c r="BM100" s="186">
        <f>($C100*AG100)*(1+'Datos de Entrada'!AF$76)</f>
        <v>5149175.1038783975</v>
      </c>
      <c r="BN100" s="186">
        <f t="shared" si="11"/>
        <v>25207310.002072282</v>
      </c>
    </row>
    <row r="101" spans="1:67" s="197" customFormat="1" ht="12.75" customHeight="1" x14ac:dyDescent="0.2">
      <c r="A101" s="205" t="s">
        <v>96</v>
      </c>
      <c r="B101" s="190" t="s">
        <v>23</v>
      </c>
      <c r="C101" s="195">
        <f>'Equipos y Herramientas'!C25*'Datos de Entrada'!C17</f>
        <v>317619.32822628168</v>
      </c>
      <c r="D101" s="210">
        <v>6</v>
      </c>
      <c r="E101" s="208">
        <v>6</v>
      </c>
      <c r="F101" s="208">
        <v>6</v>
      </c>
      <c r="G101" s="208"/>
      <c r="H101" s="208">
        <v>6</v>
      </c>
      <c r="I101" s="208"/>
      <c r="J101" s="208">
        <v>6</v>
      </c>
      <c r="K101" s="208"/>
      <c r="L101" s="208"/>
      <c r="M101" s="208">
        <v>6</v>
      </c>
      <c r="N101" s="190"/>
      <c r="O101" s="190"/>
      <c r="P101" s="190"/>
      <c r="Q101" s="190"/>
      <c r="R101" s="190"/>
      <c r="S101" s="190"/>
      <c r="T101" s="190"/>
      <c r="U101" s="190"/>
      <c r="V101" s="190"/>
      <c r="W101" s="190">
        <v>6</v>
      </c>
      <c r="X101" s="190"/>
      <c r="Y101" s="190"/>
      <c r="Z101" s="190"/>
      <c r="AA101" s="190"/>
      <c r="AB101" s="190"/>
      <c r="AC101" s="190"/>
      <c r="AD101" s="190"/>
      <c r="AE101" s="190"/>
      <c r="AF101" s="190"/>
      <c r="AG101" s="208">
        <v>6</v>
      </c>
      <c r="AH101" s="190"/>
      <c r="AI101" s="190"/>
      <c r="AJ101" s="186">
        <f>($C101*D101)*(1+'Datos de Entrada'!C$76)</f>
        <v>1905715.9693576901</v>
      </c>
      <c r="AK101" s="186">
        <f>($C101*E101)*(1+'Datos de Entrada'!D$76)</f>
        <v>1989212.3766789692</v>
      </c>
      <c r="AL101" s="186">
        <f>($C101*F101)*(1+'Datos de Entrada'!E$76)</f>
        <v>2078306.2366489402</v>
      </c>
      <c r="AM101" s="186">
        <f>($C101*G101)*(1+'Datos de Entrada'!F$76)</f>
        <v>0</v>
      </c>
      <c r="AN101" s="186">
        <f>($C101*H101)*(1+'Datos de Entrada'!G$76)</f>
        <v>2273891.2469833018</v>
      </c>
      <c r="AO101" s="186">
        <f>($C101*I101)*(1+'Datos de Entrada'!H$76)</f>
        <v>0</v>
      </c>
      <c r="AP101" s="186">
        <f>($C101*J101)*(1+'Datos de Entrada'!I$76)</f>
        <v>2493527.0700512533</v>
      </c>
      <c r="AQ101" s="186">
        <f>($C101*K101)*(1+'Datos de Entrada'!J$76)</f>
        <v>0</v>
      </c>
      <c r="AR101" s="186">
        <f>($C101*L101)*(1+'Datos de Entrada'!K$76)</f>
        <v>0</v>
      </c>
      <c r="AS101" s="186">
        <f>($C101*M101)*(1+'Datos de Entrada'!L$76)</f>
        <v>2869464.615620031</v>
      </c>
      <c r="AT101" s="186">
        <f>($C101*N101)*(1+'Datos de Entrada'!M$76)</f>
        <v>0</v>
      </c>
      <c r="AU101" s="186">
        <f>($C101*O101)*(1+'Datos de Entrada'!N$76)</f>
        <v>0</v>
      </c>
      <c r="AV101" s="186">
        <f>($C101*P101)*(1+'Datos de Entrada'!O$76)</f>
        <v>0</v>
      </c>
      <c r="AW101" s="186">
        <f>($C101*Q101)*(1+'Datos de Entrada'!P$76)</f>
        <v>0</v>
      </c>
      <c r="AX101" s="186">
        <f>($C101*R101)*(1+'Datos de Entrada'!Q$76)</f>
        <v>0</v>
      </c>
      <c r="AY101" s="186">
        <f>($C101*S101)*(1+'Datos de Entrada'!R$76)</f>
        <v>0</v>
      </c>
      <c r="AZ101" s="186">
        <f>($C101*T101)*(1+'Datos de Entrada'!S$76)</f>
        <v>0</v>
      </c>
      <c r="BA101" s="186">
        <f>($C101*U101)*(1+'Datos de Entrada'!T$76)</f>
        <v>0</v>
      </c>
      <c r="BB101" s="186">
        <f>($C101*V101)*(1+'Datos de Entrada'!U$76)</f>
        <v>0</v>
      </c>
      <c r="BC101" s="186">
        <f>($C101*W101)*(1+'Datos de Entrada'!V$76)</f>
        <v>4486409.7798068747</v>
      </c>
      <c r="BD101" s="186">
        <f>($C101*X101)*(1+'Datos de Entrada'!W$76)</f>
        <v>0</v>
      </c>
      <c r="BE101" s="186">
        <f>($C101*Y101)*(1+'Datos de Entrada'!X$76)</f>
        <v>0</v>
      </c>
      <c r="BF101" s="186">
        <f>($C101*Z101)*(1+'Datos de Entrada'!Y$76)</f>
        <v>0</v>
      </c>
      <c r="BG101" s="186">
        <f>($C101*AA101)*(1+'Datos de Entrada'!Z$76)</f>
        <v>0</v>
      </c>
      <c r="BH101" s="186">
        <f>($C101*AB101)*(1+'Datos de Entrada'!AA$76)</f>
        <v>0</v>
      </c>
      <c r="BI101" s="186">
        <f>($C101*AC101)*(1+'Datos de Entrada'!AB$76)</f>
        <v>0</v>
      </c>
      <c r="BJ101" s="186">
        <f>($C101*AD101)*(1+'Datos de Entrada'!AC$76)</f>
        <v>0</v>
      </c>
      <c r="BK101" s="186">
        <f>($C101*AE101)*(1+'Datos de Entrada'!AD$76)</f>
        <v>0</v>
      </c>
      <c r="BL101" s="186">
        <f>($C101*AF101)*(1+'Datos de Entrada'!AE$76)</f>
        <v>0</v>
      </c>
      <c r="BM101" s="186">
        <f>($C101*AG101)*(1+'Datos de Entrada'!AF$76)</f>
        <v>6179010.1246540761</v>
      </c>
      <c r="BN101" s="186">
        <f t="shared" si="11"/>
        <v>24275537.419801138</v>
      </c>
    </row>
    <row r="102" spans="1:67" s="197" customFormat="1" ht="12.75" customHeight="1" x14ac:dyDescent="0.2">
      <c r="A102" s="205" t="s">
        <v>97</v>
      </c>
      <c r="B102" s="190" t="s">
        <v>98</v>
      </c>
      <c r="C102" s="195">
        <f>'Equipos y Herramientas'!C27*'Datos de Entrada'!C17</f>
        <v>4900412.4926340608</v>
      </c>
      <c r="D102" s="210">
        <v>1</v>
      </c>
      <c r="E102" s="208">
        <v>1</v>
      </c>
      <c r="F102" s="208">
        <v>1</v>
      </c>
      <c r="G102" s="208"/>
      <c r="H102" s="208">
        <v>1</v>
      </c>
      <c r="I102" s="208"/>
      <c r="J102" s="208">
        <v>1</v>
      </c>
      <c r="K102" s="208"/>
      <c r="L102" s="208"/>
      <c r="M102" s="208">
        <v>1</v>
      </c>
      <c r="N102" s="190"/>
      <c r="O102" s="190"/>
      <c r="P102" s="190"/>
      <c r="Q102" s="190"/>
      <c r="R102" s="190"/>
      <c r="S102" s="190"/>
      <c r="T102" s="190"/>
      <c r="U102" s="190"/>
      <c r="V102" s="190"/>
      <c r="W102" s="190">
        <v>1</v>
      </c>
      <c r="X102" s="190"/>
      <c r="Y102" s="190"/>
      <c r="Z102" s="190"/>
      <c r="AA102" s="190"/>
      <c r="AB102" s="190"/>
      <c r="AC102" s="190"/>
      <c r="AD102" s="190"/>
      <c r="AE102" s="190"/>
      <c r="AF102" s="190"/>
      <c r="AG102" s="208">
        <v>1</v>
      </c>
      <c r="AH102" s="190"/>
      <c r="AI102" s="190"/>
      <c r="AJ102" s="186">
        <f>($C102*D102)*(1+'Datos de Entrada'!C$76)</f>
        <v>4900412.4926340608</v>
      </c>
      <c r="AK102" s="186">
        <f>($C102*E102)*(1+'Datos de Entrada'!D$76)</f>
        <v>5115117.5400316361</v>
      </c>
      <c r="AL102" s="186">
        <f>($C102*F102)*(1+'Datos de Entrada'!E$76)</f>
        <v>5344216.0370972762</v>
      </c>
      <c r="AM102" s="186">
        <f>($C102*G102)*(1+'Datos de Entrada'!F$76)</f>
        <v>0</v>
      </c>
      <c r="AN102" s="186">
        <f>($C102*H102)*(1+'Datos de Entrada'!G$76)</f>
        <v>5847148.920814205</v>
      </c>
      <c r="AO102" s="186">
        <f>($C102*I102)*(1+'Datos de Entrada'!H$76)</f>
        <v>0</v>
      </c>
      <c r="AP102" s="186">
        <f>($C102*J102)*(1+'Datos de Entrada'!I$76)</f>
        <v>6411926.7515603658</v>
      </c>
      <c r="AQ102" s="186">
        <f>($C102*K102)*(1+'Datos de Entrada'!J$76)</f>
        <v>0</v>
      </c>
      <c r="AR102" s="186">
        <f>($C102*L102)*(1+'Datos de Entrada'!K$76)</f>
        <v>0</v>
      </c>
      <c r="AS102" s="186">
        <f>($C102*M102)*(1+'Datos de Entrada'!L$76)</f>
        <v>7378623.2973086517</v>
      </c>
      <c r="AT102" s="186">
        <f>($C102*N102)*(1+'Datos de Entrada'!M$76)</f>
        <v>0</v>
      </c>
      <c r="AU102" s="186">
        <f>($C102*O102)*(1+'Datos de Entrada'!N$76)</f>
        <v>0</v>
      </c>
      <c r="AV102" s="186">
        <f>($C102*P102)*(1+'Datos de Entrada'!O$76)</f>
        <v>0</v>
      </c>
      <c r="AW102" s="186">
        <f>($C102*Q102)*(1+'Datos de Entrada'!P$76)</f>
        <v>0</v>
      </c>
      <c r="AX102" s="186">
        <f>($C102*R102)*(1+'Datos de Entrada'!Q$76)</f>
        <v>0</v>
      </c>
      <c r="AY102" s="186">
        <f>($C102*S102)*(1+'Datos de Entrada'!R$76)</f>
        <v>0</v>
      </c>
      <c r="AZ102" s="186">
        <f>($C102*T102)*(1+'Datos de Entrada'!S$76)</f>
        <v>0</v>
      </c>
      <c r="BA102" s="186">
        <f>($C102*U102)*(1+'Datos de Entrada'!T$76)</f>
        <v>0</v>
      </c>
      <c r="BB102" s="186">
        <f>($C102*V102)*(1+'Datos de Entrada'!U$76)</f>
        <v>0</v>
      </c>
      <c r="BC102" s="186">
        <f>($C102*W102)*(1+'Datos de Entrada'!V$76)</f>
        <v>11536482.290931966</v>
      </c>
      <c r="BD102" s="186">
        <f>($C102*X102)*(1+'Datos de Entrada'!W$76)</f>
        <v>0</v>
      </c>
      <c r="BE102" s="186">
        <f>($C102*Y102)*(1+'Datos de Entrada'!X$76)</f>
        <v>0</v>
      </c>
      <c r="BF102" s="186">
        <f>($C102*Z102)*(1+'Datos de Entrada'!Y$76)</f>
        <v>0</v>
      </c>
      <c r="BG102" s="186">
        <f>($C102*AA102)*(1+'Datos de Entrada'!Z$76)</f>
        <v>0</v>
      </c>
      <c r="BH102" s="186">
        <f>($C102*AB102)*(1+'Datos de Entrada'!AA$76)</f>
        <v>0</v>
      </c>
      <c r="BI102" s="186">
        <f>($C102*AC102)*(1+'Datos de Entrada'!AB$76)</f>
        <v>0</v>
      </c>
      <c r="BJ102" s="186">
        <f>($C102*AD102)*(1+'Datos de Entrada'!AC$76)</f>
        <v>0</v>
      </c>
      <c r="BK102" s="186">
        <f>($C102*AE102)*(1+'Datos de Entrada'!AD$76)</f>
        <v>0</v>
      </c>
      <c r="BL102" s="186">
        <f>($C102*AF102)*(1+'Datos de Entrada'!AE$76)</f>
        <v>0</v>
      </c>
      <c r="BM102" s="186">
        <f>($C102*AG102)*(1+'Datos de Entrada'!AF$76)</f>
        <v>15888883.177681912</v>
      </c>
      <c r="BN102" s="186">
        <f t="shared" si="11"/>
        <v>62422810.508060068</v>
      </c>
    </row>
    <row r="103" spans="1:67" ht="12.75" customHeight="1" x14ac:dyDescent="0.2">
      <c r="A103" s="35"/>
      <c r="B103" s="18"/>
      <c r="C103" s="19"/>
      <c r="D103" s="20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9"/>
      <c r="AJ103" s="26"/>
      <c r="AK103" s="26"/>
      <c r="AL103" s="26"/>
      <c r="AM103" s="26"/>
      <c r="AN103" s="26"/>
      <c r="AO103" s="26"/>
      <c r="AP103" s="26"/>
      <c r="AQ103" s="26"/>
      <c r="AR103" s="26"/>
      <c r="AS103" s="26"/>
      <c r="AT103" s="26"/>
      <c r="AU103" s="26"/>
      <c r="AV103" s="26"/>
      <c r="AW103" s="26"/>
      <c r="AX103" s="26"/>
      <c r="AY103" s="26"/>
      <c r="AZ103" s="26"/>
      <c r="BA103" s="26"/>
      <c r="BB103" s="26"/>
      <c r="BC103" s="26"/>
      <c r="BD103" s="26"/>
      <c r="BE103" s="26"/>
      <c r="BF103" s="26"/>
      <c r="BG103" s="26"/>
      <c r="BH103" s="26"/>
      <c r="BI103" s="26"/>
      <c r="BJ103" s="26"/>
      <c r="BK103" s="26"/>
      <c r="BL103" s="26"/>
      <c r="BM103" s="26"/>
    </row>
    <row r="104" spans="1:67" ht="12.75" customHeight="1" x14ac:dyDescent="0.2">
      <c r="A104" s="39"/>
      <c r="B104" s="40"/>
      <c r="C104" s="41"/>
      <c r="D104" s="42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F104" s="40"/>
      <c r="AG104" s="40"/>
      <c r="AH104" s="3"/>
      <c r="AI104" s="40"/>
      <c r="AJ104" s="43"/>
      <c r="AK104" s="43"/>
      <c r="AL104" s="43"/>
      <c r="AM104" s="43"/>
      <c r="AN104" s="43"/>
      <c r="AO104" s="43"/>
      <c r="AP104" s="43"/>
      <c r="AQ104" s="43"/>
      <c r="AR104" s="43"/>
      <c r="AS104" s="43"/>
      <c r="AT104" s="43"/>
      <c r="AU104" s="43"/>
      <c r="AV104" s="43"/>
      <c r="AW104" s="43"/>
      <c r="AX104" s="43"/>
      <c r="AY104" s="43"/>
      <c r="AZ104" s="43"/>
      <c r="BA104" s="43"/>
      <c r="BB104" s="43"/>
      <c r="BC104" s="43"/>
      <c r="BD104" s="43"/>
      <c r="BE104" s="43"/>
      <c r="BF104" s="43"/>
      <c r="BG104" s="43"/>
      <c r="BH104" s="43"/>
      <c r="BI104" s="43"/>
      <c r="BJ104" s="43"/>
      <c r="BK104" s="43"/>
      <c r="BL104" s="43"/>
      <c r="BM104" s="43"/>
    </row>
    <row r="105" spans="1:67" ht="12.75" customHeight="1" x14ac:dyDescent="0.2">
      <c r="A105" s="39" t="s">
        <v>99</v>
      </c>
      <c r="B105" s="40"/>
      <c r="C105" s="41"/>
      <c r="D105" s="42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F105" s="40"/>
      <c r="AG105" s="40"/>
      <c r="AH105" s="3">
        <f>SUM(AJ105:BM105)</f>
        <v>11755244577.090517</v>
      </c>
      <c r="AI105" s="40"/>
      <c r="AJ105" s="43">
        <f t="shared" ref="AJ105:BM105" si="17">AJ4+AJ18+AJ40+AJ75+AJ67+AJ35</f>
        <v>1999095875.1798663</v>
      </c>
      <c r="AK105" s="43">
        <f t="shared" si="17"/>
        <v>614849168.40033162</v>
      </c>
      <c r="AL105" s="43">
        <f t="shared" si="17"/>
        <v>348998789.42724305</v>
      </c>
      <c r="AM105" s="43">
        <f t="shared" si="17"/>
        <v>632239314.30375516</v>
      </c>
      <c r="AN105" s="43">
        <f t="shared" si="17"/>
        <v>331148728.98084927</v>
      </c>
      <c r="AO105" s="43">
        <f t="shared" si="17"/>
        <v>149845716.30520934</v>
      </c>
      <c r="AP105" s="43">
        <f t="shared" si="17"/>
        <v>243565586.991036</v>
      </c>
      <c r="AQ105" s="43">
        <f t="shared" si="17"/>
        <v>209429610.48306018</v>
      </c>
      <c r="AR105" s="43">
        <f t="shared" si="17"/>
        <v>172333077.91317773</v>
      </c>
      <c r="AS105" s="43">
        <f t="shared" si="17"/>
        <v>350757067.82577783</v>
      </c>
      <c r="AT105" s="43">
        <f t="shared" si="17"/>
        <v>241062155.41510803</v>
      </c>
      <c r="AU105" s="43">
        <f t="shared" si="17"/>
        <v>198337798.10236147</v>
      </c>
      <c r="AV105" s="43">
        <f t="shared" si="17"/>
        <v>207765925.15247843</v>
      </c>
      <c r="AW105" s="43">
        <f t="shared" si="17"/>
        <v>217553840.48307741</v>
      </c>
      <c r="AX105" s="43">
        <f t="shared" si="17"/>
        <v>227682625.71469826</v>
      </c>
      <c r="AY105" s="43">
        <f t="shared" si="17"/>
        <v>303268088.08789474</v>
      </c>
      <c r="AZ105" s="43">
        <f t="shared" si="17"/>
        <v>248860672.41227156</v>
      </c>
      <c r="BA105" s="43">
        <f t="shared" si="17"/>
        <v>259844321.24879336</v>
      </c>
      <c r="BB105" s="43">
        <f t="shared" si="17"/>
        <v>271036818.22983587</v>
      </c>
      <c r="BC105" s="43">
        <f t="shared" si="17"/>
        <v>548408902.08709645</v>
      </c>
      <c r="BD105" s="43">
        <f t="shared" si="17"/>
        <v>374226428.84800243</v>
      </c>
      <c r="BE105" s="43">
        <f t="shared" si="17"/>
        <v>305341659.25154364</v>
      </c>
      <c r="BF105" s="43">
        <f t="shared" si="17"/>
        <v>316808273.24024987</v>
      </c>
      <c r="BG105" s="43">
        <f t="shared" si="17"/>
        <v>328167444.6166901</v>
      </c>
      <c r="BH105" s="43">
        <f t="shared" si="17"/>
        <v>339334780.63291264</v>
      </c>
      <c r="BI105" s="43">
        <f t="shared" si="17"/>
        <v>350219432.07913566</v>
      </c>
      <c r="BJ105" s="43">
        <f t="shared" si="17"/>
        <v>360724683.9046334</v>
      </c>
      <c r="BK105" s="43">
        <f t="shared" si="17"/>
        <v>370748740.94335592</v>
      </c>
      <c r="BL105" s="43">
        <f t="shared" si="17"/>
        <v>484185472.60440463</v>
      </c>
      <c r="BM105" s="43">
        <f t="shared" si="17"/>
        <v>749403578.22566783</v>
      </c>
    </row>
    <row r="106" spans="1:67" ht="12.75" customHeight="1" x14ac:dyDescent="0.2">
      <c r="A106" s="35"/>
      <c r="B106" s="18"/>
      <c r="C106" s="19"/>
      <c r="D106" s="20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9"/>
      <c r="AJ106" s="44">
        <f t="shared" ref="AJ106:BM106" si="18">+$C106*D106</f>
        <v>0</v>
      </c>
      <c r="AK106" s="44">
        <f t="shared" si="18"/>
        <v>0</v>
      </c>
      <c r="AL106" s="44">
        <f t="shared" si="18"/>
        <v>0</v>
      </c>
      <c r="AM106" s="44">
        <f t="shared" si="18"/>
        <v>0</v>
      </c>
      <c r="AN106" s="44">
        <f t="shared" si="18"/>
        <v>0</v>
      </c>
      <c r="AO106" s="44">
        <f t="shared" si="18"/>
        <v>0</v>
      </c>
      <c r="AP106" s="44">
        <f t="shared" si="18"/>
        <v>0</v>
      </c>
      <c r="AQ106" s="44">
        <f t="shared" si="18"/>
        <v>0</v>
      </c>
      <c r="AR106" s="44">
        <f t="shared" si="18"/>
        <v>0</v>
      </c>
      <c r="AS106" s="44">
        <f t="shared" si="18"/>
        <v>0</v>
      </c>
      <c r="AT106" s="44">
        <f t="shared" si="18"/>
        <v>0</v>
      </c>
      <c r="AU106" s="44">
        <f t="shared" si="18"/>
        <v>0</v>
      </c>
      <c r="AV106" s="44">
        <f t="shared" si="18"/>
        <v>0</v>
      </c>
      <c r="AW106" s="44">
        <f t="shared" si="18"/>
        <v>0</v>
      </c>
      <c r="AX106" s="44">
        <f t="shared" si="18"/>
        <v>0</v>
      </c>
      <c r="AY106" s="44">
        <f t="shared" si="18"/>
        <v>0</v>
      </c>
      <c r="AZ106" s="44">
        <f t="shared" si="18"/>
        <v>0</v>
      </c>
      <c r="BA106" s="44">
        <f t="shared" si="18"/>
        <v>0</v>
      </c>
      <c r="BB106" s="44">
        <f t="shared" si="18"/>
        <v>0</v>
      </c>
      <c r="BC106" s="44">
        <f t="shared" si="18"/>
        <v>0</v>
      </c>
      <c r="BD106" s="44">
        <f t="shared" si="18"/>
        <v>0</v>
      </c>
      <c r="BE106" s="44">
        <f t="shared" si="18"/>
        <v>0</v>
      </c>
      <c r="BF106" s="44">
        <f t="shared" si="18"/>
        <v>0</v>
      </c>
      <c r="BG106" s="44">
        <f t="shared" si="18"/>
        <v>0</v>
      </c>
      <c r="BH106" s="44">
        <f t="shared" si="18"/>
        <v>0</v>
      </c>
      <c r="BI106" s="44">
        <f t="shared" si="18"/>
        <v>0</v>
      </c>
      <c r="BJ106" s="44">
        <f t="shared" si="18"/>
        <v>0</v>
      </c>
      <c r="BK106" s="44">
        <f t="shared" si="18"/>
        <v>0</v>
      </c>
      <c r="BL106" s="44">
        <f t="shared" si="18"/>
        <v>0</v>
      </c>
      <c r="BM106" s="44">
        <f t="shared" si="18"/>
        <v>0</v>
      </c>
    </row>
    <row r="107" spans="1:67" ht="12.75" customHeight="1" x14ac:dyDescent="0.2">
      <c r="A107" s="31" t="s">
        <v>100</v>
      </c>
      <c r="B107" s="31"/>
      <c r="C107" s="31"/>
      <c r="D107" s="32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">
        <f>SUM(AJ107:BM107)</f>
        <v>2375306053.7304034</v>
      </c>
      <c r="AI107" s="31"/>
      <c r="AJ107" s="33">
        <f>SUM(AJ108:AJ110)</f>
        <v>201698239.84456158</v>
      </c>
      <c r="AK107" s="33">
        <f t="shared" ref="AK107:BL107" si="19">SUM(AK108:AK110)</f>
        <v>78070280.889503777</v>
      </c>
      <c r="AL107" s="33">
        <f t="shared" si="19"/>
        <v>55161962.324439764</v>
      </c>
      <c r="AM107" s="33">
        <f t="shared" si="19"/>
        <v>81737560.469645262</v>
      </c>
      <c r="AN107" s="33">
        <f t="shared" si="19"/>
        <v>55790714.14522846</v>
      </c>
      <c r="AO107" s="33">
        <f t="shared" si="19"/>
        <v>40693529.04689683</v>
      </c>
      <c r="AP107" s="33">
        <f t="shared" si="19"/>
        <v>50418355.058350429</v>
      </c>
      <c r="AQ107" s="33">
        <f t="shared" si="19"/>
        <v>48706964.46338632</v>
      </c>
      <c r="AR107" s="33">
        <f t="shared" si="19"/>
        <v>46800411.014200166</v>
      </c>
      <c r="AS107" s="33">
        <f t="shared" si="19"/>
        <v>64362017.425691791</v>
      </c>
      <c r="AT107" s="33">
        <f t="shared" si="19"/>
        <v>56063733.347871959</v>
      </c>
      <c r="AU107" s="33">
        <f t="shared" si="19"/>
        <v>53862500.358279631</v>
      </c>
      <c r="AV107" s="33">
        <f t="shared" si="19"/>
        <v>56422892.282933079</v>
      </c>
      <c r="AW107" s="33">
        <f t="shared" si="19"/>
        <v>59080991.737728432</v>
      </c>
      <c r="AX107" s="33">
        <f t="shared" si="19"/>
        <v>61831661.06746231</v>
      </c>
      <c r="AY107" s="33">
        <f t="shared" si="19"/>
        <v>70530943.333683848</v>
      </c>
      <c r="AZ107" s="33">
        <f t="shared" si="19"/>
        <v>67582973.014804751</v>
      </c>
      <c r="BA107" s="33">
        <f t="shared" si="19"/>
        <v>70565797.242222279</v>
      </c>
      <c r="BB107" s="33">
        <f t="shared" si="19"/>
        <v>73605338.259715661</v>
      </c>
      <c r="BC107" s="33">
        <f t="shared" si="19"/>
        <v>100630055.81420296</v>
      </c>
      <c r="BD107" s="33">
        <f t="shared" si="19"/>
        <v>87033697.523082376</v>
      </c>
      <c r="BE107" s="33">
        <f t="shared" si="19"/>
        <v>82921487.42291674</v>
      </c>
      <c r="BF107" s="33">
        <f t="shared" si="19"/>
        <v>86035470.264231712</v>
      </c>
      <c r="BG107" s="33">
        <f t="shared" si="19"/>
        <v>89120274.96705243</v>
      </c>
      <c r="BH107" s="33">
        <f t="shared" si="19"/>
        <v>92152983.033441171</v>
      </c>
      <c r="BI107" s="33">
        <f t="shared" si="19"/>
        <v>95108922.587228894</v>
      </c>
      <c r="BJ107" s="33">
        <f t="shared" si="19"/>
        <v>97961828.768645018</v>
      </c>
      <c r="BK107" s="33">
        <f t="shared" si="19"/>
        <v>100684057.11344573</v>
      </c>
      <c r="BL107" s="33">
        <f t="shared" si="19"/>
        <v>112606830.30176473</v>
      </c>
      <c r="BM107" s="33">
        <f>SUM(BM108:BM110)</f>
        <v>138063580.60778528</v>
      </c>
      <c r="BN107" s="34"/>
      <c r="BO107" s="34"/>
    </row>
    <row r="108" spans="1:67" ht="12.75" customHeight="1" x14ac:dyDescent="0.2">
      <c r="A108" s="19" t="s">
        <v>101</v>
      </c>
      <c r="B108" s="18" t="s">
        <v>102</v>
      </c>
      <c r="C108" s="45">
        <v>0.06</v>
      </c>
      <c r="D108" s="20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21">
        <f>SUM(AJ108:BM108)</f>
        <v>705314674.62543106</v>
      </c>
      <c r="AI108" s="9"/>
      <c r="AJ108" s="44">
        <f>+$C$108*AJ$105</f>
        <v>119945752.51079197</v>
      </c>
      <c r="AK108" s="44">
        <f>+$C$108*AK$105</f>
        <v>36890950.104019895</v>
      </c>
      <c r="AL108" s="44">
        <f t="shared" ref="AL108:BM108" si="20">+$C$108*AL$105</f>
        <v>20939927.365634583</v>
      </c>
      <c r="AM108" s="44">
        <f t="shared" si="20"/>
        <v>37934358.858225308</v>
      </c>
      <c r="AN108" s="44">
        <f t="shared" si="20"/>
        <v>19868923.738850955</v>
      </c>
      <c r="AO108" s="44">
        <f t="shared" si="20"/>
        <v>8990742.9783125594</v>
      </c>
      <c r="AP108" s="44">
        <f t="shared" si="20"/>
        <v>14613935.21946216</v>
      </c>
      <c r="AQ108" s="44">
        <f t="shared" si="20"/>
        <v>12565776.628983611</v>
      </c>
      <c r="AR108" s="44">
        <f t="shared" si="20"/>
        <v>10339984.674790664</v>
      </c>
      <c r="AS108" s="44">
        <f t="shared" si="20"/>
        <v>21045424.06954667</v>
      </c>
      <c r="AT108" s="44">
        <f t="shared" si="20"/>
        <v>14463729.324906481</v>
      </c>
      <c r="AU108" s="44">
        <f t="shared" si="20"/>
        <v>11900267.886141688</v>
      </c>
      <c r="AV108" s="44">
        <f t="shared" si="20"/>
        <v>12465955.509148706</v>
      </c>
      <c r="AW108" s="44">
        <f t="shared" si="20"/>
        <v>13053230.428984644</v>
      </c>
      <c r="AX108" s="44">
        <f t="shared" si="20"/>
        <v>13660957.542881895</v>
      </c>
      <c r="AY108" s="44">
        <f t="shared" si="20"/>
        <v>18196085.285273682</v>
      </c>
      <c r="AZ108" s="44">
        <f t="shared" si="20"/>
        <v>14931640.344736293</v>
      </c>
      <c r="BA108" s="44">
        <f t="shared" si="20"/>
        <v>15590659.274927601</v>
      </c>
      <c r="BB108" s="44">
        <f t="shared" si="20"/>
        <v>16262209.093790151</v>
      </c>
      <c r="BC108" s="44">
        <f t="shared" si="20"/>
        <v>32904534.125225786</v>
      </c>
      <c r="BD108" s="44">
        <f t="shared" si="20"/>
        <v>22453585.730880145</v>
      </c>
      <c r="BE108" s="44">
        <f t="shared" si="20"/>
        <v>18320499.555092618</v>
      </c>
      <c r="BF108" s="44">
        <f t="shared" si="20"/>
        <v>19008496.394414991</v>
      </c>
      <c r="BG108" s="44">
        <f t="shared" si="20"/>
        <v>19690046.677001406</v>
      </c>
      <c r="BH108" s="44">
        <f t="shared" si="20"/>
        <v>20360086.837974757</v>
      </c>
      <c r="BI108" s="44">
        <f t="shared" si="20"/>
        <v>21013165.924748138</v>
      </c>
      <c r="BJ108" s="44">
        <f t="shared" si="20"/>
        <v>21643481.034278002</v>
      </c>
      <c r="BK108" s="44">
        <f t="shared" si="20"/>
        <v>22244924.456601355</v>
      </c>
      <c r="BL108" s="44">
        <f t="shared" si="20"/>
        <v>29051128.356264278</v>
      </c>
      <c r="BM108" s="44">
        <f t="shared" si="20"/>
        <v>44964214.693540066</v>
      </c>
      <c r="BN108" s="172">
        <f t="shared" ref="BN108:BN110" si="21">SUM(AJ108:BM108)</f>
        <v>705314674.62543106</v>
      </c>
    </row>
    <row r="109" spans="1:67" ht="12.75" customHeight="1" x14ac:dyDescent="0.2">
      <c r="A109" s="19" t="s">
        <v>103</v>
      </c>
      <c r="B109" s="18" t="s">
        <v>102</v>
      </c>
      <c r="C109" s="46">
        <v>0.03</v>
      </c>
      <c r="D109" s="20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21">
        <f t="shared" ref="AH109:AH110" si="22">SUM(AJ109:BM109)</f>
        <v>352657337.31271553</v>
      </c>
      <c r="AI109" s="9"/>
      <c r="AJ109" s="44">
        <f>+$C$109*AJ$105</f>
        <v>59972876.255395986</v>
      </c>
      <c r="AK109" s="44">
        <f>+$C$109*AK$105</f>
        <v>18445475.052009948</v>
      </c>
      <c r="AL109" s="44">
        <f t="shared" ref="AL109:BM109" si="23">+$C$109*AL$105</f>
        <v>10469963.682817291</v>
      </c>
      <c r="AM109" s="44">
        <f t="shared" si="23"/>
        <v>18967179.429112654</v>
      </c>
      <c r="AN109" s="44">
        <f t="shared" si="23"/>
        <v>9934461.8694254775</v>
      </c>
      <c r="AO109" s="44">
        <f t="shared" si="23"/>
        <v>4495371.4891562797</v>
      </c>
      <c r="AP109" s="44">
        <f t="shared" si="23"/>
        <v>7306967.60973108</v>
      </c>
      <c r="AQ109" s="44">
        <f t="shared" si="23"/>
        <v>6282888.3144918056</v>
      </c>
      <c r="AR109" s="44">
        <f t="shared" si="23"/>
        <v>5169992.3373953318</v>
      </c>
      <c r="AS109" s="44">
        <f t="shared" si="23"/>
        <v>10522712.034773335</v>
      </c>
      <c r="AT109" s="44">
        <f t="shared" si="23"/>
        <v>7231864.6624532407</v>
      </c>
      <c r="AU109" s="44">
        <f t="shared" si="23"/>
        <v>5950133.9430708438</v>
      </c>
      <c r="AV109" s="44">
        <f t="shared" si="23"/>
        <v>6232977.7545743529</v>
      </c>
      <c r="AW109" s="44">
        <f t="shared" si="23"/>
        <v>6526615.2144923219</v>
      </c>
      <c r="AX109" s="44">
        <f t="shared" si="23"/>
        <v>6830478.7714409474</v>
      </c>
      <c r="AY109" s="44">
        <f t="shared" si="23"/>
        <v>9098042.6426368412</v>
      </c>
      <c r="AZ109" s="44">
        <f t="shared" si="23"/>
        <v>7465820.1723681465</v>
      </c>
      <c r="BA109" s="44">
        <f t="shared" si="23"/>
        <v>7795329.6374638006</v>
      </c>
      <c r="BB109" s="44">
        <f t="shared" si="23"/>
        <v>8131104.5468950756</v>
      </c>
      <c r="BC109" s="44">
        <f t="shared" si="23"/>
        <v>16452267.062612893</v>
      </c>
      <c r="BD109" s="44">
        <f t="shared" si="23"/>
        <v>11226792.865440072</v>
      </c>
      <c r="BE109" s="44">
        <f t="shared" si="23"/>
        <v>9160249.7775463089</v>
      </c>
      <c r="BF109" s="44">
        <f t="shared" si="23"/>
        <v>9504248.1972074956</v>
      </c>
      <c r="BG109" s="44">
        <f t="shared" si="23"/>
        <v>9845023.3385007028</v>
      </c>
      <c r="BH109" s="44">
        <f t="shared" si="23"/>
        <v>10180043.418987378</v>
      </c>
      <c r="BI109" s="44">
        <f t="shared" si="23"/>
        <v>10506582.962374069</v>
      </c>
      <c r="BJ109" s="44">
        <f t="shared" si="23"/>
        <v>10821740.517139001</v>
      </c>
      <c r="BK109" s="44">
        <f t="shared" si="23"/>
        <v>11122462.228300678</v>
      </c>
      <c r="BL109" s="44">
        <f t="shared" si="23"/>
        <v>14525564.178132139</v>
      </c>
      <c r="BM109" s="44">
        <f t="shared" si="23"/>
        <v>22482107.346770033</v>
      </c>
      <c r="BN109" s="172">
        <f t="shared" si="21"/>
        <v>352657337.31271553</v>
      </c>
      <c r="BO109" s="44">
        <f t="shared" ref="BO109" si="24">+$C$109*BO$105</f>
        <v>0</v>
      </c>
    </row>
    <row r="110" spans="1:67" ht="12.75" customHeight="1" x14ac:dyDescent="0.2">
      <c r="A110" s="38" t="s">
        <v>104</v>
      </c>
      <c r="B110" s="38" t="s">
        <v>15</v>
      </c>
      <c r="C110" s="21">
        <f>2000000*'Datos de Entrada'!C17</f>
        <v>1814967.5898644668</v>
      </c>
      <c r="D110" s="20">
        <v>12</v>
      </c>
      <c r="E110" s="18">
        <v>12</v>
      </c>
      <c r="F110" s="18">
        <v>12</v>
      </c>
      <c r="G110" s="18">
        <v>12</v>
      </c>
      <c r="H110" s="18">
        <v>12</v>
      </c>
      <c r="I110" s="18">
        <v>12</v>
      </c>
      <c r="J110" s="18">
        <v>12</v>
      </c>
      <c r="K110" s="18">
        <v>12</v>
      </c>
      <c r="L110" s="18">
        <v>12</v>
      </c>
      <c r="M110" s="18">
        <v>12</v>
      </c>
      <c r="N110" s="18">
        <v>12</v>
      </c>
      <c r="O110" s="18">
        <v>12</v>
      </c>
      <c r="P110" s="18">
        <v>12</v>
      </c>
      <c r="Q110" s="18">
        <v>12</v>
      </c>
      <c r="R110" s="18">
        <v>12</v>
      </c>
      <c r="S110" s="18">
        <v>12</v>
      </c>
      <c r="T110" s="18">
        <v>12</v>
      </c>
      <c r="U110" s="18">
        <v>12</v>
      </c>
      <c r="V110" s="18">
        <v>12</v>
      </c>
      <c r="W110" s="18">
        <v>12</v>
      </c>
      <c r="X110" s="18">
        <v>12</v>
      </c>
      <c r="Y110" s="18">
        <v>12</v>
      </c>
      <c r="Z110" s="18">
        <v>12</v>
      </c>
      <c r="AA110" s="18">
        <v>12</v>
      </c>
      <c r="AB110" s="18">
        <v>12</v>
      </c>
      <c r="AC110" s="18">
        <v>12</v>
      </c>
      <c r="AD110" s="18">
        <v>12</v>
      </c>
      <c r="AE110" s="18">
        <v>12</v>
      </c>
      <c r="AF110" s="18">
        <v>12</v>
      </c>
      <c r="AG110" s="18">
        <v>12</v>
      </c>
      <c r="AH110" s="21">
        <f t="shared" si="22"/>
        <v>1317334041.7922568</v>
      </c>
      <c r="AI110" s="18"/>
      <c r="AJ110" s="26">
        <f>($C110*D110)*(1+'Datos de Entrada'!C76)</f>
        <v>21779611.078373604</v>
      </c>
      <c r="AK110" s="26">
        <f>($C110*E110)*(1+'Datos de Entrada'!D76)</f>
        <v>22733855.733473938</v>
      </c>
      <c r="AL110" s="26">
        <f>($C110*F110)*(1+'Datos de Entrada'!E76)</f>
        <v>23752071.275987893</v>
      </c>
      <c r="AM110" s="26">
        <f>($C110*G110)*(1+'Datos de Entrada'!F76)</f>
        <v>24836022.18230731</v>
      </c>
      <c r="AN110" s="26">
        <f>($C110*H110)*(1+'Datos de Entrada'!G76)</f>
        <v>25987328.536952022</v>
      </c>
      <c r="AO110" s="26">
        <f>($C110*I110)*(1+'Datos de Entrada'!H76)</f>
        <v>27207414.579427995</v>
      </c>
      <c r="AP110" s="26">
        <f>($C110*J110)*(1+'Datos de Entrada'!I76)</f>
        <v>28497452.229157183</v>
      </c>
      <c r="AQ110" s="26">
        <f>($C110*K110)*(1+'Datos de Entrada'!J76)</f>
        <v>29858299.519910902</v>
      </c>
      <c r="AR110" s="26">
        <f>($C110*L110)*(1+'Datos de Entrada'!K76)</f>
        <v>31290434.002014175</v>
      </c>
      <c r="AS110" s="26">
        <f>($C110*M110)*(1+'Datos de Entrada'!L76)</f>
        <v>32793881.321371786</v>
      </c>
      <c r="AT110" s="26">
        <f>($C110*N110)*(1+'Datos de Entrada'!M76)</f>
        <v>34368139.360512242</v>
      </c>
      <c r="AU110" s="26">
        <f>($C110*O110)*(1+'Datos de Entrada'!N76)</f>
        <v>36012098.529067099</v>
      </c>
      <c r="AV110" s="26">
        <f>($C110*P110)*(1+'Datos de Entrada'!O76)</f>
        <v>37723959.019210018</v>
      </c>
      <c r="AW110" s="26">
        <f>($C110*Q110)*(1+'Datos de Entrada'!P76)</f>
        <v>39501146.094251461</v>
      </c>
      <c r="AX110" s="26">
        <f>($C110*R110)*(1+'Datos de Entrada'!Q76)</f>
        <v>41340224.753139466</v>
      </c>
      <c r="AY110" s="26">
        <f>($C110*S110)*(1+'Datos de Entrada'!R76)</f>
        <v>43236815.405773334</v>
      </c>
      <c r="AZ110" s="26">
        <f>($C110*T110)*(1+'Datos de Entrada'!S76)</f>
        <v>45185512.497700304</v>
      </c>
      <c r="BA110" s="26">
        <f>($C110*U110)*(1+'Datos de Entrada'!T76)</f>
        <v>47179808.329830885</v>
      </c>
      <c r="BB110" s="26">
        <f>($C110*V110)*(1+'Datos de Entrada'!U76)</f>
        <v>49212024.619030431</v>
      </c>
      <c r="BC110" s="26">
        <f>($C110*W110)*(1+'Datos de Entrada'!V76)</f>
        <v>51273254.626364291</v>
      </c>
      <c r="BD110" s="26">
        <f>($C110*X110)*(1+'Datos de Entrada'!W76)</f>
        <v>53353318.926762164</v>
      </c>
      <c r="BE110" s="26">
        <f>($C110*Y110)*(1+'Datos de Entrada'!X76)</f>
        <v>55440738.090277813</v>
      </c>
      <c r="BF110" s="26">
        <f>($C110*Z110)*(1+'Datos de Entrada'!Y76)</f>
        <v>57522725.672609217</v>
      </c>
      <c r="BG110" s="26">
        <f>($C110*AA110)*(1+'Datos de Entrada'!Z76)</f>
        <v>59585204.95155032</v>
      </c>
      <c r="BH110" s="26">
        <f>($C110*AB110)*(1+'Datos de Entrada'!AA76)</f>
        <v>61612852.776479036</v>
      </c>
      <c r="BI110" s="26">
        <f>($C110*AC110)*(1+'Datos de Entrada'!AB76)</f>
        <v>63589173.700106695</v>
      </c>
      <c r="BJ110" s="26">
        <f>($C110*AD110)*(1+'Datos de Entrada'!AC76)</f>
        <v>65496607.217228025</v>
      </c>
      <c r="BK110" s="26">
        <f>($C110*AE110)*(1+'Datos de Entrada'!AD76)</f>
        <v>67316670.428543702</v>
      </c>
      <c r="BL110" s="26">
        <f>($C110*AF110)*(1+'Datos de Entrada'!AE76)</f>
        <v>69030137.767368317</v>
      </c>
      <c r="BM110" s="26">
        <f>($C110*AG110)*(1+'Datos de Entrada'!AF76)</f>
        <v>70617258.56747517</v>
      </c>
      <c r="BN110" s="172">
        <f t="shared" si="21"/>
        <v>1317334041.7922568</v>
      </c>
      <c r="BO110" s="44"/>
    </row>
    <row r="111" spans="1:67" ht="12.75" customHeight="1" x14ac:dyDescent="0.2">
      <c r="A111" s="47" t="s">
        <v>105</v>
      </c>
      <c r="B111" s="48" t="s">
        <v>102</v>
      </c>
      <c r="C111" s="49">
        <v>0.1</v>
      </c>
      <c r="D111" s="50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  <c r="AA111" s="48"/>
      <c r="AB111" s="48"/>
      <c r="AC111" s="48"/>
      <c r="AD111" s="48"/>
      <c r="AE111" s="48"/>
      <c r="AF111" s="48"/>
      <c r="AG111" s="48"/>
      <c r="AH111" s="3">
        <f>SUM(AJ111:BM111)</f>
        <v>1195694281.6935079</v>
      </c>
      <c r="AI111" s="48"/>
      <c r="AJ111" s="51">
        <f>+$C$111*(AJ$105+AJ107)</f>
        <v>220079411.50244281</v>
      </c>
      <c r="AK111" s="51">
        <f t="shared" ref="AK111:BO111" si="25">+$C$111*AK$105</f>
        <v>61484916.840033166</v>
      </c>
      <c r="AL111" s="51">
        <f t="shared" si="25"/>
        <v>34899878.94272431</v>
      </c>
      <c r="AM111" s="51">
        <f t="shared" si="25"/>
        <v>63223931.430375516</v>
      </c>
      <c r="AN111" s="51">
        <f t="shared" si="25"/>
        <v>33114872.898084927</v>
      </c>
      <c r="AO111" s="51">
        <f t="shared" si="25"/>
        <v>14984571.630520934</v>
      </c>
      <c r="AP111" s="51">
        <f t="shared" si="25"/>
        <v>24356558.699103601</v>
      </c>
      <c r="AQ111" s="51">
        <f t="shared" si="25"/>
        <v>20942961.048306018</v>
      </c>
      <c r="AR111" s="51">
        <f t="shared" si="25"/>
        <v>17233307.791317772</v>
      </c>
      <c r="AS111" s="51">
        <f t="shared" si="25"/>
        <v>35075706.782577783</v>
      </c>
      <c r="AT111" s="51">
        <f t="shared" si="25"/>
        <v>24106215.541510805</v>
      </c>
      <c r="AU111" s="51">
        <f t="shared" si="25"/>
        <v>19833779.810236149</v>
      </c>
      <c r="AV111" s="51">
        <f t="shared" si="25"/>
        <v>20776592.515247844</v>
      </c>
      <c r="AW111" s="51">
        <f t="shared" si="25"/>
        <v>21755384.048307743</v>
      </c>
      <c r="AX111" s="51">
        <f t="shared" si="25"/>
        <v>22768262.571469828</v>
      </c>
      <c r="AY111" s="51">
        <f t="shared" si="25"/>
        <v>30326808.808789477</v>
      </c>
      <c r="AZ111" s="51">
        <f t="shared" si="25"/>
        <v>24886067.241227157</v>
      </c>
      <c r="BA111" s="51">
        <f t="shared" si="25"/>
        <v>25984432.124879338</v>
      </c>
      <c r="BB111" s="51">
        <f t="shared" si="25"/>
        <v>27103681.822983589</v>
      </c>
      <c r="BC111" s="51">
        <f t="shared" si="25"/>
        <v>54840890.20870965</v>
      </c>
      <c r="BD111" s="51">
        <f t="shared" si="25"/>
        <v>37422642.884800248</v>
      </c>
      <c r="BE111" s="51">
        <f t="shared" si="25"/>
        <v>30534165.925154366</v>
      </c>
      <c r="BF111" s="51">
        <f t="shared" si="25"/>
        <v>31680827.32402499</v>
      </c>
      <c r="BG111" s="51">
        <f t="shared" si="25"/>
        <v>32816744.461669013</v>
      </c>
      <c r="BH111" s="51">
        <f t="shared" si="25"/>
        <v>33933478.063291267</v>
      </c>
      <c r="BI111" s="51">
        <f t="shared" si="25"/>
        <v>35021943.20791357</v>
      </c>
      <c r="BJ111" s="51">
        <f t="shared" si="25"/>
        <v>36072468.390463345</v>
      </c>
      <c r="BK111" s="51">
        <f t="shared" si="25"/>
        <v>37074874.094335593</v>
      </c>
      <c r="BL111" s="51">
        <f t="shared" si="25"/>
        <v>48418547.260440469</v>
      </c>
      <c r="BM111" s="51">
        <f t="shared" si="25"/>
        <v>74940357.822566792</v>
      </c>
      <c r="BN111" s="51">
        <f t="shared" si="25"/>
        <v>0</v>
      </c>
      <c r="BO111" s="51">
        <f t="shared" si="25"/>
        <v>0</v>
      </c>
    </row>
    <row r="112" spans="1:67" ht="12.75" customHeight="1" x14ac:dyDescent="0.2">
      <c r="A112" s="18"/>
      <c r="B112" s="18"/>
      <c r="C112" s="18"/>
      <c r="D112" s="20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9"/>
      <c r="AJ112" s="44"/>
    </row>
    <row r="113" spans="1:67" ht="12.75" customHeight="1" x14ac:dyDescent="0.2">
      <c r="A113" s="18"/>
      <c r="B113" s="18"/>
      <c r="C113" s="18"/>
      <c r="D113" s="20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9"/>
      <c r="AJ113" s="44"/>
    </row>
    <row r="114" spans="1:67" ht="12.75" customHeight="1" x14ac:dyDescent="0.2">
      <c r="A114" s="18"/>
      <c r="B114" s="18"/>
      <c r="C114" s="18"/>
      <c r="D114" s="20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9"/>
    </row>
    <row r="115" spans="1:67" ht="12.75" customHeight="1" x14ac:dyDescent="0.2">
      <c r="A115" s="18"/>
      <c r="B115" s="18"/>
      <c r="C115" s="18"/>
      <c r="D115" s="20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9"/>
    </row>
    <row r="116" spans="1:67" ht="12.75" customHeight="1" x14ac:dyDescent="0.2">
      <c r="A116" s="18"/>
      <c r="B116" s="18"/>
      <c r="C116" s="18"/>
      <c r="D116" s="20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9"/>
    </row>
    <row r="117" spans="1:67" ht="12.75" customHeight="1" x14ac:dyDescent="0.2">
      <c r="A117" s="18"/>
      <c r="B117" s="18"/>
      <c r="C117" s="18"/>
      <c r="D117" s="20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9"/>
    </row>
    <row r="118" spans="1:67" ht="12.75" customHeight="1" x14ac:dyDescent="0.2">
      <c r="A118" s="18"/>
      <c r="B118" s="18"/>
      <c r="C118" s="18"/>
      <c r="D118" s="20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9"/>
    </row>
    <row r="119" spans="1:67" ht="12.75" customHeight="1" x14ac:dyDescent="0.2">
      <c r="A119" s="18"/>
      <c r="B119" s="18"/>
      <c r="C119" s="18"/>
      <c r="D119" s="20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9"/>
    </row>
    <row r="120" spans="1:67" ht="12.75" customHeight="1" x14ac:dyDescent="0.2">
      <c r="A120" s="18"/>
      <c r="B120" s="18"/>
      <c r="C120" s="18"/>
      <c r="D120" s="20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9"/>
    </row>
    <row r="121" spans="1:67" ht="12.75" customHeight="1" x14ac:dyDescent="0.2">
      <c r="A121" s="18"/>
      <c r="B121" s="18"/>
      <c r="C121" s="18"/>
      <c r="D121" s="20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9"/>
    </row>
    <row r="122" spans="1:67" ht="12.75" customHeight="1" x14ac:dyDescent="0.2">
      <c r="A122" s="18"/>
      <c r="B122" s="18"/>
      <c r="C122" s="18"/>
      <c r="D122" s="20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9"/>
      <c r="AJ122" s="38">
        <f t="shared" ref="AJ122:AU124" si="26">+$C122*D122</f>
        <v>0</v>
      </c>
      <c r="AK122" s="38">
        <f t="shared" si="26"/>
        <v>0</v>
      </c>
      <c r="AL122" s="38">
        <f t="shared" si="26"/>
        <v>0</v>
      </c>
      <c r="AM122" s="38">
        <f t="shared" si="26"/>
        <v>0</v>
      </c>
      <c r="AN122" s="38">
        <f t="shared" si="26"/>
        <v>0</v>
      </c>
      <c r="AO122" s="38">
        <f t="shared" si="26"/>
        <v>0</v>
      </c>
      <c r="AP122" s="38">
        <f t="shared" si="26"/>
        <v>0</v>
      </c>
      <c r="AQ122" s="38">
        <f t="shared" si="26"/>
        <v>0</v>
      </c>
      <c r="AR122" s="38">
        <f t="shared" si="26"/>
        <v>0</v>
      </c>
      <c r="AS122" s="38">
        <f t="shared" ref="AS122:BM124" si="27">+$C122*AG122</f>
        <v>0</v>
      </c>
      <c r="AT122" s="38">
        <f t="shared" si="27"/>
        <v>0</v>
      </c>
      <c r="AU122" s="38">
        <f t="shared" si="27"/>
        <v>0</v>
      </c>
      <c r="AV122" s="38">
        <f t="shared" si="27"/>
        <v>0</v>
      </c>
      <c r="AW122" s="38">
        <f t="shared" si="27"/>
        <v>0</v>
      </c>
      <c r="AX122" s="38">
        <f t="shared" si="27"/>
        <v>0</v>
      </c>
      <c r="AY122" s="38">
        <f t="shared" si="27"/>
        <v>0</v>
      </c>
      <c r="AZ122" s="38">
        <f t="shared" si="27"/>
        <v>0</v>
      </c>
      <c r="BA122" s="38">
        <f t="shared" si="27"/>
        <v>0</v>
      </c>
      <c r="BB122" s="38">
        <f t="shared" si="27"/>
        <v>0</v>
      </c>
      <c r="BC122" s="38">
        <f t="shared" si="27"/>
        <v>0</v>
      </c>
      <c r="BD122" s="38">
        <f t="shared" si="27"/>
        <v>0</v>
      </c>
      <c r="BE122" s="38">
        <f t="shared" si="27"/>
        <v>0</v>
      </c>
      <c r="BF122" s="38">
        <f t="shared" si="27"/>
        <v>0</v>
      </c>
      <c r="BG122" s="38">
        <f t="shared" si="27"/>
        <v>0</v>
      </c>
      <c r="BH122" s="38">
        <f t="shared" si="27"/>
        <v>0</v>
      </c>
      <c r="BI122" s="38">
        <f t="shared" si="27"/>
        <v>0</v>
      </c>
      <c r="BJ122" s="38">
        <f t="shared" si="27"/>
        <v>0</v>
      </c>
      <c r="BK122" s="38">
        <f t="shared" si="27"/>
        <v>0</v>
      </c>
      <c r="BL122" s="38">
        <f t="shared" si="27"/>
        <v>0</v>
      </c>
      <c r="BM122" s="38">
        <f t="shared" si="27"/>
        <v>0</v>
      </c>
    </row>
    <row r="123" spans="1:67" ht="12.75" customHeight="1" x14ac:dyDescent="0.2">
      <c r="A123" s="18"/>
      <c r="B123" s="18"/>
      <c r="C123" s="18"/>
      <c r="D123" s="20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9"/>
      <c r="AJ123" s="38">
        <f t="shared" si="26"/>
        <v>0</v>
      </c>
      <c r="AK123" s="38">
        <f t="shared" si="26"/>
        <v>0</v>
      </c>
      <c r="AL123" s="38">
        <f t="shared" si="26"/>
        <v>0</v>
      </c>
      <c r="AM123" s="38">
        <f t="shared" si="26"/>
        <v>0</v>
      </c>
      <c r="AN123" s="38">
        <f t="shared" si="26"/>
        <v>0</v>
      </c>
      <c r="AO123" s="38">
        <f t="shared" si="26"/>
        <v>0</v>
      </c>
      <c r="AP123" s="38">
        <f t="shared" si="26"/>
        <v>0</v>
      </c>
      <c r="AQ123" s="38">
        <f t="shared" si="26"/>
        <v>0</v>
      </c>
      <c r="AR123" s="38">
        <f t="shared" si="26"/>
        <v>0</v>
      </c>
      <c r="AS123" s="38">
        <f t="shared" si="27"/>
        <v>0</v>
      </c>
      <c r="AT123" s="38">
        <f t="shared" si="27"/>
        <v>0</v>
      </c>
      <c r="AU123" s="38">
        <f t="shared" si="27"/>
        <v>0</v>
      </c>
      <c r="AV123" s="38">
        <f t="shared" si="27"/>
        <v>0</v>
      </c>
      <c r="AW123" s="38">
        <f t="shared" si="27"/>
        <v>0</v>
      </c>
      <c r="AX123" s="38">
        <f t="shared" si="27"/>
        <v>0</v>
      </c>
      <c r="AY123" s="38">
        <f t="shared" si="27"/>
        <v>0</v>
      </c>
      <c r="AZ123" s="38">
        <f t="shared" si="27"/>
        <v>0</v>
      </c>
      <c r="BA123" s="38">
        <f t="shared" si="27"/>
        <v>0</v>
      </c>
      <c r="BB123" s="38">
        <f t="shared" si="27"/>
        <v>0</v>
      </c>
      <c r="BC123" s="38">
        <f t="shared" si="27"/>
        <v>0</v>
      </c>
      <c r="BD123" s="38">
        <f t="shared" si="27"/>
        <v>0</v>
      </c>
      <c r="BE123" s="38">
        <f t="shared" si="27"/>
        <v>0</v>
      </c>
      <c r="BF123" s="38">
        <f t="shared" si="27"/>
        <v>0</v>
      </c>
      <c r="BG123" s="38">
        <f t="shared" si="27"/>
        <v>0</v>
      </c>
      <c r="BH123" s="38">
        <f t="shared" si="27"/>
        <v>0</v>
      </c>
      <c r="BI123" s="38">
        <f t="shared" si="27"/>
        <v>0</v>
      </c>
      <c r="BJ123" s="38">
        <f t="shared" si="27"/>
        <v>0</v>
      </c>
      <c r="BK123" s="38">
        <f t="shared" si="27"/>
        <v>0</v>
      </c>
      <c r="BL123" s="38">
        <f t="shared" si="27"/>
        <v>0</v>
      </c>
      <c r="BM123" s="38">
        <f t="shared" si="27"/>
        <v>0</v>
      </c>
    </row>
    <row r="124" spans="1:67" ht="12.75" customHeight="1" x14ac:dyDescent="0.2">
      <c r="A124" s="18"/>
      <c r="B124" s="18"/>
      <c r="C124" s="18"/>
      <c r="D124" s="20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9"/>
      <c r="AJ124" s="38">
        <f t="shared" si="26"/>
        <v>0</v>
      </c>
      <c r="AK124" s="38">
        <f t="shared" si="26"/>
        <v>0</v>
      </c>
      <c r="AL124" s="38">
        <f t="shared" si="26"/>
        <v>0</v>
      </c>
      <c r="AM124" s="38">
        <f t="shared" si="26"/>
        <v>0</v>
      </c>
      <c r="AN124" s="38">
        <f t="shared" si="26"/>
        <v>0</v>
      </c>
      <c r="AO124" s="38">
        <f t="shared" si="26"/>
        <v>0</v>
      </c>
      <c r="AP124" s="38">
        <f t="shared" si="26"/>
        <v>0</v>
      </c>
      <c r="AQ124" s="38">
        <f t="shared" si="26"/>
        <v>0</v>
      </c>
      <c r="AR124" s="38">
        <f t="shared" si="26"/>
        <v>0</v>
      </c>
      <c r="AS124" s="38">
        <f t="shared" si="26"/>
        <v>0</v>
      </c>
      <c r="AT124" s="38">
        <f t="shared" si="26"/>
        <v>0</v>
      </c>
      <c r="AU124" s="38">
        <f t="shared" si="26"/>
        <v>0</v>
      </c>
      <c r="AV124" s="38">
        <f t="shared" si="27"/>
        <v>0</v>
      </c>
      <c r="AW124" s="38">
        <f t="shared" si="27"/>
        <v>0</v>
      </c>
      <c r="AX124" s="38">
        <f t="shared" si="27"/>
        <v>0</v>
      </c>
      <c r="AY124" s="38">
        <f t="shared" si="27"/>
        <v>0</v>
      </c>
      <c r="AZ124" s="38">
        <f t="shared" si="27"/>
        <v>0</v>
      </c>
      <c r="BA124" s="38">
        <f t="shared" si="27"/>
        <v>0</v>
      </c>
      <c r="BB124" s="38">
        <f t="shared" si="27"/>
        <v>0</v>
      </c>
      <c r="BC124" s="38">
        <f t="shared" si="27"/>
        <v>0</v>
      </c>
      <c r="BD124" s="38">
        <f t="shared" si="27"/>
        <v>0</v>
      </c>
      <c r="BE124" s="38">
        <f t="shared" si="27"/>
        <v>0</v>
      </c>
      <c r="BF124" s="38">
        <f t="shared" si="27"/>
        <v>0</v>
      </c>
      <c r="BG124" s="38">
        <f t="shared" si="27"/>
        <v>0</v>
      </c>
      <c r="BH124" s="38">
        <f t="shared" si="27"/>
        <v>0</v>
      </c>
      <c r="BI124" s="38">
        <f t="shared" si="27"/>
        <v>0</v>
      </c>
      <c r="BJ124" s="38">
        <f t="shared" si="27"/>
        <v>0</v>
      </c>
      <c r="BK124" s="38">
        <f t="shared" si="27"/>
        <v>0</v>
      </c>
      <c r="BL124" s="38">
        <f t="shared" si="27"/>
        <v>0</v>
      </c>
      <c r="BM124" s="38">
        <f t="shared" si="27"/>
        <v>0</v>
      </c>
    </row>
    <row r="125" spans="1:67" ht="12.75" customHeight="1" x14ac:dyDescent="0.2">
      <c r="A125" s="9"/>
      <c r="B125" s="9"/>
      <c r="C125" s="9"/>
      <c r="D125" s="10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1"/>
      <c r="BH125" s="11"/>
      <c r="BI125" s="11"/>
      <c r="BJ125" s="11"/>
      <c r="BK125" s="11"/>
      <c r="BL125" s="11"/>
      <c r="BM125" s="11"/>
      <c r="BN125" s="11"/>
      <c r="BO125" s="11"/>
    </row>
    <row r="126" spans="1:67" ht="12.75" customHeight="1" x14ac:dyDescent="0.2">
      <c r="A126" s="18"/>
      <c r="B126" s="18"/>
      <c r="C126" s="18"/>
      <c r="D126" s="20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9"/>
      <c r="AJ126" s="52">
        <f>+AJ105+AJ107+AJ111</f>
        <v>2420873526.5268707</v>
      </c>
      <c r="AK126" s="52">
        <f t="shared" ref="AK126:BK126" si="28">+AK105+AK107+AK111</f>
        <v>754404366.12986863</v>
      </c>
      <c r="AL126" s="52">
        <f t="shared" si="28"/>
        <v>439060630.69440711</v>
      </c>
      <c r="AM126" s="52">
        <f t="shared" si="28"/>
        <v>777200806.20377588</v>
      </c>
      <c r="AN126" s="52">
        <f t="shared" si="28"/>
        <v>420054316.02416265</v>
      </c>
      <c r="AO126" s="52">
        <f t="shared" si="28"/>
        <v>205523816.98262709</v>
      </c>
      <c r="AP126" s="52">
        <f t="shared" si="28"/>
        <v>318340500.74849004</v>
      </c>
      <c r="AQ126" s="52">
        <f t="shared" si="28"/>
        <v>279079535.99475253</v>
      </c>
      <c r="AR126" s="52">
        <f t="shared" si="28"/>
        <v>236366796.71869564</v>
      </c>
      <c r="AS126" s="52">
        <f t="shared" si="28"/>
        <v>450194792.03404737</v>
      </c>
      <c r="AT126" s="52">
        <f t="shared" si="28"/>
        <v>321232104.3044908</v>
      </c>
      <c r="AU126" s="52">
        <f t="shared" si="28"/>
        <v>272034078.27087724</v>
      </c>
      <c r="AV126" s="52">
        <f t="shared" si="28"/>
        <v>284965409.95065933</v>
      </c>
      <c r="AW126" s="52">
        <f t="shared" si="28"/>
        <v>298390216.26911354</v>
      </c>
      <c r="AX126" s="52">
        <f t="shared" si="28"/>
        <v>312282549.35363042</v>
      </c>
      <c r="AY126" s="52">
        <f t="shared" si="28"/>
        <v>404125840.23036808</v>
      </c>
      <c r="AZ126" s="52">
        <f t="shared" si="28"/>
        <v>341329712.66830349</v>
      </c>
      <c r="BA126" s="52">
        <f t="shared" si="28"/>
        <v>356394550.61589503</v>
      </c>
      <c r="BB126" s="52">
        <f t="shared" si="28"/>
        <v>371745838.31253511</v>
      </c>
      <c r="BC126" s="52">
        <f t="shared" si="28"/>
        <v>703879848.11000907</v>
      </c>
      <c r="BD126" s="52">
        <f t="shared" si="28"/>
        <v>498682769.25588506</v>
      </c>
      <c r="BE126" s="52">
        <f t="shared" si="28"/>
        <v>418797312.5996148</v>
      </c>
      <c r="BF126" s="52">
        <f t="shared" si="28"/>
        <v>434524570.82850653</v>
      </c>
      <c r="BG126" s="52">
        <f t="shared" si="28"/>
        <v>450104464.04541153</v>
      </c>
      <c r="BH126" s="52">
        <f t="shared" si="28"/>
        <v>465421241.72964507</v>
      </c>
      <c r="BI126" s="52">
        <f t="shared" si="28"/>
        <v>480350297.87427813</v>
      </c>
      <c r="BJ126" s="52">
        <f t="shared" si="28"/>
        <v>494758981.0637418</v>
      </c>
      <c r="BK126" s="52">
        <f t="shared" si="28"/>
        <v>508507672.15113729</v>
      </c>
      <c r="BL126" s="52">
        <f>+BL105+BL107+BL111</f>
        <v>645210850.16660988</v>
      </c>
      <c r="BM126" s="52">
        <f>+BM105+BM107+BM111</f>
        <v>962407516.65601993</v>
      </c>
    </row>
    <row r="127" spans="1:67" ht="21" customHeight="1" x14ac:dyDescent="0.2">
      <c r="A127" s="18"/>
      <c r="B127" s="18"/>
      <c r="C127" s="18"/>
      <c r="D127" s="20"/>
      <c r="E127" s="18"/>
      <c r="F127" s="18"/>
      <c r="G127" s="18"/>
      <c r="H127" s="18"/>
      <c r="I127" s="18"/>
      <c r="J127" s="283" t="s">
        <v>106</v>
      </c>
      <c r="K127" s="281"/>
      <c r="L127" s="281"/>
      <c r="M127" s="281"/>
      <c r="N127" s="281"/>
      <c r="O127" s="281"/>
      <c r="P127" s="281"/>
      <c r="Q127" s="281"/>
      <c r="R127" s="281"/>
      <c r="S127" s="281"/>
      <c r="T127" s="281"/>
      <c r="U127" s="281"/>
      <c r="V127" s="281"/>
      <c r="W127" s="281"/>
      <c r="X127" s="281"/>
      <c r="Y127" s="281"/>
      <c r="Z127" s="281"/>
      <c r="AA127" s="281"/>
      <c r="AB127" s="281"/>
      <c r="AC127" s="281"/>
      <c r="AD127" s="281"/>
      <c r="AE127" s="281"/>
      <c r="AF127" s="281"/>
      <c r="AG127" s="281"/>
      <c r="AH127" s="53">
        <f>SUM(AJ126:BM126)</f>
        <v>15326244912.514427</v>
      </c>
      <c r="AI127" s="9"/>
    </row>
    <row r="128" spans="1:67" ht="12.75" customHeight="1" x14ac:dyDescent="0.2">
      <c r="A128" s="18"/>
      <c r="B128" s="18"/>
      <c r="C128" s="18"/>
      <c r="D128" s="20"/>
      <c r="E128" s="18"/>
      <c r="F128" s="18"/>
      <c r="G128" s="18"/>
      <c r="H128" s="18"/>
      <c r="I128" s="18"/>
      <c r="J128" s="284"/>
      <c r="K128" s="281"/>
      <c r="L128" s="281"/>
      <c r="M128" s="281"/>
      <c r="N128" s="281"/>
      <c r="O128" s="281"/>
      <c r="P128" s="281"/>
      <c r="Q128" s="281"/>
      <c r="R128" s="281"/>
      <c r="S128" s="281"/>
      <c r="T128" s="281"/>
      <c r="U128" s="281"/>
      <c r="V128" s="281"/>
      <c r="W128" s="281"/>
      <c r="X128" s="281"/>
      <c r="Y128" s="281"/>
      <c r="Z128" s="281"/>
      <c r="AA128" s="281"/>
      <c r="AB128" s="281"/>
      <c r="AC128" s="281"/>
      <c r="AD128" s="281"/>
      <c r="AE128" s="281"/>
      <c r="AF128" s="281"/>
      <c r="AG128" s="281"/>
      <c r="AH128" s="45"/>
      <c r="AI128" s="9"/>
      <c r="AJ128" s="163"/>
      <c r="AK128" s="163"/>
      <c r="AL128" s="163"/>
      <c r="AM128" s="163"/>
      <c r="AN128" s="163"/>
      <c r="AO128" s="163"/>
      <c r="AP128" s="163"/>
      <c r="AQ128" s="163"/>
      <c r="AR128" s="163"/>
      <c r="AS128" s="163"/>
      <c r="AT128" s="163"/>
      <c r="AU128" s="163"/>
      <c r="AV128" s="163"/>
      <c r="AW128" s="163"/>
      <c r="AX128" s="163"/>
      <c r="AY128" s="163"/>
      <c r="AZ128" s="163"/>
      <c r="BA128" s="163"/>
      <c r="BB128" s="163"/>
      <c r="BC128" s="163"/>
      <c r="BD128" s="163"/>
      <c r="BE128" s="163"/>
      <c r="BF128" s="163"/>
      <c r="BG128" s="163"/>
      <c r="BH128" s="163"/>
      <c r="BI128" s="163"/>
      <c r="BJ128" s="163"/>
      <c r="BK128" s="163"/>
      <c r="BL128" s="163"/>
      <c r="BM128" s="163"/>
    </row>
    <row r="129" spans="1:37" ht="12.75" customHeight="1" x14ac:dyDescent="0.2">
      <c r="A129" s="18"/>
      <c r="B129" s="18"/>
      <c r="C129" s="18"/>
      <c r="D129" s="20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9"/>
      <c r="AJ129" s="163"/>
    </row>
    <row r="130" spans="1:37" ht="12.75" customHeight="1" x14ac:dyDescent="0.2">
      <c r="A130" s="18"/>
      <c r="B130" s="18"/>
      <c r="C130" s="18"/>
      <c r="D130" s="20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21"/>
      <c r="AI130" s="9"/>
      <c r="AJ130" s="163"/>
    </row>
    <row r="131" spans="1:37" ht="12.75" customHeight="1" x14ac:dyDescent="0.2">
      <c r="A131" s="18"/>
      <c r="B131" s="18"/>
      <c r="C131" s="18"/>
      <c r="D131" s="20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21">
        <f>SUM(AJ16:BM16)</f>
        <v>1265830151.2279537</v>
      </c>
      <c r="AI131" s="9"/>
      <c r="AJ131" s="165"/>
      <c r="AK131" s="165"/>
    </row>
    <row r="132" spans="1:37" ht="12.75" customHeight="1" x14ac:dyDescent="0.2">
      <c r="A132" s="18"/>
      <c r="B132" s="18"/>
      <c r="C132" s="18"/>
      <c r="D132" s="20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9"/>
      <c r="AJ132" s="163"/>
    </row>
    <row r="133" spans="1:37" ht="12.75" customHeight="1" x14ac:dyDescent="0.2">
      <c r="A133" s="18"/>
      <c r="B133" s="18"/>
      <c r="C133" s="18"/>
      <c r="D133" s="20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67"/>
      <c r="AI133" s="9"/>
    </row>
    <row r="134" spans="1:37" ht="12.75" customHeight="1" x14ac:dyDescent="0.2">
      <c r="A134" s="18"/>
      <c r="B134" s="18"/>
      <c r="C134" s="18"/>
      <c r="D134" s="20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66">
        <f>AH131/AH127</f>
        <v>8.2592321762675086E-2</v>
      </c>
      <c r="AI134" s="9"/>
    </row>
    <row r="135" spans="1:37" ht="12.75" customHeight="1" x14ac:dyDescent="0.2">
      <c r="A135" s="18"/>
      <c r="B135" s="18"/>
      <c r="C135" s="18"/>
      <c r="D135" s="20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21"/>
      <c r="AI135" s="9"/>
      <c r="AJ135" s="163"/>
    </row>
    <row r="136" spans="1:37" ht="15.75" customHeight="1" x14ac:dyDescent="0.2">
      <c r="D136" s="54"/>
      <c r="AH136" s="165"/>
      <c r="AI136" s="11"/>
      <c r="AJ136" s="163"/>
    </row>
    <row r="137" spans="1:37" ht="15.75" customHeight="1" x14ac:dyDescent="0.2">
      <c r="D137" s="54"/>
      <c r="AI137" s="11"/>
      <c r="AJ137" s="163"/>
    </row>
    <row r="138" spans="1:37" ht="15.75" customHeight="1" x14ac:dyDescent="0.2">
      <c r="D138" s="54"/>
      <c r="AH138" s="90"/>
      <c r="AI138" s="11"/>
    </row>
    <row r="139" spans="1:37" ht="15.75" customHeight="1" x14ac:dyDescent="0.2">
      <c r="D139" s="54"/>
      <c r="AH139" s="90"/>
      <c r="AI139" s="11"/>
      <c r="AJ139" s="163"/>
    </row>
    <row r="140" spans="1:37" ht="15.75" customHeight="1" x14ac:dyDescent="0.2">
      <c r="D140" s="54"/>
      <c r="AH140" s="90"/>
      <c r="AI140" s="11"/>
    </row>
    <row r="141" spans="1:37" ht="15.75" customHeight="1" x14ac:dyDescent="0.2">
      <c r="D141" s="54"/>
      <c r="AH141" s="90"/>
      <c r="AI141" s="11"/>
    </row>
    <row r="142" spans="1:37" ht="15.75" customHeight="1" x14ac:dyDescent="0.2">
      <c r="D142" s="54"/>
      <c r="AH142" s="90"/>
      <c r="AI142" s="11"/>
    </row>
    <row r="143" spans="1:37" ht="15.75" customHeight="1" x14ac:dyDescent="0.2">
      <c r="D143" s="54"/>
      <c r="AH143" s="90"/>
      <c r="AI143" s="11"/>
    </row>
    <row r="144" spans="1:37" ht="15.75" customHeight="1" x14ac:dyDescent="0.2">
      <c r="D144" s="54"/>
      <c r="AH144" s="90"/>
      <c r="AI144" s="11"/>
    </row>
    <row r="145" spans="4:35" ht="15.75" customHeight="1" x14ac:dyDescent="0.2">
      <c r="D145" s="54"/>
      <c r="AI145" s="11"/>
    </row>
    <row r="146" spans="4:35" ht="15.75" customHeight="1" x14ac:dyDescent="0.2">
      <c r="D146" s="54"/>
      <c r="AI146" s="11"/>
    </row>
    <row r="147" spans="4:35" ht="15.75" customHeight="1" x14ac:dyDescent="0.2">
      <c r="D147" s="54"/>
      <c r="AI147" s="11"/>
    </row>
    <row r="148" spans="4:35" ht="15.75" customHeight="1" x14ac:dyDescent="0.2">
      <c r="D148" s="54"/>
      <c r="AI148" s="11"/>
    </row>
    <row r="149" spans="4:35" ht="15.75" customHeight="1" x14ac:dyDescent="0.2">
      <c r="D149" s="54"/>
      <c r="AI149" s="11"/>
    </row>
    <row r="150" spans="4:35" ht="15.75" customHeight="1" x14ac:dyDescent="0.2">
      <c r="D150" s="54"/>
      <c r="AI150" s="11"/>
    </row>
    <row r="151" spans="4:35" ht="15.75" customHeight="1" x14ac:dyDescent="0.2">
      <c r="D151" s="54"/>
      <c r="AI151" s="11"/>
    </row>
    <row r="152" spans="4:35" ht="15.75" customHeight="1" x14ac:dyDescent="0.2">
      <c r="D152" s="54"/>
      <c r="AI152" s="11"/>
    </row>
    <row r="153" spans="4:35" ht="15.75" customHeight="1" x14ac:dyDescent="0.2">
      <c r="D153" s="54"/>
      <c r="AI153" s="11"/>
    </row>
    <row r="154" spans="4:35" ht="15.75" customHeight="1" x14ac:dyDescent="0.2">
      <c r="D154" s="54"/>
      <c r="AI154" s="11"/>
    </row>
    <row r="155" spans="4:35" ht="15.75" customHeight="1" x14ac:dyDescent="0.2">
      <c r="D155" s="54"/>
      <c r="AI155" s="11"/>
    </row>
    <row r="156" spans="4:35" ht="15.75" customHeight="1" x14ac:dyDescent="0.2">
      <c r="D156" s="54"/>
      <c r="AI156" s="11"/>
    </row>
    <row r="157" spans="4:35" ht="15.75" customHeight="1" x14ac:dyDescent="0.2">
      <c r="D157" s="54"/>
      <c r="AI157" s="11"/>
    </row>
    <row r="158" spans="4:35" ht="15.75" customHeight="1" x14ac:dyDescent="0.2">
      <c r="D158" s="54"/>
      <c r="AI158" s="11"/>
    </row>
    <row r="159" spans="4:35" ht="15.75" customHeight="1" x14ac:dyDescent="0.2">
      <c r="D159" s="54"/>
      <c r="AI159" s="11"/>
    </row>
    <row r="160" spans="4:35" ht="15.75" customHeight="1" x14ac:dyDescent="0.2">
      <c r="D160" s="54"/>
      <c r="AI160" s="11"/>
    </row>
    <row r="161" spans="4:35" ht="15.75" customHeight="1" x14ac:dyDescent="0.2">
      <c r="D161" s="54"/>
      <c r="AI161" s="11"/>
    </row>
    <row r="162" spans="4:35" ht="15.75" customHeight="1" x14ac:dyDescent="0.2">
      <c r="D162" s="54"/>
      <c r="AI162" s="11"/>
    </row>
    <row r="163" spans="4:35" ht="15.75" customHeight="1" x14ac:dyDescent="0.2">
      <c r="D163" s="54"/>
      <c r="AI163" s="11"/>
    </row>
    <row r="164" spans="4:35" ht="15.75" customHeight="1" x14ac:dyDescent="0.2">
      <c r="D164" s="54"/>
      <c r="AI164" s="11"/>
    </row>
    <row r="165" spans="4:35" ht="15.75" customHeight="1" x14ac:dyDescent="0.2">
      <c r="D165" s="54"/>
      <c r="AI165" s="11"/>
    </row>
    <row r="166" spans="4:35" ht="15.75" customHeight="1" x14ac:dyDescent="0.2">
      <c r="D166" s="54"/>
      <c r="AI166" s="11"/>
    </row>
    <row r="167" spans="4:35" ht="15.75" customHeight="1" x14ac:dyDescent="0.2">
      <c r="D167" s="54"/>
      <c r="AI167" s="11"/>
    </row>
    <row r="168" spans="4:35" ht="15.75" customHeight="1" x14ac:dyDescent="0.2">
      <c r="D168" s="54"/>
      <c r="AI168" s="11"/>
    </row>
    <row r="169" spans="4:35" ht="15.75" customHeight="1" x14ac:dyDescent="0.2">
      <c r="D169" s="54"/>
      <c r="AI169" s="11"/>
    </row>
    <row r="170" spans="4:35" ht="15.75" customHeight="1" x14ac:dyDescent="0.2">
      <c r="D170" s="54"/>
      <c r="AI170" s="11"/>
    </row>
    <row r="171" spans="4:35" ht="15.75" customHeight="1" x14ac:dyDescent="0.2">
      <c r="D171" s="54"/>
      <c r="AI171" s="11"/>
    </row>
    <row r="172" spans="4:35" ht="15.75" customHeight="1" x14ac:dyDescent="0.2">
      <c r="D172" s="54"/>
      <c r="AI172" s="11"/>
    </row>
    <row r="173" spans="4:35" ht="15.75" customHeight="1" x14ac:dyDescent="0.2">
      <c r="D173" s="54"/>
      <c r="AI173" s="11"/>
    </row>
    <row r="174" spans="4:35" ht="15.75" customHeight="1" x14ac:dyDescent="0.2">
      <c r="D174" s="54"/>
      <c r="AI174" s="11"/>
    </row>
    <row r="175" spans="4:35" ht="15.75" customHeight="1" x14ac:dyDescent="0.2">
      <c r="D175" s="54"/>
      <c r="AI175" s="11"/>
    </row>
    <row r="176" spans="4:35" ht="15.75" customHeight="1" x14ac:dyDescent="0.2">
      <c r="D176" s="54"/>
      <c r="AI176" s="11"/>
    </row>
    <row r="177" spans="4:35" ht="15.75" customHeight="1" x14ac:dyDescent="0.2">
      <c r="D177" s="54"/>
      <c r="AI177" s="11"/>
    </row>
    <row r="178" spans="4:35" ht="15.75" customHeight="1" x14ac:dyDescent="0.2">
      <c r="D178" s="54"/>
      <c r="AI178" s="11"/>
    </row>
    <row r="179" spans="4:35" ht="15.75" customHeight="1" x14ac:dyDescent="0.2">
      <c r="D179" s="54"/>
      <c r="AI179" s="11"/>
    </row>
    <row r="180" spans="4:35" ht="15.75" customHeight="1" x14ac:dyDescent="0.2">
      <c r="D180" s="54"/>
      <c r="AI180" s="11"/>
    </row>
    <row r="181" spans="4:35" ht="15.75" customHeight="1" x14ac:dyDescent="0.2">
      <c r="D181" s="54"/>
      <c r="AI181" s="11"/>
    </row>
    <row r="182" spans="4:35" ht="15.75" customHeight="1" x14ac:dyDescent="0.2">
      <c r="D182" s="54"/>
      <c r="AI182" s="11"/>
    </row>
    <row r="183" spans="4:35" ht="15.75" customHeight="1" x14ac:dyDescent="0.2">
      <c r="D183" s="54"/>
      <c r="AI183" s="11"/>
    </row>
    <row r="184" spans="4:35" ht="15.75" customHeight="1" x14ac:dyDescent="0.2">
      <c r="D184" s="54"/>
      <c r="AI184" s="11"/>
    </row>
    <row r="185" spans="4:35" ht="15.75" customHeight="1" x14ac:dyDescent="0.2">
      <c r="D185" s="54"/>
      <c r="AI185" s="11"/>
    </row>
    <row r="186" spans="4:35" ht="15.75" customHeight="1" x14ac:dyDescent="0.2">
      <c r="D186" s="54"/>
      <c r="AI186" s="11"/>
    </row>
    <row r="187" spans="4:35" ht="15.75" customHeight="1" x14ac:dyDescent="0.2">
      <c r="D187" s="54"/>
      <c r="AI187" s="11"/>
    </row>
    <row r="188" spans="4:35" ht="15.75" customHeight="1" x14ac:dyDescent="0.2">
      <c r="D188" s="54"/>
      <c r="AI188" s="11"/>
    </row>
    <row r="189" spans="4:35" ht="15.75" customHeight="1" x14ac:dyDescent="0.2">
      <c r="D189" s="54"/>
      <c r="AI189" s="11"/>
    </row>
    <row r="190" spans="4:35" ht="15.75" customHeight="1" x14ac:dyDescent="0.2">
      <c r="D190" s="54"/>
      <c r="AI190" s="11"/>
    </row>
    <row r="191" spans="4:35" ht="15.75" customHeight="1" x14ac:dyDescent="0.2">
      <c r="D191" s="54"/>
      <c r="AI191" s="11"/>
    </row>
    <row r="192" spans="4:35" ht="15.75" customHeight="1" x14ac:dyDescent="0.2">
      <c r="D192" s="54"/>
      <c r="AI192" s="11"/>
    </row>
    <row r="193" spans="4:35" ht="15.75" customHeight="1" x14ac:dyDescent="0.2">
      <c r="D193" s="54"/>
      <c r="AI193" s="11"/>
    </row>
    <row r="194" spans="4:35" ht="15.75" customHeight="1" x14ac:dyDescent="0.2">
      <c r="D194" s="54"/>
      <c r="AI194" s="11"/>
    </row>
    <row r="195" spans="4:35" ht="15.75" customHeight="1" x14ac:dyDescent="0.2">
      <c r="D195" s="54"/>
      <c r="AI195" s="11"/>
    </row>
    <row r="196" spans="4:35" ht="15.75" customHeight="1" x14ac:dyDescent="0.2">
      <c r="D196" s="54"/>
      <c r="AI196" s="11"/>
    </row>
    <row r="197" spans="4:35" ht="15.75" customHeight="1" x14ac:dyDescent="0.2">
      <c r="D197" s="54"/>
      <c r="AI197" s="11"/>
    </row>
    <row r="198" spans="4:35" ht="15.75" customHeight="1" x14ac:dyDescent="0.2">
      <c r="D198" s="54"/>
      <c r="AI198" s="11"/>
    </row>
    <row r="199" spans="4:35" ht="15.75" customHeight="1" x14ac:dyDescent="0.2">
      <c r="D199" s="54"/>
      <c r="AI199" s="11"/>
    </row>
    <row r="200" spans="4:35" ht="15.75" customHeight="1" x14ac:dyDescent="0.2">
      <c r="D200" s="54"/>
      <c r="AI200" s="11"/>
    </row>
    <row r="201" spans="4:35" ht="15.75" customHeight="1" x14ac:dyDescent="0.2">
      <c r="D201" s="54"/>
      <c r="AI201" s="11"/>
    </row>
    <row r="202" spans="4:35" ht="15.75" customHeight="1" x14ac:dyDescent="0.2">
      <c r="D202" s="54"/>
      <c r="AI202" s="11"/>
    </row>
    <row r="203" spans="4:35" ht="15.75" customHeight="1" x14ac:dyDescent="0.2">
      <c r="D203" s="54"/>
      <c r="AI203" s="11"/>
    </row>
    <row r="204" spans="4:35" ht="15.75" customHeight="1" x14ac:dyDescent="0.2">
      <c r="D204" s="54"/>
      <c r="AI204" s="11"/>
    </row>
    <row r="205" spans="4:35" ht="15.75" customHeight="1" x14ac:dyDescent="0.2">
      <c r="D205" s="54"/>
      <c r="AI205" s="11"/>
    </row>
    <row r="206" spans="4:35" ht="15.75" customHeight="1" x14ac:dyDescent="0.2">
      <c r="D206" s="54"/>
      <c r="AI206" s="11"/>
    </row>
    <row r="207" spans="4:35" ht="15.75" customHeight="1" x14ac:dyDescent="0.2">
      <c r="D207" s="54"/>
      <c r="AI207" s="11"/>
    </row>
    <row r="208" spans="4:35" ht="15.75" customHeight="1" x14ac:dyDescent="0.2">
      <c r="D208" s="54"/>
      <c r="AI208" s="11"/>
    </row>
    <row r="209" spans="4:35" ht="15.75" customHeight="1" x14ac:dyDescent="0.2">
      <c r="D209" s="54"/>
      <c r="AI209" s="11"/>
    </row>
    <row r="210" spans="4:35" ht="15.75" customHeight="1" x14ac:dyDescent="0.2">
      <c r="D210" s="54"/>
      <c r="AI210" s="11"/>
    </row>
    <row r="211" spans="4:35" ht="15.75" customHeight="1" x14ac:dyDescent="0.2">
      <c r="D211" s="54"/>
      <c r="AI211" s="11"/>
    </row>
    <row r="212" spans="4:35" ht="15.75" customHeight="1" x14ac:dyDescent="0.2">
      <c r="D212" s="54"/>
      <c r="AI212" s="11"/>
    </row>
    <row r="213" spans="4:35" ht="15.75" customHeight="1" x14ac:dyDescent="0.2">
      <c r="D213" s="54"/>
      <c r="AI213" s="11"/>
    </row>
    <row r="214" spans="4:35" ht="15.75" customHeight="1" x14ac:dyDescent="0.2">
      <c r="D214" s="54"/>
      <c r="AI214" s="11"/>
    </row>
    <row r="215" spans="4:35" ht="15.75" customHeight="1" x14ac:dyDescent="0.2">
      <c r="D215" s="54"/>
      <c r="AI215" s="11"/>
    </row>
    <row r="216" spans="4:35" ht="15.75" customHeight="1" x14ac:dyDescent="0.2">
      <c r="D216" s="54"/>
      <c r="AI216" s="11"/>
    </row>
    <row r="217" spans="4:35" ht="15.75" customHeight="1" x14ac:dyDescent="0.2">
      <c r="D217" s="54"/>
      <c r="AI217" s="11"/>
    </row>
    <row r="218" spans="4:35" ht="15.75" customHeight="1" x14ac:dyDescent="0.2">
      <c r="D218" s="54"/>
      <c r="AI218" s="11"/>
    </row>
    <row r="219" spans="4:35" ht="15.75" customHeight="1" x14ac:dyDescent="0.2">
      <c r="D219" s="54"/>
      <c r="AI219" s="11"/>
    </row>
    <row r="220" spans="4:35" ht="15.75" customHeight="1" x14ac:dyDescent="0.2">
      <c r="D220" s="54"/>
      <c r="AI220" s="11"/>
    </row>
    <row r="221" spans="4:35" ht="15.75" customHeight="1" x14ac:dyDescent="0.2">
      <c r="D221" s="54"/>
      <c r="AI221" s="11"/>
    </row>
    <row r="222" spans="4:35" ht="15.75" customHeight="1" x14ac:dyDescent="0.2">
      <c r="D222" s="54"/>
      <c r="AI222" s="11"/>
    </row>
    <row r="223" spans="4:35" ht="15.75" customHeight="1" x14ac:dyDescent="0.2">
      <c r="D223" s="54"/>
      <c r="AI223" s="11"/>
    </row>
    <row r="224" spans="4:35" ht="15.75" customHeight="1" x14ac:dyDescent="0.2">
      <c r="D224" s="54"/>
      <c r="AI224" s="11"/>
    </row>
    <row r="225" spans="4:35" ht="15.75" customHeight="1" x14ac:dyDescent="0.2">
      <c r="D225" s="54"/>
      <c r="AI225" s="11"/>
    </row>
    <row r="226" spans="4:35" ht="15.75" customHeight="1" x14ac:dyDescent="0.2">
      <c r="D226" s="54"/>
      <c r="AI226" s="11"/>
    </row>
    <row r="227" spans="4:35" ht="15.75" customHeight="1" x14ac:dyDescent="0.2">
      <c r="D227" s="54"/>
      <c r="AI227" s="11"/>
    </row>
    <row r="228" spans="4:35" ht="15.75" customHeight="1" x14ac:dyDescent="0.2">
      <c r="D228" s="54"/>
      <c r="AI228" s="11"/>
    </row>
    <row r="229" spans="4:35" ht="15.75" customHeight="1" x14ac:dyDescent="0.2">
      <c r="D229" s="54"/>
      <c r="AI229" s="11"/>
    </row>
    <row r="230" spans="4:35" ht="15.75" customHeight="1" x14ac:dyDescent="0.2">
      <c r="D230" s="54"/>
      <c r="AI230" s="11"/>
    </row>
    <row r="231" spans="4:35" ht="15.75" customHeight="1" x14ac:dyDescent="0.2">
      <c r="D231" s="54"/>
      <c r="AI231" s="11"/>
    </row>
    <row r="232" spans="4:35" ht="15.75" customHeight="1" x14ac:dyDescent="0.2">
      <c r="D232" s="54"/>
      <c r="AI232" s="11"/>
    </row>
    <row r="233" spans="4:35" ht="15.75" customHeight="1" x14ac:dyDescent="0.2">
      <c r="D233" s="54"/>
      <c r="AI233" s="11"/>
    </row>
    <row r="234" spans="4:35" ht="15.75" customHeight="1" x14ac:dyDescent="0.2">
      <c r="D234" s="54"/>
      <c r="AI234" s="11"/>
    </row>
    <row r="235" spans="4:35" ht="15.75" customHeight="1" x14ac:dyDescent="0.2">
      <c r="D235" s="54"/>
      <c r="AI235" s="11"/>
    </row>
    <row r="236" spans="4:35" ht="15.75" customHeight="1" x14ac:dyDescent="0.2">
      <c r="D236" s="54"/>
      <c r="AI236" s="11"/>
    </row>
    <row r="237" spans="4:35" ht="15.75" customHeight="1" x14ac:dyDescent="0.2">
      <c r="D237" s="54"/>
      <c r="AI237" s="11"/>
    </row>
    <row r="238" spans="4:35" ht="15.75" customHeight="1" x14ac:dyDescent="0.2">
      <c r="D238" s="54"/>
      <c r="AI238" s="11"/>
    </row>
    <row r="239" spans="4:35" ht="15.75" customHeight="1" x14ac:dyDescent="0.2">
      <c r="D239" s="54"/>
      <c r="AI239" s="11"/>
    </row>
    <row r="240" spans="4:35" ht="15.75" customHeight="1" x14ac:dyDescent="0.2">
      <c r="D240" s="54"/>
      <c r="AI240" s="11"/>
    </row>
    <row r="241" spans="4:35" ht="15.75" customHeight="1" x14ac:dyDescent="0.2">
      <c r="D241" s="54"/>
      <c r="AI241" s="11"/>
    </row>
    <row r="242" spans="4:35" ht="15.75" customHeight="1" x14ac:dyDescent="0.2">
      <c r="D242" s="54"/>
      <c r="AI242" s="11"/>
    </row>
    <row r="243" spans="4:35" ht="15.75" customHeight="1" x14ac:dyDescent="0.2">
      <c r="D243" s="54"/>
      <c r="AI243" s="11"/>
    </row>
    <row r="244" spans="4:35" ht="15.75" customHeight="1" x14ac:dyDescent="0.2">
      <c r="D244" s="54"/>
      <c r="AI244" s="11"/>
    </row>
    <row r="245" spans="4:35" ht="15.75" customHeight="1" x14ac:dyDescent="0.2">
      <c r="D245" s="54"/>
      <c r="AI245" s="11"/>
    </row>
    <row r="246" spans="4:35" ht="15.75" customHeight="1" x14ac:dyDescent="0.2">
      <c r="D246" s="54"/>
      <c r="AI246" s="11"/>
    </row>
    <row r="247" spans="4:35" ht="15.75" customHeight="1" x14ac:dyDescent="0.2">
      <c r="D247" s="54"/>
      <c r="AI247" s="11"/>
    </row>
    <row r="248" spans="4:35" ht="15.75" customHeight="1" x14ac:dyDescent="0.2">
      <c r="D248" s="54"/>
      <c r="AI248" s="11"/>
    </row>
    <row r="249" spans="4:35" ht="15.75" customHeight="1" x14ac:dyDescent="0.2">
      <c r="D249" s="54"/>
      <c r="AI249" s="11"/>
    </row>
    <row r="250" spans="4:35" ht="15.75" customHeight="1" x14ac:dyDescent="0.2">
      <c r="D250" s="54"/>
      <c r="AI250" s="11"/>
    </row>
    <row r="251" spans="4:35" ht="15.75" customHeight="1" x14ac:dyDescent="0.2">
      <c r="D251" s="54"/>
      <c r="AI251" s="11"/>
    </row>
    <row r="252" spans="4:35" ht="15.75" customHeight="1" x14ac:dyDescent="0.2">
      <c r="D252" s="54"/>
      <c r="AI252" s="11"/>
    </row>
    <row r="253" spans="4:35" ht="15.75" customHeight="1" x14ac:dyDescent="0.2">
      <c r="D253" s="54"/>
      <c r="AI253" s="11"/>
    </row>
    <row r="254" spans="4:35" ht="15.75" customHeight="1" x14ac:dyDescent="0.2">
      <c r="D254" s="54"/>
      <c r="AI254" s="11"/>
    </row>
    <row r="255" spans="4:35" ht="15.75" customHeight="1" x14ac:dyDescent="0.2">
      <c r="D255" s="54"/>
      <c r="AI255" s="11"/>
    </row>
    <row r="256" spans="4:35" ht="15.75" customHeight="1" x14ac:dyDescent="0.2">
      <c r="D256" s="54"/>
      <c r="AI256" s="11"/>
    </row>
    <row r="257" spans="4:35" ht="15.75" customHeight="1" x14ac:dyDescent="0.2">
      <c r="D257" s="54"/>
      <c r="AI257" s="11"/>
    </row>
    <row r="258" spans="4:35" ht="15.75" customHeight="1" x14ac:dyDescent="0.2">
      <c r="D258" s="54"/>
      <c r="AI258" s="11"/>
    </row>
    <row r="259" spans="4:35" ht="15.75" customHeight="1" x14ac:dyDescent="0.2">
      <c r="D259" s="54"/>
      <c r="AI259" s="11"/>
    </row>
    <row r="260" spans="4:35" ht="15.75" customHeight="1" x14ac:dyDescent="0.2">
      <c r="D260" s="54"/>
      <c r="AI260" s="11"/>
    </row>
    <row r="261" spans="4:35" ht="15.75" customHeight="1" x14ac:dyDescent="0.2">
      <c r="D261" s="54"/>
      <c r="AI261" s="11"/>
    </row>
    <row r="262" spans="4:35" ht="15.75" customHeight="1" x14ac:dyDescent="0.2">
      <c r="D262" s="54"/>
      <c r="AI262" s="11"/>
    </row>
    <row r="263" spans="4:35" ht="15.75" customHeight="1" x14ac:dyDescent="0.2">
      <c r="D263" s="54"/>
      <c r="AI263" s="11"/>
    </row>
    <row r="264" spans="4:35" ht="15.75" customHeight="1" x14ac:dyDescent="0.2">
      <c r="D264" s="54"/>
      <c r="AI264" s="11"/>
    </row>
    <row r="265" spans="4:35" ht="15.75" customHeight="1" x14ac:dyDescent="0.2">
      <c r="D265" s="54"/>
      <c r="AI265" s="11"/>
    </row>
    <row r="266" spans="4:35" ht="15.75" customHeight="1" x14ac:dyDescent="0.2">
      <c r="D266" s="54"/>
      <c r="AI266" s="11"/>
    </row>
    <row r="267" spans="4:35" ht="15.75" customHeight="1" x14ac:dyDescent="0.2">
      <c r="D267" s="54"/>
      <c r="AI267" s="11"/>
    </row>
    <row r="268" spans="4:35" ht="15.75" customHeight="1" x14ac:dyDescent="0.2">
      <c r="D268" s="54"/>
      <c r="AI268" s="11"/>
    </row>
    <row r="269" spans="4:35" ht="15.75" customHeight="1" x14ac:dyDescent="0.2">
      <c r="D269" s="54"/>
      <c r="AI269" s="11"/>
    </row>
    <row r="270" spans="4:35" ht="15.75" customHeight="1" x14ac:dyDescent="0.2">
      <c r="D270" s="54"/>
      <c r="AI270" s="11"/>
    </row>
    <row r="271" spans="4:35" ht="15.75" customHeight="1" x14ac:dyDescent="0.2">
      <c r="D271" s="54"/>
      <c r="AI271" s="11"/>
    </row>
    <row r="272" spans="4:35" ht="15.75" customHeight="1" x14ac:dyDescent="0.2">
      <c r="D272" s="54"/>
      <c r="AI272" s="11"/>
    </row>
    <row r="273" spans="4:35" ht="15.75" customHeight="1" x14ac:dyDescent="0.2">
      <c r="D273" s="54"/>
      <c r="AI273" s="11"/>
    </row>
    <row r="274" spans="4:35" ht="15.75" customHeight="1" x14ac:dyDescent="0.2">
      <c r="D274" s="54"/>
      <c r="AI274" s="11"/>
    </row>
    <row r="275" spans="4:35" ht="15.75" customHeight="1" x14ac:dyDescent="0.2">
      <c r="D275" s="54"/>
      <c r="AI275" s="11"/>
    </row>
    <row r="276" spans="4:35" ht="15.75" customHeight="1" x14ac:dyDescent="0.2">
      <c r="D276" s="54"/>
      <c r="AI276" s="11"/>
    </row>
    <row r="277" spans="4:35" ht="15.75" customHeight="1" x14ac:dyDescent="0.2">
      <c r="D277" s="54"/>
      <c r="AI277" s="11"/>
    </row>
    <row r="278" spans="4:35" ht="15.75" customHeight="1" x14ac:dyDescent="0.2">
      <c r="D278" s="54"/>
      <c r="AI278" s="11"/>
    </row>
    <row r="279" spans="4:35" ht="15.75" customHeight="1" x14ac:dyDescent="0.2">
      <c r="D279" s="54"/>
      <c r="AI279" s="11"/>
    </row>
    <row r="280" spans="4:35" ht="15.75" customHeight="1" x14ac:dyDescent="0.2">
      <c r="D280" s="54"/>
      <c r="AI280" s="11"/>
    </row>
    <row r="281" spans="4:35" ht="15.75" customHeight="1" x14ac:dyDescent="0.2">
      <c r="D281" s="54"/>
      <c r="AI281" s="11"/>
    </row>
    <row r="282" spans="4:35" ht="15.75" customHeight="1" x14ac:dyDescent="0.2">
      <c r="D282" s="54"/>
      <c r="AI282" s="11"/>
    </row>
    <row r="283" spans="4:35" ht="15.75" customHeight="1" x14ac:dyDescent="0.2">
      <c r="D283" s="54"/>
      <c r="AI283" s="11"/>
    </row>
    <row r="284" spans="4:35" ht="15.75" customHeight="1" x14ac:dyDescent="0.2">
      <c r="D284" s="54"/>
      <c r="AI284" s="11"/>
    </row>
    <row r="285" spans="4:35" ht="15.75" customHeight="1" x14ac:dyDescent="0.2">
      <c r="D285" s="54"/>
      <c r="AI285" s="11"/>
    </row>
    <row r="286" spans="4:35" ht="15.75" customHeight="1" x14ac:dyDescent="0.2">
      <c r="D286" s="54"/>
      <c r="AI286" s="11"/>
    </row>
    <row r="287" spans="4:35" ht="15.75" customHeight="1" x14ac:dyDescent="0.2">
      <c r="D287" s="54"/>
      <c r="AI287" s="11"/>
    </row>
    <row r="288" spans="4:35" ht="15.75" customHeight="1" x14ac:dyDescent="0.2">
      <c r="D288" s="54"/>
      <c r="AI288" s="11"/>
    </row>
    <row r="289" spans="4:35" ht="15.75" customHeight="1" x14ac:dyDescent="0.2">
      <c r="D289" s="54"/>
      <c r="AI289" s="11"/>
    </row>
    <row r="290" spans="4:35" ht="15.75" customHeight="1" x14ac:dyDescent="0.2">
      <c r="D290" s="54"/>
      <c r="AI290" s="11"/>
    </row>
    <row r="291" spans="4:35" ht="15.75" customHeight="1" x14ac:dyDescent="0.2">
      <c r="D291" s="54"/>
      <c r="AI291" s="11"/>
    </row>
    <row r="292" spans="4:35" ht="15.75" customHeight="1" x14ac:dyDescent="0.2">
      <c r="D292" s="54"/>
      <c r="AI292" s="11"/>
    </row>
    <row r="293" spans="4:35" ht="15.75" customHeight="1" x14ac:dyDescent="0.2">
      <c r="D293" s="54"/>
      <c r="AI293" s="11"/>
    </row>
    <row r="294" spans="4:35" ht="15.75" customHeight="1" x14ac:dyDescent="0.2">
      <c r="D294" s="54"/>
      <c r="AI294" s="11"/>
    </row>
    <row r="295" spans="4:35" ht="15.75" customHeight="1" x14ac:dyDescent="0.2">
      <c r="D295" s="54"/>
      <c r="AI295" s="11"/>
    </row>
    <row r="296" spans="4:35" ht="15.75" customHeight="1" x14ac:dyDescent="0.2">
      <c r="D296" s="54"/>
      <c r="AI296" s="11"/>
    </row>
    <row r="297" spans="4:35" ht="15.75" customHeight="1" x14ac:dyDescent="0.2">
      <c r="D297" s="54"/>
      <c r="AI297" s="11"/>
    </row>
    <row r="298" spans="4:35" ht="15.75" customHeight="1" x14ac:dyDescent="0.2">
      <c r="D298" s="54"/>
      <c r="AI298" s="11"/>
    </row>
    <row r="299" spans="4:35" ht="15.75" customHeight="1" x14ac:dyDescent="0.2">
      <c r="D299" s="54"/>
      <c r="AI299" s="11"/>
    </row>
    <row r="300" spans="4:35" ht="15.75" customHeight="1" x14ac:dyDescent="0.2">
      <c r="D300" s="54"/>
      <c r="AI300" s="11"/>
    </row>
    <row r="301" spans="4:35" ht="15.75" customHeight="1" x14ac:dyDescent="0.2">
      <c r="D301" s="54"/>
      <c r="AI301" s="11"/>
    </row>
    <row r="302" spans="4:35" ht="15.75" customHeight="1" x14ac:dyDescent="0.2">
      <c r="D302" s="54"/>
      <c r="AI302" s="11"/>
    </row>
    <row r="303" spans="4:35" ht="15.75" customHeight="1" x14ac:dyDescent="0.2">
      <c r="D303" s="54"/>
      <c r="AI303" s="11"/>
    </row>
    <row r="304" spans="4:35" ht="15.75" customHeight="1" x14ac:dyDescent="0.2">
      <c r="D304" s="54"/>
      <c r="AI304" s="11"/>
    </row>
    <row r="305" spans="4:35" ht="15.75" customHeight="1" x14ac:dyDescent="0.2">
      <c r="D305" s="54"/>
      <c r="AI305" s="11"/>
    </row>
    <row r="306" spans="4:35" ht="15.75" customHeight="1" x14ac:dyDescent="0.2">
      <c r="D306" s="54"/>
      <c r="AI306" s="11"/>
    </row>
    <row r="307" spans="4:35" ht="15.75" customHeight="1" x14ac:dyDescent="0.2">
      <c r="D307" s="54"/>
      <c r="AI307" s="11"/>
    </row>
    <row r="308" spans="4:35" ht="15.75" customHeight="1" x14ac:dyDescent="0.2">
      <c r="D308" s="54"/>
      <c r="AI308" s="11"/>
    </row>
    <row r="309" spans="4:35" ht="15.75" customHeight="1" x14ac:dyDescent="0.2">
      <c r="D309" s="54"/>
      <c r="AI309" s="11"/>
    </row>
    <row r="310" spans="4:35" ht="15.75" customHeight="1" x14ac:dyDescent="0.2">
      <c r="D310" s="54"/>
      <c r="AI310" s="11"/>
    </row>
    <row r="311" spans="4:35" ht="15.75" customHeight="1" x14ac:dyDescent="0.2">
      <c r="D311" s="54"/>
      <c r="AI311" s="11"/>
    </row>
    <row r="312" spans="4:35" ht="15.75" customHeight="1" x14ac:dyDescent="0.2">
      <c r="D312" s="54"/>
      <c r="AI312" s="11"/>
    </row>
    <row r="313" spans="4:35" ht="15.75" customHeight="1" x14ac:dyDescent="0.2">
      <c r="D313" s="54"/>
      <c r="AI313" s="11"/>
    </row>
    <row r="314" spans="4:35" ht="15.75" customHeight="1" x14ac:dyDescent="0.2">
      <c r="D314" s="54"/>
      <c r="AI314" s="11"/>
    </row>
    <row r="315" spans="4:35" ht="15.75" customHeight="1" x14ac:dyDescent="0.2">
      <c r="D315" s="54"/>
      <c r="AI315" s="11"/>
    </row>
    <row r="316" spans="4:35" ht="15.75" customHeight="1" x14ac:dyDescent="0.2">
      <c r="D316" s="54"/>
      <c r="AI316" s="11"/>
    </row>
    <row r="317" spans="4:35" ht="15.75" customHeight="1" x14ac:dyDescent="0.2">
      <c r="D317" s="54"/>
      <c r="AI317" s="11"/>
    </row>
    <row r="318" spans="4:35" ht="15.75" customHeight="1" x14ac:dyDescent="0.2">
      <c r="D318" s="54"/>
      <c r="AI318" s="11"/>
    </row>
    <row r="319" spans="4:35" ht="15.75" customHeight="1" x14ac:dyDescent="0.2">
      <c r="D319" s="54"/>
      <c r="AI319" s="11"/>
    </row>
    <row r="320" spans="4:35" ht="15.75" customHeight="1" x14ac:dyDescent="0.2">
      <c r="D320" s="54"/>
      <c r="AI320" s="11"/>
    </row>
    <row r="321" spans="4:35" ht="15.75" customHeight="1" x14ac:dyDescent="0.2">
      <c r="D321" s="54"/>
      <c r="AI321" s="11"/>
    </row>
    <row r="322" spans="4:35" ht="15.75" customHeight="1" x14ac:dyDescent="0.2">
      <c r="D322" s="54"/>
      <c r="AI322" s="11"/>
    </row>
    <row r="323" spans="4:35" ht="15.75" customHeight="1" x14ac:dyDescent="0.2">
      <c r="D323" s="54"/>
      <c r="AI323" s="11"/>
    </row>
    <row r="324" spans="4:35" ht="15.75" customHeight="1" x14ac:dyDescent="0.2">
      <c r="D324" s="54"/>
      <c r="AI324" s="11"/>
    </row>
    <row r="325" spans="4:35" ht="15.75" customHeight="1" x14ac:dyDescent="0.2">
      <c r="D325" s="54"/>
      <c r="AI325" s="11"/>
    </row>
    <row r="326" spans="4:35" ht="15.75" customHeight="1" x14ac:dyDescent="0.2">
      <c r="D326" s="54"/>
      <c r="AI326" s="11"/>
    </row>
    <row r="327" spans="4:35" ht="15.75" customHeight="1" x14ac:dyDescent="0.2">
      <c r="D327" s="54"/>
      <c r="AI327" s="11"/>
    </row>
    <row r="328" spans="4:35" ht="15.75" customHeight="1" x14ac:dyDescent="0.2">
      <c r="D328" s="54"/>
      <c r="AI328" s="11"/>
    </row>
    <row r="329" spans="4:35" ht="15.75" customHeight="1" x14ac:dyDescent="0.2">
      <c r="D329" s="54"/>
      <c r="AI329" s="11"/>
    </row>
    <row r="330" spans="4:35" ht="15.75" customHeight="1" x14ac:dyDescent="0.2">
      <c r="D330" s="54"/>
      <c r="AI330" s="11"/>
    </row>
    <row r="331" spans="4:35" ht="15.75" customHeight="1" x14ac:dyDescent="0.2">
      <c r="D331" s="54"/>
      <c r="AI331" s="11"/>
    </row>
    <row r="332" spans="4:35" ht="15.75" customHeight="1" x14ac:dyDescent="0.2">
      <c r="D332" s="54"/>
      <c r="AI332" s="11"/>
    </row>
    <row r="333" spans="4:35" ht="15.75" customHeight="1" x14ac:dyDescent="0.2">
      <c r="D333" s="54"/>
      <c r="AI333" s="11"/>
    </row>
    <row r="334" spans="4:35" ht="15.75" customHeight="1" x14ac:dyDescent="0.2">
      <c r="D334" s="54"/>
      <c r="AI334" s="11"/>
    </row>
    <row r="335" spans="4:35" ht="15.75" customHeight="1" x14ac:dyDescent="0.2">
      <c r="D335" s="54"/>
      <c r="AI335" s="11"/>
    </row>
    <row r="336" spans="4:35" ht="15.75" customHeight="1" x14ac:dyDescent="0.2">
      <c r="D336" s="54"/>
      <c r="AI336" s="11"/>
    </row>
    <row r="337" spans="4:35" ht="15.75" customHeight="1" x14ac:dyDescent="0.2">
      <c r="D337" s="54"/>
      <c r="AI337" s="11"/>
    </row>
    <row r="338" spans="4:35" ht="15.75" customHeight="1" x14ac:dyDescent="0.2">
      <c r="D338" s="54"/>
      <c r="AI338" s="11"/>
    </row>
    <row r="339" spans="4:35" ht="15.75" customHeight="1" x14ac:dyDescent="0.2">
      <c r="D339" s="54"/>
      <c r="AI339" s="11"/>
    </row>
    <row r="340" spans="4:35" ht="15.75" customHeight="1" x14ac:dyDescent="0.2">
      <c r="D340" s="54"/>
      <c r="AI340" s="11"/>
    </row>
    <row r="341" spans="4:35" ht="15.75" customHeight="1" x14ac:dyDescent="0.2">
      <c r="D341" s="54"/>
      <c r="AI341" s="11"/>
    </row>
    <row r="342" spans="4:35" ht="15.75" customHeight="1" x14ac:dyDescent="0.2">
      <c r="D342" s="54"/>
      <c r="AI342" s="11"/>
    </row>
    <row r="343" spans="4:35" ht="15.75" customHeight="1" x14ac:dyDescent="0.2">
      <c r="D343" s="54"/>
      <c r="AI343" s="11"/>
    </row>
    <row r="344" spans="4:35" ht="15.75" customHeight="1" x14ac:dyDescent="0.2">
      <c r="D344" s="54"/>
      <c r="AI344" s="11"/>
    </row>
    <row r="345" spans="4:35" ht="15.75" customHeight="1" x14ac:dyDescent="0.2">
      <c r="D345" s="54"/>
      <c r="AI345" s="11"/>
    </row>
    <row r="346" spans="4:35" ht="15.75" customHeight="1" x14ac:dyDescent="0.2">
      <c r="D346" s="54"/>
      <c r="AI346" s="11"/>
    </row>
    <row r="347" spans="4:35" ht="15.75" customHeight="1" x14ac:dyDescent="0.2">
      <c r="D347" s="54"/>
      <c r="AI347" s="11"/>
    </row>
    <row r="348" spans="4:35" ht="15.75" customHeight="1" x14ac:dyDescent="0.2">
      <c r="D348" s="54"/>
      <c r="AI348" s="11"/>
    </row>
    <row r="349" spans="4:35" ht="15.75" customHeight="1" x14ac:dyDescent="0.2">
      <c r="D349" s="54"/>
      <c r="AI349" s="11"/>
    </row>
    <row r="350" spans="4:35" ht="15.75" customHeight="1" x14ac:dyDescent="0.2">
      <c r="D350" s="54"/>
      <c r="AI350" s="11"/>
    </row>
    <row r="351" spans="4:35" ht="15.75" customHeight="1" x14ac:dyDescent="0.2">
      <c r="D351" s="54"/>
      <c r="AI351" s="11"/>
    </row>
    <row r="352" spans="4:35" ht="15.75" customHeight="1" x14ac:dyDescent="0.2">
      <c r="D352" s="54"/>
      <c r="AI352" s="11"/>
    </row>
    <row r="353" spans="4:35" ht="15.75" customHeight="1" x14ac:dyDescent="0.2">
      <c r="D353" s="54"/>
      <c r="AI353" s="11"/>
    </row>
    <row r="354" spans="4:35" ht="15.75" customHeight="1" x14ac:dyDescent="0.2">
      <c r="D354" s="54"/>
      <c r="AI354" s="11"/>
    </row>
    <row r="355" spans="4:35" ht="15.75" customHeight="1" x14ac:dyDescent="0.2">
      <c r="D355" s="54"/>
      <c r="AI355" s="11"/>
    </row>
    <row r="356" spans="4:35" ht="15.75" customHeight="1" x14ac:dyDescent="0.2">
      <c r="D356" s="54"/>
      <c r="AI356" s="11"/>
    </row>
    <row r="357" spans="4:35" ht="15.75" customHeight="1" x14ac:dyDescent="0.2">
      <c r="D357" s="54"/>
      <c r="AI357" s="11"/>
    </row>
    <row r="358" spans="4:35" ht="15.75" customHeight="1" x14ac:dyDescent="0.2">
      <c r="D358" s="54"/>
      <c r="AI358" s="11"/>
    </row>
    <row r="359" spans="4:35" ht="15.75" customHeight="1" x14ac:dyDescent="0.2">
      <c r="D359" s="54"/>
      <c r="AI359" s="11"/>
    </row>
    <row r="360" spans="4:35" ht="15.75" customHeight="1" x14ac:dyDescent="0.2">
      <c r="D360" s="54"/>
      <c r="AI360" s="11"/>
    </row>
    <row r="361" spans="4:35" ht="15.75" customHeight="1" x14ac:dyDescent="0.2">
      <c r="D361" s="54"/>
      <c r="AI361" s="11"/>
    </row>
    <row r="362" spans="4:35" ht="15.75" customHeight="1" x14ac:dyDescent="0.2">
      <c r="D362" s="54"/>
      <c r="AI362" s="11"/>
    </row>
    <row r="363" spans="4:35" ht="15.75" customHeight="1" x14ac:dyDescent="0.2">
      <c r="D363" s="54"/>
      <c r="AI363" s="11"/>
    </row>
    <row r="364" spans="4:35" ht="15.75" customHeight="1" x14ac:dyDescent="0.2">
      <c r="D364" s="54"/>
      <c r="AI364" s="11"/>
    </row>
    <row r="365" spans="4:35" ht="15.75" customHeight="1" x14ac:dyDescent="0.2">
      <c r="D365" s="54"/>
      <c r="AI365" s="11"/>
    </row>
    <row r="366" spans="4:35" ht="15.75" customHeight="1" x14ac:dyDescent="0.2">
      <c r="D366" s="54"/>
      <c r="AI366" s="11"/>
    </row>
    <row r="367" spans="4:35" ht="15.75" customHeight="1" x14ac:dyDescent="0.2">
      <c r="D367" s="54"/>
      <c r="AI367" s="11"/>
    </row>
    <row r="368" spans="4:35" ht="15.75" customHeight="1" x14ac:dyDescent="0.2">
      <c r="D368" s="54"/>
      <c r="AI368" s="11"/>
    </row>
    <row r="369" spans="4:35" ht="15.75" customHeight="1" x14ac:dyDescent="0.2">
      <c r="D369" s="54"/>
      <c r="AI369" s="11"/>
    </row>
    <row r="370" spans="4:35" ht="15.75" customHeight="1" x14ac:dyDescent="0.2">
      <c r="D370" s="54"/>
      <c r="AI370" s="11"/>
    </row>
    <row r="371" spans="4:35" ht="15.75" customHeight="1" x14ac:dyDescent="0.2">
      <c r="D371" s="54"/>
      <c r="AI371" s="11"/>
    </row>
    <row r="372" spans="4:35" ht="15.75" customHeight="1" x14ac:dyDescent="0.2">
      <c r="D372" s="54"/>
      <c r="AI372" s="11"/>
    </row>
    <row r="373" spans="4:35" ht="15.75" customHeight="1" x14ac:dyDescent="0.2">
      <c r="D373" s="54"/>
      <c r="AI373" s="11"/>
    </row>
    <row r="374" spans="4:35" ht="15.75" customHeight="1" x14ac:dyDescent="0.2">
      <c r="D374" s="54"/>
      <c r="AI374" s="11"/>
    </row>
    <row r="375" spans="4:35" ht="15.75" customHeight="1" x14ac:dyDescent="0.2">
      <c r="D375" s="54"/>
      <c r="AI375" s="11"/>
    </row>
    <row r="376" spans="4:35" ht="15.75" customHeight="1" x14ac:dyDescent="0.2">
      <c r="D376" s="54"/>
      <c r="AI376" s="11"/>
    </row>
    <row r="377" spans="4:35" ht="15.75" customHeight="1" x14ac:dyDescent="0.2">
      <c r="D377" s="54"/>
      <c r="AI377" s="11"/>
    </row>
    <row r="378" spans="4:35" ht="15.75" customHeight="1" x14ac:dyDescent="0.2">
      <c r="D378" s="54"/>
      <c r="AI378" s="11"/>
    </row>
    <row r="379" spans="4:35" ht="15.75" customHeight="1" x14ac:dyDescent="0.2">
      <c r="D379" s="54"/>
      <c r="AI379" s="11"/>
    </row>
    <row r="380" spans="4:35" ht="15.75" customHeight="1" x14ac:dyDescent="0.2">
      <c r="D380" s="54"/>
      <c r="AI380" s="11"/>
    </row>
    <row r="381" spans="4:35" ht="15.75" customHeight="1" x14ac:dyDescent="0.2">
      <c r="D381" s="54"/>
      <c r="AI381" s="11"/>
    </row>
    <row r="382" spans="4:35" ht="15.75" customHeight="1" x14ac:dyDescent="0.2">
      <c r="D382" s="54"/>
      <c r="AI382" s="11"/>
    </row>
    <row r="383" spans="4:35" ht="15.75" customHeight="1" x14ac:dyDescent="0.2">
      <c r="D383" s="54"/>
      <c r="AI383" s="11"/>
    </row>
    <row r="384" spans="4:35" ht="15.75" customHeight="1" x14ac:dyDescent="0.2">
      <c r="D384" s="54"/>
      <c r="AI384" s="11"/>
    </row>
    <row r="385" spans="4:35" ht="15.75" customHeight="1" x14ac:dyDescent="0.2">
      <c r="D385" s="54"/>
      <c r="AI385" s="11"/>
    </row>
    <row r="386" spans="4:35" ht="15.75" customHeight="1" x14ac:dyDescent="0.2">
      <c r="D386" s="54"/>
      <c r="AI386" s="11"/>
    </row>
    <row r="387" spans="4:35" ht="15.75" customHeight="1" x14ac:dyDescent="0.2">
      <c r="D387" s="54"/>
      <c r="AI387" s="11"/>
    </row>
    <row r="388" spans="4:35" ht="15.75" customHeight="1" x14ac:dyDescent="0.2">
      <c r="D388" s="54"/>
      <c r="AI388" s="11"/>
    </row>
    <row r="389" spans="4:35" ht="15.75" customHeight="1" x14ac:dyDescent="0.2">
      <c r="D389" s="54"/>
      <c r="AI389" s="11"/>
    </row>
    <row r="390" spans="4:35" ht="15.75" customHeight="1" x14ac:dyDescent="0.2">
      <c r="D390" s="54"/>
      <c r="AI390" s="11"/>
    </row>
    <row r="391" spans="4:35" ht="15.75" customHeight="1" x14ac:dyDescent="0.2">
      <c r="D391" s="54"/>
      <c r="AI391" s="11"/>
    </row>
    <row r="392" spans="4:35" ht="15.75" customHeight="1" x14ac:dyDescent="0.2">
      <c r="D392" s="54"/>
      <c r="AI392" s="11"/>
    </row>
    <row r="393" spans="4:35" ht="15.75" customHeight="1" x14ac:dyDescent="0.2">
      <c r="D393" s="54"/>
      <c r="AI393" s="11"/>
    </row>
    <row r="394" spans="4:35" ht="15.75" customHeight="1" x14ac:dyDescent="0.2">
      <c r="D394" s="54"/>
      <c r="AI394" s="11"/>
    </row>
    <row r="395" spans="4:35" ht="15.75" customHeight="1" x14ac:dyDescent="0.2">
      <c r="D395" s="54"/>
      <c r="AI395" s="11"/>
    </row>
    <row r="396" spans="4:35" ht="15.75" customHeight="1" x14ac:dyDescent="0.2">
      <c r="D396" s="54"/>
      <c r="AI396" s="11"/>
    </row>
    <row r="397" spans="4:35" ht="15.75" customHeight="1" x14ac:dyDescent="0.2">
      <c r="D397" s="54"/>
      <c r="AI397" s="11"/>
    </row>
    <row r="398" spans="4:35" ht="15.75" customHeight="1" x14ac:dyDescent="0.2">
      <c r="D398" s="54"/>
      <c r="AI398" s="11"/>
    </row>
    <row r="399" spans="4:35" ht="15.75" customHeight="1" x14ac:dyDescent="0.2">
      <c r="D399" s="54"/>
      <c r="AI399" s="11"/>
    </row>
    <row r="400" spans="4:35" ht="15.75" customHeight="1" x14ac:dyDescent="0.2">
      <c r="D400" s="54"/>
      <c r="AI400" s="11"/>
    </row>
    <row r="401" spans="4:35" ht="15.75" customHeight="1" x14ac:dyDescent="0.2">
      <c r="D401" s="54"/>
      <c r="AI401" s="11"/>
    </row>
    <row r="402" spans="4:35" ht="15.75" customHeight="1" x14ac:dyDescent="0.2">
      <c r="D402" s="54"/>
      <c r="AI402" s="11"/>
    </row>
    <row r="403" spans="4:35" ht="15.75" customHeight="1" x14ac:dyDescent="0.2">
      <c r="D403" s="54"/>
      <c r="AI403" s="11"/>
    </row>
    <row r="404" spans="4:35" ht="15.75" customHeight="1" x14ac:dyDescent="0.2">
      <c r="D404" s="54"/>
      <c r="AI404" s="11"/>
    </row>
    <row r="405" spans="4:35" ht="15.75" customHeight="1" x14ac:dyDescent="0.2">
      <c r="D405" s="54"/>
      <c r="AI405" s="11"/>
    </row>
    <row r="406" spans="4:35" ht="15.75" customHeight="1" x14ac:dyDescent="0.2">
      <c r="D406" s="54"/>
      <c r="AI406" s="11"/>
    </row>
    <row r="407" spans="4:35" ht="15.75" customHeight="1" x14ac:dyDescent="0.2">
      <c r="D407" s="54"/>
      <c r="AI407" s="11"/>
    </row>
    <row r="408" spans="4:35" ht="15.75" customHeight="1" x14ac:dyDescent="0.2">
      <c r="D408" s="54"/>
      <c r="AI408" s="11"/>
    </row>
    <row r="409" spans="4:35" ht="15.75" customHeight="1" x14ac:dyDescent="0.2">
      <c r="D409" s="54"/>
      <c r="AI409" s="11"/>
    </row>
    <row r="410" spans="4:35" ht="15.75" customHeight="1" x14ac:dyDescent="0.2">
      <c r="D410" s="54"/>
      <c r="AI410" s="11"/>
    </row>
    <row r="411" spans="4:35" ht="15.75" customHeight="1" x14ac:dyDescent="0.2">
      <c r="D411" s="54"/>
      <c r="AI411" s="11"/>
    </row>
    <row r="412" spans="4:35" ht="15.75" customHeight="1" x14ac:dyDescent="0.2">
      <c r="D412" s="54"/>
      <c r="AI412" s="11"/>
    </row>
    <row r="413" spans="4:35" ht="15.75" customHeight="1" x14ac:dyDescent="0.2">
      <c r="D413" s="54"/>
      <c r="AI413" s="11"/>
    </row>
    <row r="414" spans="4:35" ht="15.75" customHeight="1" x14ac:dyDescent="0.2">
      <c r="D414" s="54"/>
      <c r="AI414" s="11"/>
    </row>
    <row r="415" spans="4:35" ht="15.75" customHeight="1" x14ac:dyDescent="0.2">
      <c r="D415" s="54"/>
      <c r="AI415" s="11"/>
    </row>
    <row r="416" spans="4:35" ht="15.75" customHeight="1" x14ac:dyDescent="0.2">
      <c r="D416" s="54"/>
      <c r="AI416" s="11"/>
    </row>
    <row r="417" spans="4:35" ht="15.75" customHeight="1" x14ac:dyDescent="0.2">
      <c r="D417" s="54"/>
      <c r="AI417" s="11"/>
    </row>
    <row r="418" spans="4:35" ht="15.75" customHeight="1" x14ac:dyDescent="0.2">
      <c r="D418" s="54"/>
      <c r="AI418" s="11"/>
    </row>
    <row r="419" spans="4:35" ht="15.75" customHeight="1" x14ac:dyDescent="0.2">
      <c r="D419" s="54"/>
      <c r="AI419" s="11"/>
    </row>
    <row r="420" spans="4:35" ht="15.75" customHeight="1" x14ac:dyDescent="0.2">
      <c r="D420" s="54"/>
      <c r="AI420" s="11"/>
    </row>
    <row r="421" spans="4:35" ht="15.75" customHeight="1" x14ac:dyDescent="0.2">
      <c r="D421" s="54"/>
      <c r="AI421" s="11"/>
    </row>
    <row r="422" spans="4:35" ht="15.75" customHeight="1" x14ac:dyDescent="0.2">
      <c r="D422" s="54"/>
      <c r="AI422" s="11"/>
    </row>
    <row r="423" spans="4:35" ht="15.75" customHeight="1" x14ac:dyDescent="0.2">
      <c r="D423" s="54"/>
      <c r="AI423" s="11"/>
    </row>
    <row r="424" spans="4:35" ht="15.75" customHeight="1" x14ac:dyDescent="0.2">
      <c r="D424" s="54"/>
      <c r="AI424" s="11"/>
    </row>
    <row r="425" spans="4:35" ht="15.75" customHeight="1" x14ac:dyDescent="0.2">
      <c r="D425" s="54"/>
      <c r="AI425" s="11"/>
    </row>
    <row r="426" spans="4:35" ht="15.75" customHeight="1" x14ac:dyDescent="0.2">
      <c r="D426" s="54"/>
      <c r="AI426" s="11"/>
    </row>
    <row r="427" spans="4:35" ht="15.75" customHeight="1" x14ac:dyDescent="0.2">
      <c r="D427" s="54"/>
      <c r="AI427" s="11"/>
    </row>
    <row r="428" spans="4:35" ht="15.75" customHeight="1" x14ac:dyDescent="0.2">
      <c r="D428" s="54"/>
      <c r="AI428" s="11"/>
    </row>
    <row r="429" spans="4:35" ht="15.75" customHeight="1" x14ac:dyDescent="0.2">
      <c r="D429" s="54"/>
      <c r="AI429" s="11"/>
    </row>
    <row r="430" spans="4:35" ht="15.75" customHeight="1" x14ac:dyDescent="0.2">
      <c r="D430" s="54"/>
      <c r="AI430" s="11"/>
    </row>
    <row r="431" spans="4:35" ht="15.75" customHeight="1" x14ac:dyDescent="0.2">
      <c r="D431" s="54"/>
      <c r="AI431" s="11"/>
    </row>
    <row r="432" spans="4:35" ht="15.75" customHeight="1" x14ac:dyDescent="0.2">
      <c r="D432" s="54"/>
      <c r="AI432" s="11"/>
    </row>
    <row r="433" spans="4:35" ht="15.75" customHeight="1" x14ac:dyDescent="0.2">
      <c r="D433" s="54"/>
      <c r="AI433" s="11"/>
    </row>
    <row r="434" spans="4:35" ht="15.75" customHeight="1" x14ac:dyDescent="0.2">
      <c r="D434" s="54"/>
      <c r="AI434" s="11"/>
    </row>
    <row r="435" spans="4:35" ht="15.75" customHeight="1" x14ac:dyDescent="0.2">
      <c r="D435" s="54"/>
      <c r="AI435" s="11"/>
    </row>
    <row r="436" spans="4:35" ht="15.75" customHeight="1" x14ac:dyDescent="0.2">
      <c r="D436" s="54"/>
      <c r="AI436" s="11"/>
    </row>
    <row r="437" spans="4:35" ht="15.75" customHeight="1" x14ac:dyDescent="0.2">
      <c r="D437" s="54"/>
      <c r="AI437" s="11"/>
    </row>
    <row r="438" spans="4:35" ht="15.75" customHeight="1" x14ac:dyDescent="0.2">
      <c r="D438" s="54"/>
      <c r="AI438" s="11"/>
    </row>
    <row r="439" spans="4:35" ht="15.75" customHeight="1" x14ac:dyDescent="0.2">
      <c r="D439" s="54"/>
      <c r="AI439" s="11"/>
    </row>
    <row r="440" spans="4:35" ht="15.75" customHeight="1" x14ac:dyDescent="0.2">
      <c r="D440" s="54"/>
      <c r="AI440" s="11"/>
    </row>
    <row r="441" spans="4:35" ht="15.75" customHeight="1" x14ac:dyDescent="0.2">
      <c r="D441" s="54"/>
      <c r="AI441" s="11"/>
    </row>
    <row r="442" spans="4:35" ht="15.75" customHeight="1" x14ac:dyDescent="0.2">
      <c r="D442" s="54"/>
      <c r="AI442" s="11"/>
    </row>
    <row r="443" spans="4:35" ht="15.75" customHeight="1" x14ac:dyDescent="0.2">
      <c r="D443" s="54"/>
      <c r="AI443" s="11"/>
    </row>
    <row r="444" spans="4:35" ht="15.75" customHeight="1" x14ac:dyDescent="0.2">
      <c r="D444" s="54"/>
      <c r="AI444" s="11"/>
    </row>
    <row r="445" spans="4:35" ht="15.75" customHeight="1" x14ac:dyDescent="0.2">
      <c r="D445" s="54"/>
      <c r="AI445" s="11"/>
    </row>
    <row r="446" spans="4:35" ht="15.75" customHeight="1" x14ac:dyDescent="0.2">
      <c r="D446" s="54"/>
      <c r="AI446" s="11"/>
    </row>
    <row r="447" spans="4:35" ht="15.75" customHeight="1" x14ac:dyDescent="0.2">
      <c r="D447" s="54"/>
      <c r="AI447" s="11"/>
    </row>
    <row r="448" spans="4:35" ht="15.75" customHeight="1" x14ac:dyDescent="0.2">
      <c r="D448" s="54"/>
      <c r="AI448" s="11"/>
    </row>
    <row r="449" spans="4:35" ht="15.75" customHeight="1" x14ac:dyDescent="0.2">
      <c r="D449" s="54"/>
      <c r="AI449" s="11"/>
    </row>
    <row r="450" spans="4:35" ht="15.75" customHeight="1" x14ac:dyDescent="0.2">
      <c r="D450" s="54"/>
      <c r="AI450" s="11"/>
    </row>
    <row r="451" spans="4:35" ht="15.75" customHeight="1" x14ac:dyDescent="0.2">
      <c r="D451" s="54"/>
      <c r="AI451" s="11"/>
    </row>
    <row r="452" spans="4:35" ht="15.75" customHeight="1" x14ac:dyDescent="0.2">
      <c r="D452" s="54"/>
      <c r="AI452" s="11"/>
    </row>
    <row r="453" spans="4:35" ht="15.75" customHeight="1" x14ac:dyDescent="0.2">
      <c r="D453" s="54"/>
      <c r="AI453" s="11"/>
    </row>
    <row r="454" spans="4:35" ht="15.75" customHeight="1" x14ac:dyDescent="0.2">
      <c r="D454" s="54"/>
      <c r="AI454" s="11"/>
    </row>
    <row r="455" spans="4:35" ht="15.75" customHeight="1" x14ac:dyDescent="0.2">
      <c r="D455" s="54"/>
      <c r="AI455" s="11"/>
    </row>
    <row r="456" spans="4:35" ht="15.75" customHeight="1" x14ac:dyDescent="0.2">
      <c r="D456" s="54"/>
      <c r="AI456" s="11"/>
    </row>
    <row r="457" spans="4:35" ht="15.75" customHeight="1" x14ac:dyDescent="0.2">
      <c r="D457" s="54"/>
      <c r="AI457" s="11"/>
    </row>
    <row r="458" spans="4:35" ht="15.75" customHeight="1" x14ac:dyDescent="0.2">
      <c r="D458" s="54"/>
      <c r="AI458" s="11"/>
    </row>
    <row r="459" spans="4:35" ht="15.75" customHeight="1" x14ac:dyDescent="0.2">
      <c r="D459" s="54"/>
      <c r="AI459" s="11"/>
    </row>
    <row r="460" spans="4:35" ht="15.75" customHeight="1" x14ac:dyDescent="0.2">
      <c r="D460" s="54"/>
      <c r="AI460" s="11"/>
    </row>
    <row r="461" spans="4:35" ht="15.75" customHeight="1" x14ac:dyDescent="0.2">
      <c r="D461" s="54"/>
      <c r="AI461" s="11"/>
    </row>
    <row r="462" spans="4:35" ht="15.75" customHeight="1" x14ac:dyDescent="0.2">
      <c r="D462" s="54"/>
      <c r="AI462" s="11"/>
    </row>
    <row r="463" spans="4:35" ht="15.75" customHeight="1" x14ac:dyDescent="0.2">
      <c r="D463" s="54"/>
      <c r="AI463" s="11"/>
    </row>
    <row r="464" spans="4:35" ht="15.75" customHeight="1" x14ac:dyDescent="0.2">
      <c r="D464" s="54"/>
      <c r="AI464" s="11"/>
    </row>
    <row r="465" spans="4:35" ht="15.75" customHeight="1" x14ac:dyDescent="0.2">
      <c r="D465" s="54"/>
      <c r="AI465" s="11"/>
    </row>
    <row r="466" spans="4:35" ht="15.75" customHeight="1" x14ac:dyDescent="0.2">
      <c r="D466" s="54"/>
      <c r="AI466" s="11"/>
    </row>
    <row r="467" spans="4:35" ht="15.75" customHeight="1" x14ac:dyDescent="0.2">
      <c r="D467" s="54"/>
      <c r="AI467" s="11"/>
    </row>
    <row r="468" spans="4:35" ht="15.75" customHeight="1" x14ac:dyDescent="0.2">
      <c r="D468" s="54"/>
      <c r="AI468" s="11"/>
    </row>
    <row r="469" spans="4:35" ht="15.75" customHeight="1" x14ac:dyDescent="0.2">
      <c r="D469" s="54"/>
      <c r="AI469" s="11"/>
    </row>
    <row r="470" spans="4:35" ht="15.75" customHeight="1" x14ac:dyDescent="0.2">
      <c r="D470" s="54"/>
      <c r="AI470" s="11"/>
    </row>
    <row r="471" spans="4:35" ht="15.75" customHeight="1" x14ac:dyDescent="0.2">
      <c r="D471" s="54"/>
      <c r="AI471" s="11"/>
    </row>
    <row r="472" spans="4:35" ht="15.75" customHeight="1" x14ac:dyDescent="0.2">
      <c r="D472" s="54"/>
      <c r="AI472" s="11"/>
    </row>
    <row r="473" spans="4:35" ht="15.75" customHeight="1" x14ac:dyDescent="0.2">
      <c r="D473" s="54"/>
      <c r="AI473" s="11"/>
    </row>
    <row r="474" spans="4:35" ht="15.75" customHeight="1" x14ac:dyDescent="0.2">
      <c r="D474" s="54"/>
      <c r="AI474" s="11"/>
    </row>
    <row r="475" spans="4:35" ht="15.75" customHeight="1" x14ac:dyDescent="0.2">
      <c r="D475" s="54"/>
      <c r="AI475" s="11"/>
    </row>
    <row r="476" spans="4:35" ht="15.75" customHeight="1" x14ac:dyDescent="0.2">
      <c r="D476" s="54"/>
      <c r="AI476" s="11"/>
    </row>
    <row r="477" spans="4:35" ht="15.75" customHeight="1" x14ac:dyDescent="0.2">
      <c r="D477" s="54"/>
      <c r="AI477" s="11"/>
    </row>
    <row r="478" spans="4:35" ht="15.75" customHeight="1" x14ac:dyDescent="0.2">
      <c r="D478" s="54"/>
      <c r="AI478" s="11"/>
    </row>
    <row r="479" spans="4:35" ht="15.75" customHeight="1" x14ac:dyDescent="0.2">
      <c r="D479" s="54"/>
      <c r="AI479" s="11"/>
    </row>
    <row r="480" spans="4:35" ht="15.75" customHeight="1" x14ac:dyDescent="0.2">
      <c r="D480" s="54"/>
      <c r="AI480" s="11"/>
    </row>
    <row r="481" spans="4:35" ht="15.75" customHeight="1" x14ac:dyDescent="0.2">
      <c r="D481" s="54"/>
      <c r="AI481" s="11"/>
    </row>
    <row r="482" spans="4:35" ht="15.75" customHeight="1" x14ac:dyDescent="0.2">
      <c r="D482" s="54"/>
      <c r="AI482" s="11"/>
    </row>
    <row r="483" spans="4:35" ht="15.75" customHeight="1" x14ac:dyDescent="0.2">
      <c r="D483" s="54"/>
      <c r="AI483" s="11"/>
    </row>
    <row r="484" spans="4:35" ht="15.75" customHeight="1" x14ac:dyDescent="0.2">
      <c r="D484" s="54"/>
      <c r="AI484" s="11"/>
    </row>
    <row r="485" spans="4:35" ht="15.75" customHeight="1" x14ac:dyDescent="0.2">
      <c r="D485" s="54"/>
      <c r="AI485" s="11"/>
    </row>
    <row r="486" spans="4:35" ht="15.75" customHeight="1" x14ac:dyDescent="0.2">
      <c r="D486" s="54"/>
      <c r="AI486" s="11"/>
    </row>
    <row r="487" spans="4:35" ht="15.75" customHeight="1" x14ac:dyDescent="0.2">
      <c r="D487" s="54"/>
      <c r="AI487" s="11"/>
    </row>
    <row r="488" spans="4:35" ht="15.75" customHeight="1" x14ac:dyDescent="0.2">
      <c r="D488" s="54"/>
      <c r="AI488" s="11"/>
    </row>
    <row r="489" spans="4:35" ht="15.75" customHeight="1" x14ac:dyDescent="0.2">
      <c r="D489" s="54"/>
      <c r="AI489" s="11"/>
    </row>
    <row r="490" spans="4:35" ht="15.75" customHeight="1" x14ac:dyDescent="0.2">
      <c r="D490" s="54"/>
      <c r="AI490" s="11"/>
    </row>
    <row r="491" spans="4:35" ht="15.75" customHeight="1" x14ac:dyDescent="0.2">
      <c r="D491" s="54"/>
      <c r="AI491" s="11"/>
    </row>
    <row r="492" spans="4:35" ht="15.75" customHeight="1" x14ac:dyDescent="0.2">
      <c r="D492" s="54"/>
      <c r="AI492" s="11"/>
    </row>
    <row r="493" spans="4:35" ht="15.75" customHeight="1" x14ac:dyDescent="0.2">
      <c r="D493" s="54"/>
      <c r="AI493" s="11"/>
    </row>
    <row r="494" spans="4:35" ht="15.75" customHeight="1" x14ac:dyDescent="0.2">
      <c r="D494" s="54"/>
      <c r="AI494" s="11"/>
    </row>
    <row r="495" spans="4:35" ht="15.75" customHeight="1" x14ac:dyDescent="0.2">
      <c r="D495" s="54"/>
      <c r="AI495" s="11"/>
    </row>
    <row r="496" spans="4:35" ht="15.75" customHeight="1" x14ac:dyDescent="0.2">
      <c r="D496" s="54"/>
      <c r="AI496" s="11"/>
    </row>
    <row r="497" spans="4:35" ht="15.75" customHeight="1" x14ac:dyDescent="0.2">
      <c r="D497" s="54"/>
      <c r="AI497" s="11"/>
    </row>
    <row r="498" spans="4:35" ht="15.75" customHeight="1" x14ac:dyDescent="0.2">
      <c r="D498" s="54"/>
      <c r="AI498" s="11"/>
    </row>
    <row r="499" spans="4:35" ht="15.75" customHeight="1" x14ac:dyDescent="0.2">
      <c r="D499" s="54"/>
      <c r="AI499" s="11"/>
    </row>
    <row r="500" spans="4:35" ht="15.75" customHeight="1" x14ac:dyDescent="0.2">
      <c r="D500" s="54"/>
      <c r="AI500" s="11"/>
    </row>
    <row r="501" spans="4:35" ht="15.75" customHeight="1" x14ac:dyDescent="0.2">
      <c r="D501" s="54"/>
      <c r="AI501" s="11"/>
    </row>
    <row r="502" spans="4:35" ht="15.75" customHeight="1" x14ac:dyDescent="0.2">
      <c r="D502" s="54"/>
      <c r="AI502" s="11"/>
    </row>
    <row r="503" spans="4:35" ht="15.75" customHeight="1" x14ac:dyDescent="0.2">
      <c r="D503" s="54"/>
      <c r="AI503" s="11"/>
    </row>
    <row r="504" spans="4:35" ht="15.75" customHeight="1" x14ac:dyDescent="0.2">
      <c r="D504" s="54"/>
      <c r="AI504" s="11"/>
    </row>
    <row r="505" spans="4:35" ht="15.75" customHeight="1" x14ac:dyDescent="0.2">
      <c r="D505" s="54"/>
      <c r="AI505" s="11"/>
    </row>
    <row r="506" spans="4:35" ht="15.75" customHeight="1" x14ac:dyDescent="0.2">
      <c r="D506" s="54"/>
      <c r="AI506" s="11"/>
    </row>
    <row r="507" spans="4:35" ht="15.75" customHeight="1" x14ac:dyDescent="0.2">
      <c r="D507" s="54"/>
      <c r="AI507" s="11"/>
    </row>
    <row r="508" spans="4:35" ht="15.75" customHeight="1" x14ac:dyDescent="0.2">
      <c r="D508" s="54"/>
      <c r="AI508" s="11"/>
    </row>
    <row r="509" spans="4:35" ht="15.75" customHeight="1" x14ac:dyDescent="0.2">
      <c r="D509" s="54"/>
      <c r="AI509" s="11"/>
    </row>
    <row r="510" spans="4:35" ht="15.75" customHeight="1" x14ac:dyDescent="0.2">
      <c r="D510" s="54"/>
      <c r="AI510" s="11"/>
    </row>
    <row r="511" spans="4:35" ht="15.75" customHeight="1" x14ac:dyDescent="0.2">
      <c r="D511" s="54"/>
      <c r="AI511" s="11"/>
    </row>
    <row r="512" spans="4:35" ht="15.75" customHeight="1" x14ac:dyDescent="0.2">
      <c r="D512" s="54"/>
      <c r="AI512" s="11"/>
    </row>
    <row r="513" spans="4:35" ht="15.75" customHeight="1" x14ac:dyDescent="0.2">
      <c r="D513" s="54"/>
      <c r="AI513" s="11"/>
    </row>
    <row r="514" spans="4:35" ht="15.75" customHeight="1" x14ac:dyDescent="0.2">
      <c r="D514" s="54"/>
      <c r="AI514" s="11"/>
    </row>
    <row r="515" spans="4:35" ht="15.75" customHeight="1" x14ac:dyDescent="0.2">
      <c r="D515" s="54"/>
      <c r="AI515" s="11"/>
    </row>
    <row r="516" spans="4:35" ht="15.75" customHeight="1" x14ac:dyDescent="0.2">
      <c r="D516" s="54"/>
      <c r="AI516" s="11"/>
    </row>
    <row r="517" spans="4:35" ht="15.75" customHeight="1" x14ac:dyDescent="0.2">
      <c r="D517" s="54"/>
      <c r="AI517" s="11"/>
    </row>
    <row r="518" spans="4:35" ht="15.75" customHeight="1" x14ac:dyDescent="0.2">
      <c r="D518" s="54"/>
      <c r="AI518" s="11"/>
    </row>
    <row r="519" spans="4:35" ht="15.75" customHeight="1" x14ac:dyDescent="0.2">
      <c r="D519" s="54"/>
      <c r="AI519" s="11"/>
    </row>
    <row r="520" spans="4:35" ht="15.75" customHeight="1" x14ac:dyDescent="0.2">
      <c r="D520" s="54"/>
      <c r="AI520" s="11"/>
    </row>
    <row r="521" spans="4:35" ht="15.75" customHeight="1" x14ac:dyDescent="0.2">
      <c r="D521" s="54"/>
      <c r="AI521" s="11"/>
    </row>
    <row r="522" spans="4:35" ht="15.75" customHeight="1" x14ac:dyDescent="0.2">
      <c r="D522" s="54"/>
      <c r="AI522" s="11"/>
    </row>
    <row r="523" spans="4:35" ht="15.75" customHeight="1" x14ac:dyDescent="0.2">
      <c r="D523" s="54"/>
      <c r="AI523" s="11"/>
    </row>
    <row r="524" spans="4:35" ht="15.75" customHeight="1" x14ac:dyDescent="0.2">
      <c r="D524" s="54"/>
      <c r="AI524" s="11"/>
    </row>
    <row r="525" spans="4:35" ht="15.75" customHeight="1" x14ac:dyDescent="0.2">
      <c r="D525" s="54"/>
      <c r="AI525" s="11"/>
    </row>
    <row r="526" spans="4:35" ht="15.75" customHeight="1" x14ac:dyDescent="0.2">
      <c r="D526" s="54"/>
      <c r="AI526" s="11"/>
    </row>
    <row r="527" spans="4:35" ht="15.75" customHeight="1" x14ac:dyDescent="0.2">
      <c r="D527" s="54"/>
      <c r="AI527" s="11"/>
    </row>
    <row r="528" spans="4:35" ht="15.75" customHeight="1" x14ac:dyDescent="0.2">
      <c r="D528" s="54"/>
      <c r="AI528" s="11"/>
    </row>
    <row r="529" spans="4:35" ht="15.75" customHeight="1" x14ac:dyDescent="0.2">
      <c r="D529" s="54"/>
      <c r="AI529" s="11"/>
    </row>
    <row r="530" spans="4:35" ht="15.75" customHeight="1" x14ac:dyDescent="0.2">
      <c r="D530" s="54"/>
      <c r="AI530" s="11"/>
    </row>
    <row r="531" spans="4:35" ht="15.75" customHeight="1" x14ac:dyDescent="0.2">
      <c r="D531" s="54"/>
      <c r="AI531" s="11"/>
    </row>
    <row r="532" spans="4:35" ht="15.75" customHeight="1" x14ac:dyDescent="0.2">
      <c r="D532" s="54"/>
      <c r="AI532" s="11"/>
    </row>
    <row r="533" spans="4:35" ht="15.75" customHeight="1" x14ac:dyDescent="0.2">
      <c r="D533" s="54"/>
      <c r="AI533" s="11"/>
    </row>
    <row r="534" spans="4:35" ht="15.75" customHeight="1" x14ac:dyDescent="0.2">
      <c r="D534" s="54"/>
      <c r="AI534" s="11"/>
    </row>
    <row r="535" spans="4:35" ht="15.75" customHeight="1" x14ac:dyDescent="0.2">
      <c r="D535" s="54"/>
      <c r="AI535" s="11"/>
    </row>
    <row r="536" spans="4:35" ht="15.75" customHeight="1" x14ac:dyDescent="0.2">
      <c r="D536" s="54"/>
      <c r="AI536" s="11"/>
    </row>
    <row r="537" spans="4:35" ht="15.75" customHeight="1" x14ac:dyDescent="0.2">
      <c r="D537" s="54"/>
      <c r="AI537" s="11"/>
    </row>
    <row r="538" spans="4:35" ht="15.75" customHeight="1" x14ac:dyDescent="0.2">
      <c r="D538" s="54"/>
      <c r="AI538" s="11"/>
    </row>
    <row r="539" spans="4:35" ht="15.75" customHeight="1" x14ac:dyDescent="0.2">
      <c r="D539" s="54"/>
      <c r="AI539" s="11"/>
    </row>
    <row r="540" spans="4:35" ht="15.75" customHeight="1" x14ac:dyDescent="0.2">
      <c r="D540" s="54"/>
      <c r="AI540" s="11"/>
    </row>
    <row r="541" spans="4:35" ht="15.75" customHeight="1" x14ac:dyDescent="0.2">
      <c r="D541" s="54"/>
      <c r="AI541" s="11"/>
    </row>
    <row r="542" spans="4:35" ht="15.75" customHeight="1" x14ac:dyDescent="0.2">
      <c r="D542" s="54"/>
      <c r="AI542" s="11"/>
    </row>
    <row r="543" spans="4:35" ht="15.75" customHeight="1" x14ac:dyDescent="0.2">
      <c r="D543" s="54"/>
      <c r="AI543" s="11"/>
    </row>
    <row r="544" spans="4:35" ht="15.75" customHeight="1" x14ac:dyDescent="0.2">
      <c r="D544" s="54"/>
      <c r="AI544" s="11"/>
    </row>
    <row r="545" spans="4:35" ht="15.75" customHeight="1" x14ac:dyDescent="0.2">
      <c r="D545" s="54"/>
      <c r="AI545" s="11"/>
    </row>
    <row r="546" spans="4:35" ht="15.75" customHeight="1" x14ac:dyDescent="0.2">
      <c r="D546" s="54"/>
      <c r="AI546" s="11"/>
    </row>
    <row r="547" spans="4:35" ht="15.75" customHeight="1" x14ac:dyDescent="0.2">
      <c r="D547" s="54"/>
      <c r="AI547" s="11"/>
    </row>
    <row r="548" spans="4:35" ht="15.75" customHeight="1" x14ac:dyDescent="0.2">
      <c r="D548" s="54"/>
      <c r="AI548" s="11"/>
    </row>
    <row r="549" spans="4:35" ht="15.75" customHeight="1" x14ac:dyDescent="0.2">
      <c r="D549" s="54"/>
      <c r="AI549" s="11"/>
    </row>
    <row r="550" spans="4:35" ht="15.75" customHeight="1" x14ac:dyDescent="0.2">
      <c r="D550" s="54"/>
      <c r="AI550" s="11"/>
    </row>
    <row r="551" spans="4:35" ht="15.75" customHeight="1" x14ac:dyDescent="0.2">
      <c r="D551" s="54"/>
      <c r="AI551" s="11"/>
    </row>
    <row r="552" spans="4:35" ht="15.75" customHeight="1" x14ac:dyDescent="0.2">
      <c r="D552" s="54"/>
      <c r="AI552" s="11"/>
    </row>
    <row r="553" spans="4:35" ht="15.75" customHeight="1" x14ac:dyDescent="0.2">
      <c r="D553" s="54"/>
      <c r="AI553" s="11"/>
    </row>
    <row r="554" spans="4:35" ht="15.75" customHeight="1" x14ac:dyDescent="0.2">
      <c r="D554" s="54"/>
      <c r="AI554" s="11"/>
    </row>
    <row r="555" spans="4:35" ht="15.75" customHeight="1" x14ac:dyDescent="0.2">
      <c r="D555" s="54"/>
      <c r="AI555" s="11"/>
    </row>
    <row r="556" spans="4:35" ht="15.75" customHeight="1" x14ac:dyDescent="0.2">
      <c r="D556" s="54"/>
      <c r="AI556" s="11"/>
    </row>
    <row r="557" spans="4:35" ht="15.75" customHeight="1" x14ac:dyDescent="0.2">
      <c r="D557" s="54"/>
      <c r="AI557" s="11"/>
    </row>
    <row r="558" spans="4:35" ht="15.75" customHeight="1" x14ac:dyDescent="0.2">
      <c r="D558" s="54"/>
      <c r="AI558" s="11"/>
    </row>
    <row r="559" spans="4:35" ht="15.75" customHeight="1" x14ac:dyDescent="0.2">
      <c r="D559" s="54"/>
      <c r="AI559" s="11"/>
    </row>
    <row r="560" spans="4:35" ht="15.75" customHeight="1" x14ac:dyDescent="0.2">
      <c r="D560" s="54"/>
      <c r="AI560" s="11"/>
    </row>
    <row r="561" spans="4:35" ht="15.75" customHeight="1" x14ac:dyDescent="0.2">
      <c r="D561" s="54"/>
      <c r="AI561" s="11"/>
    </row>
    <row r="562" spans="4:35" ht="15.75" customHeight="1" x14ac:dyDescent="0.2">
      <c r="D562" s="54"/>
      <c r="AI562" s="11"/>
    </row>
    <row r="563" spans="4:35" ht="15.75" customHeight="1" x14ac:dyDescent="0.2">
      <c r="D563" s="54"/>
      <c r="AI563" s="11"/>
    </row>
    <row r="564" spans="4:35" ht="15.75" customHeight="1" x14ac:dyDescent="0.2">
      <c r="D564" s="54"/>
      <c r="AI564" s="11"/>
    </row>
    <row r="565" spans="4:35" ht="15.75" customHeight="1" x14ac:dyDescent="0.2">
      <c r="D565" s="54"/>
      <c r="AI565" s="11"/>
    </row>
    <row r="566" spans="4:35" ht="15.75" customHeight="1" x14ac:dyDescent="0.2">
      <c r="D566" s="54"/>
      <c r="AI566" s="11"/>
    </row>
    <row r="567" spans="4:35" ht="15.75" customHeight="1" x14ac:dyDescent="0.2">
      <c r="D567" s="54"/>
      <c r="AI567" s="11"/>
    </row>
    <row r="568" spans="4:35" ht="15.75" customHeight="1" x14ac:dyDescent="0.2">
      <c r="D568" s="54"/>
      <c r="AI568" s="11"/>
    </row>
    <row r="569" spans="4:35" ht="15.75" customHeight="1" x14ac:dyDescent="0.2">
      <c r="D569" s="54"/>
      <c r="AI569" s="11"/>
    </row>
    <row r="570" spans="4:35" ht="15.75" customHeight="1" x14ac:dyDescent="0.2">
      <c r="D570" s="54"/>
      <c r="AI570" s="11"/>
    </row>
    <row r="571" spans="4:35" ht="15.75" customHeight="1" x14ac:dyDescent="0.2">
      <c r="D571" s="54"/>
      <c r="AI571" s="11"/>
    </row>
    <row r="572" spans="4:35" ht="15.75" customHeight="1" x14ac:dyDescent="0.2">
      <c r="D572" s="54"/>
      <c r="AI572" s="11"/>
    </row>
    <row r="573" spans="4:35" ht="15.75" customHeight="1" x14ac:dyDescent="0.2">
      <c r="D573" s="54"/>
      <c r="AI573" s="11"/>
    </row>
    <row r="574" spans="4:35" ht="15.75" customHeight="1" x14ac:dyDescent="0.2">
      <c r="D574" s="54"/>
      <c r="AI574" s="11"/>
    </row>
    <row r="575" spans="4:35" ht="15.75" customHeight="1" x14ac:dyDescent="0.2">
      <c r="D575" s="54"/>
      <c r="AI575" s="11"/>
    </row>
    <row r="576" spans="4:35" ht="15.75" customHeight="1" x14ac:dyDescent="0.2">
      <c r="D576" s="54"/>
      <c r="AI576" s="11"/>
    </row>
    <row r="577" spans="4:35" ht="15.75" customHeight="1" x14ac:dyDescent="0.2">
      <c r="D577" s="54"/>
      <c r="AI577" s="11"/>
    </row>
    <row r="578" spans="4:35" ht="15.75" customHeight="1" x14ac:dyDescent="0.2">
      <c r="D578" s="54"/>
      <c r="AI578" s="11"/>
    </row>
    <row r="579" spans="4:35" ht="15.75" customHeight="1" x14ac:dyDescent="0.2">
      <c r="D579" s="54"/>
      <c r="AI579" s="11"/>
    </row>
    <row r="580" spans="4:35" ht="15.75" customHeight="1" x14ac:dyDescent="0.2">
      <c r="D580" s="54"/>
      <c r="AI580" s="11"/>
    </row>
    <row r="581" spans="4:35" ht="15.75" customHeight="1" x14ac:dyDescent="0.2">
      <c r="D581" s="54"/>
      <c r="AI581" s="11"/>
    </row>
    <row r="582" spans="4:35" ht="15.75" customHeight="1" x14ac:dyDescent="0.2">
      <c r="D582" s="54"/>
      <c r="AI582" s="11"/>
    </row>
    <row r="583" spans="4:35" ht="15.75" customHeight="1" x14ac:dyDescent="0.2">
      <c r="D583" s="54"/>
      <c r="AI583" s="11"/>
    </row>
    <row r="584" spans="4:35" ht="15.75" customHeight="1" x14ac:dyDescent="0.2">
      <c r="D584" s="54"/>
      <c r="AI584" s="11"/>
    </row>
    <row r="585" spans="4:35" ht="15.75" customHeight="1" x14ac:dyDescent="0.2">
      <c r="D585" s="54"/>
      <c r="AI585" s="11"/>
    </row>
    <row r="586" spans="4:35" ht="15.75" customHeight="1" x14ac:dyDescent="0.2">
      <c r="D586" s="54"/>
      <c r="AI586" s="11"/>
    </row>
    <row r="587" spans="4:35" ht="15.75" customHeight="1" x14ac:dyDescent="0.2">
      <c r="D587" s="54"/>
      <c r="AI587" s="11"/>
    </row>
    <row r="588" spans="4:35" ht="15.75" customHeight="1" x14ac:dyDescent="0.2">
      <c r="D588" s="54"/>
      <c r="AI588" s="11"/>
    </row>
    <row r="589" spans="4:35" ht="15.75" customHeight="1" x14ac:dyDescent="0.2">
      <c r="D589" s="54"/>
      <c r="AI589" s="11"/>
    </row>
    <row r="590" spans="4:35" ht="15.75" customHeight="1" x14ac:dyDescent="0.2">
      <c r="D590" s="54"/>
      <c r="AI590" s="11"/>
    </row>
    <row r="591" spans="4:35" ht="15.75" customHeight="1" x14ac:dyDescent="0.2">
      <c r="D591" s="54"/>
      <c r="AI591" s="11"/>
    </row>
    <row r="592" spans="4:35" ht="15.75" customHeight="1" x14ac:dyDescent="0.2">
      <c r="D592" s="54"/>
      <c r="AI592" s="11"/>
    </row>
    <row r="593" spans="4:35" ht="15.75" customHeight="1" x14ac:dyDescent="0.2">
      <c r="D593" s="54"/>
      <c r="AI593" s="11"/>
    </row>
    <row r="594" spans="4:35" ht="15.75" customHeight="1" x14ac:dyDescent="0.2">
      <c r="D594" s="54"/>
      <c r="AI594" s="11"/>
    </row>
    <row r="595" spans="4:35" ht="15.75" customHeight="1" x14ac:dyDescent="0.2">
      <c r="D595" s="54"/>
      <c r="AI595" s="11"/>
    </row>
    <row r="596" spans="4:35" ht="15.75" customHeight="1" x14ac:dyDescent="0.2">
      <c r="D596" s="54"/>
      <c r="AI596" s="11"/>
    </row>
    <row r="597" spans="4:35" ht="15.75" customHeight="1" x14ac:dyDescent="0.2">
      <c r="D597" s="54"/>
      <c r="AI597" s="11"/>
    </row>
    <row r="598" spans="4:35" ht="15.75" customHeight="1" x14ac:dyDescent="0.2">
      <c r="D598" s="54"/>
      <c r="AI598" s="11"/>
    </row>
    <row r="599" spans="4:35" ht="15.75" customHeight="1" x14ac:dyDescent="0.2">
      <c r="D599" s="54"/>
      <c r="AI599" s="11"/>
    </row>
    <row r="600" spans="4:35" ht="15.75" customHeight="1" x14ac:dyDescent="0.2">
      <c r="D600" s="54"/>
      <c r="AI600" s="11"/>
    </row>
    <row r="601" spans="4:35" ht="15.75" customHeight="1" x14ac:dyDescent="0.2">
      <c r="D601" s="54"/>
      <c r="AI601" s="11"/>
    </row>
    <row r="602" spans="4:35" ht="15.75" customHeight="1" x14ac:dyDescent="0.2">
      <c r="D602" s="54"/>
      <c r="AI602" s="11"/>
    </row>
    <row r="603" spans="4:35" ht="15.75" customHeight="1" x14ac:dyDescent="0.2">
      <c r="D603" s="54"/>
      <c r="AI603" s="11"/>
    </row>
    <row r="604" spans="4:35" ht="15.75" customHeight="1" x14ac:dyDescent="0.2">
      <c r="D604" s="54"/>
      <c r="AI604" s="11"/>
    </row>
    <row r="605" spans="4:35" ht="15.75" customHeight="1" x14ac:dyDescent="0.2">
      <c r="D605" s="54"/>
      <c r="AI605" s="11"/>
    </row>
    <row r="606" spans="4:35" ht="15.75" customHeight="1" x14ac:dyDescent="0.2">
      <c r="D606" s="54"/>
      <c r="AI606" s="11"/>
    </row>
    <row r="607" spans="4:35" ht="15.75" customHeight="1" x14ac:dyDescent="0.2">
      <c r="D607" s="54"/>
      <c r="AI607" s="11"/>
    </row>
    <row r="608" spans="4:35" ht="15.75" customHeight="1" x14ac:dyDescent="0.2">
      <c r="D608" s="54"/>
      <c r="AI608" s="11"/>
    </row>
    <row r="609" spans="4:35" ht="15.75" customHeight="1" x14ac:dyDescent="0.2">
      <c r="D609" s="54"/>
      <c r="AI609" s="11"/>
    </row>
    <row r="610" spans="4:35" ht="15.75" customHeight="1" x14ac:dyDescent="0.2">
      <c r="D610" s="54"/>
      <c r="AI610" s="11"/>
    </row>
    <row r="611" spans="4:35" ht="15.75" customHeight="1" x14ac:dyDescent="0.2">
      <c r="D611" s="54"/>
      <c r="AI611" s="11"/>
    </row>
    <row r="612" spans="4:35" ht="15.75" customHeight="1" x14ac:dyDescent="0.2">
      <c r="D612" s="54"/>
      <c r="AI612" s="11"/>
    </row>
    <row r="613" spans="4:35" ht="15.75" customHeight="1" x14ac:dyDescent="0.2">
      <c r="D613" s="54"/>
      <c r="AI613" s="11"/>
    </row>
    <row r="614" spans="4:35" ht="15.75" customHeight="1" x14ac:dyDescent="0.2">
      <c r="D614" s="54"/>
      <c r="AI614" s="11"/>
    </row>
    <row r="615" spans="4:35" ht="15.75" customHeight="1" x14ac:dyDescent="0.2">
      <c r="D615" s="54"/>
      <c r="AI615" s="11"/>
    </row>
    <row r="616" spans="4:35" ht="15.75" customHeight="1" x14ac:dyDescent="0.2">
      <c r="D616" s="54"/>
      <c r="AI616" s="11"/>
    </row>
    <row r="617" spans="4:35" ht="15.75" customHeight="1" x14ac:dyDescent="0.2">
      <c r="D617" s="54"/>
      <c r="AI617" s="11"/>
    </row>
    <row r="618" spans="4:35" ht="15.75" customHeight="1" x14ac:dyDescent="0.2">
      <c r="D618" s="54"/>
      <c r="AI618" s="11"/>
    </row>
    <row r="619" spans="4:35" ht="15.75" customHeight="1" x14ac:dyDescent="0.2">
      <c r="D619" s="54"/>
      <c r="AI619" s="11"/>
    </row>
    <row r="620" spans="4:35" ht="15.75" customHeight="1" x14ac:dyDescent="0.2">
      <c r="D620" s="54"/>
      <c r="AI620" s="11"/>
    </row>
    <row r="621" spans="4:35" ht="15.75" customHeight="1" x14ac:dyDescent="0.2">
      <c r="D621" s="54"/>
      <c r="AI621" s="11"/>
    </row>
    <row r="622" spans="4:35" ht="15.75" customHeight="1" x14ac:dyDescent="0.2">
      <c r="D622" s="54"/>
      <c r="AI622" s="11"/>
    </row>
    <row r="623" spans="4:35" ht="15.75" customHeight="1" x14ac:dyDescent="0.2">
      <c r="D623" s="54"/>
      <c r="AI623" s="11"/>
    </row>
    <row r="624" spans="4:35" ht="15.75" customHeight="1" x14ac:dyDescent="0.2">
      <c r="D624" s="54"/>
      <c r="AI624" s="11"/>
    </row>
    <row r="625" spans="4:35" ht="15.75" customHeight="1" x14ac:dyDescent="0.2">
      <c r="D625" s="54"/>
      <c r="AI625" s="11"/>
    </row>
    <row r="626" spans="4:35" ht="15.75" customHeight="1" x14ac:dyDescent="0.2">
      <c r="D626" s="54"/>
      <c r="AI626" s="11"/>
    </row>
    <row r="627" spans="4:35" ht="15.75" customHeight="1" x14ac:dyDescent="0.2">
      <c r="D627" s="54"/>
      <c r="AI627" s="11"/>
    </row>
    <row r="628" spans="4:35" ht="15.75" customHeight="1" x14ac:dyDescent="0.2">
      <c r="D628" s="54"/>
      <c r="AI628" s="11"/>
    </row>
    <row r="629" spans="4:35" ht="15.75" customHeight="1" x14ac:dyDescent="0.2">
      <c r="D629" s="54"/>
      <c r="AI629" s="11"/>
    </row>
    <row r="630" spans="4:35" ht="15.75" customHeight="1" x14ac:dyDescent="0.2">
      <c r="D630" s="54"/>
      <c r="AI630" s="11"/>
    </row>
    <row r="631" spans="4:35" ht="15.75" customHeight="1" x14ac:dyDescent="0.2">
      <c r="D631" s="54"/>
      <c r="AI631" s="11"/>
    </row>
    <row r="632" spans="4:35" ht="15.75" customHeight="1" x14ac:dyDescent="0.2">
      <c r="D632" s="54"/>
      <c r="AI632" s="11"/>
    </row>
    <row r="633" spans="4:35" ht="15.75" customHeight="1" x14ac:dyDescent="0.2">
      <c r="D633" s="54"/>
      <c r="AI633" s="11"/>
    </row>
    <row r="634" spans="4:35" ht="15.75" customHeight="1" x14ac:dyDescent="0.2">
      <c r="D634" s="54"/>
      <c r="AI634" s="11"/>
    </row>
    <row r="635" spans="4:35" ht="15.75" customHeight="1" x14ac:dyDescent="0.2">
      <c r="D635" s="54"/>
      <c r="AI635" s="11"/>
    </row>
    <row r="636" spans="4:35" ht="15.75" customHeight="1" x14ac:dyDescent="0.2">
      <c r="D636" s="54"/>
      <c r="AI636" s="11"/>
    </row>
    <row r="637" spans="4:35" ht="15.75" customHeight="1" x14ac:dyDescent="0.2">
      <c r="D637" s="54"/>
      <c r="AI637" s="11"/>
    </row>
    <row r="638" spans="4:35" ht="15.75" customHeight="1" x14ac:dyDescent="0.2">
      <c r="D638" s="54"/>
      <c r="AI638" s="11"/>
    </row>
    <row r="639" spans="4:35" ht="15.75" customHeight="1" x14ac:dyDescent="0.2">
      <c r="D639" s="54"/>
      <c r="AI639" s="11"/>
    </row>
    <row r="640" spans="4:35" ht="15.75" customHeight="1" x14ac:dyDescent="0.2">
      <c r="D640" s="54"/>
      <c r="AI640" s="11"/>
    </row>
    <row r="641" spans="4:35" ht="15.75" customHeight="1" x14ac:dyDescent="0.2">
      <c r="D641" s="54"/>
      <c r="AI641" s="11"/>
    </row>
    <row r="642" spans="4:35" ht="15.75" customHeight="1" x14ac:dyDescent="0.2">
      <c r="D642" s="54"/>
      <c r="AI642" s="11"/>
    </row>
    <row r="643" spans="4:35" ht="15.75" customHeight="1" x14ac:dyDescent="0.2">
      <c r="D643" s="54"/>
      <c r="AI643" s="11"/>
    </row>
    <row r="644" spans="4:35" ht="15.75" customHeight="1" x14ac:dyDescent="0.2">
      <c r="D644" s="54"/>
      <c r="AI644" s="11"/>
    </row>
    <row r="645" spans="4:35" ht="15.75" customHeight="1" x14ac:dyDescent="0.2">
      <c r="D645" s="54"/>
      <c r="AI645" s="11"/>
    </row>
    <row r="646" spans="4:35" ht="15.75" customHeight="1" x14ac:dyDescent="0.2">
      <c r="D646" s="54"/>
      <c r="AI646" s="11"/>
    </row>
    <row r="647" spans="4:35" ht="15.75" customHeight="1" x14ac:dyDescent="0.2">
      <c r="D647" s="54"/>
      <c r="AI647" s="11"/>
    </row>
    <row r="648" spans="4:35" ht="15.75" customHeight="1" x14ac:dyDescent="0.2">
      <c r="D648" s="54"/>
      <c r="AI648" s="11"/>
    </row>
    <row r="649" spans="4:35" ht="15.75" customHeight="1" x14ac:dyDescent="0.2">
      <c r="D649" s="54"/>
      <c r="AI649" s="11"/>
    </row>
    <row r="650" spans="4:35" ht="15.75" customHeight="1" x14ac:dyDescent="0.2">
      <c r="D650" s="54"/>
      <c r="AI650" s="11"/>
    </row>
    <row r="651" spans="4:35" ht="15.75" customHeight="1" x14ac:dyDescent="0.2">
      <c r="D651" s="54"/>
      <c r="AI651" s="11"/>
    </row>
    <row r="652" spans="4:35" ht="15.75" customHeight="1" x14ac:dyDescent="0.2">
      <c r="D652" s="54"/>
      <c r="AI652" s="11"/>
    </row>
    <row r="653" spans="4:35" ht="15.75" customHeight="1" x14ac:dyDescent="0.2">
      <c r="D653" s="54"/>
      <c r="AI653" s="11"/>
    </row>
    <row r="654" spans="4:35" ht="15.75" customHeight="1" x14ac:dyDescent="0.2">
      <c r="D654" s="54"/>
      <c r="AI654" s="11"/>
    </row>
    <row r="655" spans="4:35" ht="15.75" customHeight="1" x14ac:dyDescent="0.2">
      <c r="D655" s="54"/>
      <c r="AI655" s="11"/>
    </row>
    <row r="656" spans="4:35" ht="15.75" customHeight="1" x14ac:dyDescent="0.2">
      <c r="D656" s="54"/>
      <c r="AI656" s="11"/>
    </row>
    <row r="657" spans="4:35" ht="15.75" customHeight="1" x14ac:dyDescent="0.2">
      <c r="D657" s="54"/>
      <c r="AI657" s="11"/>
    </row>
    <row r="658" spans="4:35" ht="15.75" customHeight="1" x14ac:dyDescent="0.2">
      <c r="D658" s="54"/>
      <c r="AI658" s="11"/>
    </row>
    <row r="659" spans="4:35" ht="15.75" customHeight="1" x14ac:dyDescent="0.2">
      <c r="D659" s="54"/>
      <c r="AI659" s="11"/>
    </row>
    <row r="660" spans="4:35" ht="15.75" customHeight="1" x14ac:dyDescent="0.2">
      <c r="D660" s="54"/>
      <c r="AI660" s="11"/>
    </row>
    <row r="661" spans="4:35" ht="15.75" customHeight="1" x14ac:dyDescent="0.2">
      <c r="D661" s="54"/>
      <c r="AI661" s="11"/>
    </row>
    <row r="662" spans="4:35" ht="15.75" customHeight="1" x14ac:dyDescent="0.2">
      <c r="D662" s="54"/>
      <c r="AI662" s="11"/>
    </row>
    <row r="663" spans="4:35" ht="15.75" customHeight="1" x14ac:dyDescent="0.2">
      <c r="D663" s="54"/>
      <c r="AI663" s="11"/>
    </row>
    <row r="664" spans="4:35" ht="15.75" customHeight="1" x14ac:dyDescent="0.2">
      <c r="D664" s="54"/>
      <c r="AI664" s="11"/>
    </row>
    <row r="665" spans="4:35" ht="15.75" customHeight="1" x14ac:dyDescent="0.2">
      <c r="D665" s="54"/>
      <c r="AI665" s="11"/>
    </row>
    <row r="666" spans="4:35" ht="15.75" customHeight="1" x14ac:dyDescent="0.2">
      <c r="D666" s="54"/>
      <c r="AI666" s="11"/>
    </row>
    <row r="667" spans="4:35" ht="15.75" customHeight="1" x14ac:dyDescent="0.2">
      <c r="D667" s="54"/>
      <c r="AI667" s="11"/>
    </row>
    <row r="668" spans="4:35" ht="15.75" customHeight="1" x14ac:dyDescent="0.2">
      <c r="D668" s="54"/>
      <c r="AI668" s="11"/>
    </row>
    <row r="669" spans="4:35" ht="15.75" customHeight="1" x14ac:dyDescent="0.2">
      <c r="D669" s="54"/>
      <c r="AI669" s="11"/>
    </row>
    <row r="670" spans="4:35" ht="15.75" customHeight="1" x14ac:dyDescent="0.2">
      <c r="D670" s="54"/>
      <c r="AI670" s="11"/>
    </row>
    <row r="671" spans="4:35" ht="15.75" customHeight="1" x14ac:dyDescent="0.2">
      <c r="D671" s="54"/>
      <c r="AI671" s="11"/>
    </row>
    <row r="672" spans="4:35" ht="15.75" customHeight="1" x14ac:dyDescent="0.2">
      <c r="D672" s="54"/>
      <c r="AI672" s="11"/>
    </row>
    <row r="673" spans="4:35" ht="15.75" customHeight="1" x14ac:dyDescent="0.2">
      <c r="D673" s="54"/>
      <c r="AI673" s="11"/>
    </row>
    <row r="674" spans="4:35" ht="15.75" customHeight="1" x14ac:dyDescent="0.2">
      <c r="D674" s="54"/>
      <c r="AI674" s="11"/>
    </row>
    <row r="675" spans="4:35" ht="15.75" customHeight="1" x14ac:dyDescent="0.2">
      <c r="D675" s="54"/>
      <c r="AI675" s="11"/>
    </row>
    <row r="676" spans="4:35" ht="15.75" customHeight="1" x14ac:dyDescent="0.2">
      <c r="D676" s="54"/>
      <c r="AI676" s="11"/>
    </row>
    <row r="677" spans="4:35" ht="15.75" customHeight="1" x14ac:dyDescent="0.2">
      <c r="D677" s="54"/>
      <c r="AI677" s="11"/>
    </row>
    <row r="678" spans="4:35" ht="15.75" customHeight="1" x14ac:dyDescent="0.2">
      <c r="D678" s="54"/>
      <c r="AI678" s="11"/>
    </row>
    <row r="679" spans="4:35" ht="15.75" customHeight="1" x14ac:dyDescent="0.2">
      <c r="D679" s="54"/>
      <c r="AI679" s="11"/>
    </row>
    <row r="680" spans="4:35" ht="15.75" customHeight="1" x14ac:dyDescent="0.2">
      <c r="D680" s="54"/>
      <c r="AI680" s="11"/>
    </row>
    <row r="681" spans="4:35" ht="15.75" customHeight="1" x14ac:dyDescent="0.2">
      <c r="D681" s="54"/>
      <c r="AI681" s="11"/>
    </row>
    <row r="682" spans="4:35" ht="15.75" customHeight="1" x14ac:dyDescent="0.2">
      <c r="D682" s="54"/>
      <c r="AI682" s="11"/>
    </row>
    <row r="683" spans="4:35" ht="15.75" customHeight="1" x14ac:dyDescent="0.2">
      <c r="D683" s="54"/>
      <c r="AI683" s="11"/>
    </row>
    <row r="684" spans="4:35" ht="15.75" customHeight="1" x14ac:dyDescent="0.2">
      <c r="D684" s="54"/>
      <c r="AI684" s="11"/>
    </row>
    <row r="685" spans="4:35" ht="15.75" customHeight="1" x14ac:dyDescent="0.2">
      <c r="D685" s="54"/>
      <c r="AI685" s="11"/>
    </row>
    <row r="686" spans="4:35" ht="15.75" customHeight="1" x14ac:dyDescent="0.2">
      <c r="D686" s="54"/>
      <c r="AI686" s="11"/>
    </row>
    <row r="687" spans="4:35" ht="15.75" customHeight="1" x14ac:dyDescent="0.2">
      <c r="D687" s="54"/>
      <c r="AI687" s="11"/>
    </row>
    <row r="688" spans="4:35" ht="15.75" customHeight="1" x14ac:dyDescent="0.2">
      <c r="D688" s="54"/>
      <c r="AI688" s="11"/>
    </row>
    <row r="689" spans="4:35" ht="15.75" customHeight="1" x14ac:dyDescent="0.2">
      <c r="D689" s="54"/>
      <c r="AI689" s="11"/>
    </row>
    <row r="690" spans="4:35" ht="15.75" customHeight="1" x14ac:dyDescent="0.2">
      <c r="D690" s="54"/>
      <c r="AI690" s="11"/>
    </row>
    <row r="691" spans="4:35" ht="15.75" customHeight="1" x14ac:dyDescent="0.2">
      <c r="D691" s="54"/>
      <c r="AI691" s="11"/>
    </row>
    <row r="692" spans="4:35" ht="15.75" customHeight="1" x14ac:dyDescent="0.2">
      <c r="D692" s="54"/>
      <c r="AI692" s="11"/>
    </row>
    <row r="693" spans="4:35" ht="15.75" customHeight="1" x14ac:dyDescent="0.2">
      <c r="D693" s="54"/>
      <c r="AI693" s="11"/>
    </row>
    <row r="694" spans="4:35" ht="15.75" customHeight="1" x14ac:dyDescent="0.2">
      <c r="D694" s="54"/>
      <c r="AI694" s="11"/>
    </row>
    <row r="695" spans="4:35" ht="15.75" customHeight="1" x14ac:dyDescent="0.2">
      <c r="D695" s="54"/>
      <c r="AI695" s="11"/>
    </row>
    <row r="696" spans="4:35" ht="15.75" customHeight="1" x14ac:dyDescent="0.2">
      <c r="D696" s="54"/>
      <c r="AI696" s="11"/>
    </row>
    <row r="697" spans="4:35" ht="15.75" customHeight="1" x14ac:dyDescent="0.2">
      <c r="D697" s="54"/>
      <c r="AI697" s="11"/>
    </row>
    <row r="698" spans="4:35" ht="15.75" customHeight="1" x14ac:dyDescent="0.2">
      <c r="D698" s="54"/>
      <c r="AI698" s="11"/>
    </row>
    <row r="699" spans="4:35" ht="15.75" customHeight="1" x14ac:dyDescent="0.2">
      <c r="D699" s="54"/>
      <c r="AI699" s="11"/>
    </row>
    <row r="700" spans="4:35" ht="15.75" customHeight="1" x14ac:dyDescent="0.2">
      <c r="D700" s="54"/>
      <c r="AI700" s="11"/>
    </row>
    <row r="701" spans="4:35" ht="15.75" customHeight="1" x14ac:dyDescent="0.2">
      <c r="D701" s="54"/>
      <c r="AI701" s="11"/>
    </row>
    <row r="702" spans="4:35" ht="15.75" customHeight="1" x14ac:dyDescent="0.2">
      <c r="D702" s="54"/>
      <c r="AI702" s="11"/>
    </row>
    <row r="703" spans="4:35" ht="15.75" customHeight="1" x14ac:dyDescent="0.2">
      <c r="D703" s="54"/>
      <c r="AI703" s="11"/>
    </row>
    <row r="704" spans="4:35" ht="15.75" customHeight="1" x14ac:dyDescent="0.2">
      <c r="D704" s="54"/>
      <c r="AI704" s="11"/>
    </row>
    <row r="705" spans="4:35" ht="15.75" customHeight="1" x14ac:dyDescent="0.2">
      <c r="D705" s="54"/>
      <c r="AI705" s="11"/>
    </row>
    <row r="706" spans="4:35" ht="15.75" customHeight="1" x14ac:dyDescent="0.2">
      <c r="D706" s="54"/>
      <c r="AI706" s="11"/>
    </row>
    <row r="707" spans="4:35" ht="15.75" customHeight="1" x14ac:dyDescent="0.2">
      <c r="D707" s="54"/>
      <c r="AI707" s="11"/>
    </row>
    <row r="708" spans="4:35" ht="15.75" customHeight="1" x14ac:dyDescent="0.2">
      <c r="D708" s="54"/>
      <c r="AI708" s="11"/>
    </row>
    <row r="709" spans="4:35" ht="15.75" customHeight="1" x14ac:dyDescent="0.2">
      <c r="D709" s="54"/>
      <c r="AI709" s="11"/>
    </row>
    <row r="710" spans="4:35" ht="15.75" customHeight="1" x14ac:dyDescent="0.2">
      <c r="D710" s="54"/>
      <c r="AI710" s="11"/>
    </row>
    <row r="711" spans="4:35" ht="15.75" customHeight="1" x14ac:dyDescent="0.2">
      <c r="D711" s="54"/>
      <c r="AI711" s="11"/>
    </row>
    <row r="712" spans="4:35" ht="15.75" customHeight="1" x14ac:dyDescent="0.2">
      <c r="D712" s="54"/>
      <c r="AI712" s="11"/>
    </row>
    <row r="713" spans="4:35" ht="15.75" customHeight="1" x14ac:dyDescent="0.2">
      <c r="D713" s="54"/>
      <c r="AI713" s="11"/>
    </row>
    <row r="714" spans="4:35" ht="15.75" customHeight="1" x14ac:dyDescent="0.2">
      <c r="D714" s="54"/>
      <c r="AI714" s="11"/>
    </row>
    <row r="715" spans="4:35" ht="15.75" customHeight="1" x14ac:dyDescent="0.2">
      <c r="D715" s="54"/>
      <c r="AI715" s="11"/>
    </row>
    <row r="716" spans="4:35" ht="15.75" customHeight="1" x14ac:dyDescent="0.2">
      <c r="D716" s="54"/>
      <c r="AI716" s="11"/>
    </row>
    <row r="717" spans="4:35" ht="15.75" customHeight="1" x14ac:dyDescent="0.2">
      <c r="D717" s="54"/>
      <c r="AI717" s="11"/>
    </row>
    <row r="718" spans="4:35" ht="15.75" customHeight="1" x14ac:dyDescent="0.2">
      <c r="D718" s="54"/>
      <c r="AI718" s="11"/>
    </row>
    <row r="719" spans="4:35" ht="15.75" customHeight="1" x14ac:dyDescent="0.2">
      <c r="D719" s="54"/>
      <c r="AI719" s="11"/>
    </row>
    <row r="720" spans="4:35" ht="15.75" customHeight="1" x14ac:dyDescent="0.2">
      <c r="D720" s="54"/>
      <c r="AI720" s="11"/>
    </row>
    <row r="721" spans="4:35" ht="15.75" customHeight="1" x14ac:dyDescent="0.2">
      <c r="D721" s="54"/>
      <c r="AI721" s="11"/>
    </row>
    <row r="722" spans="4:35" ht="15.75" customHeight="1" x14ac:dyDescent="0.2">
      <c r="D722" s="54"/>
      <c r="AI722" s="11"/>
    </row>
    <row r="723" spans="4:35" ht="15.75" customHeight="1" x14ac:dyDescent="0.2">
      <c r="D723" s="54"/>
      <c r="AI723" s="11"/>
    </row>
    <row r="724" spans="4:35" ht="15.75" customHeight="1" x14ac:dyDescent="0.2">
      <c r="D724" s="54"/>
      <c r="AI724" s="11"/>
    </row>
    <row r="725" spans="4:35" ht="15.75" customHeight="1" x14ac:dyDescent="0.2">
      <c r="D725" s="54"/>
      <c r="AI725" s="11"/>
    </row>
    <row r="726" spans="4:35" ht="15.75" customHeight="1" x14ac:dyDescent="0.2">
      <c r="D726" s="54"/>
      <c r="AI726" s="11"/>
    </row>
    <row r="727" spans="4:35" ht="15.75" customHeight="1" x14ac:dyDescent="0.2">
      <c r="D727" s="54"/>
      <c r="AI727" s="11"/>
    </row>
    <row r="728" spans="4:35" ht="15.75" customHeight="1" x14ac:dyDescent="0.2">
      <c r="D728" s="54"/>
      <c r="AI728" s="11"/>
    </row>
    <row r="729" spans="4:35" ht="15.75" customHeight="1" x14ac:dyDescent="0.2">
      <c r="D729" s="54"/>
      <c r="AI729" s="11"/>
    </row>
    <row r="730" spans="4:35" ht="15.75" customHeight="1" x14ac:dyDescent="0.2">
      <c r="D730" s="54"/>
      <c r="AI730" s="11"/>
    </row>
    <row r="731" spans="4:35" ht="15.75" customHeight="1" x14ac:dyDescent="0.2">
      <c r="D731" s="54"/>
      <c r="AI731" s="11"/>
    </row>
    <row r="732" spans="4:35" ht="15.75" customHeight="1" x14ac:dyDescent="0.2">
      <c r="D732" s="54"/>
      <c r="AI732" s="11"/>
    </row>
    <row r="733" spans="4:35" ht="15.75" customHeight="1" x14ac:dyDescent="0.2">
      <c r="D733" s="54"/>
      <c r="AI733" s="11"/>
    </row>
    <row r="734" spans="4:35" ht="15.75" customHeight="1" x14ac:dyDescent="0.2">
      <c r="D734" s="54"/>
      <c r="AI734" s="11"/>
    </row>
    <row r="735" spans="4:35" ht="15.75" customHeight="1" x14ac:dyDescent="0.2">
      <c r="D735" s="54"/>
      <c r="AI735" s="11"/>
    </row>
    <row r="736" spans="4:35" ht="15.75" customHeight="1" x14ac:dyDescent="0.2">
      <c r="D736" s="54"/>
      <c r="AI736" s="11"/>
    </row>
    <row r="737" spans="4:35" ht="15.75" customHeight="1" x14ac:dyDescent="0.2">
      <c r="D737" s="54"/>
      <c r="AI737" s="11"/>
    </row>
    <row r="738" spans="4:35" ht="15.75" customHeight="1" x14ac:dyDescent="0.2">
      <c r="D738" s="54"/>
      <c r="AI738" s="11"/>
    </row>
    <row r="739" spans="4:35" ht="15.75" customHeight="1" x14ac:dyDescent="0.2">
      <c r="D739" s="54"/>
      <c r="AI739" s="11"/>
    </row>
    <row r="740" spans="4:35" ht="15.75" customHeight="1" x14ac:dyDescent="0.2">
      <c r="D740" s="54"/>
      <c r="AI740" s="11"/>
    </row>
    <row r="741" spans="4:35" ht="15.75" customHeight="1" x14ac:dyDescent="0.2">
      <c r="D741" s="54"/>
      <c r="AI741" s="11"/>
    </row>
    <row r="742" spans="4:35" ht="15.75" customHeight="1" x14ac:dyDescent="0.2">
      <c r="D742" s="54"/>
      <c r="AI742" s="11"/>
    </row>
    <row r="743" spans="4:35" ht="15.75" customHeight="1" x14ac:dyDescent="0.2">
      <c r="D743" s="54"/>
      <c r="AI743" s="11"/>
    </row>
    <row r="744" spans="4:35" ht="15.75" customHeight="1" x14ac:dyDescent="0.2">
      <c r="D744" s="54"/>
      <c r="AI744" s="11"/>
    </row>
    <row r="745" spans="4:35" ht="15.75" customHeight="1" x14ac:dyDescent="0.2">
      <c r="D745" s="54"/>
      <c r="AI745" s="11"/>
    </row>
    <row r="746" spans="4:35" ht="15.75" customHeight="1" x14ac:dyDescent="0.2">
      <c r="D746" s="54"/>
      <c r="AI746" s="11"/>
    </row>
    <row r="747" spans="4:35" ht="15.75" customHeight="1" x14ac:dyDescent="0.2">
      <c r="D747" s="54"/>
      <c r="AI747" s="11"/>
    </row>
    <row r="748" spans="4:35" ht="15.75" customHeight="1" x14ac:dyDescent="0.2">
      <c r="D748" s="54"/>
      <c r="AI748" s="11"/>
    </row>
    <row r="749" spans="4:35" ht="15.75" customHeight="1" x14ac:dyDescent="0.2">
      <c r="D749" s="54"/>
      <c r="AI749" s="11"/>
    </row>
    <row r="750" spans="4:35" ht="15.75" customHeight="1" x14ac:dyDescent="0.2">
      <c r="D750" s="54"/>
      <c r="AI750" s="11"/>
    </row>
    <row r="751" spans="4:35" ht="15.75" customHeight="1" x14ac:dyDescent="0.2">
      <c r="D751" s="54"/>
      <c r="AI751" s="11"/>
    </row>
    <row r="752" spans="4:35" ht="15.75" customHeight="1" x14ac:dyDescent="0.2">
      <c r="D752" s="54"/>
      <c r="AI752" s="11"/>
    </row>
    <row r="753" spans="4:35" ht="15.75" customHeight="1" x14ac:dyDescent="0.2">
      <c r="D753" s="54"/>
      <c r="AI753" s="11"/>
    </row>
    <row r="754" spans="4:35" ht="15.75" customHeight="1" x14ac:dyDescent="0.2">
      <c r="D754" s="54"/>
      <c r="AI754" s="11"/>
    </row>
    <row r="755" spans="4:35" ht="15.75" customHeight="1" x14ac:dyDescent="0.2">
      <c r="D755" s="54"/>
      <c r="AI755" s="11"/>
    </row>
    <row r="756" spans="4:35" ht="15.75" customHeight="1" x14ac:dyDescent="0.2">
      <c r="D756" s="54"/>
      <c r="AI756" s="11"/>
    </row>
    <row r="757" spans="4:35" ht="15.75" customHeight="1" x14ac:dyDescent="0.2">
      <c r="D757" s="54"/>
      <c r="AI757" s="11"/>
    </row>
    <row r="758" spans="4:35" ht="15.75" customHeight="1" x14ac:dyDescent="0.2">
      <c r="D758" s="54"/>
      <c r="AI758" s="11"/>
    </row>
    <row r="759" spans="4:35" ht="15.75" customHeight="1" x14ac:dyDescent="0.2">
      <c r="D759" s="54"/>
      <c r="AI759" s="11"/>
    </row>
    <row r="760" spans="4:35" ht="15.75" customHeight="1" x14ac:dyDescent="0.2">
      <c r="D760" s="54"/>
      <c r="AI760" s="11"/>
    </row>
    <row r="761" spans="4:35" ht="15.75" customHeight="1" x14ac:dyDescent="0.2">
      <c r="D761" s="54"/>
      <c r="AI761" s="11"/>
    </row>
    <row r="762" spans="4:35" ht="15.75" customHeight="1" x14ac:dyDescent="0.2">
      <c r="D762" s="54"/>
      <c r="AI762" s="11"/>
    </row>
    <row r="763" spans="4:35" ht="15.75" customHeight="1" x14ac:dyDescent="0.2">
      <c r="D763" s="54"/>
      <c r="AI763" s="11"/>
    </row>
    <row r="764" spans="4:35" ht="15.75" customHeight="1" x14ac:dyDescent="0.2">
      <c r="D764" s="54"/>
      <c r="AI764" s="11"/>
    </row>
    <row r="765" spans="4:35" ht="15.75" customHeight="1" x14ac:dyDescent="0.2">
      <c r="D765" s="54"/>
      <c r="AI765" s="11"/>
    </row>
    <row r="766" spans="4:35" ht="15.75" customHeight="1" x14ac:dyDescent="0.2">
      <c r="D766" s="54"/>
      <c r="AI766" s="11"/>
    </row>
    <row r="767" spans="4:35" ht="15.75" customHeight="1" x14ac:dyDescent="0.2">
      <c r="D767" s="54"/>
      <c r="AI767" s="11"/>
    </row>
    <row r="768" spans="4:35" ht="15.75" customHeight="1" x14ac:dyDescent="0.2">
      <c r="D768" s="54"/>
      <c r="AI768" s="11"/>
    </row>
    <row r="769" spans="4:35" ht="15.75" customHeight="1" x14ac:dyDescent="0.2">
      <c r="D769" s="54"/>
      <c r="AI769" s="11"/>
    </row>
    <row r="770" spans="4:35" ht="15.75" customHeight="1" x14ac:dyDescent="0.2">
      <c r="D770" s="54"/>
      <c r="AI770" s="11"/>
    </row>
    <row r="771" spans="4:35" ht="15.75" customHeight="1" x14ac:dyDescent="0.2">
      <c r="D771" s="54"/>
      <c r="AI771" s="11"/>
    </row>
    <row r="772" spans="4:35" ht="15.75" customHeight="1" x14ac:dyDescent="0.2">
      <c r="D772" s="54"/>
      <c r="AI772" s="11"/>
    </row>
    <row r="773" spans="4:35" ht="15.75" customHeight="1" x14ac:dyDescent="0.2">
      <c r="D773" s="54"/>
      <c r="AI773" s="11"/>
    </row>
    <row r="774" spans="4:35" ht="15.75" customHeight="1" x14ac:dyDescent="0.2">
      <c r="D774" s="54"/>
      <c r="AI774" s="11"/>
    </row>
    <row r="775" spans="4:35" ht="15.75" customHeight="1" x14ac:dyDescent="0.2">
      <c r="D775" s="54"/>
      <c r="AI775" s="11"/>
    </row>
    <row r="776" spans="4:35" ht="15.75" customHeight="1" x14ac:dyDescent="0.2">
      <c r="D776" s="54"/>
      <c r="AI776" s="11"/>
    </row>
    <row r="777" spans="4:35" ht="15.75" customHeight="1" x14ac:dyDescent="0.2">
      <c r="D777" s="54"/>
      <c r="AI777" s="11"/>
    </row>
    <row r="778" spans="4:35" ht="15.75" customHeight="1" x14ac:dyDescent="0.2">
      <c r="D778" s="54"/>
      <c r="AI778" s="11"/>
    </row>
    <row r="779" spans="4:35" ht="15.75" customHeight="1" x14ac:dyDescent="0.2">
      <c r="D779" s="54"/>
      <c r="AI779" s="11"/>
    </row>
    <row r="780" spans="4:35" ht="15.75" customHeight="1" x14ac:dyDescent="0.2">
      <c r="D780" s="54"/>
      <c r="AI780" s="11"/>
    </row>
    <row r="781" spans="4:35" ht="15.75" customHeight="1" x14ac:dyDescent="0.2">
      <c r="D781" s="54"/>
      <c r="AI781" s="11"/>
    </row>
    <row r="782" spans="4:35" ht="15.75" customHeight="1" x14ac:dyDescent="0.2">
      <c r="D782" s="54"/>
      <c r="AI782" s="11"/>
    </row>
    <row r="783" spans="4:35" ht="15.75" customHeight="1" x14ac:dyDescent="0.2">
      <c r="D783" s="54"/>
      <c r="AI783" s="11"/>
    </row>
    <row r="784" spans="4:35" ht="15.75" customHeight="1" x14ac:dyDescent="0.2">
      <c r="D784" s="54"/>
      <c r="AI784" s="11"/>
    </row>
    <row r="785" spans="4:35" ht="15.75" customHeight="1" x14ac:dyDescent="0.2">
      <c r="D785" s="54"/>
      <c r="AI785" s="11"/>
    </row>
    <row r="786" spans="4:35" ht="15.75" customHeight="1" x14ac:dyDescent="0.2">
      <c r="D786" s="54"/>
      <c r="AI786" s="11"/>
    </row>
    <row r="787" spans="4:35" ht="15.75" customHeight="1" x14ac:dyDescent="0.2">
      <c r="D787" s="54"/>
      <c r="AI787" s="11"/>
    </row>
    <row r="788" spans="4:35" ht="15.75" customHeight="1" x14ac:dyDescent="0.2">
      <c r="D788" s="54"/>
      <c r="AI788" s="11"/>
    </row>
    <row r="789" spans="4:35" ht="15.75" customHeight="1" x14ac:dyDescent="0.2">
      <c r="D789" s="54"/>
      <c r="AI789" s="11"/>
    </row>
    <row r="790" spans="4:35" ht="15.75" customHeight="1" x14ac:dyDescent="0.2">
      <c r="D790" s="54"/>
      <c r="AI790" s="11"/>
    </row>
    <row r="791" spans="4:35" ht="15.75" customHeight="1" x14ac:dyDescent="0.2">
      <c r="D791" s="54"/>
      <c r="AI791" s="11"/>
    </row>
    <row r="792" spans="4:35" ht="15.75" customHeight="1" x14ac:dyDescent="0.2">
      <c r="D792" s="54"/>
      <c r="AI792" s="11"/>
    </row>
    <row r="793" spans="4:35" ht="15.75" customHeight="1" x14ac:dyDescent="0.2">
      <c r="D793" s="54"/>
      <c r="AI793" s="11"/>
    </row>
    <row r="794" spans="4:35" ht="15.75" customHeight="1" x14ac:dyDescent="0.2">
      <c r="D794" s="54"/>
      <c r="AI794" s="11"/>
    </row>
    <row r="795" spans="4:35" ht="15.75" customHeight="1" x14ac:dyDescent="0.2">
      <c r="D795" s="54"/>
      <c r="AI795" s="11"/>
    </row>
    <row r="796" spans="4:35" ht="15.75" customHeight="1" x14ac:dyDescent="0.2">
      <c r="D796" s="54"/>
      <c r="AI796" s="11"/>
    </row>
    <row r="797" spans="4:35" ht="15.75" customHeight="1" x14ac:dyDescent="0.2">
      <c r="D797" s="54"/>
      <c r="AI797" s="11"/>
    </row>
    <row r="798" spans="4:35" ht="15.75" customHeight="1" x14ac:dyDescent="0.2">
      <c r="D798" s="54"/>
      <c r="AI798" s="11"/>
    </row>
    <row r="799" spans="4:35" ht="15.75" customHeight="1" x14ac:dyDescent="0.2">
      <c r="D799" s="54"/>
      <c r="AI799" s="11"/>
    </row>
    <row r="800" spans="4:35" ht="15.75" customHeight="1" x14ac:dyDescent="0.2">
      <c r="D800" s="54"/>
      <c r="AI800" s="11"/>
    </row>
    <row r="801" spans="4:35" ht="15.75" customHeight="1" x14ac:dyDescent="0.2">
      <c r="D801" s="54"/>
      <c r="AI801" s="11"/>
    </row>
    <row r="802" spans="4:35" ht="15.75" customHeight="1" x14ac:dyDescent="0.2">
      <c r="D802" s="54"/>
      <c r="AI802" s="11"/>
    </row>
    <row r="803" spans="4:35" ht="15.75" customHeight="1" x14ac:dyDescent="0.2">
      <c r="D803" s="54"/>
      <c r="AI803" s="11"/>
    </row>
    <row r="804" spans="4:35" ht="15.75" customHeight="1" x14ac:dyDescent="0.2">
      <c r="D804" s="54"/>
      <c r="AI804" s="11"/>
    </row>
    <row r="805" spans="4:35" ht="15.75" customHeight="1" x14ac:dyDescent="0.2">
      <c r="D805" s="54"/>
      <c r="AI805" s="11"/>
    </row>
    <row r="806" spans="4:35" ht="15.75" customHeight="1" x14ac:dyDescent="0.2">
      <c r="D806" s="54"/>
      <c r="AI806" s="11"/>
    </row>
    <row r="807" spans="4:35" ht="15.75" customHeight="1" x14ac:dyDescent="0.2">
      <c r="D807" s="54"/>
      <c r="AI807" s="11"/>
    </row>
    <row r="808" spans="4:35" ht="15.75" customHeight="1" x14ac:dyDescent="0.2">
      <c r="D808" s="54"/>
      <c r="AI808" s="11"/>
    </row>
    <row r="809" spans="4:35" ht="15.75" customHeight="1" x14ac:dyDescent="0.2">
      <c r="D809" s="54"/>
      <c r="AI809" s="11"/>
    </row>
    <row r="810" spans="4:35" ht="15.75" customHeight="1" x14ac:dyDescent="0.2">
      <c r="D810" s="54"/>
      <c r="AI810" s="11"/>
    </row>
    <row r="811" spans="4:35" ht="15.75" customHeight="1" x14ac:dyDescent="0.2">
      <c r="D811" s="54"/>
      <c r="AI811" s="11"/>
    </row>
    <row r="812" spans="4:35" ht="15.75" customHeight="1" x14ac:dyDescent="0.2">
      <c r="D812" s="54"/>
      <c r="AI812" s="11"/>
    </row>
    <row r="813" spans="4:35" ht="15.75" customHeight="1" x14ac:dyDescent="0.2">
      <c r="D813" s="54"/>
      <c r="AI813" s="11"/>
    </row>
    <row r="814" spans="4:35" ht="15.75" customHeight="1" x14ac:dyDescent="0.2">
      <c r="D814" s="54"/>
      <c r="AI814" s="11"/>
    </row>
    <row r="815" spans="4:35" ht="15.75" customHeight="1" x14ac:dyDescent="0.2">
      <c r="D815" s="54"/>
      <c r="AI815" s="11"/>
    </row>
    <row r="816" spans="4:35" ht="15.75" customHeight="1" x14ac:dyDescent="0.2">
      <c r="D816" s="54"/>
      <c r="AI816" s="11"/>
    </row>
    <row r="817" spans="4:35" ht="15.75" customHeight="1" x14ac:dyDescent="0.2">
      <c r="D817" s="54"/>
      <c r="AI817" s="11"/>
    </row>
    <row r="818" spans="4:35" ht="15.75" customHeight="1" x14ac:dyDescent="0.2">
      <c r="D818" s="54"/>
      <c r="AI818" s="11"/>
    </row>
    <row r="819" spans="4:35" ht="15.75" customHeight="1" x14ac:dyDescent="0.2">
      <c r="D819" s="54"/>
      <c r="AI819" s="11"/>
    </row>
    <row r="820" spans="4:35" ht="15.75" customHeight="1" x14ac:dyDescent="0.2">
      <c r="D820" s="54"/>
      <c r="AI820" s="11"/>
    </row>
    <row r="821" spans="4:35" ht="15.75" customHeight="1" x14ac:dyDescent="0.2">
      <c r="D821" s="54"/>
      <c r="AI821" s="11"/>
    </row>
    <row r="822" spans="4:35" ht="15.75" customHeight="1" x14ac:dyDescent="0.2">
      <c r="D822" s="54"/>
      <c r="AI822" s="11"/>
    </row>
    <row r="823" spans="4:35" ht="15.75" customHeight="1" x14ac:dyDescent="0.2">
      <c r="D823" s="54"/>
      <c r="AI823" s="11"/>
    </row>
    <row r="824" spans="4:35" ht="15.75" customHeight="1" x14ac:dyDescent="0.2">
      <c r="D824" s="54"/>
      <c r="AI824" s="11"/>
    </row>
    <row r="825" spans="4:35" ht="15.75" customHeight="1" x14ac:dyDescent="0.2">
      <c r="D825" s="54"/>
      <c r="AI825" s="11"/>
    </row>
    <row r="826" spans="4:35" ht="15.75" customHeight="1" x14ac:dyDescent="0.2">
      <c r="D826" s="54"/>
      <c r="AI826" s="11"/>
    </row>
    <row r="827" spans="4:35" ht="15.75" customHeight="1" x14ac:dyDescent="0.2">
      <c r="D827" s="54"/>
      <c r="AI827" s="11"/>
    </row>
    <row r="828" spans="4:35" ht="15.75" customHeight="1" x14ac:dyDescent="0.2">
      <c r="D828" s="54"/>
      <c r="AI828" s="11"/>
    </row>
    <row r="829" spans="4:35" ht="15.75" customHeight="1" x14ac:dyDescent="0.2">
      <c r="D829" s="54"/>
      <c r="AI829" s="11"/>
    </row>
    <row r="830" spans="4:35" ht="15.75" customHeight="1" x14ac:dyDescent="0.2">
      <c r="D830" s="54"/>
      <c r="AI830" s="11"/>
    </row>
    <row r="831" spans="4:35" ht="15.75" customHeight="1" x14ac:dyDescent="0.2">
      <c r="D831" s="54"/>
      <c r="AI831" s="11"/>
    </row>
    <row r="832" spans="4:35" ht="15.75" customHeight="1" x14ac:dyDescent="0.2">
      <c r="D832" s="54"/>
      <c r="AI832" s="11"/>
    </row>
    <row r="833" spans="4:35" ht="15.75" customHeight="1" x14ac:dyDescent="0.2">
      <c r="D833" s="54"/>
      <c r="AI833" s="11"/>
    </row>
    <row r="834" spans="4:35" ht="15.75" customHeight="1" x14ac:dyDescent="0.2">
      <c r="D834" s="54"/>
      <c r="AI834" s="11"/>
    </row>
    <row r="835" spans="4:35" ht="15.75" customHeight="1" x14ac:dyDescent="0.2">
      <c r="D835" s="54"/>
      <c r="AI835" s="11"/>
    </row>
    <row r="836" spans="4:35" ht="15.75" customHeight="1" x14ac:dyDescent="0.2">
      <c r="D836" s="54"/>
      <c r="AI836" s="11"/>
    </row>
    <row r="837" spans="4:35" ht="15.75" customHeight="1" x14ac:dyDescent="0.2">
      <c r="D837" s="54"/>
      <c r="AI837" s="11"/>
    </row>
    <row r="838" spans="4:35" ht="15.75" customHeight="1" x14ac:dyDescent="0.2">
      <c r="D838" s="54"/>
      <c r="AI838" s="11"/>
    </row>
    <row r="839" spans="4:35" ht="15.75" customHeight="1" x14ac:dyDescent="0.2">
      <c r="D839" s="54"/>
      <c r="AI839" s="11"/>
    </row>
    <row r="840" spans="4:35" ht="15.75" customHeight="1" x14ac:dyDescent="0.2">
      <c r="D840" s="54"/>
      <c r="AI840" s="11"/>
    </row>
    <row r="841" spans="4:35" ht="15.75" customHeight="1" x14ac:dyDescent="0.2">
      <c r="D841" s="54"/>
      <c r="AI841" s="11"/>
    </row>
    <row r="842" spans="4:35" ht="15.75" customHeight="1" x14ac:dyDescent="0.2">
      <c r="D842" s="54"/>
      <c r="AI842" s="11"/>
    </row>
    <row r="843" spans="4:35" ht="15.75" customHeight="1" x14ac:dyDescent="0.2">
      <c r="D843" s="54"/>
      <c r="AI843" s="11"/>
    </row>
    <row r="844" spans="4:35" ht="15.75" customHeight="1" x14ac:dyDescent="0.2">
      <c r="D844" s="54"/>
      <c r="AI844" s="11"/>
    </row>
    <row r="845" spans="4:35" ht="15.75" customHeight="1" x14ac:dyDescent="0.2">
      <c r="D845" s="54"/>
      <c r="AI845" s="11"/>
    </row>
    <row r="846" spans="4:35" ht="15.75" customHeight="1" x14ac:dyDescent="0.2">
      <c r="D846" s="54"/>
      <c r="AI846" s="11"/>
    </row>
    <row r="847" spans="4:35" ht="15.75" customHeight="1" x14ac:dyDescent="0.2">
      <c r="D847" s="54"/>
      <c r="AI847" s="11"/>
    </row>
    <row r="848" spans="4:35" ht="15.75" customHeight="1" x14ac:dyDescent="0.2">
      <c r="D848" s="54"/>
      <c r="AI848" s="11"/>
    </row>
    <row r="849" spans="4:35" ht="15.75" customHeight="1" x14ac:dyDescent="0.2">
      <c r="D849" s="54"/>
      <c r="AI849" s="11"/>
    </row>
    <row r="850" spans="4:35" ht="15.75" customHeight="1" x14ac:dyDescent="0.2">
      <c r="D850" s="54"/>
      <c r="AI850" s="11"/>
    </row>
    <row r="851" spans="4:35" ht="15.75" customHeight="1" x14ac:dyDescent="0.2">
      <c r="D851" s="54"/>
      <c r="AI851" s="11"/>
    </row>
    <row r="852" spans="4:35" ht="15.75" customHeight="1" x14ac:dyDescent="0.2">
      <c r="D852" s="54"/>
      <c r="AI852" s="11"/>
    </row>
    <row r="853" spans="4:35" ht="15.75" customHeight="1" x14ac:dyDescent="0.2">
      <c r="D853" s="54"/>
      <c r="AI853" s="11"/>
    </row>
    <row r="854" spans="4:35" ht="15.75" customHeight="1" x14ac:dyDescent="0.2">
      <c r="D854" s="54"/>
      <c r="AI854" s="11"/>
    </row>
    <row r="855" spans="4:35" ht="15.75" customHeight="1" x14ac:dyDescent="0.2">
      <c r="D855" s="54"/>
      <c r="AI855" s="11"/>
    </row>
    <row r="856" spans="4:35" ht="15.75" customHeight="1" x14ac:dyDescent="0.2">
      <c r="D856" s="54"/>
      <c r="AI856" s="11"/>
    </row>
    <row r="857" spans="4:35" ht="15.75" customHeight="1" x14ac:dyDescent="0.2">
      <c r="D857" s="54"/>
      <c r="AI857" s="11"/>
    </row>
    <row r="858" spans="4:35" ht="15.75" customHeight="1" x14ac:dyDescent="0.2">
      <c r="D858" s="54"/>
      <c r="AI858" s="11"/>
    </row>
    <row r="859" spans="4:35" ht="15.75" customHeight="1" x14ac:dyDescent="0.2">
      <c r="D859" s="54"/>
      <c r="AI859" s="11"/>
    </row>
    <row r="860" spans="4:35" ht="15.75" customHeight="1" x14ac:dyDescent="0.2">
      <c r="D860" s="54"/>
      <c r="AI860" s="11"/>
    </row>
    <row r="861" spans="4:35" ht="15.75" customHeight="1" x14ac:dyDescent="0.2">
      <c r="D861" s="54"/>
      <c r="AI861" s="11"/>
    </row>
    <row r="862" spans="4:35" ht="15.75" customHeight="1" x14ac:dyDescent="0.2">
      <c r="D862" s="54"/>
      <c r="AI862" s="11"/>
    </row>
    <row r="863" spans="4:35" ht="15.75" customHeight="1" x14ac:dyDescent="0.2">
      <c r="D863" s="54"/>
      <c r="AI863" s="11"/>
    </row>
    <row r="864" spans="4:35" ht="15.75" customHeight="1" x14ac:dyDescent="0.2">
      <c r="D864" s="54"/>
      <c r="AI864" s="11"/>
    </row>
    <row r="865" spans="4:35" ht="15.75" customHeight="1" x14ac:dyDescent="0.2">
      <c r="D865" s="54"/>
      <c r="AI865" s="11"/>
    </row>
    <row r="866" spans="4:35" ht="15.75" customHeight="1" x14ac:dyDescent="0.2">
      <c r="D866" s="54"/>
      <c r="AI866" s="11"/>
    </row>
    <row r="867" spans="4:35" ht="15.75" customHeight="1" x14ac:dyDescent="0.2">
      <c r="D867" s="54"/>
      <c r="AI867" s="11"/>
    </row>
    <row r="868" spans="4:35" ht="15.75" customHeight="1" x14ac:dyDescent="0.2">
      <c r="D868" s="54"/>
      <c r="AI868" s="11"/>
    </row>
    <row r="869" spans="4:35" ht="15.75" customHeight="1" x14ac:dyDescent="0.2">
      <c r="D869" s="54"/>
      <c r="AI869" s="11"/>
    </row>
    <row r="870" spans="4:35" ht="15.75" customHeight="1" x14ac:dyDescent="0.2">
      <c r="D870" s="54"/>
      <c r="AI870" s="11"/>
    </row>
    <row r="871" spans="4:35" ht="15.75" customHeight="1" x14ac:dyDescent="0.2">
      <c r="D871" s="54"/>
      <c r="AI871" s="11"/>
    </row>
    <row r="872" spans="4:35" ht="15.75" customHeight="1" x14ac:dyDescent="0.2">
      <c r="D872" s="54"/>
      <c r="AI872" s="11"/>
    </row>
    <row r="873" spans="4:35" ht="15.75" customHeight="1" x14ac:dyDescent="0.2">
      <c r="D873" s="54"/>
      <c r="AI873" s="11"/>
    </row>
    <row r="874" spans="4:35" ht="15.75" customHeight="1" x14ac:dyDescent="0.2">
      <c r="D874" s="54"/>
      <c r="AI874" s="11"/>
    </row>
    <row r="875" spans="4:35" ht="15.75" customHeight="1" x14ac:dyDescent="0.2">
      <c r="D875" s="54"/>
      <c r="AI875" s="11"/>
    </row>
    <row r="876" spans="4:35" ht="15.75" customHeight="1" x14ac:dyDescent="0.2">
      <c r="D876" s="54"/>
      <c r="AI876" s="11"/>
    </row>
    <row r="877" spans="4:35" ht="15.75" customHeight="1" x14ac:dyDescent="0.2">
      <c r="D877" s="54"/>
      <c r="AI877" s="11"/>
    </row>
    <row r="878" spans="4:35" ht="15.75" customHeight="1" x14ac:dyDescent="0.2">
      <c r="D878" s="54"/>
      <c r="AI878" s="11"/>
    </row>
    <row r="879" spans="4:35" ht="15.75" customHeight="1" x14ac:dyDescent="0.2">
      <c r="D879" s="54"/>
      <c r="AI879" s="11"/>
    </row>
    <row r="880" spans="4:35" ht="15.75" customHeight="1" x14ac:dyDescent="0.2">
      <c r="D880" s="54"/>
      <c r="AI880" s="11"/>
    </row>
    <row r="881" spans="4:35" ht="15.75" customHeight="1" x14ac:dyDescent="0.2">
      <c r="D881" s="54"/>
      <c r="AI881" s="11"/>
    </row>
    <row r="882" spans="4:35" ht="15.75" customHeight="1" x14ac:dyDescent="0.2">
      <c r="D882" s="54"/>
      <c r="AI882" s="11"/>
    </row>
    <row r="883" spans="4:35" ht="15.75" customHeight="1" x14ac:dyDescent="0.2">
      <c r="D883" s="54"/>
      <c r="AI883" s="11"/>
    </row>
    <row r="884" spans="4:35" ht="15.75" customHeight="1" x14ac:dyDescent="0.2">
      <c r="D884" s="54"/>
      <c r="AI884" s="11"/>
    </row>
    <row r="885" spans="4:35" ht="15.75" customHeight="1" x14ac:dyDescent="0.2">
      <c r="D885" s="54"/>
      <c r="AI885" s="11"/>
    </row>
    <row r="886" spans="4:35" ht="15.75" customHeight="1" x14ac:dyDescent="0.2">
      <c r="D886" s="54"/>
      <c r="AI886" s="11"/>
    </row>
    <row r="887" spans="4:35" ht="15.75" customHeight="1" x14ac:dyDescent="0.2">
      <c r="D887" s="54"/>
      <c r="AI887" s="11"/>
    </row>
    <row r="888" spans="4:35" ht="15.75" customHeight="1" x14ac:dyDescent="0.2">
      <c r="D888" s="54"/>
      <c r="AI888" s="11"/>
    </row>
    <row r="889" spans="4:35" ht="15.75" customHeight="1" x14ac:dyDescent="0.2">
      <c r="D889" s="54"/>
      <c r="AI889" s="11"/>
    </row>
    <row r="890" spans="4:35" ht="15.75" customHeight="1" x14ac:dyDescent="0.2">
      <c r="D890" s="54"/>
      <c r="AI890" s="11"/>
    </row>
    <row r="891" spans="4:35" ht="15.75" customHeight="1" x14ac:dyDescent="0.2">
      <c r="D891" s="54"/>
      <c r="AI891" s="11"/>
    </row>
    <row r="892" spans="4:35" ht="15.75" customHeight="1" x14ac:dyDescent="0.2">
      <c r="D892" s="54"/>
      <c r="AI892" s="11"/>
    </row>
    <row r="893" spans="4:35" ht="15.75" customHeight="1" x14ac:dyDescent="0.2">
      <c r="D893" s="54"/>
      <c r="AI893" s="11"/>
    </row>
    <row r="894" spans="4:35" ht="15.75" customHeight="1" x14ac:dyDescent="0.2">
      <c r="D894" s="54"/>
      <c r="AI894" s="11"/>
    </row>
    <row r="895" spans="4:35" ht="15.75" customHeight="1" x14ac:dyDescent="0.2">
      <c r="D895" s="54"/>
      <c r="AI895" s="11"/>
    </row>
    <row r="896" spans="4:35" ht="15.75" customHeight="1" x14ac:dyDescent="0.2">
      <c r="D896" s="54"/>
      <c r="AI896" s="11"/>
    </row>
    <row r="897" spans="4:35" ht="15.75" customHeight="1" x14ac:dyDescent="0.2">
      <c r="D897" s="54"/>
      <c r="AI897" s="11"/>
    </row>
    <row r="898" spans="4:35" ht="15.75" customHeight="1" x14ac:dyDescent="0.2">
      <c r="D898" s="54"/>
      <c r="AI898" s="11"/>
    </row>
    <row r="899" spans="4:35" ht="15.75" customHeight="1" x14ac:dyDescent="0.2">
      <c r="D899" s="54"/>
      <c r="AI899" s="11"/>
    </row>
    <row r="900" spans="4:35" ht="15.75" customHeight="1" x14ac:dyDescent="0.2">
      <c r="D900" s="54"/>
      <c r="AI900" s="11"/>
    </row>
    <row r="901" spans="4:35" ht="15.75" customHeight="1" x14ac:dyDescent="0.2">
      <c r="D901" s="54"/>
      <c r="AI901" s="11"/>
    </row>
    <row r="902" spans="4:35" ht="15.75" customHeight="1" x14ac:dyDescent="0.2">
      <c r="D902" s="54"/>
      <c r="AI902" s="11"/>
    </row>
    <row r="903" spans="4:35" ht="15.75" customHeight="1" x14ac:dyDescent="0.2">
      <c r="D903" s="54"/>
      <c r="AI903" s="11"/>
    </row>
    <row r="904" spans="4:35" ht="15.75" customHeight="1" x14ac:dyDescent="0.2">
      <c r="D904" s="54"/>
      <c r="AI904" s="11"/>
    </row>
    <row r="905" spans="4:35" ht="15.75" customHeight="1" x14ac:dyDescent="0.2">
      <c r="D905" s="54"/>
      <c r="AI905" s="11"/>
    </row>
    <row r="906" spans="4:35" ht="15.75" customHeight="1" x14ac:dyDescent="0.2">
      <c r="D906" s="54"/>
      <c r="AI906" s="11"/>
    </row>
    <row r="907" spans="4:35" ht="15.75" customHeight="1" x14ac:dyDescent="0.2">
      <c r="D907" s="54"/>
      <c r="AI907" s="11"/>
    </row>
    <row r="908" spans="4:35" ht="15.75" customHeight="1" x14ac:dyDescent="0.2">
      <c r="D908" s="54"/>
      <c r="AI908" s="11"/>
    </row>
    <row r="909" spans="4:35" ht="15.75" customHeight="1" x14ac:dyDescent="0.2">
      <c r="D909" s="54"/>
      <c r="AI909" s="11"/>
    </row>
    <row r="910" spans="4:35" ht="15.75" customHeight="1" x14ac:dyDescent="0.2">
      <c r="D910" s="54"/>
      <c r="AI910" s="11"/>
    </row>
    <row r="911" spans="4:35" ht="15.75" customHeight="1" x14ac:dyDescent="0.2">
      <c r="D911" s="54"/>
      <c r="AI911" s="11"/>
    </row>
    <row r="912" spans="4:35" ht="15.75" customHeight="1" x14ac:dyDescent="0.2">
      <c r="D912" s="54"/>
      <c r="AI912" s="11"/>
    </row>
    <row r="913" spans="4:35" ht="15.75" customHeight="1" x14ac:dyDescent="0.2">
      <c r="D913" s="54"/>
      <c r="AI913" s="11"/>
    </row>
    <row r="914" spans="4:35" ht="15.75" customHeight="1" x14ac:dyDescent="0.2">
      <c r="D914" s="54"/>
      <c r="AI914" s="11"/>
    </row>
    <row r="915" spans="4:35" ht="15.75" customHeight="1" x14ac:dyDescent="0.2">
      <c r="D915" s="54"/>
      <c r="AI915" s="11"/>
    </row>
    <row r="916" spans="4:35" ht="15.75" customHeight="1" x14ac:dyDescent="0.2">
      <c r="D916" s="54"/>
      <c r="AI916" s="11"/>
    </row>
    <row r="917" spans="4:35" ht="15.75" customHeight="1" x14ac:dyDescent="0.2">
      <c r="D917" s="54"/>
      <c r="AI917" s="11"/>
    </row>
    <row r="918" spans="4:35" ht="15.75" customHeight="1" x14ac:dyDescent="0.2">
      <c r="D918" s="54"/>
      <c r="AI918" s="11"/>
    </row>
    <row r="919" spans="4:35" ht="15.75" customHeight="1" x14ac:dyDescent="0.2">
      <c r="D919" s="54"/>
      <c r="AI919" s="11"/>
    </row>
    <row r="920" spans="4:35" ht="15.75" customHeight="1" x14ac:dyDescent="0.2">
      <c r="D920" s="54"/>
      <c r="AI920" s="11"/>
    </row>
    <row r="921" spans="4:35" ht="15.75" customHeight="1" x14ac:dyDescent="0.2">
      <c r="D921" s="54"/>
      <c r="AI921" s="11"/>
    </row>
    <row r="922" spans="4:35" ht="15.75" customHeight="1" x14ac:dyDescent="0.2">
      <c r="D922" s="54"/>
      <c r="AI922" s="11"/>
    </row>
    <row r="923" spans="4:35" ht="15.75" customHeight="1" x14ac:dyDescent="0.2">
      <c r="D923" s="54"/>
      <c r="AI923" s="11"/>
    </row>
    <row r="924" spans="4:35" ht="15.75" customHeight="1" x14ac:dyDescent="0.2">
      <c r="D924" s="54"/>
      <c r="AI924" s="11"/>
    </row>
    <row r="925" spans="4:35" ht="15.75" customHeight="1" x14ac:dyDescent="0.2">
      <c r="D925" s="54"/>
      <c r="AI925" s="11"/>
    </row>
    <row r="926" spans="4:35" ht="15.75" customHeight="1" x14ac:dyDescent="0.2">
      <c r="D926" s="54"/>
      <c r="AI926" s="11"/>
    </row>
    <row r="927" spans="4:35" ht="15.75" customHeight="1" x14ac:dyDescent="0.2">
      <c r="D927" s="54"/>
      <c r="AI927" s="11"/>
    </row>
    <row r="928" spans="4:35" ht="15.75" customHeight="1" x14ac:dyDescent="0.2">
      <c r="D928" s="54"/>
      <c r="AI928" s="11"/>
    </row>
    <row r="929" spans="4:35" ht="15.75" customHeight="1" x14ac:dyDescent="0.2">
      <c r="D929" s="54"/>
      <c r="AI929" s="11"/>
    </row>
    <row r="930" spans="4:35" ht="15.75" customHeight="1" x14ac:dyDescent="0.2">
      <c r="D930" s="54"/>
      <c r="AI930" s="11"/>
    </row>
    <row r="931" spans="4:35" ht="15.75" customHeight="1" x14ac:dyDescent="0.2">
      <c r="D931" s="54"/>
      <c r="AI931" s="11"/>
    </row>
    <row r="932" spans="4:35" ht="15.75" customHeight="1" x14ac:dyDescent="0.2">
      <c r="D932" s="54"/>
      <c r="AI932" s="11"/>
    </row>
    <row r="933" spans="4:35" ht="15.75" customHeight="1" x14ac:dyDescent="0.2">
      <c r="D933" s="54"/>
      <c r="AI933" s="11"/>
    </row>
    <row r="934" spans="4:35" ht="15.75" customHeight="1" x14ac:dyDescent="0.2">
      <c r="D934" s="54"/>
      <c r="AI934" s="11"/>
    </row>
    <row r="935" spans="4:35" ht="15.75" customHeight="1" x14ac:dyDescent="0.2">
      <c r="D935" s="54"/>
      <c r="AI935" s="11"/>
    </row>
    <row r="936" spans="4:35" ht="15.75" customHeight="1" x14ac:dyDescent="0.2">
      <c r="D936" s="54"/>
      <c r="AI936" s="11"/>
    </row>
    <row r="937" spans="4:35" ht="15.75" customHeight="1" x14ac:dyDescent="0.2">
      <c r="D937" s="54"/>
      <c r="AI937" s="11"/>
    </row>
    <row r="938" spans="4:35" ht="15.75" customHeight="1" x14ac:dyDescent="0.2">
      <c r="D938" s="54"/>
      <c r="AI938" s="11"/>
    </row>
    <row r="939" spans="4:35" ht="15.75" customHeight="1" x14ac:dyDescent="0.2">
      <c r="D939" s="54"/>
      <c r="AI939" s="11"/>
    </row>
    <row r="940" spans="4:35" ht="15.75" customHeight="1" x14ac:dyDescent="0.2">
      <c r="D940" s="54"/>
      <c r="AI940" s="11"/>
    </row>
    <row r="941" spans="4:35" ht="15.75" customHeight="1" x14ac:dyDescent="0.2">
      <c r="D941" s="54"/>
      <c r="AI941" s="11"/>
    </row>
    <row r="942" spans="4:35" ht="15.75" customHeight="1" x14ac:dyDescent="0.2">
      <c r="D942" s="54"/>
      <c r="AI942" s="11"/>
    </row>
    <row r="943" spans="4:35" ht="15.75" customHeight="1" x14ac:dyDescent="0.2">
      <c r="D943" s="54"/>
      <c r="AI943" s="11"/>
    </row>
    <row r="944" spans="4:35" ht="15.75" customHeight="1" x14ac:dyDescent="0.2">
      <c r="D944" s="54"/>
      <c r="AI944" s="11"/>
    </row>
    <row r="945" spans="4:35" ht="15.75" customHeight="1" x14ac:dyDescent="0.2">
      <c r="D945" s="54"/>
      <c r="AI945" s="11"/>
    </row>
    <row r="946" spans="4:35" ht="15.75" customHeight="1" x14ac:dyDescent="0.2">
      <c r="D946" s="54"/>
      <c r="AI946" s="11"/>
    </row>
    <row r="947" spans="4:35" ht="15.75" customHeight="1" x14ac:dyDescent="0.2">
      <c r="D947" s="54"/>
      <c r="AI947" s="11"/>
    </row>
    <row r="948" spans="4:35" ht="15.75" customHeight="1" x14ac:dyDescent="0.2">
      <c r="D948" s="54"/>
      <c r="AI948" s="11"/>
    </row>
    <row r="949" spans="4:35" ht="15.75" customHeight="1" x14ac:dyDescent="0.2">
      <c r="D949" s="54"/>
      <c r="AI949" s="11"/>
    </row>
    <row r="950" spans="4:35" ht="15.75" customHeight="1" x14ac:dyDescent="0.2">
      <c r="D950" s="54"/>
      <c r="AI950" s="11"/>
    </row>
    <row r="951" spans="4:35" ht="15.75" customHeight="1" x14ac:dyDescent="0.2">
      <c r="D951" s="54"/>
      <c r="AI951" s="11"/>
    </row>
    <row r="952" spans="4:35" ht="15.75" customHeight="1" x14ac:dyDescent="0.2">
      <c r="D952" s="54"/>
      <c r="AI952" s="11"/>
    </row>
    <row r="953" spans="4:35" ht="15.75" customHeight="1" x14ac:dyDescent="0.2">
      <c r="D953" s="54"/>
      <c r="AI953" s="11"/>
    </row>
    <row r="954" spans="4:35" ht="15.75" customHeight="1" x14ac:dyDescent="0.2">
      <c r="D954" s="54"/>
      <c r="AI954" s="11"/>
    </row>
    <row r="955" spans="4:35" ht="15.75" customHeight="1" x14ac:dyDescent="0.2">
      <c r="D955" s="54"/>
      <c r="AI955" s="11"/>
    </row>
    <row r="956" spans="4:35" ht="15.75" customHeight="1" x14ac:dyDescent="0.2">
      <c r="D956" s="54"/>
      <c r="AI956" s="11"/>
    </row>
    <row r="957" spans="4:35" ht="15.75" customHeight="1" x14ac:dyDescent="0.2">
      <c r="D957" s="54"/>
      <c r="AI957" s="11"/>
    </row>
    <row r="958" spans="4:35" ht="15.75" customHeight="1" x14ac:dyDescent="0.2">
      <c r="D958" s="54"/>
      <c r="AI958" s="11"/>
    </row>
    <row r="959" spans="4:35" ht="15.75" customHeight="1" x14ac:dyDescent="0.2">
      <c r="D959" s="54"/>
      <c r="AI959" s="11"/>
    </row>
    <row r="960" spans="4:35" ht="15.75" customHeight="1" x14ac:dyDescent="0.2">
      <c r="D960" s="54"/>
      <c r="AI960" s="11"/>
    </row>
    <row r="961" spans="4:35" ht="15.75" customHeight="1" x14ac:dyDescent="0.2">
      <c r="D961" s="54"/>
      <c r="AI961" s="11"/>
    </row>
    <row r="962" spans="4:35" ht="15.75" customHeight="1" x14ac:dyDescent="0.2">
      <c r="D962" s="54"/>
      <c r="AI962" s="11"/>
    </row>
    <row r="963" spans="4:35" ht="15.75" customHeight="1" x14ac:dyDescent="0.2">
      <c r="D963" s="54"/>
      <c r="AI963" s="11"/>
    </row>
    <row r="964" spans="4:35" ht="15.75" customHeight="1" x14ac:dyDescent="0.2">
      <c r="D964" s="54"/>
      <c r="AI964" s="11"/>
    </row>
    <row r="965" spans="4:35" ht="15.75" customHeight="1" x14ac:dyDescent="0.2">
      <c r="D965" s="54"/>
      <c r="AI965" s="11"/>
    </row>
    <row r="966" spans="4:35" ht="15.75" customHeight="1" x14ac:dyDescent="0.2">
      <c r="D966" s="54"/>
      <c r="AI966" s="11"/>
    </row>
    <row r="967" spans="4:35" ht="15.75" customHeight="1" x14ac:dyDescent="0.2">
      <c r="D967" s="54"/>
      <c r="AI967" s="11"/>
    </row>
    <row r="968" spans="4:35" ht="15.75" customHeight="1" x14ac:dyDescent="0.2">
      <c r="D968" s="54"/>
      <c r="AI968" s="11"/>
    </row>
    <row r="969" spans="4:35" ht="15.75" customHeight="1" x14ac:dyDescent="0.2">
      <c r="D969" s="54"/>
      <c r="AI969" s="11"/>
    </row>
    <row r="970" spans="4:35" ht="15.75" customHeight="1" x14ac:dyDescent="0.2">
      <c r="D970" s="54"/>
      <c r="AI970" s="11"/>
    </row>
    <row r="971" spans="4:35" ht="15.75" customHeight="1" x14ac:dyDescent="0.2">
      <c r="D971" s="54"/>
      <c r="AI971" s="11"/>
    </row>
    <row r="972" spans="4:35" ht="15.75" customHeight="1" x14ac:dyDescent="0.2">
      <c r="D972" s="54"/>
      <c r="AI972" s="11"/>
    </row>
    <row r="973" spans="4:35" ht="15.75" customHeight="1" x14ac:dyDescent="0.2">
      <c r="D973" s="54"/>
      <c r="AI973" s="11"/>
    </row>
    <row r="974" spans="4:35" ht="15.75" customHeight="1" x14ac:dyDescent="0.2">
      <c r="D974" s="54"/>
      <c r="AI974" s="11"/>
    </row>
    <row r="975" spans="4:35" ht="15.75" customHeight="1" x14ac:dyDescent="0.2">
      <c r="D975" s="54"/>
      <c r="AI975" s="11"/>
    </row>
    <row r="976" spans="4:35" ht="15.75" customHeight="1" x14ac:dyDescent="0.2">
      <c r="D976" s="54"/>
      <c r="AI976" s="11"/>
    </row>
    <row r="977" spans="4:35" ht="15.75" customHeight="1" x14ac:dyDescent="0.2">
      <c r="D977" s="54"/>
      <c r="AI977" s="11"/>
    </row>
    <row r="978" spans="4:35" ht="15.75" customHeight="1" x14ac:dyDescent="0.2">
      <c r="D978" s="54"/>
      <c r="AI978" s="11"/>
    </row>
    <row r="979" spans="4:35" ht="15.75" customHeight="1" x14ac:dyDescent="0.2">
      <c r="D979" s="54"/>
      <c r="AI979" s="11"/>
    </row>
    <row r="980" spans="4:35" ht="15.75" customHeight="1" x14ac:dyDescent="0.2">
      <c r="D980" s="54"/>
      <c r="AI980" s="11"/>
    </row>
    <row r="981" spans="4:35" ht="15.75" customHeight="1" x14ac:dyDescent="0.2">
      <c r="D981" s="54"/>
      <c r="AI981" s="11"/>
    </row>
    <row r="982" spans="4:35" ht="15.75" customHeight="1" x14ac:dyDescent="0.2">
      <c r="D982" s="54"/>
      <c r="AI982" s="11"/>
    </row>
    <row r="983" spans="4:35" ht="15.75" customHeight="1" x14ac:dyDescent="0.2">
      <c r="D983" s="54"/>
      <c r="AI983" s="11"/>
    </row>
    <row r="984" spans="4:35" ht="15.75" customHeight="1" x14ac:dyDescent="0.2">
      <c r="D984" s="54"/>
      <c r="AI984" s="11"/>
    </row>
    <row r="985" spans="4:35" ht="15.75" customHeight="1" x14ac:dyDescent="0.2">
      <c r="D985" s="54"/>
      <c r="AI985" s="11"/>
    </row>
    <row r="986" spans="4:35" ht="15.75" customHeight="1" x14ac:dyDescent="0.2">
      <c r="D986" s="54"/>
      <c r="AI986" s="11"/>
    </row>
    <row r="987" spans="4:35" ht="15.75" customHeight="1" x14ac:dyDescent="0.2">
      <c r="D987" s="54"/>
      <c r="AI987" s="11"/>
    </row>
    <row r="988" spans="4:35" ht="15.75" customHeight="1" x14ac:dyDescent="0.2">
      <c r="D988" s="54"/>
      <c r="AI988" s="11"/>
    </row>
    <row r="989" spans="4:35" ht="15.75" customHeight="1" x14ac:dyDescent="0.2">
      <c r="D989" s="54"/>
      <c r="AI989" s="11"/>
    </row>
    <row r="990" spans="4:35" ht="15.75" customHeight="1" x14ac:dyDescent="0.2">
      <c r="D990" s="54"/>
      <c r="AI990" s="11"/>
    </row>
    <row r="991" spans="4:35" ht="15.75" customHeight="1" x14ac:dyDescent="0.2">
      <c r="D991" s="54"/>
      <c r="AI991" s="11"/>
    </row>
    <row r="992" spans="4:35" ht="15.75" customHeight="1" x14ac:dyDescent="0.2">
      <c r="D992" s="54"/>
      <c r="AI992" s="11"/>
    </row>
    <row r="993" spans="4:35" ht="15.75" customHeight="1" x14ac:dyDescent="0.2">
      <c r="D993" s="54"/>
      <c r="AI993" s="11"/>
    </row>
    <row r="994" spans="4:35" ht="15.75" customHeight="1" x14ac:dyDescent="0.2">
      <c r="D994" s="54"/>
      <c r="AI994" s="11"/>
    </row>
    <row r="995" spans="4:35" ht="15.75" customHeight="1" x14ac:dyDescent="0.2">
      <c r="D995" s="54"/>
      <c r="AI995" s="11"/>
    </row>
    <row r="996" spans="4:35" ht="15.75" customHeight="1" x14ac:dyDescent="0.2">
      <c r="D996" s="54"/>
      <c r="AI996" s="11"/>
    </row>
    <row r="997" spans="4:35" ht="15.75" customHeight="1" x14ac:dyDescent="0.2">
      <c r="D997" s="54"/>
      <c r="AI997" s="11"/>
    </row>
    <row r="998" spans="4:35" ht="15.75" customHeight="1" x14ac:dyDescent="0.2">
      <c r="D998" s="54"/>
      <c r="AI998" s="11"/>
    </row>
    <row r="999" spans="4:35" ht="15.75" customHeight="1" x14ac:dyDescent="0.2">
      <c r="D999" s="54"/>
      <c r="AI999" s="11"/>
    </row>
    <row r="1000" spans="4:35" ht="15.75" customHeight="1" x14ac:dyDescent="0.2">
      <c r="D1000" s="54"/>
      <c r="AI1000" s="11"/>
    </row>
    <row r="1001" spans="4:35" ht="15.75" customHeight="1" x14ac:dyDescent="0.2">
      <c r="D1001" s="54"/>
      <c r="AI1001" s="11"/>
    </row>
    <row r="1002" spans="4:35" ht="15.75" customHeight="1" x14ac:dyDescent="0.2">
      <c r="D1002" s="54"/>
      <c r="AI1002" s="11"/>
    </row>
    <row r="1003" spans="4:35" ht="15.75" customHeight="1" x14ac:dyDescent="0.2">
      <c r="D1003" s="54"/>
      <c r="AI1003" s="11"/>
    </row>
    <row r="1004" spans="4:35" ht="15.75" customHeight="1" x14ac:dyDescent="0.2">
      <c r="D1004" s="54"/>
      <c r="AI1004" s="11"/>
    </row>
    <row r="1005" spans="4:35" ht="15.75" customHeight="1" x14ac:dyDescent="0.2">
      <c r="D1005" s="54"/>
      <c r="AI1005" s="11"/>
    </row>
    <row r="1006" spans="4:35" ht="15.75" customHeight="1" x14ac:dyDescent="0.2">
      <c r="D1006" s="54"/>
      <c r="AI1006" s="11"/>
    </row>
    <row r="1007" spans="4:35" ht="15.75" customHeight="1" x14ac:dyDescent="0.2">
      <c r="D1007" s="54"/>
      <c r="AI1007" s="11"/>
    </row>
    <row r="1008" spans="4:35" ht="15.75" customHeight="1" x14ac:dyDescent="0.2">
      <c r="D1008" s="54"/>
      <c r="AI1008" s="11"/>
    </row>
    <row r="1009" spans="4:35" ht="15.75" customHeight="1" x14ac:dyDescent="0.2">
      <c r="D1009" s="54"/>
      <c r="AI1009" s="11"/>
    </row>
    <row r="1010" spans="4:35" ht="15.75" customHeight="1" x14ac:dyDescent="0.2">
      <c r="D1010" s="54"/>
      <c r="AI1010" s="11"/>
    </row>
    <row r="1011" spans="4:35" ht="15.75" customHeight="1" x14ac:dyDescent="0.2">
      <c r="D1011" s="54"/>
      <c r="AI1011" s="11"/>
    </row>
    <row r="1012" spans="4:35" ht="15.75" customHeight="1" x14ac:dyDescent="0.2">
      <c r="D1012" s="54"/>
      <c r="AI1012" s="11"/>
    </row>
  </sheetData>
  <mergeCells count="5">
    <mergeCell ref="A1:AH1"/>
    <mergeCell ref="D2:AG2"/>
    <mergeCell ref="AJ2:AO2"/>
    <mergeCell ref="J127:AG127"/>
    <mergeCell ref="J128:AG128"/>
  </mergeCell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C2002-C094-504B-A289-ED04FA98F63C}">
  <dimension ref="A1:BO1004"/>
  <sheetViews>
    <sheetView zoomScale="150" zoomScaleNormal="150" workbookViewId="0">
      <pane xSplit="3" ySplit="4" topLeftCell="AF63" activePane="bottomRight" state="frozen"/>
      <selection pane="topRight" activeCell="D1" sqref="D1"/>
      <selection pane="bottomLeft" activeCell="A5" sqref="A5"/>
      <selection pane="bottomRight" activeCell="C58" sqref="C58"/>
    </sheetView>
  </sheetViews>
  <sheetFormatPr baseColWidth="10" defaultColWidth="14.5" defaultRowHeight="16" x14ac:dyDescent="0.2"/>
  <cols>
    <col min="1" max="1" width="48.1640625" customWidth="1"/>
    <col min="2" max="2" width="11.83203125" customWidth="1"/>
    <col min="3" max="3" width="16.83203125" customWidth="1"/>
    <col min="4" max="4" width="8.6640625" customWidth="1"/>
    <col min="5" max="5" width="6.33203125" customWidth="1"/>
    <col min="6" max="7" width="6.5" customWidth="1"/>
    <col min="8" max="8" width="9.33203125" customWidth="1"/>
    <col min="9" max="10" width="7.1640625" customWidth="1"/>
    <col min="11" max="11" width="6" customWidth="1"/>
    <col min="12" max="12" width="5.5" customWidth="1"/>
    <col min="13" max="13" width="8.83203125" customWidth="1"/>
    <col min="14" max="22" width="5.5" customWidth="1"/>
    <col min="23" max="23" width="7.83203125" customWidth="1"/>
    <col min="24" max="32" width="5.5" customWidth="1"/>
    <col min="33" max="33" width="6.83203125" customWidth="1"/>
    <col min="34" max="34" width="38.5" customWidth="1"/>
    <col min="35" max="35" width="5.1640625" customWidth="1"/>
    <col min="36" max="36" width="24.5" customWidth="1"/>
    <col min="37" max="37" width="18" customWidth="1"/>
    <col min="38" max="39" width="17" customWidth="1"/>
    <col min="40" max="40" width="18.5" customWidth="1"/>
    <col min="41" max="44" width="17" customWidth="1"/>
    <col min="45" max="45" width="18" customWidth="1"/>
    <col min="46" max="47" width="17" customWidth="1"/>
    <col min="48" max="48" width="28.5" customWidth="1"/>
    <col min="49" max="49" width="17" customWidth="1"/>
    <col min="50" max="50" width="18" customWidth="1"/>
    <col min="51" max="54" width="17" customWidth="1"/>
    <col min="55" max="55" width="18" customWidth="1"/>
    <col min="56" max="59" width="17" customWidth="1"/>
    <col min="60" max="60" width="18" customWidth="1"/>
    <col min="61" max="64" width="17" customWidth="1"/>
    <col min="65" max="65" width="18" customWidth="1"/>
    <col min="66" max="66" width="12.1640625" bestFit="1" customWidth="1"/>
    <col min="67" max="67" width="10.6640625" customWidth="1"/>
  </cols>
  <sheetData>
    <row r="1" spans="1:67" ht="26.25" customHeight="1" x14ac:dyDescent="0.2">
      <c r="A1" s="280" t="s">
        <v>208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  <c r="V1" s="281"/>
      <c r="W1" s="281"/>
      <c r="X1" s="281"/>
      <c r="Y1" s="281"/>
      <c r="Z1" s="281"/>
      <c r="AA1" s="281"/>
      <c r="AB1" s="281"/>
      <c r="AC1" s="281"/>
      <c r="AD1" s="281"/>
      <c r="AE1" s="281"/>
      <c r="AF1" s="281"/>
      <c r="AG1" s="281"/>
      <c r="AH1" s="281"/>
      <c r="AI1" s="11"/>
    </row>
    <row r="2" spans="1:67" ht="30" x14ac:dyDescent="0.2">
      <c r="A2" s="5" t="s">
        <v>8</v>
      </c>
      <c r="B2" s="6" t="s">
        <v>9</v>
      </c>
      <c r="C2" s="5" t="s">
        <v>10</v>
      </c>
      <c r="D2" s="284" t="s">
        <v>11</v>
      </c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281"/>
      <c r="P2" s="281"/>
      <c r="Q2" s="281"/>
      <c r="R2" s="281"/>
      <c r="S2" s="281"/>
      <c r="T2" s="281"/>
      <c r="U2" s="281"/>
      <c r="V2" s="281"/>
      <c r="W2" s="281"/>
      <c r="X2" s="281"/>
      <c r="Y2" s="281"/>
      <c r="Z2" s="281"/>
      <c r="AA2" s="281"/>
      <c r="AB2" s="281"/>
      <c r="AC2" s="281"/>
      <c r="AD2" s="281"/>
      <c r="AE2" s="281"/>
      <c r="AF2" s="281"/>
      <c r="AG2" s="281"/>
      <c r="AH2" s="7" t="s">
        <v>12</v>
      </c>
      <c r="AI2" s="8"/>
      <c r="AJ2" s="282" t="s">
        <v>13</v>
      </c>
      <c r="AK2" s="281"/>
      <c r="AL2" s="281"/>
      <c r="AM2" s="281"/>
      <c r="AN2" s="281"/>
      <c r="AO2" s="281"/>
    </row>
    <row r="3" spans="1:67" ht="12.75" customHeight="1" x14ac:dyDescent="0.2">
      <c r="A3" s="9"/>
      <c r="B3" s="9"/>
      <c r="C3" s="9"/>
      <c r="D3" s="9">
        <v>1</v>
      </c>
      <c r="E3" s="9">
        <v>2</v>
      </c>
      <c r="F3" s="9">
        <v>3</v>
      </c>
      <c r="G3" s="9">
        <v>4</v>
      </c>
      <c r="H3" s="9">
        <v>5</v>
      </c>
      <c r="I3" s="9">
        <v>6</v>
      </c>
      <c r="J3" s="9">
        <v>7</v>
      </c>
      <c r="K3" s="9">
        <v>8</v>
      </c>
      <c r="L3" s="9">
        <v>9</v>
      </c>
      <c r="M3" s="9">
        <v>10</v>
      </c>
      <c r="N3" s="9">
        <v>11</v>
      </c>
      <c r="O3" s="9">
        <v>12</v>
      </c>
      <c r="P3" s="9">
        <v>13</v>
      </c>
      <c r="Q3" s="9">
        <v>14</v>
      </c>
      <c r="R3" s="9">
        <v>15</v>
      </c>
      <c r="S3" s="9">
        <v>16</v>
      </c>
      <c r="T3" s="9">
        <v>17</v>
      </c>
      <c r="U3" s="9">
        <v>18</v>
      </c>
      <c r="V3" s="9">
        <v>19</v>
      </c>
      <c r="W3" s="9">
        <v>20</v>
      </c>
      <c r="X3" s="9">
        <v>21</v>
      </c>
      <c r="Y3" s="9">
        <v>22</v>
      </c>
      <c r="Z3" s="9">
        <v>23</v>
      </c>
      <c r="AA3" s="9">
        <v>24</v>
      </c>
      <c r="AB3" s="9">
        <v>25</v>
      </c>
      <c r="AC3" s="9">
        <v>26</v>
      </c>
      <c r="AD3" s="9">
        <v>27</v>
      </c>
      <c r="AE3" s="9">
        <v>28</v>
      </c>
      <c r="AF3" s="9">
        <v>29</v>
      </c>
      <c r="AG3" s="9">
        <v>30</v>
      </c>
      <c r="AH3" s="9"/>
      <c r="AI3" s="9"/>
      <c r="AJ3" s="9">
        <v>1</v>
      </c>
      <c r="AK3" s="9">
        <v>2</v>
      </c>
      <c r="AL3" s="9">
        <v>3</v>
      </c>
      <c r="AM3" s="9">
        <v>4</v>
      </c>
      <c r="AN3" s="9">
        <v>5</v>
      </c>
      <c r="AO3" s="9">
        <v>6</v>
      </c>
      <c r="AP3" s="9">
        <v>7</v>
      </c>
      <c r="AQ3" s="9">
        <v>8</v>
      </c>
      <c r="AR3" s="9">
        <v>9</v>
      </c>
      <c r="AS3" s="9">
        <v>10</v>
      </c>
      <c r="AT3" s="9">
        <v>11</v>
      </c>
      <c r="AU3" s="9">
        <v>12</v>
      </c>
      <c r="AV3" s="9">
        <v>13</v>
      </c>
      <c r="AW3" s="9">
        <v>14</v>
      </c>
      <c r="AX3" s="9">
        <v>15</v>
      </c>
      <c r="AY3" s="9">
        <v>16</v>
      </c>
      <c r="AZ3" s="9">
        <v>17</v>
      </c>
      <c r="BA3" s="9">
        <v>18</v>
      </c>
      <c r="BB3" s="9">
        <v>19</v>
      </c>
      <c r="BC3" s="9">
        <v>20</v>
      </c>
      <c r="BD3" s="9">
        <v>21</v>
      </c>
      <c r="BE3" s="9">
        <v>22</v>
      </c>
      <c r="BF3" s="9">
        <v>23</v>
      </c>
      <c r="BG3" s="9">
        <v>24</v>
      </c>
      <c r="BH3" s="9">
        <v>25</v>
      </c>
      <c r="BI3" s="9">
        <v>26</v>
      </c>
      <c r="BJ3" s="9">
        <v>27</v>
      </c>
      <c r="BK3" s="9">
        <v>28</v>
      </c>
      <c r="BL3" s="9">
        <v>29</v>
      </c>
      <c r="BM3" s="9">
        <v>30</v>
      </c>
      <c r="BN3" s="11"/>
      <c r="BO3" s="11"/>
    </row>
    <row r="4" spans="1:67" x14ac:dyDescent="0.2">
      <c r="A4" s="3" t="s">
        <v>14</v>
      </c>
      <c r="B4" s="3" t="s">
        <v>15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>
        <f>SUM(AJ4:BM4)</f>
        <v>789807660.39895868</v>
      </c>
      <c r="AI4" s="3"/>
      <c r="AJ4" s="3">
        <f>SUM(AJ5:AJ17)</f>
        <v>33288670.176527906</v>
      </c>
      <c r="AK4" s="3">
        <f t="shared" ref="AK4:BM4" si="0">SUM(AK5:AK17)</f>
        <v>13025050.495906832</v>
      </c>
      <c r="AL4" s="3">
        <f t="shared" si="0"/>
        <v>13608423.110409424</v>
      </c>
      <c r="AM4" s="3">
        <f t="shared" si="0"/>
        <v>14229457.899026733</v>
      </c>
      <c r="AN4" s="3">
        <f t="shared" si="0"/>
        <v>14889083.066939872</v>
      </c>
      <c r="AO4" s="3">
        <f t="shared" si="0"/>
        <v>15588114.612618301</v>
      </c>
      <c r="AP4" s="3">
        <f t="shared" si="0"/>
        <v>16327223.971203817</v>
      </c>
      <c r="AQ4" s="3">
        <f t="shared" si="0"/>
        <v>17106902.741364494</v>
      </c>
      <c r="AR4" s="3">
        <f t="shared" si="0"/>
        <v>17927424.529002056</v>
      </c>
      <c r="AS4" s="3">
        <f t="shared" si="0"/>
        <v>21083164.582419112</v>
      </c>
      <c r="AT4" s="3">
        <f t="shared" si="0"/>
        <v>19690753.55580391</v>
      </c>
      <c r="AU4" s="3">
        <f t="shared" si="0"/>
        <v>20632637.389090821</v>
      </c>
      <c r="AV4" s="3">
        <f t="shared" si="0"/>
        <v>21613424.352264363</v>
      </c>
      <c r="AW4" s="3">
        <f t="shared" si="0"/>
        <v>22631639.285290621</v>
      </c>
      <c r="AX4" s="3">
        <f t="shared" si="0"/>
        <v>23685314.151481062</v>
      </c>
      <c r="AY4" s="3">
        <f t="shared" si="0"/>
        <v>24771939.724821325</v>
      </c>
      <c r="AZ4" s="3">
        <f t="shared" si="0"/>
        <v>25888418.967108533</v>
      </c>
      <c r="BA4" s="3">
        <f t="shared" si="0"/>
        <v>27031023.381503135</v>
      </c>
      <c r="BB4" s="3">
        <f t="shared" si="0"/>
        <v>28195353.801109597</v>
      </c>
      <c r="BC4" s="3">
        <f t="shared" si="0"/>
        <v>32963541.441477094</v>
      </c>
      <c r="BD4" s="3">
        <f t="shared" si="0"/>
        <v>30692430.82105504</v>
      </c>
      <c r="BE4" s="3">
        <f t="shared" si="0"/>
        <v>32022500.82140895</v>
      </c>
      <c r="BF4" s="3">
        <f t="shared" si="0"/>
        <v>33359153.428579226</v>
      </c>
      <c r="BG4" s="3">
        <f t="shared" si="0"/>
        <v>34694154.32614138</v>
      </c>
      <c r="BH4" s="3">
        <f t="shared" si="0"/>
        <v>36018409.28023085</v>
      </c>
      <c r="BI4" s="3">
        <f t="shared" si="0"/>
        <v>37321993.120614447</v>
      </c>
      <c r="BJ4" s="3">
        <f t="shared" si="0"/>
        <v>38594199.267138153</v>
      </c>
      <c r="BK4" s="3">
        <f t="shared" si="0"/>
        <v>39823611.713152662</v>
      </c>
      <c r="BL4" s="3">
        <f t="shared" si="0"/>
        <v>40998201.01673241</v>
      </c>
      <c r="BM4" s="3">
        <f t="shared" si="0"/>
        <v>42105445.368536413</v>
      </c>
      <c r="BN4" s="11"/>
      <c r="BO4" s="11"/>
    </row>
    <row r="5" spans="1:67" s="176" customFormat="1" x14ac:dyDescent="0.2">
      <c r="A5" s="173" t="s">
        <v>16</v>
      </c>
      <c r="B5" s="173" t="s">
        <v>15</v>
      </c>
      <c r="C5" s="168">
        <f>'Datos de Entrada'!G46*'Datos de Entrada'!C45</f>
        <v>2520000</v>
      </c>
      <c r="D5" s="173">
        <v>1.5</v>
      </c>
      <c r="E5" s="173">
        <v>1.5</v>
      </c>
      <c r="F5" s="173">
        <v>1.5</v>
      </c>
      <c r="G5" s="173">
        <v>1.5</v>
      </c>
      <c r="H5" s="173">
        <v>1.5</v>
      </c>
      <c r="I5" s="173">
        <v>1.5</v>
      </c>
      <c r="J5" s="173">
        <v>1.5</v>
      </c>
      <c r="K5" s="173">
        <v>1.5</v>
      </c>
      <c r="L5" s="173">
        <v>1.5</v>
      </c>
      <c r="M5" s="173">
        <v>1.5</v>
      </c>
      <c r="N5" s="173">
        <v>1.5</v>
      </c>
      <c r="O5" s="173">
        <v>1.5</v>
      </c>
      <c r="P5" s="173">
        <v>1.5</v>
      </c>
      <c r="Q5" s="173">
        <v>1.5</v>
      </c>
      <c r="R5" s="173">
        <v>1.5</v>
      </c>
      <c r="S5" s="173">
        <v>1.5</v>
      </c>
      <c r="T5" s="173">
        <v>1.5</v>
      </c>
      <c r="U5" s="173">
        <v>1.5</v>
      </c>
      <c r="V5" s="173">
        <v>1.5</v>
      </c>
      <c r="W5" s="173">
        <v>1.5</v>
      </c>
      <c r="X5" s="173">
        <v>1.5</v>
      </c>
      <c r="Y5" s="173">
        <v>1.5</v>
      </c>
      <c r="Z5" s="173">
        <v>1.5</v>
      </c>
      <c r="AA5" s="173">
        <v>1.5</v>
      </c>
      <c r="AB5" s="173">
        <v>1.5</v>
      </c>
      <c r="AC5" s="173">
        <v>1.5</v>
      </c>
      <c r="AD5" s="173">
        <v>1.5</v>
      </c>
      <c r="AE5" s="173">
        <v>1.5</v>
      </c>
      <c r="AF5" s="173">
        <v>1.5</v>
      </c>
      <c r="AG5" s="173">
        <v>1.5</v>
      </c>
      <c r="AH5" s="173"/>
      <c r="AI5" s="173"/>
      <c r="AJ5" s="212">
        <f>($C5*D5)*(1+'Datos de Entrada'!C$76)</f>
        <v>3780000</v>
      </c>
      <c r="AK5" s="212">
        <f>($C5*E5)*(1+'Datos de Entrada'!D$76)</f>
        <v>3945615.6661062203</v>
      </c>
      <c r="AL5" s="212">
        <f>($C5*F5)*(1+'Datos de Entrada'!E$76)</f>
        <v>4122333.9158882163</v>
      </c>
      <c r="AM5" s="212">
        <f>($C5*G5)*(1+'Datos de Entrada'!F$76)</f>
        <v>4310460.9862543121</v>
      </c>
      <c r="AN5" s="212">
        <f>($C5*H5)*(1+'Datos de Entrada'!G$76)</f>
        <v>4510278.0539189568</v>
      </c>
      <c r="AO5" s="212">
        <f>($C5*I5)*(1+'Datos de Entrada'!H$76)</f>
        <v>4722032.3053591335</v>
      </c>
      <c r="AP5" s="212">
        <f>($C5*J5)*(1+'Datos de Entrada'!I$76)</f>
        <v>4945927.1351808812</v>
      </c>
      <c r="AQ5" s="212">
        <f>($C5*K5)*(1+'Datos de Entrada'!J$76)</f>
        <v>5182111.4609954441</v>
      </c>
      <c r="AR5" s="212">
        <f>($C5*L5)*(1+'Datos de Entrada'!K$76)</f>
        <v>5430668.1649177549</v>
      </c>
      <c r="AS5" s="212">
        <f>($C5*M5)*(1+'Datos de Entrada'!L$76)</f>
        <v>5691601.697969445</v>
      </c>
      <c r="AT5" s="212">
        <f>($C5*N5)*(1+'Datos de Entrada'!M$76)</f>
        <v>5964824.9142398108</v>
      </c>
      <c r="AU5" s="212">
        <f>($C5*O5)*(1+'Datos de Entrada'!N$76)</f>
        <v>6250145.2367550191</v>
      </c>
      <c r="AV5" s="212">
        <f>($C5*P5)*(1+'Datos de Entrada'!O$76)</f>
        <v>6547250.2965953918</v>
      </c>
      <c r="AW5" s="212">
        <f>($C5*Q5)*(1+'Datos de Entrada'!P$76)</f>
        <v>6855693.2306534369</v>
      </c>
      <c r="AX5" s="212">
        <f>($C5*R5)*(1+'Datos de Entrada'!Q$76)</f>
        <v>7174877.8710761238</v>
      </c>
      <c r="AY5" s="212">
        <f>($C5*S5)*(1+'Datos de Entrada'!R$76)</f>
        <v>7504044.1101406366</v>
      </c>
      <c r="AZ5" s="212">
        <f>($C5*T5)*(1+'Datos de Entrada'!S$76)</f>
        <v>7842253.7770156441</v>
      </c>
      <c r="BA5" s="212">
        <f>($C5*U5)*(1+'Datos de Entrada'!T$76)</f>
        <v>8188377.4161534887</v>
      </c>
      <c r="BB5" s="212">
        <f>($C5*V5)*(1+'Datos de Entrada'!U$76)</f>
        <v>8541082.4091642238</v>
      </c>
      <c r="BC5" s="212">
        <f>($C5*W5)*(1+'Datos de Entrada'!V$76)</f>
        <v>8898822.9307779744</v>
      </c>
      <c r="BD5" s="212">
        <f>($C5*X5)*(1+'Datos de Entrada'!W$76)</f>
        <v>9259832.2723686174</v>
      </c>
      <c r="BE5" s="212">
        <f>($C5*Y5)*(1+'Datos de Entrada'!X$76)</f>
        <v>9622118.1006001476</v>
      </c>
      <c r="BF5" s="212">
        <f>($C5*Z5)*(1+'Datos de Entrada'!Y$76)</f>
        <v>9983461.2408836409</v>
      </c>
      <c r="BG5" s="212">
        <f>($C5*AA5)*(1+'Datos de Entrada'!Z$76)</f>
        <v>10341418.582102589</v>
      </c>
      <c r="BH5" s="212">
        <f>($C5*AB5)*(1+'Datos de Entrada'!AA$76)</f>
        <v>10693330.686990503</v>
      </c>
      <c r="BI5" s="212">
        <f>($C5*AC5)*(1+'Datos de Entrada'!AB$76)</f>
        <v>11036334.658201471</v>
      </c>
      <c r="BJ5" s="212">
        <f>($C5*AD5)*(1+'Datos de Entrada'!AC$76)</f>
        <v>11367382.750326404</v>
      </c>
      <c r="BK5" s="212">
        <f>($C5*AE5)*(1+'Datos de Entrada'!AD$76)</f>
        <v>11683267.130172135</v>
      </c>
      <c r="BL5" s="212">
        <f>($C5*AF5)*(1+'Datos de Entrada'!AE$76)</f>
        <v>11980651.069557002</v>
      </c>
      <c r="BM5" s="212">
        <f>($C5*AG5)*(1+'Datos de Entrada'!AF$76)</f>
        <v>12256106.705693727</v>
      </c>
      <c r="BN5" s="213">
        <f>SUM(AJ5:BM5)</f>
        <v>228632304.77605838</v>
      </c>
      <c r="BO5" s="214"/>
    </row>
    <row r="6" spans="1:67" s="176" customFormat="1" x14ac:dyDescent="0.2">
      <c r="A6" s="173" t="s">
        <v>17</v>
      </c>
      <c r="B6" s="173" t="s">
        <v>15</v>
      </c>
      <c r="C6" s="168">
        <f>'Datos de Entrada'!C61*'Datos de Entrada'!C16</f>
        <v>55509.723040659985</v>
      </c>
      <c r="D6" s="173">
        <v>1</v>
      </c>
      <c r="E6" s="173">
        <v>1</v>
      </c>
      <c r="F6" s="173">
        <v>1</v>
      </c>
      <c r="G6" s="173">
        <v>1</v>
      </c>
      <c r="H6" s="173">
        <v>1</v>
      </c>
      <c r="I6" s="173">
        <v>1</v>
      </c>
      <c r="J6" s="173">
        <v>1</v>
      </c>
      <c r="K6" s="173">
        <v>1</v>
      </c>
      <c r="L6" s="173">
        <v>1</v>
      </c>
      <c r="M6" s="173">
        <v>1</v>
      </c>
      <c r="N6" s="173">
        <v>1</v>
      </c>
      <c r="O6" s="173">
        <v>1</v>
      </c>
      <c r="P6" s="173">
        <v>1</v>
      </c>
      <c r="Q6" s="173">
        <v>1</v>
      </c>
      <c r="R6" s="173">
        <v>1</v>
      </c>
      <c r="S6" s="173">
        <v>1</v>
      </c>
      <c r="T6" s="173">
        <v>1</v>
      </c>
      <c r="U6" s="173">
        <v>1</v>
      </c>
      <c r="V6" s="173">
        <v>1</v>
      </c>
      <c r="W6" s="173">
        <v>1</v>
      </c>
      <c r="X6" s="173">
        <v>1</v>
      </c>
      <c r="Y6" s="173">
        <v>1</v>
      </c>
      <c r="Z6" s="173">
        <v>1</v>
      </c>
      <c r="AA6" s="173">
        <v>1</v>
      </c>
      <c r="AB6" s="173">
        <v>1</v>
      </c>
      <c r="AC6" s="173">
        <v>1</v>
      </c>
      <c r="AD6" s="173">
        <v>1</v>
      </c>
      <c r="AE6" s="173">
        <v>1</v>
      </c>
      <c r="AF6" s="173">
        <v>1</v>
      </c>
      <c r="AG6" s="173">
        <v>1</v>
      </c>
      <c r="AH6" s="173">
        <f>AH4/AH75</f>
        <v>0.62941153628496405</v>
      </c>
      <c r="AI6" s="173"/>
      <c r="AJ6" s="212">
        <f>($C6*D6)*(1+'Datos de Entrada'!C$76)</f>
        <v>55509.723040659985</v>
      </c>
      <c r="AK6" s="212">
        <f>($C6*E6)*(1+'Datos de Entrada'!D$76)</f>
        <v>57941.807632392978</v>
      </c>
      <c r="AL6" s="212">
        <f>($C6*F6)*(1+'Datos de Entrada'!E$76)</f>
        <v>60536.934907956143</v>
      </c>
      <c r="AM6" s="212">
        <f>($C6*G6)*(1+'Datos de Entrada'!F$76)</f>
        <v>63299.601990620889</v>
      </c>
      <c r="AN6" s="212">
        <f>($C6*H6)*(1+'Datos de Entrada'!G$76)</f>
        <v>66233.937991906932</v>
      </c>
      <c r="AO6" s="212">
        <f>($C6*I6)*(1+'Datos de Entrada'!H$76)</f>
        <v>69343.572872892764</v>
      </c>
      <c r="AP6" s="212">
        <f>($C6*J6)*(1+'Datos de Entrada'!I$76)</f>
        <v>72631.493506131112</v>
      </c>
      <c r="AQ6" s="212">
        <f>($C6*K6)*(1+'Datos de Entrada'!J$76)</f>
        <v>76099.88676340926</v>
      </c>
      <c r="AR6" s="212">
        <f>($C6*L6)*(1+'Datos de Entrada'!K$76)</f>
        <v>79749.969777860781</v>
      </c>
      <c r="AS6" s="212">
        <f>($C6*M6)*(1+'Datos de Entrada'!L$76)</f>
        <v>83581.807913236509</v>
      </c>
      <c r="AT6" s="212">
        <f>($C6*N6)*(1+'Datos de Entrada'!M$76)</f>
        <v>87594.121422084747</v>
      </c>
      <c r="AU6" s="212">
        <f>($C6*O6)*(1+'Datos de Entrada'!N$76)</f>
        <v>91784.082289992424</v>
      </c>
      <c r="AV6" s="212">
        <f>($C6*P6)*(1+'Datos de Entrada'!O$76)</f>
        <v>96147.103344415111</v>
      </c>
      <c r="AW6" s="212">
        <f>($C6*Q6)*(1+'Datos de Entrada'!P$76)</f>
        <v>100676.62235060841</v>
      </c>
      <c r="AX6" s="212">
        <f>($C6*R6)*(1+'Datos de Entrada'!Q$76)</f>
        <v>105363.88451693011</v>
      </c>
      <c r="AY6" s="212">
        <f>($C6*S6)*(1+'Datos de Entrada'!R$76)</f>
        <v>110197.72757640279</v>
      </c>
      <c r="AZ6" s="212">
        <f>($C6*T6)*(1+'Datos de Entrada'!S$76)</f>
        <v>115164.3743853725</v>
      </c>
      <c r="BA6" s="212">
        <f>($C6*U6)*(1+'Datos de Entrada'!T$76)</f>
        <v>120247.23876271831</v>
      </c>
      <c r="BB6" s="212">
        <f>($C6*V6)*(1+'Datos de Entrada'!U$76)</f>
        <v>125426.75105824313</v>
      </c>
      <c r="BC6" s="212">
        <f>($C6*W6)*(1+'Datos de Entrada'!V$76)</f>
        <v>130680.21065485702</v>
      </c>
      <c r="BD6" s="212">
        <f>($C6*X6)*(1+'Datos de Entrada'!W$76)</f>
        <v>135981.67323866326</v>
      </c>
      <c r="BE6" s="212">
        <f>($C6*Y6)*(1+'Datos de Entrada'!X$76)</f>
        <v>141301.88117164958</v>
      </c>
      <c r="BF6" s="212">
        <f>($C6*Z6)*(1+'Datos de Entrada'!Y$76)</f>
        <v>146608.24562661763</v>
      </c>
      <c r="BG6" s="212">
        <f>($C6*AA6)*(1+'Datos de Entrada'!Z$76)</f>
        <v>151864.88924339932</v>
      </c>
      <c r="BH6" s="212">
        <f>($C6*AB6)*(1+'Datos de Entrada'!AA$76)</f>
        <v>157032.75788810401</v>
      </c>
      <c r="BI6" s="212">
        <f>($C6*AC6)*(1+'Datos de Entrada'!AB$76)</f>
        <v>162069.80959280438</v>
      </c>
      <c r="BJ6" s="212">
        <f>($C6*AD6)*(1+'Datos de Entrada'!AC$76)</f>
        <v>166931.28787507789</v>
      </c>
      <c r="BK6" s="212">
        <f>($C6*AE6)*(1+'Datos de Entrada'!AD$76)</f>
        <v>171570.08534547663</v>
      </c>
      <c r="BL6" s="212">
        <f>($C6*AF6)*(1+'Datos de Entrada'!AE$76)</f>
        <v>175937.20177722117</v>
      </c>
      <c r="BM6" s="212">
        <f>($C6*AG6)*(1+'Datos de Entrada'!AF$76)</f>
        <v>179982.29862164933</v>
      </c>
      <c r="BN6" s="213">
        <f t="shared" ref="BN6:BN16" si="1">SUM(AJ6:BM6)</f>
        <v>3357490.9831393547</v>
      </c>
      <c r="BO6" s="214"/>
    </row>
    <row r="7" spans="1:67" s="176" customFormat="1" ht="30" x14ac:dyDescent="0.2">
      <c r="A7" s="173" t="s">
        <v>209</v>
      </c>
      <c r="B7" s="173" t="s">
        <v>15</v>
      </c>
      <c r="C7" s="174">
        <f>[1]Parámetros!$C$41*(1+[1]Parámetros!$C$42)*[1]Parámetros!D17</f>
        <v>565178.4135777005</v>
      </c>
      <c r="D7" s="173">
        <v>1</v>
      </c>
      <c r="E7" s="173"/>
      <c r="F7" s="173"/>
      <c r="G7" s="173"/>
      <c r="H7" s="173"/>
      <c r="I7" s="173"/>
      <c r="J7" s="173"/>
      <c r="K7" s="173"/>
      <c r="L7" s="173"/>
      <c r="M7" s="173"/>
      <c r="N7" s="173"/>
      <c r="O7" s="173"/>
      <c r="P7" s="173"/>
      <c r="Q7" s="173"/>
      <c r="R7" s="173"/>
      <c r="S7" s="173"/>
      <c r="T7" s="173"/>
      <c r="U7" s="173"/>
      <c r="V7" s="173"/>
      <c r="W7" s="173"/>
      <c r="X7" s="173"/>
      <c r="Y7" s="173"/>
      <c r="Z7" s="173"/>
      <c r="AA7" s="173"/>
      <c r="AB7" s="173"/>
      <c r="AC7" s="173"/>
      <c r="AD7" s="173"/>
      <c r="AE7" s="173"/>
      <c r="AF7" s="173"/>
      <c r="AG7" s="173"/>
      <c r="AH7" s="173"/>
      <c r="AI7" s="173"/>
      <c r="AJ7" s="212">
        <f>($C7*D7)*(1+'Datos de Entrada'!C$76)</f>
        <v>565178.4135777005</v>
      </c>
      <c r="AK7" s="212">
        <f>($C7*E7)*(1+'Datos de Entrada'!D$76)</f>
        <v>0</v>
      </c>
      <c r="AL7" s="212">
        <f>($C7*F7)*(1+'Datos de Entrada'!E$76)</f>
        <v>0</v>
      </c>
      <c r="AM7" s="212">
        <f>($C7*G7)*(1+'Datos de Entrada'!F$76)</f>
        <v>0</v>
      </c>
      <c r="AN7" s="212">
        <f>($C7*H7)*(1+'Datos de Entrada'!G$76)</f>
        <v>0</v>
      </c>
      <c r="AO7" s="212">
        <f>($C7*I7)*(1+'Datos de Entrada'!H$76)</f>
        <v>0</v>
      </c>
      <c r="AP7" s="212">
        <f>($C7*J7)*(1+'Datos de Entrada'!I$76)</f>
        <v>0</v>
      </c>
      <c r="AQ7" s="212">
        <f>($C7*K7)*(1+'Datos de Entrada'!J$76)</f>
        <v>0</v>
      </c>
      <c r="AR7" s="212">
        <f>($C7*L7)*(1+'Datos de Entrada'!K$76)</f>
        <v>0</v>
      </c>
      <c r="AS7" s="212">
        <f>($C7*M7)*(1+'Datos de Entrada'!L$76)</f>
        <v>0</v>
      </c>
      <c r="AT7" s="212">
        <f>($C7*N7)*(1+'Datos de Entrada'!M$76)</f>
        <v>0</v>
      </c>
      <c r="AU7" s="212">
        <f>($C7*O7)*(1+'Datos de Entrada'!N$76)</f>
        <v>0</v>
      </c>
      <c r="AV7" s="212">
        <f>($C7*P7)*(1+'Datos de Entrada'!O$76)</f>
        <v>0</v>
      </c>
      <c r="AW7" s="212">
        <f>($C7*Q7)*(1+'Datos de Entrada'!P$76)</f>
        <v>0</v>
      </c>
      <c r="AX7" s="212">
        <f>($C7*R7)*(1+'Datos de Entrada'!Q$76)</f>
        <v>0</v>
      </c>
      <c r="AY7" s="212">
        <f>($C7*S7)*(1+'Datos de Entrada'!R$76)</f>
        <v>0</v>
      </c>
      <c r="AZ7" s="212">
        <f>($C7*T7)*(1+'Datos de Entrada'!S$76)</f>
        <v>0</v>
      </c>
      <c r="BA7" s="212">
        <f>($C7*U7)*(1+'Datos de Entrada'!T$76)</f>
        <v>0</v>
      </c>
      <c r="BB7" s="212">
        <f>($C7*V7)*(1+'Datos de Entrada'!U$76)</f>
        <v>0</v>
      </c>
      <c r="BC7" s="212">
        <f>($C7*W7)*(1+'Datos de Entrada'!V$76)</f>
        <v>0</v>
      </c>
      <c r="BD7" s="212">
        <f>($C7*X7)*(1+'Datos de Entrada'!W$76)</f>
        <v>0</v>
      </c>
      <c r="BE7" s="212">
        <f>($C7*Y7)*(1+'Datos de Entrada'!X$76)</f>
        <v>0</v>
      </c>
      <c r="BF7" s="212">
        <f>($C7*Z7)*(1+'Datos de Entrada'!Y$76)</f>
        <v>0</v>
      </c>
      <c r="BG7" s="212">
        <f>($C7*AA7)*(1+'Datos de Entrada'!Z$76)</f>
        <v>0</v>
      </c>
      <c r="BH7" s="212">
        <f>($C7*AB7)*(1+'Datos de Entrada'!AA$76)</f>
        <v>0</v>
      </c>
      <c r="BI7" s="212">
        <f>($C7*AC7)*(1+'Datos de Entrada'!AB$76)</f>
        <v>0</v>
      </c>
      <c r="BJ7" s="212">
        <f>($C7*AD7)*(1+'Datos de Entrada'!AC$76)</f>
        <v>0</v>
      </c>
      <c r="BK7" s="212">
        <f>($C7*AE7)*(1+'Datos de Entrada'!AD$76)</f>
        <v>0</v>
      </c>
      <c r="BL7" s="212">
        <f>($C7*AF7)*(1+'Datos de Entrada'!AE$76)</f>
        <v>0</v>
      </c>
      <c r="BM7" s="212">
        <f>($C7*AG7)*(1+'Datos de Entrada'!AF$76)</f>
        <v>0</v>
      </c>
      <c r="BN7" s="213">
        <f t="shared" si="1"/>
        <v>565178.4135777005</v>
      </c>
      <c r="BO7" s="214"/>
    </row>
    <row r="8" spans="1:67" s="176" customFormat="1" x14ac:dyDescent="0.2">
      <c r="A8" s="173" t="s">
        <v>210</v>
      </c>
      <c r="B8" s="173" t="s">
        <v>15</v>
      </c>
      <c r="C8" s="174">
        <f>'Datos de Entrada'!G47*(1+'Datos de Entrada'!C45)*'Datos de Entrada'!C16</f>
        <v>399623.74779021804</v>
      </c>
      <c r="D8" s="173">
        <v>2</v>
      </c>
      <c r="E8" s="173">
        <v>2</v>
      </c>
      <c r="F8" s="173">
        <v>2</v>
      </c>
      <c r="G8" s="173">
        <v>2</v>
      </c>
      <c r="H8" s="173">
        <v>2</v>
      </c>
      <c r="I8" s="173">
        <v>2</v>
      </c>
      <c r="J8" s="173">
        <v>2</v>
      </c>
      <c r="K8" s="173">
        <v>2</v>
      </c>
      <c r="L8" s="173">
        <v>2</v>
      </c>
      <c r="M8" s="173">
        <v>2</v>
      </c>
      <c r="N8" s="173">
        <v>2</v>
      </c>
      <c r="O8" s="173">
        <v>2</v>
      </c>
      <c r="P8" s="173">
        <v>2</v>
      </c>
      <c r="Q8" s="173">
        <v>2</v>
      </c>
      <c r="R8" s="173">
        <v>2</v>
      </c>
      <c r="S8" s="173">
        <v>2</v>
      </c>
      <c r="T8" s="173">
        <v>2</v>
      </c>
      <c r="U8" s="173">
        <v>2</v>
      </c>
      <c r="V8" s="173">
        <v>2</v>
      </c>
      <c r="W8" s="173">
        <v>2</v>
      </c>
      <c r="X8" s="173">
        <v>2</v>
      </c>
      <c r="Y8" s="173">
        <v>2</v>
      </c>
      <c r="Z8" s="173">
        <v>2</v>
      </c>
      <c r="AA8" s="173">
        <v>2</v>
      </c>
      <c r="AB8" s="173">
        <v>2</v>
      </c>
      <c r="AC8" s="173">
        <v>2</v>
      </c>
      <c r="AD8" s="173">
        <v>2</v>
      </c>
      <c r="AE8" s="173">
        <v>2</v>
      </c>
      <c r="AF8" s="173">
        <v>2</v>
      </c>
      <c r="AG8" s="173">
        <v>2</v>
      </c>
      <c r="AH8" s="173"/>
      <c r="AI8" s="173"/>
      <c r="AJ8" s="212">
        <f>($C8*D8)*(1+'Datos de Entrada'!C$76)</f>
        <v>799247.49558043608</v>
      </c>
      <c r="AK8" s="212">
        <f>($C8*E8)*(1+'Datos de Entrada'!D$76)</f>
        <v>834265.46022707166</v>
      </c>
      <c r="AL8" s="212">
        <f>($C8*F8)*(1+'Datos de Entrada'!E$76)</f>
        <v>871630.96778305527</v>
      </c>
      <c r="AM8" s="212">
        <f>($C8*G8)*(1+'Datos de Entrada'!F$76)</f>
        <v>911408.7693282899</v>
      </c>
      <c r="AN8" s="212">
        <f>($C8*H8)*(1+'Datos de Entrada'!G$76)</f>
        <v>953658.3171868067</v>
      </c>
      <c r="AO8" s="212">
        <f>($C8*I8)*(1+'Datos de Entrada'!H$76)</f>
        <v>998431.87674820109</v>
      </c>
      <c r="AP8" s="212">
        <f>($C8*J8)*(1+'Datos de Entrada'!I$76)</f>
        <v>1045772.4539991113</v>
      </c>
      <c r="AQ8" s="212">
        <f>($C8*K8)*(1+'Datos de Entrada'!J$76)</f>
        <v>1095711.5362484877</v>
      </c>
      <c r="AR8" s="212">
        <f>($C8*L8)*(1+'Datos de Entrada'!K$76)</f>
        <v>1148266.648184899</v>
      </c>
      <c r="AS8" s="212">
        <f>($C8*M8)*(1+'Datos de Entrada'!L$76)</f>
        <v>1203438.7309374171</v>
      </c>
      <c r="AT8" s="212">
        <f>($C8*N8)*(1+'Datos de Entrada'!M$76)</f>
        <v>1261209.3582756503</v>
      </c>
      <c r="AU8" s="212">
        <f>($C8*O8)*(1+'Datos de Entrada'!N$76)</f>
        <v>1321537.8115054076</v>
      </c>
      <c r="AV8" s="212">
        <f>($C8*P8)*(1+'Datos de Entrada'!O$76)</f>
        <v>1384358.0429873371</v>
      </c>
      <c r="AW8" s="212">
        <f>($C8*Q8)*(1+'Datos de Entrada'!P$76)</f>
        <v>1449575.5674781769</v>
      </c>
      <c r="AX8" s="212">
        <f>($C8*R8)*(1+'Datos de Entrada'!Q$76)</f>
        <v>1517064.3305695988</v>
      </c>
      <c r="AY8" s="212">
        <f>($C8*S8)*(1+'Datos de Entrada'!R$76)</f>
        <v>1586663.6142209063</v>
      </c>
      <c r="AZ8" s="212">
        <f>($C8*T8)*(1+'Datos de Entrada'!S$76)</f>
        <v>1658175.0505253887</v>
      </c>
      <c r="BA8" s="212">
        <f>($C8*U8)*(1+'Datos de Entrada'!T$76)</f>
        <v>1731359.8261185393</v>
      </c>
      <c r="BB8" s="212">
        <f>($C8*V8)*(1+'Datos de Entrada'!U$76)</f>
        <v>1805936.170653604</v>
      </c>
      <c r="BC8" s="212">
        <f>($C8*W8)*(1+'Datos de Entrada'!V$76)</f>
        <v>1881577.2330788497</v>
      </c>
      <c r="BD8" s="212">
        <f>($C8*X8)*(1+'Datos de Entrada'!W$76)</f>
        <v>1957909.4585146869</v>
      </c>
      <c r="BE8" s="212">
        <f>($C8*Y8)*(1+'Datos de Entrada'!X$76)</f>
        <v>2034511.5857364682</v>
      </c>
      <c r="BF8" s="212">
        <f>($C8*Z8)*(1+'Datos de Entrada'!Y$76)</f>
        <v>2110914.3899472496</v>
      </c>
      <c r="BG8" s="212">
        <f>($C8*AA8)*(1+'Datos de Entrada'!Z$76)</f>
        <v>2186601.2969562113</v>
      </c>
      <c r="BH8" s="212">
        <f>($C8*AB8)*(1+'Datos de Entrada'!AA$76)</f>
        <v>2261009.9923255509</v>
      </c>
      <c r="BI8" s="212">
        <f>($C8*AC8)*(1+'Datos de Entrada'!AB$76)</f>
        <v>2333535.1417870619</v>
      </c>
      <c r="BJ8" s="212">
        <f>($C8*AD8)*(1+'Datos de Entrada'!AC$76)</f>
        <v>2403532.3265879969</v>
      </c>
      <c r="BK8" s="212">
        <f>($C8*AE8)*(1+'Datos de Entrada'!AD$76)</f>
        <v>2470323.2788326209</v>
      </c>
      <c r="BL8" s="212">
        <f>($C8*AF8)*(1+'Datos de Entrada'!AE$76)</f>
        <v>2533202.4769223565</v>
      </c>
      <c r="BM8" s="212">
        <f>($C8*AG8)*(1+'Datos de Entrada'!AF$76)</f>
        <v>2591445.129654048</v>
      </c>
      <c r="BN8" s="213">
        <f t="shared" si="1"/>
        <v>48342274.338901483</v>
      </c>
      <c r="BO8" s="214"/>
    </row>
    <row r="9" spans="1:67" s="250" customFormat="1" x14ac:dyDescent="0.2">
      <c r="A9" s="245" t="s">
        <v>20</v>
      </c>
      <c r="B9" s="245" t="s">
        <v>21</v>
      </c>
      <c r="C9" s="246">
        <f>'Datos de Entrada'!C54*'Datos de Entrada'!C16</f>
        <v>13877.430760164996</v>
      </c>
      <c r="D9" s="245">
        <v>15</v>
      </c>
      <c r="E9" s="245">
        <v>15</v>
      </c>
      <c r="F9" s="245">
        <v>15</v>
      </c>
      <c r="G9" s="245">
        <v>15</v>
      </c>
      <c r="H9" s="245">
        <v>15</v>
      </c>
      <c r="I9" s="245">
        <v>15</v>
      </c>
      <c r="J9" s="245">
        <v>15</v>
      </c>
      <c r="K9" s="245">
        <v>15</v>
      </c>
      <c r="L9" s="245">
        <v>15</v>
      </c>
      <c r="M9" s="245">
        <v>15</v>
      </c>
      <c r="N9" s="245">
        <v>15</v>
      </c>
      <c r="O9" s="245">
        <v>15</v>
      </c>
      <c r="P9" s="245">
        <v>15</v>
      </c>
      <c r="Q9" s="245">
        <v>15</v>
      </c>
      <c r="R9" s="245">
        <v>15</v>
      </c>
      <c r="S9" s="245">
        <v>15</v>
      </c>
      <c r="T9" s="245">
        <v>15</v>
      </c>
      <c r="U9" s="245">
        <v>15</v>
      </c>
      <c r="V9" s="245">
        <v>15</v>
      </c>
      <c r="W9" s="245">
        <v>15</v>
      </c>
      <c r="X9" s="245">
        <v>15</v>
      </c>
      <c r="Y9" s="245">
        <v>15</v>
      </c>
      <c r="Z9" s="245">
        <v>15</v>
      </c>
      <c r="AA9" s="245">
        <v>15</v>
      </c>
      <c r="AB9" s="245">
        <v>15</v>
      </c>
      <c r="AC9" s="245">
        <v>15</v>
      </c>
      <c r="AD9" s="245">
        <v>15</v>
      </c>
      <c r="AE9" s="245">
        <v>15</v>
      </c>
      <c r="AF9" s="245">
        <v>15</v>
      </c>
      <c r="AG9" s="245">
        <v>15</v>
      </c>
      <c r="AH9" s="245"/>
      <c r="AI9" s="245"/>
      <c r="AJ9" s="247">
        <f>($C9*D9)*(1+'Datos de Entrada'!C$76)</f>
        <v>208161.46140247493</v>
      </c>
      <c r="AK9" s="247">
        <f>($C9*E9)*(1+'Datos de Entrada'!D$76)</f>
        <v>217281.77862147367</v>
      </c>
      <c r="AL9" s="247">
        <f>($C9*F9)*(1+'Datos de Entrada'!E$76)</f>
        <v>227013.5059048355</v>
      </c>
      <c r="AM9" s="247">
        <f>($C9*G9)*(1+'Datos de Entrada'!F$76)</f>
        <v>237373.50746482835</v>
      </c>
      <c r="AN9" s="247">
        <f>($C9*H9)*(1+'Datos de Entrada'!G$76)</f>
        <v>248377.26746965098</v>
      </c>
      <c r="AO9" s="247">
        <f>($C9*I9)*(1+'Datos de Entrada'!H$76)</f>
        <v>260038.39827334788</v>
      </c>
      <c r="AP9" s="247">
        <f>($C9*J9)*(1+'Datos de Entrada'!I$76)</f>
        <v>272368.1006479917</v>
      </c>
      <c r="AQ9" s="247">
        <f>($C9*K9)*(1+'Datos de Entrada'!J$76)</f>
        <v>285374.57536278473</v>
      </c>
      <c r="AR9" s="247">
        <f>($C9*L9)*(1+'Datos de Entrada'!K$76)</f>
        <v>299062.38666697795</v>
      </c>
      <c r="AS9" s="247">
        <f>($C9*M9)*(1+'Datos de Entrada'!L$76)</f>
        <v>313431.7796746369</v>
      </c>
      <c r="AT9" s="247">
        <f>($C9*N9)*(1+'Datos de Entrada'!M$76)</f>
        <v>328477.9553328178</v>
      </c>
      <c r="AU9" s="247">
        <f>($C9*O9)*(1+'Datos de Entrada'!N$76)</f>
        <v>344190.30858747155</v>
      </c>
      <c r="AV9" s="247">
        <f>($C9*P9)*(1+'Datos de Entrada'!O$76)</f>
        <v>360551.63754155667</v>
      </c>
      <c r="AW9" s="247">
        <f>($C9*Q9)*(1+'Datos de Entrada'!P$76)</f>
        <v>377537.33381478151</v>
      </c>
      <c r="AX9" s="247">
        <f>($C9*R9)*(1+'Datos de Entrada'!Q$76)</f>
        <v>395114.56693848787</v>
      </c>
      <c r="AY9" s="247">
        <f>($C9*S9)*(1+'Datos de Entrada'!R$76)</f>
        <v>413241.47841151047</v>
      </c>
      <c r="AZ9" s="247">
        <f>($C9*T9)*(1+'Datos de Entrada'!S$76)</f>
        <v>431866.40394514689</v>
      </c>
      <c r="BA9" s="247">
        <f>($C9*U9)*(1+'Datos de Entrada'!T$76)</f>
        <v>450927.14536019362</v>
      </c>
      <c r="BB9" s="247">
        <f>($C9*V9)*(1+'Datos de Entrada'!U$76)</f>
        <v>470350.31646841171</v>
      </c>
      <c r="BC9" s="247">
        <f>($C9*W9)*(1+'Datos de Entrada'!V$76)</f>
        <v>490050.78995571379</v>
      </c>
      <c r="BD9" s="247">
        <f>($C9*X9)*(1+'Datos de Entrada'!W$76)</f>
        <v>509931.27464498725</v>
      </c>
      <c r="BE9" s="247">
        <f>($C9*Y9)*(1+'Datos de Entrada'!X$76)</f>
        <v>529882.054393686</v>
      </c>
      <c r="BF9" s="247">
        <f>($C9*Z9)*(1+'Datos de Entrada'!Y$76)</f>
        <v>549780.9210998161</v>
      </c>
      <c r="BG9" s="247">
        <f>($C9*AA9)*(1+'Datos de Entrada'!Z$76)</f>
        <v>569493.33466274745</v>
      </c>
      <c r="BH9" s="247">
        <f>($C9*AB9)*(1+'Datos de Entrada'!AA$76)</f>
        <v>588872.84208038996</v>
      </c>
      <c r="BI9" s="247">
        <f>($C9*AC9)*(1+'Datos de Entrada'!AB$76)</f>
        <v>607761.78597301629</v>
      </c>
      <c r="BJ9" s="247">
        <f>($C9*AD9)*(1+'Datos de Entrada'!AC$76)</f>
        <v>625992.32953154203</v>
      </c>
      <c r="BK9" s="247">
        <f>($C9*AE9)*(1+'Datos de Entrada'!AD$76)</f>
        <v>643387.82004553732</v>
      </c>
      <c r="BL9" s="247">
        <f>($C9*AF9)*(1+'Datos de Entrada'!AE$76)</f>
        <v>659764.50666457938</v>
      </c>
      <c r="BM9" s="247">
        <f>($C9*AG9)*(1+'Datos de Entrada'!AF$76)</f>
        <v>674933.61983118497</v>
      </c>
      <c r="BN9" s="248">
        <f t="shared" si="1"/>
        <v>12590591.186772587</v>
      </c>
      <c r="BO9" s="249"/>
    </row>
    <row r="10" spans="1:67" s="230" customFormat="1" x14ac:dyDescent="0.2">
      <c r="A10" s="225" t="s">
        <v>22</v>
      </c>
      <c r="B10" s="225" t="s">
        <v>23</v>
      </c>
      <c r="C10" s="226">
        <f>'Equipos y Herramientas'!C6+'Equipos y Herramientas'!D7*'Datos de Entrada'!C16</f>
        <v>1523768.4148497349</v>
      </c>
      <c r="D10" s="225">
        <v>1</v>
      </c>
      <c r="E10" s="225"/>
      <c r="F10" s="225"/>
      <c r="G10" s="225"/>
      <c r="H10" s="225"/>
      <c r="I10" s="225"/>
      <c r="J10" s="225"/>
      <c r="K10" s="225"/>
      <c r="L10" s="225"/>
      <c r="M10" s="225">
        <v>1</v>
      </c>
      <c r="N10" s="225"/>
      <c r="O10" s="225"/>
      <c r="P10" s="225"/>
      <c r="Q10" s="225"/>
      <c r="R10" s="225"/>
      <c r="S10" s="225"/>
      <c r="T10" s="225"/>
      <c r="U10" s="225"/>
      <c r="V10" s="225"/>
      <c r="W10" s="225">
        <v>1</v>
      </c>
      <c r="X10" s="225"/>
      <c r="Y10" s="225"/>
      <c r="Z10" s="225"/>
      <c r="AA10" s="225"/>
      <c r="AB10" s="225"/>
      <c r="AC10" s="225"/>
      <c r="AD10" s="225"/>
      <c r="AE10" s="225"/>
      <c r="AF10" s="225"/>
      <c r="AG10" s="225"/>
      <c r="AH10" s="225"/>
      <c r="AI10" s="225"/>
      <c r="AJ10" s="227">
        <f>($C10*D10)*(1+'Datos de Entrada'!C$76)</f>
        <v>1523768.4148497349</v>
      </c>
      <c r="AK10" s="227">
        <f>($C10*E10)*(1+'Datos de Entrada'!D$76)</f>
        <v>0</v>
      </c>
      <c r="AL10" s="227">
        <f>($C10*F10)*(1+'Datos de Entrada'!E$76)</f>
        <v>0</v>
      </c>
      <c r="AM10" s="227">
        <f>($C10*G10)*(1+'Datos de Entrada'!F$76)</f>
        <v>0</v>
      </c>
      <c r="AN10" s="227">
        <f>($C10*H10)*(1+'Datos de Entrada'!G$76)</f>
        <v>0</v>
      </c>
      <c r="AO10" s="227">
        <f>($C10*I10)*(1+'Datos de Entrada'!H$76)</f>
        <v>0</v>
      </c>
      <c r="AP10" s="227">
        <f>($C10*J10)*(1+'Datos de Entrada'!I$76)</f>
        <v>0</v>
      </c>
      <c r="AQ10" s="227">
        <f>($C10*K10)*(1+'Datos de Entrada'!J$76)</f>
        <v>0</v>
      </c>
      <c r="AR10" s="227">
        <f>($C10*L10)*(1+'Datos de Entrada'!K$76)</f>
        <v>0</v>
      </c>
      <c r="AS10" s="227">
        <f>($C10*M10)*(1+'Datos de Entrada'!L$76)</f>
        <v>2294360.5548335877</v>
      </c>
      <c r="AT10" s="227">
        <f>($C10*N10)*(1+'Datos de Entrada'!M$76)</f>
        <v>0</v>
      </c>
      <c r="AU10" s="227">
        <f>($C10*O10)*(1+'Datos de Entrada'!N$76)</f>
        <v>0</v>
      </c>
      <c r="AV10" s="227">
        <f>($C10*P10)*(1+'Datos de Entrada'!O$76)</f>
        <v>0</v>
      </c>
      <c r="AW10" s="227">
        <f>($C10*Q10)*(1+'Datos de Entrada'!P$76)</f>
        <v>0</v>
      </c>
      <c r="AX10" s="227">
        <f>($C10*R10)*(1+'Datos de Entrada'!Q$76)</f>
        <v>0</v>
      </c>
      <c r="AY10" s="227">
        <f>($C10*S10)*(1+'Datos de Entrada'!R$76)</f>
        <v>0</v>
      </c>
      <c r="AZ10" s="227">
        <f>($C10*T10)*(1+'Datos de Entrada'!S$76)</f>
        <v>0</v>
      </c>
      <c r="BA10" s="227">
        <f>($C10*U10)*(1+'Datos de Entrada'!T$76)</f>
        <v>0</v>
      </c>
      <c r="BB10" s="227">
        <f>($C10*V10)*(1+'Datos de Entrada'!U$76)</f>
        <v>0</v>
      </c>
      <c r="BC10" s="227">
        <f>($C10*W10)*(1+'Datos de Entrada'!V$76)</f>
        <v>3587234.2093280489</v>
      </c>
      <c r="BD10" s="227">
        <f>($C10*X10)*(1+'Datos de Entrada'!W$76)</f>
        <v>0</v>
      </c>
      <c r="BE10" s="227">
        <f>($C10*Y10)*(1+'Datos de Entrada'!X$76)</f>
        <v>0</v>
      </c>
      <c r="BF10" s="227">
        <f>($C10*Z10)*(1+'Datos de Entrada'!Y$76)</f>
        <v>0</v>
      </c>
      <c r="BG10" s="227">
        <f>($C10*AA10)*(1+'Datos de Entrada'!Z$76)</f>
        <v>0</v>
      </c>
      <c r="BH10" s="227">
        <f>($C10*AB10)*(1+'Datos de Entrada'!AA$76)</f>
        <v>0</v>
      </c>
      <c r="BI10" s="227">
        <f>($C10*AC10)*(1+'Datos de Entrada'!AB$76)</f>
        <v>0</v>
      </c>
      <c r="BJ10" s="227">
        <f>($C10*AD10)*(1+'Datos de Entrada'!AC$76)</f>
        <v>0</v>
      </c>
      <c r="BK10" s="227">
        <f>($C10*AE10)*(1+'Datos de Entrada'!AD$76)</f>
        <v>0</v>
      </c>
      <c r="BL10" s="227">
        <f>($C10*AF10)*(1+'Datos de Entrada'!AE$76)</f>
        <v>0</v>
      </c>
      <c r="BM10" s="227">
        <f>($C10*AG10)*(1+'Datos de Entrada'!AF$76)</f>
        <v>0</v>
      </c>
      <c r="BN10" s="228">
        <f t="shared" si="1"/>
        <v>7405363.179011371</v>
      </c>
      <c r="BO10" s="229"/>
    </row>
    <row r="11" spans="1:67" s="233" customFormat="1" ht="15" x14ac:dyDescent="0.2">
      <c r="A11" s="231" t="s">
        <v>24</v>
      </c>
      <c r="B11" s="231" t="s">
        <v>23</v>
      </c>
      <c r="C11" s="232">
        <f>'Equipos y Herramientas'!D31*'Datos de Entrada'!C16</f>
        <v>4719066.588096641</v>
      </c>
      <c r="D11" s="225">
        <v>1</v>
      </c>
      <c r="E11" s="225"/>
      <c r="F11" s="225"/>
      <c r="G11" s="225"/>
      <c r="H11" s="225"/>
      <c r="I11" s="225"/>
      <c r="J11" s="225"/>
      <c r="K11" s="225"/>
      <c r="L11" s="225"/>
      <c r="M11" s="225"/>
      <c r="N11" s="225"/>
      <c r="O11" s="225"/>
      <c r="P11" s="225"/>
      <c r="Q11" s="225"/>
      <c r="R11" s="225"/>
      <c r="S11" s="225"/>
      <c r="T11" s="225"/>
      <c r="U11" s="225"/>
      <c r="V11" s="225"/>
      <c r="W11" s="225"/>
      <c r="X11" s="225"/>
      <c r="Y11" s="225"/>
      <c r="Z11" s="225"/>
      <c r="AA11" s="225"/>
      <c r="AB11" s="225"/>
      <c r="AC11" s="225"/>
      <c r="AD11" s="225"/>
      <c r="AE11" s="225"/>
      <c r="AF11" s="225"/>
      <c r="AG11" s="225"/>
      <c r="AH11" s="231"/>
      <c r="AI11" s="231"/>
      <c r="AJ11" s="227">
        <f>($C11*D11)*(1+'Datos de Entrada'!C$76)</f>
        <v>4719066.588096641</v>
      </c>
      <c r="AK11" s="227">
        <f>($C11*E11)*(1+'Datos de Entrada'!D$76)</f>
        <v>0</v>
      </c>
      <c r="AL11" s="227">
        <f>($C11*F11)*(1+'Datos de Entrada'!E$76)</f>
        <v>0</v>
      </c>
      <c r="AM11" s="227">
        <f>($C11*G11)*(1+'Datos de Entrada'!F$76)</f>
        <v>0</v>
      </c>
      <c r="AN11" s="227">
        <f>($C11*H11)*(1+'Datos de Entrada'!G$76)</f>
        <v>0</v>
      </c>
      <c r="AO11" s="227">
        <f>($C11*I11)*(1+'Datos de Entrada'!H$76)</f>
        <v>0</v>
      </c>
      <c r="AP11" s="227">
        <f>($C11*J11)*(1+'Datos de Entrada'!I$76)</f>
        <v>0</v>
      </c>
      <c r="AQ11" s="227">
        <f>($C11*K11)*(1+'Datos de Entrada'!J$76)</f>
        <v>0</v>
      </c>
      <c r="AR11" s="227">
        <f>($C11*L11)*(1+'Datos de Entrada'!K$76)</f>
        <v>0</v>
      </c>
      <c r="AS11" s="227">
        <f>($C11*M11)*(1+'Datos de Entrada'!L$76)</f>
        <v>0</v>
      </c>
      <c r="AT11" s="227">
        <f>($C11*N11)*(1+'Datos de Entrada'!M$76)</f>
        <v>0</v>
      </c>
      <c r="AU11" s="227">
        <f>($C11*O11)*(1+'Datos de Entrada'!N$76)</f>
        <v>0</v>
      </c>
      <c r="AV11" s="227">
        <f>($C11*P11)*(1+'Datos de Entrada'!O$76)</f>
        <v>0</v>
      </c>
      <c r="AW11" s="227">
        <f>($C11*Q11)*(1+'Datos de Entrada'!P$76)</f>
        <v>0</v>
      </c>
      <c r="AX11" s="227">
        <f>($C11*R11)*(1+'Datos de Entrada'!Q$76)</f>
        <v>0</v>
      </c>
      <c r="AY11" s="227">
        <f>($C11*S11)*(1+'Datos de Entrada'!R$76)</f>
        <v>0</v>
      </c>
      <c r="AZ11" s="227">
        <f>($C11*T11)*(1+'Datos de Entrada'!S$76)</f>
        <v>0</v>
      </c>
      <c r="BA11" s="227">
        <f>($C11*U11)*(1+'Datos de Entrada'!T$76)</f>
        <v>0</v>
      </c>
      <c r="BB11" s="227">
        <f>($C11*V11)*(1+'Datos de Entrada'!U$76)</f>
        <v>0</v>
      </c>
      <c r="BC11" s="227">
        <f>($C11*W11)*(1+'Datos de Entrada'!V$76)</f>
        <v>0</v>
      </c>
      <c r="BD11" s="227">
        <f>($C11*X11)*(1+'Datos de Entrada'!W$76)</f>
        <v>0</v>
      </c>
      <c r="BE11" s="227">
        <f>($C11*Y11)*(1+'Datos de Entrada'!X$76)</f>
        <v>0</v>
      </c>
      <c r="BF11" s="227">
        <f>($C11*Z11)*(1+'Datos de Entrada'!Y$76)</f>
        <v>0</v>
      </c>
      <c r="BG11" s="227">
        <f>($C11*AA11)*(1+'Datos de Entrada'!Z$76)</f>
        <v>0</v>
      </c>
      <c r="BH11" s="227">
        <f>($C11*AB11)*(1+'Datos de Entrada'!AA$76)</f>
        <v>0</v>
      </c>
      <c r="BI11" s="227">
        <f>($C11*AC11)*(1+'Datos de Entrada'!AB$76)</f>
        <v>0</v>
      </c>
      <c r="BJ11" s="227">
        <f>($C11*AD11)*(1+'Datos de Entrada'!AC$76)</f>
        <v>0</v>
      </c>
      <c r="BK11" s="227">
        <f>($C11*AE11)*(1+'Datos de Entrada'!AD$76)</f>
        <v>0</v>
      </c>
      <c r="BL11" s="227">
        <f>($C11*AF11)*(1+'Datos de Entrada'!AE$76)</f>
        <v>0</v>
      </c>
      <c r="BM11" s="227">
        <f>($C11*AG11)*(1+'Datos de Entrada'!AF$76)</f>
        <v>0</v>
      </c>
      <c r="BN11" s="228">
        <f t="shared" si="1"/>
        <v>4719066.588096641</v>
      </c>
      <c r="BO11" s="229"/>
    </row>
    <row r="12" spans="1:67" s="233" customFormat="1" ht="15" x14ac:dyDescent="0.2">
      <c r="A12" s="231" t="s">
        <v>25</v>
      </c>
      <c r="B12" s="231" t="s">
        <v>23</v>
      </c>
      <c r="C12" s="232">
        <f>'Equipos y Herramientas'!D64*'Datos de Entrada'!C16</f>
        <v>10209163.22922805</v>
      </c>
      <c r="D12" s="225">
        <v>1</v>
      </c>
      <c r="E12" s="225"/>
      <c r="F12" s="225"/>
      <c r="G12" s="225"/>
      <c r="H12" s="225"/>
      <c r="I12" s="225"/>
      <c r="J12" s="225"/>
      <c r="K12" s="225"/>
      <c r="L12" s="225"/>
      <c r="M12" s="225"/>
      <c r="N12" s="225"/>
      <c r="O12" s="225"/>
      <c r="P12" s="225"/>
      <c r="Q12" s="225"/>
      <c r="R12" s="225"/>
      <c r="S12" s="225"/>
      <c r="T12" s="225"/>
      <c r="U12" s="225"/>
      <c r="V12" s="225"/>
      <c r="W12" s="225"/>
      <c r="X12" s="225"/>
      <c r="Y12" s="225"/>
      <c r="Z12" s="225"/>
      <c r="AA12" s="225"/>
      <c r="AB12" s="225"/>
      <c r="AC12" s="225"/>
      <c r="AD12" s="225"/>
      <c r="AE12" s="225"/>
      <c r="AF12" s="225"/>
      <c r="AG12" s="225"/>
      <c r="AH12" s="231"/>
      <c r="AI12" s="231"/>
      <c r="AJ12" s="227">
        <f>($C12*D12)*(1+'Datos de Entrada'!C$76)</f>
        <v>10209163.22922805</v>
      </c>
      <c r="AK12" s="227">
        <f>($C12*E12)*(1+'Datos de Entrada'!D$76)</f>
        <v>0</v>
      </c>
      <c r="AL12" s="227">
        <f>($C12*F12)*(1+'Datos de Entrada'!E$76)</f>
        <v>0</v>
      </c>
      <c r="AM12" s="227">
        <f>($C12*G12)*(1+'Datos de Entrada'!F$76)</f>
        <v>0</v>
      </c>
      <c r="AN12" s="227">
        <f>($C12*H12)*(1+'Datos de Entrada'!G$76)</f>
        <v>0</v>
      </c>
      <c r="AO12" s="227">
        <f>($C12*I12)*(1+'Datos de Entrada'!H$76)</f>
        <v>0</v>
      </c>
      <c r="AP12" s="227">
        <f>($C12*J12)*(1+'Datos de Entrada'!I$76)</f>
        <v>0</v>
      </c>
      <c r="AQ12" s="227">
        <f>($C12*K12)*(1+'Datos de Entrada'!J$76)</f>
        <v>0</v>
      </c>
      <c r="AR12" s="227">
        <f>($C12*L12)*(1+'Datos de Entrada'!K$76)</f>
        <v>0</v>
      </c>
      <c r="AS12" s="227">
        <f>($C12*M12)*(1+'Datos de Entrada'!L$76)</f>
        <v>0</v>
      </c>
      <c r="AT12" s="227">
        <f>($C12*N12)*(1+'Datos de Entrada'!M$76)</f>
        <v>0</v>
      </c>
      <c r="AU12" s="227">
        <f>($C12*O12)*(1+'Datos de Entrada'!N$76)</f>
        <v>0</v>
      </c>
      <c r="AV12" s="227">
        <f>($C12*P12)*(1+'Datos de Entrada'!O$76)</f>
        <v>0</v>
      </c>
      <c r="AW12" s="227">
        <f>($C12*Q12)*(1+'Datos de Entrada'!P$76)</f>
        <v>0</v>
      </c>
      <c r="AX12" s="227">
        <f>($C12*R12)*(1+'Datos de Entrada'!Q$76)</f>
        <v>0</v>
      </c>
      <c r="AY12" s="227">
        <f>($C12*S12)*(1+'Datos de Entrada'!R$76)</f>
        <v>0</v>
      </c>
      <c r="AZ12" s="227">
        <f>($C12*T12)*(1+'Datos de Entrada'!S$76)</f>
        <v>0</v>
      </c>
      <c r="BA12" s="227">
        <f>($C12*U12)*(1+'Datos de Entrada'!T$76)</f>
        <v>0</v>
      </c>
      <c r="BB12" s="227">
        <f>($C12*V12)*(1+'Datos de Entrada'!U$76)</f>
        <v>0</v>
      </c>
      <c r="BC12" s="227">
        <f>($C12*W12)*(1+'Datos de Entrada'!V$76)</f>
        <v>0</v>
      </c>
      <c r="BD12" s="227">
        <f>($C12*X12)*(1+'Datos de Entrada'!W$76)</f>
        <v>0</v>
      </c>
      <c r="BE12" s="227">
        <f>($C12*Y12)*(1+'Datos de Entrada'!X$76)</f>
        <v>0</v>
      </c>
      <c r="BF12" s="227">
        <f>($C12*Z12)*(1+'Datos de Entrada'!Y$76)</f>
        <v>0</v>
      </c>
      <c r="BG12" s="227">
        <f>($C12*AA12)*(1+'Datos de Entrada'!Z$76)</f>
        <v>0</v>
      </c>
      <c r="BH12" s="227">
        <f>($C12*AB12)*(1+'Datos de Entrada'!AA$76)</f>
        <v>0</v>
      </c>
      <c r="BI12" s="227">
        <f>($C12*AC12)*(1+'Datos de Entrada'!AB$76)</f>
        <v>0</v>
      </c>
      <c r="BJ12" s="227">
        <f>($C12*AD12)*(1+'Datos de Entrada'!AC$76)</f>
        <v>0</v>
      </c>
      <c r="BK12" s="227">
        <f>($C12*AE12)*(1+'Datos de Entrada'!AD$76)</f>
        <v>0</v>
      </c>
      <c r="BL12" s="227">
        <f>($C12*AF12)*(1+'Datos de Entrada'!AE$76)</f>
        <v>0</v>
      </c>
      <c r="BM12" s="227">
        <f>($C12*AG12)*(1+'Datos de Entrada'!AF$76)</f>
        <v>0</v>
      </c>
      <c r="BN12" s="228">
        <f t="shared" si="1"/>
        <v>10209163.22922805</v>
      </c>
      <c r="BO12" s="229"/>
    </row>
    <row r="13" spans="1:67" s="230" customFormat="1" x14ac:dyDescent="0.2">
      <c r="A13" s="225" t="s">
        <v>26</v>
      </c>
      <c r="B13" s="225" t="s">
        <v>15</v>
      </c>
      <c r="C13" s="226">
        <f>'Equipos y Herramientas'!D85+'Equipos y Herramientas'!D86+'Equipos y Herramientas'!D87+'Equipos y Herramientas'!D89*'Datos de Entrada'!C10*1000</f>
        <v>50773.466666666667</v>
      </c>
      <c r="D13" s="225">
        <v>12</v>
      </c>
      <c r="E13" s="225">
        <v>12</v>
      </c>
      <c r="F13" s="225">
        <v>12</v>
      </c>
      <c r="G13" s="225">
        <v>12</v>
      </c>
      <c r="H13" s="225">
        <v>12</v>
      </c>
      <c r="I13" s="225">
        <v>12</v>
      </c>
      <c r="J13" s="225">
        <v>12</v>
      </c>
      <c r="K13" s="225">
        <v>12</v>
      </c>
      <c r="L13" s="225">
        <v>12</v>
      </c>
      <c r="M13" s="225">
        <v>12</v>
      </c>
      <c r="N13" s="225">
        <v>12</v>
      </c>
      <c r="O13" s="225">
        <v>12</v>
      </c>
      <c r="P13" s="225">
        <v>12</v>
      </c>
      <c r="Q13" s="225">
        <v>12</v>
      </c>
      <c r="R13" s="225">
        <v>12</v>
      </c>
      <c r="S13" s="225">
        <v>12</v>
      </c>
      <c r="T13" s="225">
        <v>12</v>
      </c>
      <c r="U13" s="225">
        <v>12</v>
      </c>
      <c r="V13" s="225">
        <v>12</v>
      </c>
      <c r="W13" s="225">
        <v>12</v>
      </c>
      <c r="X13" s="225">
        <v>13</v>
      </c>
      <c r="Y13" s="225">
        <v>14</v>
      </c>
      <c r="Z13" s="225">
        <v>15</v>
      </c>
      <c r="AA13" s="225">
        <v>16</v>
      </c>
      <c r="AB13" s="225">
        <v>17</v>
      </c>
      <c r="AC13" s="225">
        <v>18</v>
      </c>
      <c r="AD13" s="225">
        <v>19</v>
      </c>
      <c r="AE13" s="225">
        <v>20</v>
      </c>
      <c r="AF13" s="225">
        <v>21</v>
      </c>
      <c r="AG13" s="225">
        <v>22</v>
      </c>
      <c r="AH13" s="225"/>
      <c r="AI13" s="225"/>
      <c r="AJ13" s="227">
        <f>($C13*D13)*(1+'Datos de Entrada'!C$76)</f>
        <v>609281.6</v>
      </c>
      <c r="AK13" s="227">
        <f>($C13*E13)*(1+'Datos de Entrada'!D$76)</f>
        <v>635976.46191276819</v>
      </c>
      <c r="AL13" s="227">
        <f>($C13*F13)*(1+'Datos de Entrada'!E$76)</f>
        <v>664460.90053085657</v>
      </c>
      <c r="AM13" s="227">
        <f>($C13*G13)*(1+'Datos de Entrada'!F$76)</f>
        <v>694784.27683666814</v>
      </c>
      <c r="AN13" s="227">
        <f>($C13*H13)*(1+'Datos de Entrada'!G$76)</f>
        <v>726991.91247000743</v>
      </c>
      <c r="AO13" s="227">
        <f>($C13*I13)*(1+'Datos de Entrada'!H$76)</f>
        <v>761123.65033357171</v>
      </c>
      <c r="AP13" s="227">
        <f>($C13*J13)*(1+'Datos de Entrada'!I$76)</f>
        <v>797212.2747106941</v>
      </c>
      <c r="AQ13" s="227">
        <f>($C13*K13)*(1+'Datos de Entrada'!J$76)</f>
        <v>835281.78897715395</v>
      </c>
      <c r="AR13" s="227">
        <f>($C13*L13)*(1+'Datos de Entrada'!K$76)</f>
        <v>875345.55253707757</v>
      </c>
      <c r="AS13" s="227">
        <f>($C13*M13)*(1+'Datos de Entrada'!L$76)</f>
        <v>917404.28283109528</v>
      </c>
      <c r="AT13" s="227">
        <f>($C13*N13)*(1+'Datos de Entrada'!M$76)</f>
        <v>961443.93319256476</v>
      </c>
      <c r="AU13" s="227">
        <f>($C13*O13)*(1+'Datos de Entrada'!N$76)</f>
        <v>1007433.4629847822</v>
      </c>
      <c r="AV13" s="227">
        <f>($C13*P13)*(1+'Datos de Entrada'!O$76)</f>
        <v>1055322.5228333636</v>
      </c>
      <c r="AW13" s="227">
        <f>($C13*Q13)*(1+'Datos de Entrada'!P$76)</f>
        <v>1105039.0848364274</v>
      </c>
      <c r="AX13" s="227">
        <f>($C13*R13)*(1+'Datos de Entrada'!Q$76)</f>
        <v>1156487.0553158345</v>
      </c>
      <c r="AY13" s="227">
        <f>($C13*S13)*(1+'Datos de Entrada'!R$76)</f>
        <v>1209543.9158457839</v>
      </c>
      <c r="AZ13" s="227">
        <f>($C13*T13)*(1+'Datos de Entrada'!S$76)</f>
        <v>1264058.4467899827</v>
      </c>
      <c r="BA13" s="227">
        <f>($C13*U13)*(1+'Datos de Entrada'!T$76)</f>
        <v>1319848.5961687469</v>
      </c>
      <c r="BB13" s="227">
        <f>($C13*V13)*(1+'Datos de Entrada'!U$76)</f>
        <v>1376699.5650760403</v>
      </c>
      <c r="BC13" s="227">
        <f>($C13*W13)*(1+'Datos de Entrada'!V$76)</f>
        <v>1434362.1887251569</v>
      </c>
      <c r="BD13" s="227">
        <f>($C13*X13)*(1+'Datos de Entrada'!W$76)</f>
        <v>1616931.0073704813</v>
      </c>
      <c r="BE13" s="227">
        <f>($C13*Y13)*(1+'Datos de Entrada'!X$76)</f>
        <v>1809438.1209020428</v>
      </c>
      <c r="BF13" s="227">
        <f>($C13*Z13)*(1+'Datos de Entrada'!Y$76)</f>
        <v>2011487.8433808105</v>
      </c>
      <c r="BG13" s="227">
        <f>($C13*AA13)*(1+'Datos de Entrada'!Z$76)</f>
        <v>2222517.1287383409</v>
      </c>
      <c r="BH13" s="227">
        <f>($C13*AB13)*(1+'Datos de Entrada'!AA$76)</f>
        <v>2441782.2688509133</v>
      </c>
      <c r="BI13" s="227">
        <f>($C13*AC13)*(1+'Datos de Entrada'!AB$76)</f>
        <v>2668347.4756684308</v>
      </c>
      <c r="BJ13" s="227">
        <f>($C13*AD13)*(1+'Datos de Entrada'!AC$76)</f>
        <v>2901075.9666819703</v>
      </c>
      <c r="BK13" s="227">
        <f>($C13*AE13)*(1+'Datos de Entrada'!AD$76)</f>
        <v>3138624.2020717314</v>
      </c>
      <c r="BL13" s="227">
        <f>($C13*AF13)*(1+'Datos de Entrada'!AE$76)</f>
        <v>3379439.9318062048</v>
      </c>
      <c r="BM13" s="227">
        <f>($C13*AG13)*(1+'Datos de Entrada'!AF$76)</f>
        <v>3621764.6974238907</v>
      </c>
      <c r="BN13" s="228">
        <f t="shared" si="1"/>
        <v>45219510.115803398</v>
      </c>
      <c r="BO13" s="229"/>
    </row>
    <row r="14" spans="1:67" s="230" customFormat="1" ht="30" x14ac:dyDescent="0.2">
      <c r="A14" s="225" t="s">
        <v>27</v>
      </c>
      <c r="B14" s="225" t="s">
        <v>23</v>
      </c>
      <c r="C14" s="226">
        <f>'Equipos y Herramientas'!C28*'Datos de Entrada'!C16</f>
        <v>23129.05126694166</v>
      </c>
      <c r="D14" s="225">
        <v>4</v>
      </c>
      <c r="E14" s="225"/>
      <c r="F14" s="225"/>
      <c r="G14" s="225"/>
      <c r="H14" s="225"/>
      <c r="I14" s="225"/>
      <c r="J14" s="225"/>
      <c r="K14" s="225"/>
      <c r="L14" s="225"/>
      <c r="M14" s="225"/>
      <c r="N14" s="225"/>
      <c r="O14" s="225"/>
      <c r="P14" s="225"/>
      <c r="Q14" s="225"/>
      <c r="R14" s="225"/>
      <c r="S14" s="225"/>
      <c r="T14" s="225"/>
      <c r="U14" s="225"/>
      <c r="V14" s="225"/>
      <c r="W14" s="225"/>
      <c r="X14" s="225"/>
      <c r="Y14" s="225"/>
      <c r="Z14" s="225"/>
      <c r="AA14" s="225"/>
      <c r="AB14" s="225"/>
      <c r="AC14" s="225"/>
      <c r="AD14" s="225"/>
      <c r="AE14" s="225"/>
      <c r="AF14" s="225"/>
      <c r="AG14" s="225"/>
      <c r="AH14" s="225"/>
      <c r="AI14" s="225"/>
      <c r="AJ14" s="227">
        <f>($C14*D14)*(1+'Datos de Entrada'!C$76)</f>
        <v>92516.205067766641</v>
      </c>
      <c r="AK14" s="227">
        <f>($C14*E14)*(1+'Datos de Entrada'!D$76)</f>
        <v>0</v>
      </c>
      <c r="AL14" s="227">
        <f>($C14*F14)*(1+'Datos de Entrada'!E$76)</f>
        <v>0</v>
      </c>
      <c r="AM14" s="227">
        <f>($C14*G14)*(1+'Datos de Entrada'!F$76)</f>
        <v>0</v>
      </c>
      <c r="AN14" s="227">
        <f>($C14*H14)*(1+'Datos de Entrada'!G$76)</f>
        <v>0</v>
      </c>
      <c r="AO14" s="227">
        <f>($C14*I14)*(1+'Datos de Entrada'!H$76)</f>
        <v>0</v>
      </c>
      <c r="AP14" s="227">
        <f>($C14*J14)*(1+'Datos de Entrada'!I$76)</f>
        <v>0</v>
      </c>
      <c r="AQ14" s="227">
        <f>($C14*K14)*(1+'Datos de Entrada'!J$76)</f>
        <v>0</v>
      </c>
      <c r="AR14" s="227">
        <f>($C14*L14)*(1+'Datos de Entrada'!K$76)</f>
        <v>0</v>
      </c>
      <c r="AS14" s="227">
        <f>($C14*M14)*(1+'Datos de Entrada'!L$76)</f>
        <v>0</v>
      </c>
      <c r="AT14" s="227">
        <f>($C14*N14)*(1+'Datos de Entrada'!M$76)</f>
        <v>0</v>
      </c>
      <c r="AU14" s="227">
        <f>($C14*O14)*(1+'Datos de Entrada'!N$76)</f>
        <v>0</v>
      </c>
      <c r="AV14" s="227">
        <f>($C14*P14)*(1+'Datos de Entrada'!O$76)</f>
        <v>0</v>
      </c>
      <c r="AW14" s="227">
        <f>($C14*Q14)*(1+'Datos de Entrada'!P$76)</f>
        <v>0</v>
      </c>
      <c r="AX14" s="227">
        <f>($C14*R14)*(1+'Datos de Entrada'!Q$76)</f>
        <v>0</v>
      </c>
      <c r="AY14" s="227">
        <f>($C14*S14)*(1+'Datos de Entrada'!R$76)</f>
        <v>0</v>
      </c>
      <c r="AZ14" s="227">
        <f>($C14*T14)*(1+'Datos de Entrada'!S$76)</f>
        <v>0</v>
      </c>
      <c r="BA14" s="227">
        <f>($C14*U14)*(1+'Datos de Entrada'!T$76)</f>
        <v>0</v>
      </c>
      <c r="BB14" s="227">
        <f>($C14*V14)*(1+'Datos de Entrada'!U$76)</f>
        <v>0</v>
      </c>
      <c r="BC14" s="227">
        <f>($C14*W14)*(1+'Datos de Entrada'!V$76)</f>
        <v>0</v>
      </c>
      <c r="BD14" s="227">
        <f>($C14*X14)*(1+'Datos de Entrada'!W$76)</f>
        <v>0</v>
      </c>
      <c r="BE14" s="227">
        <f>($C14*Y14)*(1+'Datos de Entrada'!X$76)</f>
        <v>0</v>
      </c>
      <c r="BF14" s="227">
        <f>($C14*Z14)*(1+'Datos de Entrada'!Y$76)</f>
        <v>0</v>
      </c>
      <c r="BG14" s="227">
        <f>($C14*AA14)*(1+'Datos de Entrada'!Z$76)</f>
        <v>0</v>
      </c>
      <c r="BH14" s="227">
        <f>($C14*AB14)*(1+'Datos de Entrada'!AA$76)</f>
        <v>0</v>
      </c>
      <c r="BI14" s="227">
        <f>($C14*AC14)*(1+'Datos de Entrada'!AB$76)</f>
        <v>0</v>
      </c>
      <c r="BJ14" s="227">
        <f>($C14*AD14)*(1+'Datos de Entrada'!AC$76)</f>
        <v>0</v>
      </c>
      <c r="BK14" s="227">
        <f>($C14*AE14)*(1+'Datos de Entrada'!AD$76)</f>
        <v>0</v>
      </c>
      <c r="BL14" s="227">
        <f>($C14*AF14)*(1+'Datos de Entrada'!AE$76)</f>
        <v>0</v>
      </c>
      <c r="BM14" s="227">
        <f>($C14*AG14)*(1+'Datos de Entrada'!AF$76)</f>
        <v>0</v>
      </c>
      <c r="BN14" s="228">
        <f t="shared" si="1"/>
        <v>92516.205067766641</v>
      </c>
      <c r="BO14" s="229"/>
    </row>
    <row r="15" spans="1:67" s="230" customFormat="1" x14ac:dyDescent="0.2">
      <c r="A15" s="225" t="s">
        <v>28</v>
      </c>
      <c r="B15" s="225" t="s">
        <v>23</v>
      </c>
      <c r="C15" s="226">
        <f>'Equipos y Herramientas'!D96*'Datos de Entrada'!C16</f>
        <v>7401296.4054213315</v>
      </c>
      <c r="D15" s="225">
        <v>1</v>
      </c>
      <c r="E15" s="225">
        <v>0.5</v>
      </c>
      <c r="F15" s="225">
        <v>0.5</v>
      </c>
      <c r="G15" s="225">
        <v>0.5</v>
      </c>
      <c r="H15" s="225">
        <v>0.5</v>
      </c>
      <c r="I15" s="225">
        <v>0.5</v>
      </c>
      <c r="J15" s="225">
        <v>0.5</v>
      </c>
      <c r="K15" s="225">
        <v>0.5</v>
      </c>
      <c r="L15" s="225">
        <v>0.5</v>
      </c>
      <c r="M15" s="225">
        <v>0.5</v>
      </c>
      <c r="N15" s="225">
        <v>0.5</v>
      </c>
      <c r="O15" s="225">
        <v>0.5</v>
      </c>
      <c r="P15" s="225">
        <v>0.5</v>
      </c>
      <c r="Q15" s="225">
        <v>0.5</v>
      </c>
      <c r="R15" s="225">
        <v>0.5</v>
      </c>
      <c r="S15" s="225">
        <v>0.5</v>
      </c>
      <c r="T15" s="225">
        <v>0.5</v>
      </c>
      <c r="U15" s="225">
        <v>0.5</v>
      </c>
      <c r="V15" s="225">
        <v>0.5</v>
      </c>
      <c r="W15" s="225">
        <v>0.5</v>
      </c>
      <c r="X15" s="225">
        <v>0.5</v>
      </c>
      <c r="Y15" s="225">
        <v>0.5</v>
      </c>
      <c r="Z15" s="225">
        <v>0.5</v>
      </c>
      <c r="AA15" s="225">
        <v>0.5</v>
      </c>
      <c r="AB15" s="225">
        <v>0.5</v>
      </c>
      <c r="AC15" s="225">
        <v>0.5</v>
      </c>
      <c r="AD15" s="225">
        <v>0.5</v>
      </c>
      <c r="AE15" s="225">
        <v>0.5</v>
      </c>
      <c r="AF15" s="225">
        <v>0.5</v>
      </c>
      <c r="AG15" s="225">
        <v>0.5</v>
      </c>
      <c r="AH15" s="225"/>
      <c r="AI15" s="225"/>
      <c r="AJ15" s="227">
        <f>($C15*D15)*(1+'Datos de Entrada'!C$76)</f>
        <v>7401296.4054213315</v>
      </c>
      <c r="AK15" s="227">
        <f>($C15*E15)*(1+'Datos de Entrada'!D$76)</f>
        <v>3862787.1754928655</v>
      </c>
      <c r="AL15" s="227">
        <f>($C15*F15)*(1+'Datos de Entrada'!E$76)</f>
        <v>4035795.6605304098</v>
      </c>
      <c r="AM15" s="227">
        <f>($C15*G15)*(1+'Datos de Entrada'!F$76)</f>
        <v>4219973.4660413926</v>
      </c>
      <c r="AN15" s="227">
        <f>($C15*H15)*(1+'Datos de Entrada'!G$76)</f>
        <v>4415595.8661271287</v>
      </c>
      <c r="AO15" s="227">
        <f>($C15*I15)*(1+'Datos de Entrada'!H$76)</f>
        <v>4622904.8581928518</v>
      </c>
      <c r="AP15" s="227">
        <f>($C15*J15)*(1+'Datos de Entrada'!I$76)</f>
        <v>4842099.5670754081</v>
      </c>
      <c r="AQ15" s="227">
        <f>($C15*K15)*(1+'Datos de Entrada'!J$76)</f>
        <v>5073325.7842272846</v>
      </c>
      <c r="AR15" s="227">
        <f>($C15*L15)*(1+'Datos de Entrada'!K$76)</f>
        <v>5316664.6518573854</v>
      </c>
      <c r="AS15" s="227">
        <f>($C15*M15)*(1+'Datos de Entrada'!L$76)</f>
        <v>5572120.527549101</v>
      </c>
      <c r="AT15" s="227">
        <f>($C15*N15)*(1+'Datos de Entrada'!M$76)</f>
        <v>5839608.0948056504</v>
      </c>
      <c r="AU15" s="227">
        <f>($C15*O15)*(1+'Datos de Entrada'!N$76)</f>
        <v>6118938.8193328278</v>
      </c>
      <c r="AV15" s="227">
        <f>($C15*P15)*(1+'Datos de Entrada'!O$76)</f>
        <v>6409806.8896276746</v>
      </c>
      <c r="AW15" s="227">
        <f>($C15*Q15)*(1+'Datos de Entrada'!P$76)</f>
        <v>6711774.8233738942</v>
      </c>
      <c r="AX15" s="227">
        <f>($C15*R15)*(1+'Datos de Entrada'!Q$76)</f>
        <v>7024258.9677953403</v>
      </c>
      <c r="AY15" s="227">
        <f>($C15*S15)*(1+'Datos de Entrada'!R$76)</f>
        <v>7346515.1717601866</v>
      </c>
      <c r="AZ15" s="227">
        <f>($C15*T15)*(1+'Datos de Entrada'!S$76)</f>
        <v>7677624.9590248344</v>
      </c>
      <c r="BA15" s="227">
        <f>($C15*U15)*(1+'Datos de Entrada'!T$76)</f>
        <v>8016482.5841812203</v>
      </c>
      <c r="BB15" s="227">
        <f>($C15*V15)*(1+'Datos de Entrada'!U$76)</f>
        <v>8361783.4038828751</v>
      </c>
      <c r="BC15" s="227">
        <f>($C15*W15)*(1+'Datos de Entrada'!V$76)</f>
        <v>8712014.0436571352</v>
      </c>
      <c r="BD15" s="227">
        <f>($C15*X15)*(1+'Datos de Entrada'!W$76)</f>
        <v>9065444.8825775515</v>
      </c>
      <c r="BE15" s="227">
        <f>($C15*Y15)*(1+'Datos de Entrada'!X$76)</f>
        <v>9420125.4114433061</v>
      </c>
      <c r="BF15" s="227">
        <f>($C15*Z15)*(1+'Datos de Entrada'!Y$76)</f>
        <v>9773883.0417745076</v>
      </c>
      <c r="BG15" s="227">
        <f>($C15*AA15)*(1+'Datos de Entrada'!Z$76)</f>
        <v>10124325.949559955</v>
      </c>
      <c r="BH15" s="227">
        <f>($C15*AB15)*(1+'Datos de Entrada'!AA$76)</f>
        <v>10468850.525873601</v>
      </c>
      <c r="BI15" s="227">
        <f>($C15*AC15)*(1+'Datos de Entrada'!AB$76)</f>
        <v>10804653.972853625</v>
      </c>
      <c r="BJ15" s="227">
        <f>($C15*AD15)*(1+'Datos de Entrada'!AC$76)</f>
        <v>11128752.525005193</v>
      </c>
      <c r="BK15" s="227">
        <f>($C15*AE15)*(1+'Datos de Entrada'!AD$76)</f>
        <v>11438005.689698443</v>
      </c>
      <c r="BL15" s="227">
        <f>($C15*AF15)*(1+'Datos de Entrada'!AE$76)</f>
        <v>11729146.785148079</v>
      </c>
      <c r="BM15" s="227">
        <f>($C15*AG15)*(1+'Datos de Entrada'!AF$76)</f>
        <v>11998819.908109955</v>
      </c>
      <c r="BN15" s="228">
        <f t="shared" si="1"/>
        <v>227533380.41200107</v>
      </c>
      <c r="BO15" s="229"/>
    </row>
    <row r="16" spans="1:67" x14ac:dyDescent="0.2">
      <c r="A16" s="18" t="s">
        <v>29</v>
      </c>
      <c r="B16" s="18" t="s">
        <v>30</v>
      </c>
      <c r="C16" s="168">
        <v>211814.05351994332</v>
      </c>
      <c r="D16" s="18">
        <f>'Datos de Entrada'!$C$10</f>
        <v>15.7</v>
      </c>
      <c r="E16" s="18">
        <f>'Datos de Entrada'!$C$10</f>
        <v>15.7</v>
      </c>
      <c r="F16" s="18">
        <f>'Datos de Entrada'!$C$10</f>
        <v>15.7</v>
      </c>
      <c r="G16" s="18">
        <f>'Datos de Entrada'!$C$10</f>
        <v>15.7</v>
      </c>
      <c r="H16" s="18">
        <f>'Datos de Entrada'!$C$10</f>
        <v>15.7</v>
      </c>
      <c r="I16" s="18">
        <f>'Datos de Entrada'!$C$10</f>
        <v>15.7</v>
      </c>
      <c r="J16" s="18">
        <f>'Datos de Entrada'!$C$10</f>
        <v>15.7</v>
      </c>
      <c r="K16" s="18">
        <f>'Datos de Entrada'!$C$10</f>
        <v>15.7</v>
      </c>
      <c r="L16" s="18">
        <f>'Datos de Entrada'!$C$10</f>
        <v>15.7</v>
      </c>
      <c r="M16" s="18">
        <f>'Datos de Entrada'!$C$10</f>
        <v>15.7</v>
      </c>
      <c r="N16" s="18">
        <f>'Datos de Entrada'!$C$10</f>
        <v>15.7</v>
      </c>
      <c r="O16" s="18">
        <f>'Datos de Entrada'!$C$10</f>
        <v>15.7</v>
      </c>
      <c r="P16" s="18">
        <f>'Datos de Entrada'!$C$10</f>
        <v>15.7</v>
      </c>
      <c r="Q16" s="18">
        <f>'Datos de Entrada'!$C$10</f>
        <v>15.7</v>
      </c>
      <c r="R16" s="18">
        <f>'Datos de Entrada'!$C$10</f>
        <v>15.7</v>
      </c>
      <c r="S16" s="18">
        <f>'Datos de Entrada'!$C$10</f>
        <v>15.7</v>
      </c>
      <c r="T16" s="18">
        <f>'Datos de Entrada'!$C$10</f>
        <v>15.7</v>
      </c>
      <c r="U16" s="18">
        <f>'Datos de Entrada'!$C$10</f>
        <v>15.7</v>
      </c>
      <c r="V16" s="18">
        <f>'Datos de Entrada'!$C$10</f>
        <v>15.7</v>
      </c>
      <c r="W16" s="18">
        <f>'Datos de Entrada'!$C$10</f>
        <v>15.7</v>
      </c>
      <c r="X16" s="18">
        <f>'Datos de Entrada'!$C$10</f>
        <v>15.7</v>
      </c>
      <c r="Y16" s="18">
        <f>'Datos de Entrada'!$C$10</f>
        <v>15.7</v>
      </c>
      <c r="Z16" s="18">
        <f>'Datos de Entrada'!$C$10</f>
        <v>15.7</v>
      </c>
      <c r="AA16" s="18">
        <f>'Datos de Entrada'!$C$10</f>
        <v>15.7</v>
      </c>
      <c r="AB16" s="18">
        <f>'Datos de Entrada'!$C$10</f>
        <v>15.7</v>
      </c>
      <c r="AC16" s="18">
        <f>'Datos de Entrada'!$C$10</f>
        <v>15.7</v>
      </c>
      <c r="AD16" s="18">
        <f>'Datos de Entrada'!$C$10</f>
        <v>15.7</v>
      </c>
      <c r="AE16" s="18">
        <f>'Datos de Entrada'!$C$10</f>
        <v>15.7</v>
      </c>
      <c r="AF16" s="18">
        <f>'Datos de Entrada'!$C$10</f>
        <v>15.7</v>
      </c>
      <c r="AG16" s="18">
        <f>'Datos de Entrada'!$C$10</f>
        <v>15.7</v>
      </c>
      <c r="AH16" s="18"/>
      <c r="AI16" s="18"/>
      <c r="AJ16" s="26">
        <f>($C16*D16)*(1+'Datos de Entrada'!C$76)</f>
        <v>3325480.6402631099</v>
      </c>
      <c r="AK16" s="26">
        <f>($C16*E16)*(1+'Datos de Entrada'!D$76)</f>
        <v>3471182.14591404</v>
      </c>
      <c r="AL16" s="26">
        <f>($C16*F16)*(1+'Datos de Entrada'!E$76)</f>
        <v>3626651.224864095</v>
      </c>
      <c r="AM16" s="26">
        <f>($C16*G16)*(1+'Datos de Entrada'!F$76)</f>
        <v>3792157.2911106208</v>
      </c>
      <c r="AN16" s="26">
        <f>($C16*H16)*(1+'Datos de Entrada'!G$76)</f>
        <v>3967947.7117754142</v>
      </c>
      <c r="AO16" s="26">
        <f>($C16*I16)*(1+'Datos de Entrada'!H$76)</f>
        <v>4154239.9508383013</v>
      </c>
      <c r="AP16" s="26">
        <f>($C16*J16)*(1+'Datos de Entrada'!I$76)</f>
        <v>4351212.9460835997</v>
      </c>
      <c r="AQ16" s="26">
        <f>($C16*K16)*(1+'Datos de Entrada'!J$76)</f>
        <v>4558997.7087899288</v>
      </c>
      <c r="AR16" s="26">
        <f>($C16*L16)*(1+'Datos de Entrada'!K$76)</f>
        <v>4777667.1550601013</v>
      </c>
      <c r="AS16" s="26">
        <f>($C16*M16)*(1+'Datos de Entrada'!L$76)</f>
        <v>5007225.2007105909</v>
      </c>
      <c r="AT16" s="26">
        <f>($C16*N16)*(1+'Datos de Entrada'!M$76)</f>
        <v>5247595.1785353329</v>
      </c>
      <c r="AU16" s="26">
        <f>($C16*O16)*(1+'Datos de Entrada'!N$76)</f>
        <v>5498607.6676353198</v>
      </c>
      <c r="AV16" s="26">
        <f>($C16*P16)*(1+'Datos de Entrada'!O$76)</f>
        <v>5759987.8593346244</v>
      </c>
      <c r="AW16" s="26">
        <f>($C16*Q16)*(1+'Datos de Entrada'!P$76)</f>
        <v>6031342.6227832967</v>
      </c>
      <c r="AX16" s="26">
        <f>($C16*R16)*(1+'Datos de Entrada'!Q$76)</f>
        <v>6312147.475268743</v>
      </c>
      <c r="AY16" s="26">
        <f>($C16*S16)*(1+'Datos de Entrada'!R$76)</f>
        <v>6601733.7068659002</v>
      </c>
      <c r="AZ16" s="26">
        <f>($C16*T16)*(1+'Datos de Entrada'!S$76)</f>
        <v>6899275.955422163</v>
      </c>
      <c r="BA16" s="26">
        <f>($C16*U16)*(1+'Datos de Entrada'!T$76)</f>
        <v>7203780.5747582261</v>
      </c>
      <c r="BB16" s="26">
        <f>($C16*V16)*(1+'Datos de Entrada'!U$76)</f>
        <v>7514075.1848061979</v>
      </c>
      <c r="BC16" s="26">
        <f>($C16*W16)*(1+'Datos de Entrada'!V$76)</f>
        <v>7828799.8352993606</v>
      </c>
      <c r="BD16" s="26">
        <f>($C16*X16)*(1+'Datos de Entrada'!W$76)</f>
        <v>8146400.2523400532</v>
      </c>
      <c r="BE16" s="26">
        <f>($C16*Y16)*(1+'Datos de Entrada'!X$76)</f>
        <v>8465123.6671616491</v>
      </c>
      <c r="BF16" s="26">
        <f>($C16*Z16)*(1+'Datos de Entrada'!Y$76)</f>
        <v>8783017.7458665799</v>
      </c>
      <c r="BG16" s="26">
        <f>($C16*AA16)*(1+'Datos de Entrada'!Z$76)</f>
        <v>9097933.1448781323</v>
      </c>
      <c r="BH16" s="26">
        <f>($C16*AB16)*(1+'Datos de Entrada'!AA$76)</f>
        <v>9407530.2062217817</v>
      </c>
      <c r="BI16" s="26">
        <f>($C16*AC16)*(1+'Datos de Entrada'!AB$76)</f>
        <v>9709290.2765380368</v>
      </c>
      <c r="BJ16" s="26">
        <f>($C16*AD16)*(1+'Datos de Entrada'!AC$76)</f>
        <v>10000532.081129968</v>
      </c>
      <c r="BK16" s="26">
        <f>($C16*AE16)*(1+'Datos de Entrada'!AD$76)</f>
        <v>10278433.506986715</v>
      </c>
      <c r="BL16" s="26">
        <f>($C16*AF16)*(1+'Datos de Entrada'!AE$76)</f>
        <v>10540059.044856966</v>
      </c>
      <c r="BM16" s="26">
        <f>($C16*AG16)*(1+'Datos de Entrada'!AF$76)</f>
        <v>10782393.009201951</v>
      </c>
      <c r="BN16" s="211">
        <f t="shared" si="1"/>
        <v>201140820.97130081</v>
      </c>
      <c r="BO16" s="11"/>
    </row>
    <row r="17" spans="1:67" ht="12.75" customHeight="1" x14ac:dyDescent="0.2">
      <c r="A17" s="18"/>
      <c r="B17" s="18"/>
      <c r="C17" s="21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26"/>
      <c r="BI17" s="26"/>
      <c r="BJ17" s="26"/>
      <c r="BK17" s="26"/>
      <c r="BL17" s="26"/>
      <c r="BM17" s="26"/>
      <c r="BN17" s="11"/>
      <c r="BO17" s="11"/>
    </row>
    <row r="18" spans="1:67" ht="12.75" customHeight="1" x14ac:dyDescent="0.2">
      <c r="A18" s="3" t="s">
        <v>31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>
        <f>SUM(AJ18:BM18)</f>
        <v>67824712.576231241</v>
      </c>
      <c r="AI18" s="3"/>
      <c r="AJ18" s="23">
        <f>SUM(AJ19:AJ33)</f>
        <v>14982537.447658496</v>
      </c>
      <c r="AK18" s="23">
        <f t="shared" ref="AK18:BK18" si="2">SUM(AK19:AK33)</f>
        <v>0</v>
      </c>
      <c r="AL18" s="23">
        <f t="shared" si="2"/>
        <v>0</v>
      </c>
      <c r="AM18" s="23">
        <f t="shared" si="2"/>
        <v>0</v>
      </c>
      <c r="AN18" s="23">
        <f t="shared" si="2"/>
        <v>7600674.5409567989</v>
      </c>
      <c r="AO18" s="23">
        <f t="shared" si="2"/>
        <v>0</v>
      </c>
      <c r="AP18" s="23">
        <f t="shared" si="2"/>
        <v>0</v>
      </c>
      <c r="AQ18" s="23">
        <f t="shared" si="2"/>
        <v>0</v>
      </c>
      <c r="AR18" s="23">
        <f t="shared" si="2"/>
        <v>0</v>
      </c>
      <c r="AS18" s="23">
        <f t="shared" si="2"/>
        <v>9591429.0883761495</v>
      </c>
      <c r="AT18" s="23">
        <f t="shared" si="2"/>
        <v>0</v>
      </c>
      <c r="AU18" s="23">
        <f t="shared" si="2"/>
        <v>0</v>
      </c>
      <c r="AV18" s="23">
        <f t="shared" si="2"/>
        <v>0</v>
      </c>
      <c r="AW18" s="23">
        <f t="shared" si="2"/>
        <v>0</v>
      </c>
      <c r="AX18" s="23">
        <f t="shared" si="2"/>
        <v>0</v>
      </c>
      <c r="AY18" s="23">
        <f t="shared" si="2"/>
        <v>0</v>
      </c>
      <c r="AZ18" s="23">
        <f t="shared" si="2"/>
        <v>0</v>
      </c>
      <c r="BA18" s="23">
        <f t="shared" si="2"/>
        <v>0</v>
      </c>
      <c r="BB18" s="23">
        <f t="shared" si="2"/>
        <v>0</v>
      </c>
      <c r="BC18" s="23">
        <f t="shared" si="2"/>
        <v>14996205.574438415</v>
      </c>
      <c r="BD18" s="23">
        <f t="shared" si="2"/>
        <v>0</v>
      </c>
      <c r="BE18" s="23">
        <f t="shared" si="2"/>
        <v>0</v>
      </c>
      <c r="BF18" s="23">
        <f t="shared" si="2"/>
        <v>0</v>
      </c>
      <c r="BG18" s="23">
        <f t="shared" si="2"/>
        <v>0</v>
      </c>
      <c r="BH18" s="23">
        <f t="shared" si="2"/>
        <v>0</v>
      </c>
      <c r="BI18" s="23">
        <f t="shared" si="2"/>
        <v>0</v>
      </c>
      <c r="BJ18" s="23">
        <f t="shared" si="2"/>
        <v>0</v>
      </c>
      <c r="BK18" s="23">
        <f t="shared" si="2"/>
        <v>0</v>
      </c>
      <c r="BL18" s="23">
        <f>SUM(BL19:BL33)</f>
        <v>0</v>
      </c>
      <c r="BM18" s="23">
        <f>SUM(BM19:BM33)</f>
        <v>20653865.924801376</v>
      </c>
      <c r="BN18" s="23"/>
      <c r="BO18" s="23"/>
    </row>
    <row r="19" spans="1:67" s="176" customFormat="1" ht="12.75" customHeight="1" x14ac:dyDescent="0.2">
      <c r="A19" s="173" t="s">
        <v>32</v>
      </c>
      <c r="B19" s="173" t="s">
        <v>33</v>
      </c>
      <c r="C19" s="174">
        <f>'Datos de Entrada'!H49*(1+'Datos de Entrada'!C45)</f>
        <v>89650</v>
      </c>
      <c r="D19" s="168">
        <f>1*[1]Parámetros!$E$23/[1]Parámetros!$C$28</f>
        <v>1.6413289675290232</v>
      </c>
      <c r="E19" s="173"/>
      <c r="F19" s="173"/>
      <c r="G19" s="173"/>
      <c r="H19" s="173"/>
      <c r="I19" s="173"/>
      <c r="J19" s="173"/>
      <c r="K19" s="173"/>
      <c r="L19" s="173"/>
      <c r="M19" s="173"/>
      <c r="N19" s="173"/>
      <c r="O19" s="173"/>
      <c r="P19" s="173"/>
      <c r="Q19" s="173"/>
      <c r="R19" s="173"/>
      <c r="S19" s="173"/>
      <c r="T19" s="173"/>
      <c r="U19" s="173"/>
      <c r="V19" s="173"/>
      <c r="W19" s="173"/>
      <c r="X19" s="173"/>
      <c r="Y19" s="173"/>
      <c r="Z19" s="173"/>
      <c r="AA19" s="173"/>
      <c r="AB19" s="173"/>
      <c r="AC19" s="173"/>
      <c r="AD19" s="173"/>
      <c r="AE19" s="173"/>
      <c r="AF19" s="173"/>
      <c r="AG19" s="173"/>
      <c r="AH19" s="173">
        <f>AH18/AH75</f>
        <v>5.4050699532501155E-2</v>
      </c>
      <c r="AI19" s="177"/>
      <c r="AJ19" s="212">
        <f>($C19*D19)*(1+'Datos de Entrada'!C$76)</f>
        <v>147145.14193897694</v>
      </c>
      <c r="AK19" s="212">
        <f>($C19*E19)*(1+'Datos de Entrada'!D$76)</f>
        <v>0</v>
      </c>
      <c r="AL19" s="212">
        <f>($C19*F19)*(1+'Datos de Entrada'!E$76)</f>
        <v>0</v>
      </c>
      <c r="AM19" s="212">
        <f>($C19*G19)*(1+'Datos de Entrada'!F$76)</f>
        <v>0</v>
      </c>
      <c r="AN19" s="212">
        <f>($C19*H19)*(1+'Datos de Entrada'!G$76)</f>
        <v>0</v>
      </c>
      <c r="AO19" s="212">
        <f>($C19*I19)*(1+'Datos de Entrada'!H$76)</f>
        <v>0</v>
      </c>
      <c r="AP19" s="212">
        <f>($C19*J19)*(1+'Datos de Entrada'!I$76)</f>
        <v>0</v>
      </c>
      <c r="AQ19" s="212">
        <f>($C19*K19)*(1+'Datos de Entrada'!J$76)</f>
        <v>0</v>
      </c>
      <c r="AR19" s="212">
        <f>($C19*L19)*(1+'Datos de Entrada'!K$76)</f>
        <v>0</v>
      </c>
      <c r="AS19" s="212">
        <f>($C19*M19)*(1+'Datos de Entrada'!L$76)</f>
        <v>0</v>
      </c>
      <c r="AT19" s="212">
        <f>($C19*N19)*(1+'Datos de Entrada'!M$76)</f>
        <v>0</v>
      </c>
      <c r="AU19" s="212">
        <f>($C19*O19)*(1+'Datos de Entrada'!N$76)</f>
        <v>0</v>
      </c>
      <c r="AV19" s="212">
        <f>($C19*P19)*(1+'Datos de Entrada'!O$76)</f>
        <v>0</v>
      </c>
      <c r="AW19" s="212">
        <f>($C19*Q19)*(1+'Datos de Entrada'!P$76)</f>
        <v>0</v>
      </c>
      <c r="AX19" s="212">
        <f>($C19*R19)*(1+'Datos de Entrada'!Q$76)</f>
        <v>0</v>
      </c>
      <c r="AY19" s="212">
        <f>($C19*S19)*(1+'Datos de Entrada'!R$76)</f>
        <v>0</v>
      </c>
      <c r="AZ19" s="212">
        <f>($C19*T19)*(1+'Datos de Entrada'!S$76)</f>
        <v>0</v>
      </c>
      <c r="BA19" s="212">
        <f>($C19*U19)*(1+'Datos de Entrada'!T$76)</f>
        <v>0</v>
      </c>
      <c r="BB19" s="212">
        <f>($C19*V19)*(1+'Datos de Entrada'!U$76)</f>
        <v>0</v>
      </c>
      <c r="BC19" s="212">
        <f>($C19*W19)*(1+'Datos de Entrada'!V$76)</f>
        <v>0</v>
      </c>
      <c r="BD19" s="212">
        <f>($C19*X19)*(1+'Datos de Entrada'!W$76)</f>
        <v>0</v>
      </c>
      <c r="BE19" s="212">
        <f>($C19*Y19)*(1+'Datos de Entrada'!X$76)</f>
        <v>0</v>
      </c>
      <c r="BF19" s="212">
        <f>($C19*Z19)*(1+'Datos de Entrada'!Y$76)</f>
        <v>0</v>
      </c>
      <c r="BG19" s="212">
        <f>($C19*AA19)*(1+'Datos de Entrada'!Z$76)</f>
        <v>0</v>
      </c>
      <c r="BH19" s="212">
        <f>($C19*AB19)*(1+'Datos de Entrada'!AA$76)</f>
        <v>0</v>
      </c>
      <c r="BI19" s="212">
        <f>($C19*AC19)*(1+'Datos de Entrada'!AB$76)</f>
        <v>0</v>
      </c>
      <c r="BJ19" s="212">
        <f>($C19*AD19)*(1+'Datos de Entrada'!AC$76)</f>
        <v>0</v>
      </c>
      <c r="BK19" s="212">
        <f>($C19*AE19)*(1+'Datos de Entrada'!AD$76)</f>
        <v>0</v>
      </c>
      <c r="BL19" s="212">
        <f>($C19*AF19)*(1+'Datos de Entrada'!AE$76)</f>
        <v>0</v>
      </c>
      <c r="BM19" s="212">
        <f>($C19*AG19)*(1+'Datos de Entrada'!AF$76)</f>
        <v>0</v>
      </c>
      <c r="BN19" s="213">
        <f t="shared" ref="BN19:BN74" si="3">SUM(AJ19:BM19)</f>
        <v>147145.14193897694</v>
      </c>
    </row>
    <row r="20" spans="1:67" s="176" customFormat="1" ht="12.75" customHeight="1" x14ac:dyDescent="0.2">
      <c r="A20" s="173" t="s">
        <v>34</v>
      </c>
      <c r="B20" s="173" t="s">
        <v>33</v>
      </c>
      <c r="C20" s="174">
        <f>'Datos de Entrada'!H49*(1+'Datos de Entrada'!C45)</f>
        <v>89650</v>
      </c>
      <c r="D20" s="168">
        <f>4*[1]Parámetros!$E$23/[1]Parámetros!$C$28</f>
        <v>6.565315870116093</v>
      </c>
      <c r="E20" s="173"/>
      <c r="F20" s="173"/>
      <c r="G20" s="173"/>
      <c r="H20" s="168">
        <f>1*[1]Parámetros!$E$23/[1]Parámetros!$C$28</f>
        <v>1.6413289675290232</v>
      </c>
      <c r="I20" s="173"/>
      <c r="J20" s="173"/>
      <c r="K20" s="173"/>
      <c r="L20" s="173"/>
      <c r="M20" s="168">
        <f>1*[1]Parámetros!$E$23/[1]Parámetros!$C$28</f>
        <v>1.6413289675290232</v>
      </c>
      <c r="N20" s="173"/>
      <c r="O20" s="173"/>
      <c r="P20" s="173"/>
      <c r="Q20" s="173"/>
      <c r="R20" s="173"/>
      <c r="S20" s="173"/>
      <c r="T20" s="173"/>
      <c r="U20" s="173"/>
      <c r="V20" s="173"/>
      <c r="W20" s="168">
        <f>1*[1]Parámetros!$E$23/[1]Parámetros!$C$28</f>
        <v>1.6413289675290232</v>
      </c>
      <c r="X20" s="173"/>
      <c r="Y20" s="173"/>
      <c r="Z20" s="173"/>
      <c r="AA20" s="173"/>
      <c r="AB20" s="173"/>
      <c r="AC20" s="173"/>
      <c r="AD20" s="173"/>
      <c r="AE20" s="173"/>
      <c r="AF20" s="173"/>
      <c r="AG20" s="168">
        <f>1*[1]Parámetros!$E$23/[1]Parámetros!$C$28</f>
        <v>1.6413289675290232</v>
      </c>
      <c r="AH20" s="173"/>
      <c r="AI20" s="177"/>
      <c r="AJ20" s="212">
        <f>($C20*D20)*(1+'Datos de Entrada'!C$76)</f>
        <v>588580.56775590777</v>
      </c>
      <c r="AK20" s="212">
        <f>($C20*E20)*(1+'Datos de Entrada'!D$76)</f>
        <v>0</v>
      </c>
      <c r="AL20" s="212">
        <f>($C20*F20)*(1+'Datos de Entrada'!E$76)</f>
        <v>0</v>
      </c>
      <c r="AM20" s="212">
        <f>($C20*G20)*(1+'Datos de Entrada'!F$76)</f>
        <v>0</v>
      </c>
      <c r="AN20" s="212">
        <f>($C20*H20)*(1+'Datos de Entrada'!G$76)</f>
        <v>175572.88476935387</v>
      </c>
      <c r="AO20" s="212">
        <f>($C20*I20)*(1+'Datos de Entrada'!H$76)</f>
        <v>0</v>
      </c>
      <c r="AP20" s="212">
        <f>($C20*J20)*(1+'Datos de Entrada'!I$76)</f>
        <v>0</v>
      </c>
      <c r="AQ20" s="212">
        <f>($C20*K20)*(1+'Datos de Entrada'!J$76)</f>
        <v>0</v>
      </c>
      <c r="AR20" s="212">
        <f>($C20*L20)*(1+'Datos de Entrada'!K$76)</f>
        <v>0</v>
      </c>
      <c r="AS20" s="212">
        <f>($C20*M20)*(1+'Datos de Entrada'!L$76)</f>
        <v>221558.60838831647</v>
      </c>
      <c r="AT20" s="212">
        <f>($C20*N20)*(1+'Datos de Entrada'!M$76)</f>
        <v>0</v>
      </c>
      <c r="AU20" s="212">
        <f>($C20*O20)*(1+'Datos de Entrada'!N$76)</f>
        <v>0</v>
      </c>
      <c r="AV20" s="212">
        <f>($C20*P20)*(1+'Datos de Entrada'!O$76)</f>
        <v>0</v>
      </c>
      <c r="AW20" s="212">
        <f>($C20*Q20)*(1+'Datos de Entrada'!P$76)</f>
        <v>0</v>
      </c>
      <c r="AX20" s="212">
        <f>($C20*R20)*(1+'Datos de Entrada'!Q$76)</f>
        <v>0</v>
      </c>
      <c r="AY20" s="212">
        <f>($C20*S20)*(1+'Datos de Entrada'!R$76)</f>
        <v>0</v>
      </c>
      <c r="AZ20" s="212">
        <f>($C20*T20)*(1+'Datos de Entrada'!S$76)</f>
        <v>0</v>
      </c>
      <c r="BA20" s="212">
        <f>($C20*U20)*(1+'Datos de Entrada'!T$76)</f>
        <v>0</v>
      </c>
      <c r="BB20" s="212">
        <f>($C20*V20)*(1+'Datos de Entrada'!U$76)</f>
        <v>0</v>
      </c>
      <c r="BC20" s="212">
        <f>($C20*W20)*(1+'Datos de Entrada'!V$76)</f>
        <v>346407.02731194388</v>
      </c>
      <c r="BD20" s="212">
        <f>($C20*X20)*(1+'Datos de Entrada'!W$76)</f>
        <v>0</v>
      </c>
      <c r="BE20" s="212">
        <f>($C20*Y20)*(1+'Datos de Entrada'!X$76)</f>
        <v>0</v>
      </c>
      <c r="BF20" s="212">
        <f>($C20*Z20)*(1+'Datos de Entrada'!Y$76)</f>
        <v>0</v>
      </c>
      <c r="BG20" s="212">
        <f>($C20*AA20)*(1+'Datos de Entrada'!Z$76)</f>
        <v>0</v>
      </c>
      <c r="BH20" s="212">
        <f>($C20*AB20)*(1+'Datos de Entrada'!AA$76)</f>
        <v>0</v>
      </c>
      <c r="BI20" s="212">
        <f>($C20*AC20)*(1+'Datos de Entrada'!AB$76)</f>
        <v>0</v>
      </c>
      <c r="BJ20" s="212">
        <f>($C20*AD20)*(1+'Datos de Entrada'!AC$76)</f>
        <v>0</v>
      </c>
      <c r="BK20" s="212">
        <f>($C20*AE20)*(1+'Datos de Entrada'!AD$76)</f>
        <v>0</v>
      </c>
      <c r="BL20" s="212">
        <f>($C20*AF20)*(1+'Datos de Entrada'!AE$76)</f>
        <v>0</v>
      </c>
      <c r="BM20" s="212">
        <f>($C20*AG20)*(1+'Datos de Entrada'!AF$76)</f>
        <v>477096.97376416688</v>
      </c>
      <c r="BN20" s="213">
        <f t="shared" si="3"/>
        <v>1809216.061989689</v>
      </c>
    </row>
    <row r="21" spans="1:67" s="176" customFormat="1" ht="12.75" customHeight="1" x14ac:dyDescent="0.2">
      <c r="A21" s="173" t="s">
        <v>35</v>
      </c>
      <c r="B21" s="173" t="s">
        <v>33</v>
      </c>
      <c r="C21" s="174">
        <f>'Datos de Entrada'!H49*(1+'Datos de Entrada'!C45)</f>
        <v>89650</v>
      </c>
      <c r="D21" s="168">
        <f>2*[1]Parámetros!$E$23/[1]Parámetros!$C$28</f>
        <v>3.2826579350580465</v>
      </c>
      <c r="E21" s="173"/>
      <c r="F21" s="173"/>
      <c r="G21" s="173"/>
      <c r="H21" s="168">
        <f>1*[1]Parámetros!$E$23/[1]Parámetros!$C$28</f>
        <v>1.6413289675290232</v>
      </c>
      <c r="I21" s="173"/>
      <c r="J21" s="173"/>
      <c r="K21" s="173"/>
      <c r="L21" s="173"/>
      <c r="M21" s="168">
        <f>1*[1]Parámetros!$E$23/[1]Parámetros!$C$28</f>
        <v>1.6413289675290232</v>
      </c>
      <c r="N21" s="173"/>
      <c r="O21" s="173"/>
      <c r="P21" s="173"/>
      <c r="Q21" s="173"/>
      <c r="R21" s="173"/>
      <c r="S21" s="173"/>
      <c r="T21" s="173"/>
      <c r="U21" s="173"/>
      <c r="V21" s="173"/>
      <c r="W21" s="168">
        <f>1*[1]Parámetros!$E$23/[1]Parámetros!$C$28</f>
        <v>1.6413289675290232</v>
      </c>
      <c r="X21" s="173"/>
      <c r="Y21" s="173"/>
      <c r="Z21" s="173"/>
      <c r="AA21" s="173"/>
      <c r="AB21" s="173"/>
      <c r="AC21" s="173"/>
      <c r="AD21" s="173"/>
      <c r="AE21" s="173"/>
      <c r="AF21" s="173"/>
      <c r="AG21" s="168">
        <f>1*[1]Parámetros!$E$23/[1]Parámetros!$C$28</f>
        <v>1.6413289675290232</v>
      </c>
      <c r="AH21" s="173"/>
      <c r="AI21" s="177"/>
      <c r="AJ21" s="212">
        <f>($C21*D21)*(1+'Datos de Entrada'!C$76)</f>
        <v>294290.28387795389</v>
      </c>
      <c r="AK21" s="212">
        <f>($C21*E21)*(1+'Datos de Entrada'!D$76)</f>
        <v>0</v>
      </c>
      <c r="AL21" s="212">
        <f>($C21*F21)*(1+'Datos de Entrada'!E$76)</f>
        <v>0</v>
      </c>
      <c r="AM21" s="212">
        <f>($C21*G21)*(1+'Datos de Entrada'!F$76)</f>
        <v>0</v>
      </c>
      <c r="AN21" s="212">
        <f>($C21*H21)*(1+'Datos de Entrada'!G$76)</f>
        <v>175572.88476935387</v>
      </c>
      <c r="AO21" s="212">
        <f>($C21*I21)*(1+'Datos de Entrada'!H$76)</f>
        <v>0</v>
      </c>
      <c r="AP21" s="212">
        <f>($C21*J21)*(1+'Datos de Entrada'!I$76)</f>
        <v>0</v>
      </c>
      <c r="AQ21" s="212">
        <f>($C21*K21)*(1+'Datos de Entrada'!J$76)</f>
        <v>0</v>
      </c>
      <c r="AR21" s="212">
        <f>($C21*L21)*(1+'Datos de Entrada'!K$76)</f>
        <v>0</v>
      </c>
      <c r="AS21" s="212">
        <f>($C21*M21)*(1+'Datos de Entrada'!L$76)</f>
        <v>221558.60838831647</v>
      </c>
      <c r="AT21" s="212">
        <f>($C21*N21)*(1+'Datos de Entrada'!M$76)</f>
        <v>0</v>
      </c>
      <c r="AU21" s="212">
        <f>($C21*O21)*(1+'Datos de Entrada'!N$76)</f>
        <v>0</v>
      </c>
      <c r="AV21" s="212">
        <f>($C21*P21)*(1+'Datos de Entrada'!O$76)</f>
        <v>0</v>
      </c>
      <c r="AW21" s="212">
        <f>($C21*Q21)*(1+'Datos de Entrada'!P$76)</f>
        <v>0</v>
      </c>
      <c r="AX21" s="212">
        <f>($C21*R21)*(1+'Datos de Entrada'!Q$76)</f>
        <v>0</v>
      </c>
      <c r="AY21" s="212">
        <f>($C21*S21)*(1+'Datos de Entrada'!R$76)</f>
        <v>0</v>
      </c>
      <c r="AZ21" s="212">
        <f>($C21*T21)*(1+'Datos de Entrada'!S$76)</f>
        <v>0</v>
      </c>
      <c r="BA21" s="212">
        <f>($C21*U21)*(1+'Datos de Entrada'!T$76)</f>
        <v>0</v>
      </c>
      <c r="BB21" s="212">
        <f>($C21*V21)*(1+'Datos de Entrada'!U$76)</f>
        <v>0</v>
      </c>
      <c r="BC21" s="212">
        <f>($C21*W21)*(1+'Datos de Entrada'!V$76)</f>
        <v>346407.02731194388</v>
      </c>
      <c r="BD21" s="212">
        <f>($C21*X21)*(1+'Datos de Entrada'!W$76)</f>
        <v>0</v>
      </c>
      <c r="BE21" s="212">
        <f>($C21*Y21)*(1+'Datos de Entrada'!X$76)</f>
        <v>0</v>
      </c>
      <c r="BF21" s="212">
        <f>($C21*Z21)*(1+'Datos de Entrada'!Y$76)</f>
        <v>0</v>
      </c>
      <c r="BG21" s="212">
        <f>($C21*AA21)*(1+'Datos de Entrada'!Z$76)</f>
        <v>0</v>
      </c>
      <c r="BH21" s="212">
        <f>($C21*AB21)*(1+'Datos de Entrada'!AA$76)</f>
        <v>0</v>
      </c>
      <c r="BI21" s="212">
        <f>($C21*AC21)*(1+'Datos de Entrada'!AB$76)</f>
        <v>0</v>
      </c>
      <c r="BJ21" s="212">
        <f>($C21*AD21)*(1+'Datos de Entrada'!AC$76)</f>
        <v>0</v>
      </c>
      <c r="BK21" s="212">
        <f>($C21*AE21)*(1+'Datos de Entrada'!AD$76)</f>
        <v>0</v>
      </c>
      <c r="BL21" s="212">
        <f>($C21*AF21)*(1+'Datos de Entrada'!AE$76)</f>
        <v>0</v>
      </c>
      <c r="BM21" s="212">
        <f>($C21*AG21)*(1+'Datos de Entrada'!AF$76)</f>
        <v>477096.97376416688</v>
      </c>
      <c r="BN21" s="213">
        <f t="shared" si="3"/>
        <v>1514925.7781117351</v>
      </c>
    </row>
    <row r="22" spans="1:67" s="176" customFormat="1" ht="12.75" customHeight="1" x14ac:dyDescent="0.2">
      <c r="A22" s="173" t="s">
        <v>36</v>
      </c>
      <c r="B22" s="173" t="s">
        <v>33</v>
      </c>
      <c r="C22" s="174">
        <f>'Datos de Entrada'!H49*(1+'Datos de Entrada'!C45)</f>
        <v>89650</v>
      </c>
      <c r="D22" s="168">
        <f>1*[1]Parámetros!$E$23/[1]Parámetros!$C$28</f>
        <v>1.6413289675290232</v>
      </c>
      <c r="E22" s="173"/>
      <c r="F22" s="173"/>
      <c r="G22" s="173"/>
      <c r="H22" s="168">
        <f>1*[1]Parámetros!$E$23/[1]Parámetros!$C$28</f>
        <v>1.6413289675290232</v>
      </c>
      <c r="I22" s="173"/>
      <c r="J22" s="173"/>
      <c r="K22" s="173"/>
      <c r="L22" s="173"/>
      <c r="M22" s="168">
        <f>1*[1]Parámetros!$E$23/[1]Parámetros!$C$28</f>
        <v>1.6413289675290232</v>
      </c>
      <c r="N22" s="173"/>
      <c r="O22" s="173"/>
      <c r="P22" s="173"/>
      <c r="Q22" s="173"/>
      <c r="R22" s="173"/>
      <c r="S22" s="173"/>
      <c r="T22" s="173"/>
      <c r="U22" s="173"/>
      <c r="V22" s="173"/>
      <c r="W22" s="168">
        <f>1*[1]Parámetros!$E$23/[1]Parámetros!$C$28</f>
        <v>1.6413289675290232</v>
      </c>
      <c r="X22" s="173"/>
      <c r="Y22" s="173"/>
      <c r="Z22" s="173"/>
      <c r="AA22" s="173"/>
      <c r="AB22" s="173"/>
      <c r="AC22" s="173"/>
      <c r="AD22" s="173"/>
      <c r="AE22" s="173"/>
      <c r="AF22" s="173"/>
      <c r="AG22" s="168">
        <f>1*[1]Parámetros!$E$23/[1]Parámetros!$C$28</f>
        <v>1.6413289675290232</v>
      </c>
      <c r="AH22" s="173"/>
      <c r="AI22" s="177"/>
      <c r="AJ22" s="212">
        <f>($C22*D22)*(1+'Datos de Entrada'!C$76)</f>
        <v>147145.14193897694</v>
      </c>
      <c r="AK22" s="212">
        <f>($C22*E22)*(1+'Datos de Entrada'!D$76)</f>
        <v>0</v>
      </c>
      <c r="AL22" s="212">
        <f>($C22*F22)*(1+'Datos de Entrada'!E$76)</f>
        <v>0</v>
      </c>
      <c r="AM22" s="212">
        <f>($C22*G22)*(1+'Datos de Entrada'!F$76)</f>
        <v>0</v>
      </c>
      <c r="AN22" s="212">
        <f>($C22*H22)*(1+'Datos de Entrada'!G$76)</f>
        <v>175572.88476935387</v>
      </c>
      <c r="AO22" s="212">
        <f>($C22*I22)*(1+'Datos de Entrada'!H$76)</f>
        <v>0</v>
      </c>
      <c r="AP22" s="212">
        <f>($C22*J22)*(1+'Datos de Entrada'!I$76)</f>
        <v>0</v>
      </c>
      <c r="AQ22" s="212">
        <f>($C22*K22)*(1+'Datos de Entrada'!J$76)</f>
        <v>0</v>
      </c>
      <c r="AR22" s="212">
        <f>($C22*L22)*(1+'Datos de Entrada'!K$76)</f>
        <v>0</v>
      </c>
      <c r="AS22" s="212">
        <f>($C22*M22)*(1+'Datos de Entrada'!L$76)</f>
        <v>221558.60838831647</v>
      </c>
      <c r="AT22" s="212">
        <f>($C22*N22)*(1+'Datos de Entrada'!M$76)</f>
        <v>0</v>
      </c>
      <c r="AU22" s="212">
        <f>($C22*O22)*(1+'Datos de Entrada'!N$76)</f>
        <v>0</v>
      </c>
      <c r="AV22" s="212">
        <f>($C22*P22)*(1+'Datos de Entrada'!O$76)</f>
        <v>0</v>
      </c>
      <c r="AW22" s="212">
        <f>($C22*Q22)*(1+'Datos de Entrada'!P$76)</f>
        <v>0</v>
      </c>
      <c r="AX22" s="212">
        <f>($C22*R22)*(1+'Datos de Entrada'!Q$76)</f>
        <v>0</v>
      </c>
      <c r="AY22" s="212">
        <f>($C22*S22)*(1+'Datos de Entrada'!R$76)</f>
        <v>0</v>
      </c>
      <c r="AZ22" s="212">
        <f>($C22*T22)*(1+'Datos de Entrada'!S$76)</f>
        <v>0</v>
      </c>
      <c r="BA22" s="212">
        <f>($C22*U22)*(1+'Datos de Entrada'!T$76)</f>
        <v>0</v>
      </c>
      <c r="BB22" s="212">
        <f>($C22*V22)*(1+'Datos de Entrada'!U$76)</f>
        <v>0</v>
      </c>
      <c r="BC22" s="212">
        <f>($C22*W22)*(1+'Datos de Entrada'!V$76)</f>
        <v>346407.02731194388</v>
      </c>
      <c r="BD22" s="212">
        <f>($C22*X22)*(1+'Datos de Entrada'!W$76)</f>
        <v>0</v>
      </c>
      <c r="BE22" s="212">
        <f>($C22*Y22)*(1+'Datos de Entrada'!X$76)</f>
        <v>0</v>
      </c>
      <c r="BF22" s="212">
        <f>($C22*Z22)*(1+'Datos de Entrada'!Y$76)</f>
        <v>0</v>
      </c>
      <c r="BG22" s="212">
        <f>($C22*AA22)*(1+'Datos de Entrada'!Z$76)</f>
        <v>0</v>
      </c>
      <c r="BH22" s="212">
        <f>($C22*AB22)*(1+'Datos de Entrada'!AA$76)</f>
        <v>0</v>
      </c>
      <c r="BI22" s="212">
        <f>($C22*AC22)*(1+'Datos de Entrada'!AB$76)</f>
        <v>0</v>
      </c>
      <c r="BJ22" s="212">
        <f>($C22*AD22)*(1+'Datos de Entrada'!AC$76)</f>
        <v>0</v>
      </c>
      <c r="BK22" s="212">
        <f>($C22*AE22)*(1+'Datos de Entrada'!AD$76)</f>
        <v>0</v>
      </c>
      <c r="BL22" s="212">
        <f>($C22*AF22)*(1+'Datos de Entrada'!AE$76)</f>
        <v>0</v>
      </c>
      <c r="BM22" s="212">
        <f>($C22*AG22)*(1+'Datos de Entrada'!AF$76)</f>
        <v>477096.97376416688</v>
      </c>
      <c r="BN22" s="213">
        <f t="shared" si="3"/>
        <v>1367780.6361727582</v>
      </c>
    </row>
    <row r="23" spans="1:67" s="176" customFormat="1" ht="12.75" customHeight="1" x14ac:dyDescent="0.2">
      <c r="A23" s="173" t="s">
        <v>37</v>
      </c>
      <c r="B23" s="173" t="s">
        <v>33</v>
      </c>
      <c r="C23" s="174">
        <f>'Datos de Entrada'!H49*(1+'Datos de Entrada'!C45)</f>
        <v>89650</v>
      </c>
      <c r="D23" s="168">
        <f>1*[1]Parámetros!$E$23/[1]Parámetros!$C$28</f>
        <v>1.6413289675290232</v>
      </c>
      <c r="E23" s="173"/>
      <c r="F23" s="173"/>
      <c r="G23" s="173"/>
      <c r="H23" s="168">
        <f>1*[1]Parámetros!$E$23/[1]Parámetros!$C$28</f>
        <v>1.6413289675290232</v>
      </c>
      <c r="I23" s="173"/>
      <c r="J23" s="173"/>
      <c r="K23" s="173"/>
      <c r="L23" s="173"/>
      <c r="M23" s="168">
        <f>1*[1]Parámetros!$E$23/[1]Parámetros!$C$28</f>
        <v>1.6413289675290232</v>
      </c>
      <c r="N23" s="173"/>
      <c r="O23" s="173"/>
      <c r="P23" s="173"/>
      <c r="Q23" s="173"/>
      <c r="R23" s="173"/>
      <c r="S23" s="173"/>
      <c r="T23" s="173"/>
      <c r="U23" s="173"/>
      <c r="V23" s="173"/>
      <c r="W23" s="168">
        <f>1*[1]Parámetros!$E$23/[1]Parámetros!$C$28</f>
        <v>1.6413289675290232</v>
      </c>
      <c r="X23" s="173"/>
      <c r="Y23" s="173"/>
      <c r="Z23" s="173"/>
      <c r="AA23" s="173"/>
      <c r="AB23" s="173"/>
      <c r="AC23" s="173"/>
      <c r="AD23" s="173"/>
      <c r="AE23" s="173"/>
      <c r="AF23" s="173"/>
      <c r="AG23" s="168">
        <f>1*[1]Parámetros!$E$23/[1]Parámetros!$C$28</f>
        <v>1.6413289675290232</v>
      </c>
      <c r="AH23" s="173"/>
      <c r="AI23" s="177"/>
      <c r="AJ23" s="212">
        <f>($C23*D23)*(1+'Datos de Entrada'!C$76)</f>
        <v>147145.14193897694</v>
      </c>
      <c r="AK23" s="212">
        <f>($C23*E23)*(1+'Datos de Entrada'!D$76)</f>
        <v>0</v>
      </c>
      <c r="AL23" s="212">
        <f>($C23*F23)*(1+'Datos de Entrada'!E$76)</f>
        <v>0</v>
      </c>
      <c r="AM23" s="212">
        <f>($C23*G23)*(1+'Datos de Entrada'!F$76)</f>
        <v>0</v>
      </c>
      <c r="AN23" s="212">
        <f>($C23*H23)*(1+'Datos de Entrada'!G$76)</f>
        <v>175572.88476935387</v>
      </c>
      <c r="AO23" s="212">
        <f>($C23*I23)*(1+'Datos de Entrada'!H$76)</f>
        <v>0</v>
      </c>
      <c r="AP23" s="212">
        <f>($C23*J23)*(1+'Datos de Entrada'!I$76)</f>
        <v>0</v>
      </c>
      <c r="AQ23" s="212">
        <f>($C23*K23)*(1+'Datos de Entrada'!J$76)</f>
        <v>0</v>
      </c>
      <c r="AR23" s="212">
        <f>($C23*L23)*(1+'Datos de Entrada'!K$76)</f>
        <v>0</v>
      </c>
      <c r="AS23" s="212">
        <f>($C23*M23)*(1+'Datos de Entrada'!L$76)</f>
        <v>221558.60838831647</v>
      </c>
      <c r="AT23" s="212">
        <f>($C23*N23)*(1+'Datos de Entrada'!M$76)</f>
        <v>0</v>
      </c>
      <c r="AU23" s="212">
        <f>($C23*O23)*(1+'Datos de Entrada'!N$76)</f>
        <v>0</v>
      </c>
      <c r="AV23" s="212">
        <f>($C23*P23)*(1+'Datos de Entrada'!O$76)</f>
        <v>0</v>
      </c>
      <c r="AW23" s="212">
        <f>($C23*Q23)*(1+'Datos de Entrada'!P$76)</f>
        <v>0</v>
      </c>
      <c r="AX23" s="212">
        <f>($C23*R23)*(1+'Datos de Entrada'!Q$76)</f>
        <v>0</v>
      </c>
      <c r="AY23" s="212">
        <f>($C23*S23)*(1+'Datos de Entrada'!R$76)</f>
        <v>0</v>
      </c>
      <c r="AZ23" s="212">
        <f>($C23*T23)*(1+'Datos de Entrada'!S$76)</f>
        <v>0</v>
      </c>
      <c r="BA23" s="212">
        <f>($C23*U23)*(1+'Datos de Entrada'!T$76)</f>
        <v>0</v>
      </c>
      <c r="BB23" s="212">
        <f>($C23*V23)*(1+'Datos de Entrada'!U$76)</f>
        <v>0</v>
      </c>
      <c r="BC23" s="212">
        <f>($C23*W23)*(1+'Datos de Entrada'!V$76)</f>
        <v>346407.02731194388</v>
      </c>
      <c r="BD23" s="212">
        <f>($C23*X23)*(1+'Datos de Entrada'!W$76)</f>
        <v>0</v>
      </c>
      <c r="BE23" s="212">
        <f>($C23*Y23)*(1+'Datos de Entrada'!X$76)</f>
        <v>0</v>
      </c>
      <c r="BF23" s="212">
        <f>($C23*Z23)*(1+'Datos de Entrada'!Y$76)</f>
        <v>0</v>
      </c>
      <c r="BG23" s="212">
        <f>($C23*AA23)*(1+'Datos de Entrada'!Z$76)</f>
        <v>0</v>
      </c>
      <c r="BH23" s="212">
        <f>($C23*AB23)*(1+'Datos de Entrada'!AA$76)</f>
        <v>0</v>
      </c>
      <c r="BI23" s="212">
        <f>($C23*AC23)*(1+'Datos de Entrada'!AB$76)</f>
        <v>0</v>
      </c>
      <c r="BJ23" s="212">
        <f>($C23*AD23)*(1+'Datos de Entrada'!AC$76)</f>
        <v>0</v>
      </c>
      <c r="BK23" s="212">
        <f>($C23*AE23)*(1+'Datos de Entrada'!AD$76)</f>
        <v>0</v>
      </c>
      <c r="BL23" s="212">
        <f>($C23*AF23)*(1+'Datos de Entrada'!AE$76)</f>
        <v>0</v>
      </c>
      <c r="BM23" s="212">
        <f>($C23*AG23)*(1+'Datos de Entrada'!AF$76)</f>
        <v>477096.97376416688</v>
      </c>
      <c r="BN23" s="213">
        <f t="shared" si="3"/>
        <v>1367780.6361727582</v>
      </c>
    </row>
    <row r="24" spans="1:67" s="176" customFormat="1" ht="12.75" customHeight="1" x14ac:dyDescent="0.2">
      <c r="A24" s="173" t="s">
        <v>38</v>
      </c>
      <c r="B24" s="173" t="s">
        <v>39</v>
      </c>
      <c r="C24" s="174">
        <f>'Datos de Entrada'!H47*(1+'Datos de Entrada'!C45)</f>
        <v>143983.33333333331</v>
      </c>
      <c r="D24" s="168">
        <f>1*[1]Parámetros!$E$23/[1]Parámetros!$C$28</f>
        <v>1.6413289675290232</v>
      </c>
      <c r="E24" s="173"/>
      <c r="F24" s="173"/>
      <c r="G24" s="173"/>
      <c r="H24" s="168">
        <f>1*[1]Parámetros!$E$23/[1]Parámetros!$C$28</f>
        <v>1.6413289675290232</v>
      </c>
      <c r="I24" s="173"/>
      <c r="J24" s="173"/>
      <c r="K24" s="173"/>
      <c r="L24" s="173"/>
      <c r="M24" s="168">
        <f>1*[1]Parámetros!$E$23/[1]Parámetros!$C$28</f>
        <v>1.6413289675290232</v>
      </c>
      <c r="N24" s="173"/>
      <c r="O24" s="173"/>
      <c r="P24" s="173"/>
      <c r="Q24" s="173"/>
      <c r="R24" s="173"/>
      <c r="S24" s="173"/>
      <c r="T24" s="173"/>
      <c r="U24" s="173"/>
      <c r="V24" s="173"/>
      <c r="W24" s="168">
        <f>1*[1]Parámetros!$E$23/[1]Parámetros!$C$28</f>
        <v>1.6413289675290232</v>
      </c>
      <c r="X24" s="173"/>
      <c r="Y24" s="173"/>
      <c r="Z24" s="173"/>
      <c r="AA24" s="173"/>
      <c r="AB24" s="173"/>
      <c r="AC24" s="173"/>
      <c r="AD24" s="173"/>
      <c r="AE24" s="173"/>
      <c r="AF24" s="173"/>
      <c r="AG24" s="168">
        <f>1*[1]Parámetros!$E$23/[1]Parámetros!$C$28</f>
        <v>1.6413289675290232</v>
      </c>
      <c r="AH24" s="173"/>
      <c r="AI24" s="177"/>
      <c r="AJ24" s="212">
        <f>($C24*D24)*(1+'Datos de Entrada'!C$76)</f>
        <v>236324.01584138715</v>
      </c>
      <c r="AK24" s="212">
        <f>($C24*E24)*(1+'Datos de Entrada'!D$76)</f>
        <v>0</v>
      </c>
      <c r="AL24" s="212">
        <f>($C24*F24)*(1+'Datos de Entrada'!E$76)</f>
        <v>0</v>
      </c>
      <c r="AM24" s="212">
        <f>($C24*G24)*(1+'Datos de Entrada'!F$76)</f>
        <v>0</v>
      </c>
      <c r="AN24" s="212">
        <f>($C24*H24)*(1+'Datos de Entrada'!G$76)</f>
        <v>281980.69372047734</v>
      </c>
      <c r="AO24" s="212">
        <f>($C24*I24)*(1+'Datos de Entrada'!H$76)</f>
        <v>0</v>
      </c>
      <c r="AP24" s="212">
        <f>($C24*J24)*(1+'Datos de Entrada'!I$76)</f>
        <v>0</v>
      </c>
      <c r="AQ24" s="212">
        <f>($C24*K24)*(1+'Datos de Entrada'!J$76)</f>
        <v>0</v>
      </c>
      <c r="AR24" s="212">
        <f>($C24*L24)*(1+'Datos de Entrada'!K$76)</f>
        <v>0</v>
      </c>
      <c r="AS24" s="212">
        <f>($C24*M24)*(1+'Datos de Entrada'!L$76)</f>
        <v>355836.55286608392</v>
      </c>
      <c r="AT24" s="212">
        <f>($C24*N24)*(1+'Datos de Entrada'!M$76)</f>
        <v>0</v>
      </c>
      <c r="AU24" s="212">
        <f>($C24*O24)*(1+'Datos de Entrada'!N$76)</f>
        <v>0</v>
      </c>
      <c r="AV24" s="212">
        <f>($C24*P24)*(1+'Datos de Entrada'!O$76)</f>
        <v>0</v>
      </c>
      <c r="AW24" s="212">
        <f>($C24*Q24)*(1+'Datos de Entrada'!P$76)</f>
        <v>0</v>
      </c>
      <c r="AX24" s="212">
        <f>($C24*R24)*(1+'Datos de Entrada'!Q$76)</f>
        <v>0</v>
      </c>
      <c r="AY24" s="212">
        <f>($C24*S24)*(1+'Datos de Entrada'!R$76)</f>
        <v>0</v>
      </c>
      <c r="AZ24" s="212">
        <f>($C24*T24)*(1+'Datos de Entrada'!S$76)</f>
        <v>0</v>
      </c>
      <c r="BA24" s="212">
        <f>($C24*U24)*(1+'Datos de Entrada'!T$76)</f>
        <v>0</v>
      </c>
      <c r="BB24" s="212">
        <f>($C24*V24)*(1+'Datos de Entrada'!U$76)</f>
        <v>0</v>
      </c>
      <c r="BC24" s="212">
        <f>($C24*W24)*(1+'Datos de Entrada'!V$76)</f>
        <v>556350.68022827338</v>
      </c>
      <c r="BD24" s="212">
        <f>($C24*X24)*(1+'Datos de Entrada'!W$76)</f>
        <v>0</v>
      </c>
      <c r="BE24" s="212">
        <f>($C24*Y24)*(1+'Datos de Entrada'!X$76)</f>
        <v>0</v>
      </c>
      <c r="BF24" s="212">
        <f>($C24*Z24)*(1+'Datos de Entrada'!Y$76)</f>
        <v>0</v>
      </c>
      <c r="BG24" s="212">
        <f>($C24*AA24)*(1+'Datos de Entrada'!Z$76)</f>
        <v>0</v>
      </c>
      <c r="BH24" s="212">
        <f>($C24*AB24)*(1+'Datos de Entrada'!AA$76)</f>
        <v>0</v>
      </c>
      <c r="BI24" s="212">
        <f>($C24*AC24)*(1+'Datos de Entrada'!AB$76)</f>
        <v>0</v>
      </c>
      <c r="BJ24" s="212">
        <f>($C24*AD24)*(1+'Datos de Entrada'!AC$76)</f>
        <v>0</v>
      </c>
      <c r="BK24" s="212">
        <f>($C24*AE24)*(1+'Datos de Entrada'!AD$76)</f>
        <v>0</v>
      </c>
      <c r="BL24" s="212">
        <f>($C24*AF24)*(1+'Datos de Entrada'!AE$76)</f>
        <v>0</v>
      </c>
      <c r="BM24" s="212">
        <f>($C24*AG24)*(1+'Datos de Entrada'!AF$76)</f>
        <v>766246.65483335871</v>
      </c>
      <c r="BN24" s="213">
        <f t="shared" si="3"/>
        <v>2196738.5974895805</v>
      </c>
    </row>
    <row r="25" spans="1:67" s="230" customFormat="1" ht="12.75" customHeight="1" x14ac:dyDescent="0.2">
      <c r="A25" s="225" t="s">
        <v>40</v>
      </c>
      <c r="B25" s="225" t="s">
        <v>41</v>
      </c>
      <c r="C25" s="234">
        <f>Restauracion!C25</f>
        <v>950</v>
      </c>
      <c r="D25" s="226">
        <f>+[1]Parámetros!E23*[1]Parámetros!C31</f>
        <v>2626.1263480464372</v>
      </c>
      <c r="E25" s="225"/>
      <c r="F25" s="225"/>
      <c r="G25" s="225"/>
      <c r="H25" s="226">
        <f>[1]Parámetros!$C$35*$D$25</f>
        <v>787.83790441393114</v>
      </c>
      <c r="I25" s="225"/>
      <c r="J25" s="225"/>
      <c r="K25" s="225"/>
      <c r="L25" s="225"/>
      <c r="M25" s="226">
        <f>[1]Parámetros!$C$35*$D$25</f>
        <v>787.83790441393114</v>
      </c>
      <c r="N25" s="225"/>
      <c r="O25" s="225"/>
      <c r="P25" s="225"/>
      <c r="Q25" s="225"/>
      <c r="R25" s="225"/>
      <c r="S25" s="225"/>
      <c r="T25" s="225"/>
      <c r="U25" s="225"/>
      <c r="V25" s="225"/>
      <c r="W25" s="226">
        <f>[1]Parámetros!$C$35*$D$25</f>
        <v>787.83790441393114</v>
      </c>
      <c r="X25" s="225"/>
      <c r="Y25" s="225"/>
      <c r="Z25" s="225"/>
      <c r="AA25" s="225"/>
      <c r="AB25" s="225"/>
      <c r="AC25" s="225"/>
      <c r="AD25" s="225"/>
      <c r="AE25" s="225"/>
      <c r="AF25" s="225"/>
      <c r="AG25" s="226">
        <f>[1]Parámetros!$C$35*$D$25</f>
        <v>787.83790441393114</v>
      </c>
      <c r="AH25" s="225"/>
      <c r="AI25" s="235"/>
      <c r="AJ25" s="227">
        <f>($C25*D25)*(1+'Datos de Entrada'!C$76)</f>
        <v>2494820.0306441155</v>
      </c>
      <c r="AK25" s="227">
        <f>($C25*E25)*(1+'Datos de Entrada'!D$76)</f>
        <v>0</v>
      </c>
      <c r="AL25" s="227">
        <f>($C25*F25)*(1+'Datos de Entrada'!E$76)</f>
        <v>0</v>
      </c>
      <c r="AM25" s="227">
        <f>($C25*G25)*(1+'Datos de Entrada'!F$76)</f>
        <v>0</v>
      </c>
      <c r="AN25" s="227">
        <f>($C25*H25)*(1+'Datos de Entrada'!G$76)</f>
        <v>893042.22481679148</v>
      </c>
      <c r="AO25" s="227">
        <f>($C25*I25)*(1+'Datos de Entrada'!H$76)</f>
        <v>0</v>
      </c>
      <c r="AP25" s="227">
        <f>($C25*J25)*(1+'Datos de Entrada'!I$76)</f>
        <v>0</v>
      </c>
      <c r="AQ25" s="227">
        <f>($C25*K25)*(1+'Datos de Entrada'!J$76)</f>
        <v>0</v>
      </c>
      <c r="AR25" s="227">
        <f>($C25*L25)*(1+'Datos de Entrada'!K$76)</f>
        <v>0</v>
      </c>
      <c r="AS25" s="227">
        <f>($C25*M25)*(1+'Datos de Entrada'!L$76)</f>
        <v>1126946.1843287484</v>
      </c>
      <c r="AT25" s="227">
        <f>($C25*N25)*(1+'Datos de Entrada'!M$76)</f>
        <v>0</v>
      </c>
      <c r="AU25" s="227">
        <f>($C25*O25)*(1+'Datos de Entrada'!N$76)</f>
        <v>0</v>
      </c>
      <c r="AV25" s="227">
        <f>($C25*P25)*(1+'Datos de Entrada'!O$76)</f>
        <v>0</v>
      </c>
      <c r="AW25" s="227">
        <f>($C25*Q25)*(1+'Datos de Entrada'!P$76)</f>
        <v>0</v>
      </c>
      <c r="AX25" s="227">
        <f>($C25*R25)*(1+'Datos de Entrada'!Q$76)</f>
        <v>0</v>
      </c>
      <c r="AY25" s="227">
        <f>($C25*S25)*(1+'Datos de Entrada'!R$76)</f>
        <v>0</v>
      </c>
      <c r="AZ25" s="227">
        <f>($C25*T25)*(1+'Datos de Entrada'!S$76)</f>
        <v>0</v>
      </c>
      <c r="BA25" s="227">
        <f>($C25*U25)*(1+'Datos de Entrada'!T$76)</f>
        <v>0</v>
      </c>
      <c r="BB25" s="227">
        <f>($C25*V25)*(1+'Datos de Entrada'!U$76)</f>
        <v>0</v>
      </c>
      <c r="BC25" s="227">
        <f>($C25*W25)*(1+'Datos de Entrada'!V$76)</f>
        <v>1761981.0870523858</v>
      </c>
      <c r="BD25" s="227">
        <f>($C25*X25)*(1+'Datos de Entrada'!W$76)</f>
        <v>0</v>
      </c>
      <c r="BE25" s="227">
        <f>($C25*Y25)*(1+'Datos de Entrada'!X$76)</f>
        <v>0</v>
      </c>
      <c r="BF25" s="227">
        <f>($C25*Z25)*(1+'Datos de Entrada'!Y$76)</f>
        <v>0</v>
      </c>
      <c r="BG25" s="227">
        <f>($C25*AA25)*(1+'Datos de Entrada'!Z$76)</f>
        <v>0</v>
      </c>
      <c r="BH25" s="227">
        <f>($C25*AB25)*(1+'Datos de Entrada'!AA$76)</f>
        <v>0</v>
      </c>
      <c r="BI25" s="227">
        <f>($C25*AC25)*(1+'Datos de Entrada'!AB$76)</f>
        <v>0</v>
      </c>
      <c r="BJ25" s="227">
        <f>($C25*AD25)*(1+'Datos de Entrada'!AC$76)</f>
        <v>0</v>
      </c>
      <c r="BK25" s="227">
        <f>($C25*AE25)*(1+'Datos de Entrada'!AD$76)</f>
        <v>0</v>
      </c>
      <c r="BL25" s="227">
        <f>($C25*AF25)*(1+'Datos de Entrada'!AE$76)</f>
        <v>0</v>
      </c>
      <c r="BM25" s="227">
        <f>($C25*AG25)*(1+'Datos de Entrada'!AF$76)</f>
        <v>2426728.6116727283</v>
      </c>
      <c r="BN25" s="228">
        <f t="shared" si="3"/>
        <v>8703518.1385147683</v>
      </c>
    </row>
    <row r="26" spans="1:67" s="230" customFormat="1" ht="12.75" customHeight="1" x14ac:dyDescent="0.2">
      <c r="A26" s="225" t="s">
        <v>42</v>
      </c>
      <c r="B26" s="225" t="s">
        <v>43</v>
      </c>
      <c r="C26" s="234">
        <f>Restauracion!C26</f>
        <v>35000</v>
      </c>
      <c r="D26" s="226">
        <f>+[1]Parámetros!E23/[1]Parámetros!C30</f>
        <v>218.84386233720309</v>
      </c>
      <c r="E26" s="225"/>
      <c r="F26" s="225"/>
      <c r="G26" s="225"/>
      <c r="H26" s="226">
        <f>[1]Parámetros!$C$35*$D$26</f>
        <v>65.653158701160919</v>
      </c>
      <c r="I26" s="236"/>
      <c r="J26" s="236"/>
      <c r="K26" s="236"/>
      <c r="L26" s="236"/>
      <c r="M26" s="226">
        <f>[1]Parámetros!$C$35*$D$26</f>
        <v>65.653158701160919</v>
      </c>
      <c r="N26" s="236"/>
      <c r="O26" s="236"/>
      <c r="P26" s="236"/>
      <c r="Q26" s="236"/>
      <c r="R26" s="236"/>
      <c r="S26" s="236"/>
      <c r="T26" s="236"/>
      <c r="U26" s="236"/>
      <c r="V26" s="236"/>
      <c r="W26" s="226">
        <f>[1]Parámetros!$C$35*$D$26</f>
        <v>65.653158701160919</v>
      </c>
      <c r="X26" s="236"/>
      <c r="Y26" s="236"/>
      <c r="Z26" s="236"/>
      <c r="AA26" s="236"/>
      <c r="AB26" s="236"/>
      <c r="AC26" s="236"/>
      <c r="AD26" s="236"/>
      <c r="AE26" s="236"/>
      <c r="AF26" s="236"/>
      <c r="AG26" s="226">
        <f>[1]Parámetros!$C$35*$D$26</f>
        <v>65.653158701160919</v>
      </c>
      <c r="AH26" s="225"/>
      <c r="AI26" s="235"/>
      <c r="AJ26" s="227">
        <f>($C26*D26)*(1+'Datos de Entrada'!C$76)</f>
        <v>7659535.181802108</v>
      </c>
      <c r="AK26" s="227">
        <f>($C26*E26)*(1+'Datos de Entrada'!D$76)</f>
        <v>0</v>
      </c>
      <c r="AL26" s="227">
        <f>($C26*F26)*(1+'Datos de Entrada'!E$76)</f>
        <v>0</v>
      </c>
      <c r="AM26" s="227">
        <f>($C26*G26)*(1+'Datos de Entrada'!F$76)</f>
        <v>0</v>
      </c>
      <c r="AN26" s="227">
        <f>($C26*H26)*(1+'Datos de Entrada'!G$76)</f>
        <v>2741796.3042620788</v>
      </c>
      <c r="AO26" s="227">
        <f>($C26*I26)*(1+'Datos de Entrada'!H$76)</f>
        <v>0</v>
      </c>
      <c r="AP26" s="227">
        <f>($C26*J26)*(1+'Datos de Entrada'!I$76)</f>
        <v>0</v>
      </c>
      <c r="AQ26" s="227">
        <f>($C26*K26)*(1+'Datos de Entrada'!J$76)</f>
        <v>0</v>
      </c>
      <c r="AR26" s="227">
        <f>($C26*L26)*(1+'Datos de Entrada'!K$76)</f>
        <v>0</v>
      </c>
      <c r="AS26" s="227">
        <f>($C26*M26)*(1+'Datos de Entrada'!L$76)</f>
        <v>3459922.4957461571</v>
      </c>
      <c r="AT26" s="227">
        <f>($C26*N26)*(1+'Datos de Entrada'!M$76)</f>
        <v>0</v>
      </c>
      <c r="AU26" s="227">
        <f>($C26*O26)*(1+'Datos de Entrada'!N$76)</f>
        <v>0</v>
      </c>
      <c r="AV26" s="227">
        <f>($C26*P26)*(1+'Datos de Entrada'!O$76)</f>
        <v>0</v>
      </c>
      <c r="AW26" s="227">
        <f>($C26*Q26)*(1+'Datos de Entrada'!P$76)</f>
        <v>0</v>
      </c>
      <c r="AX26" s="227">
        <f>($C26*R26)*(1+'Datos de Entrada'!Q$76)</f>
        <v>0</v>
      </c>
      <c r="AY26" s="227">
        <f>($C26*S26)*(1+'Datos de Entrada'!R$76)</f>
        <v>0</v>
      </c>
      <c r="AZ26" s="227">
        <f>($C26*T26)*(1+'Datos de Entrada'!S$76)</f>
        <v>0</v>
      </c>
      <c r="BA26" s="227">
        <f>($C26*U26)*(1+'Datos de Entrada'!T$76)</f>
        <v>0</v>
      </c>
      <c r="BB26" s="227">
        <f>($C26*V26)*(1+'Datos de Entrada'!U$76)</f>
        <v>0</v>
      </c>
      <c r="BC26" s="227">
        <f>($C26*W26)*(1+'Datos de Entrada'!V$76)</f>
        <v>5409591.0567397801</v>
      </c>
      <c r="BD26" s="227">
        <f>($C26*X26)*(1+'Datos de Entrada'!W$76)</f>
        <v>0</v>
      </c>
      <c r="BE26" s="227">
        <f>($C26*Y26)*(1+'Datos de Entrada'!X$76)</f>
        <v>0</v>
      </c>
      <c r="BF26" s="227">
        <f>($C26*Z26)*(1+'Datos de Entrada'!Y$76)</f>
        <v>0</v>
      </c>
      <c r="BG26" s="227">
        <f>($C26*AA26)*(1+'Datos de Entrada'!Z$76)</f>
        <v>0</v>
      </c>
      <c r="BH26" s="227">
        <f>($C26*AB26)*(1+'Datos de Entrada'!AA$76)</f>
        <v>0</v>
      </c>
      <c r="BI26" s="227">
        <f>($C26*AC26)*(1+'Datos de Entrada'!AB$76)</f>
        <v>0</v>
      </c>
      <c r="BJ26" s="227">
        <f>($C26*AD26)*(1+'Datos de Entrada'!AC$76)</f>
        <v>0</v>
      </c>
      <c r="BK26" s="227">
        <f>($C26*AE26)*(1+'Datos de Entrada'!AD$76)</f>
        <v>0</v>
      </c>
      <c r="BL26" s="227">
        <f>($C26*AF26)*(1+'Datos de Entrada'!AE$76)</f>
        <v>0</v>
      </c>
      <c r="BM26" s="227">
        <f>($C26*AG26)*(1+'Datos de Entrada'!AF$76)</f>
        <v>7450482.579696971</v>
      </c>
      <c r="BN26" s="228">
        <f t="shared" si="3"/>
        <v>26721327.618247095</v>
      </c>
    </row>
    <row r="27" spans="1:67" s="230" customFormat="1" ht="12.75" customHeight="1" x14ac:dyDescent="0.2">
      <c r="A27" s="225" t="s">
        <v>44</v>
      </c>
      <c r="B27" s="225" t="s">
        <v>43</v>
      </c>
      <c r="C27" s="234">
        <f>Restauracion!C27</f>
        <v>38000</v>
      </c>
      <c r="D27" s="226">
        <f>+[1]Parámetros!E23/[1]Parámetros!C32</f>
        <v>21.88438623372031</v>
      </c>
      <c r="E27" s="225"/>
      <c r="F27" s="225"/>
      <c r="G27" s="225"/>
      <c r="H27" s="226">
        <f>[1]Parámetros!$C$35*$D$27</f>
        <v>6.565315870116093</v>
      </c>
      <c r="I27" s="236"/>
      <c r="J27" s="236"/>
      <c r="K27" s="236"/>
      <c r="L27" s="236"/>
      <c r="M27" s="226">
        <f>[1]Parámetros!$C$35*$D$27</f>
        <v>6.565315870116093</v>
      </c>
      <c r="N27" s="236"/>
      <c r="O27" s="236"/>
      <c r="P27" s="236"/>
      <c r="Q27" s="236"/>
      <c r="R27" s="236"/>
      <c r="S27" s="236"/>
      <c r="T27" s="236"/>
      <c r="U27" s="236"/>
      <c r="V27" s="236"/>
      <c r="W27" s="226">
        <f>[1]Parámetros!$C$35*$D$27</f>
        <v>6.565315870116093</v>
      </c>
      <c r="X27" s="236"/>
      <c r="Y27" s="236"/>
      <c r="Z27" s="236"/>
      <c r="AA27" s="236"/>
      <c r="AB27" s="236"/>
      <c r="AC27" s="236"/>
      <c r="AD27" s="236"/>
      <c r="AE27" s="236"/>
      <c r="AF27" s="236"/>
      <c r="AG27" s="226">
        <f>[1]Parámetros!$C$35*$D$27</f>
        <v>6.565315870116093</v>
      </c>
      <c r="AH27" s="225"/>
      <c r="AI27" s="235"/>
      <c r="AJ27" s="227">
        <f>($C27*D27)*(1+'Datos de Entrada'!C$76)</f>
        <v>831606.67688137176</v>
      </c>
      <c r="AK27" s="227">
        <f>($C27*E27)*(1+'Datos de Entrada'!D$76)</f>
        <v>0</v>
      </c>
      <c r="AL27" s="227">
        <f>($C27*F27)*(1+'Datos de Entrada'!E$76)</f>
        <v>0</v>
      </c>
      <c r="AM27" s="227">
        <f>($C27*G27)*(1+'Datos de Entrada'!F$76)</f>
        <v>0</v>
      </c>
      <c r="AN27" s="227">
        <f>($C27*H27)*(1+'Datos de Entrada'!G$76)</f>
        <v>297680.7416055972</v>
      </c>
      <c r="AO27" s="227">
        <f>($C27*I27)*(1+'Datos de Entrada'!H$76)</f>
        <v>0</v>
      </c>
      <c r="AP27" s="227">
        <f>($C27*J27)*(1+'Datos de Entrada'!I$76)</f>
        <v>0</v>
      </c>
      <c r="AQ27" s="227">
        <f>($C27*K27)*(1+'Datos de Entrada'!J$76)</f>
        <v>0</v>
      </c>
      <c r="AR27" s="227">
        <f>($C27*L27)*(1+'Datos de Entrada'!K$76)</f>
        <v>0</v>
      </c>
      <c r="AS27" s="227">
        <f>($C27*M27)*(1+'Datos de Entrada'!L$76)</f>
        <v>375648.72810958285</v>
      </c>
      <c r="AT27" s="227">
        <f>($C27*N27)*(1+'Datos de Entrada'!M$76)</f>
        <v>0</v>
      </c>
      <c r="AU27" s="227">
        <f>($C27*O27)*(1+'Datos de Entrada'!N$76)</f>
        <v>0</v>
      </c>
      <c r="AV27" s="227">
        <f>($C27*P27)*(1+'Datos de Entrada'!O$76)</f>
        <v>0</v>
      </c>
      <c r="AW27" s="227">
        <f>($C27*Q27)*(1+'Datos de Entrada'!P$76)</f>
        <v>0</v>
      </c>
      <c r="AX27" s="227">
        <f>($C27*R27)*(1+'Datos de Entrada'!Q$76)</f>
        <v>0</v>
      </c>
      <c r="AY27" s="227">
        <f>($C27*S27)*(1+'Datos de Entrada'!R$76)</f>
        <v>0</v>
      </c>
      <c r="AZ27" s="227">
        <f>($C27*T27)*(1+'Datos de Entrada'!S$76)</f>
        <v>0</v>
      </c>
      <c r="BA27" s="227">
        <f>($C27*U27)*(1+'Datos de Entrada'!T$76)</f>
        <v>0</v>
      </c>
      <c r="BB27" s="227">
        <f>($C27*V27)*(1+'Datos de Entrada'!U$76)</f>
        <v>0</v>
      </c>
      <c r="BC27" s="227">
        <f>($C27*W27)*(1+'Datos de Entrada'!V$76)</f>
        <v>587327.02901746193</v>
      </c>
      <c r="BD27" s="227">
        <f>($C27*X27)*(1+'Datos de Entrada'!W$76)</f>
        <v>0</v>
      </c>
      <c r="BE27" s="227">
        <f>($C27*Y27)*(1+'Datos de Entrada'!X$76)</f>
        <v>0</v>
      </c>
      <c r="BF27" s="227">
        <f>($C27*Z27)*(1+'Datos de Entrada'!Y$76)</f>
        <v>0</v>
      </c>
      <c r="BG27" s="227">
        <f>($C27*AA27)*(1+'Datos de Entrada'!Z$76)</f>
        <v>0</v>
      </c>
      <c r="BH27" s="227">
        <f>($C27*AB27)*(1+'Datos de Entrada'!AA$76)</f>
        <v>0</v>
      </c>
      <c r="BI27" s="227">
        <f>($C27*AC27)*(1+'Datos de Entrada'!AB$76)</f>
        <v>0</v>
      </c>
      <c r="BJ27" s="227">
        <f>($C27*AD27)*(1+'Datos de Entrada'!AC$76)</f>
        <v>0</v>
      </c>
      <c r="BK27" s="227">
        <f>($C27*AE27)*(1+'Datos de Entrada'!AD$76)</f>
        <v>0</v>
      </c>
      <c r="BL27" s="227">
        <f>($C27*AF27)*(1+'Datos de Entrada'!AE$76)</f>
        <v>0</v>
      </c>
      <c r="BM27" s="227">
        <f>($C27*AG27)*(1+'Datos de Entrada'!AF$76)</f>
        <v>808909.5372242427</v>
      </c>
      <c r="BN27" s="228">
        <f t="shared" si="3"/>
        <v>2901172.7128382567</v>
      </c>
    </row>
    <row r="28" spans="1:67" s="230" customFormat="1" ht="12.75" customHeight="1" x14ac:dyDescent="0.2">
      <c r="A28" s="225" t="s">
        <v>45</v>
      </c>
      <c r="B28" s="225" t="s">
        <v>46</v>
      </c>
      <c r="C28" s="234">
        <f>Restauracion!C28</f>
        <v>10450</v>
      </c>
      <c r="D28" s="226">
        <f>4*(D26+D27)/[1]Parámetros!C33</f>
        <v>4.1865782360160591</v>
      </c>
      <c r="E28" s="225"/>
      <c r="F28" s="225"/>
      <c r="G28" s="225"/>
      <c r="H28" s="226">
        <f>[1]Parámetros!$C$35*$D$28</f>
        <v>1.2559734708048176</v>
      </c>
      <c r="I28" s="236"/>
      <c r="J28" s="236"/>
      <c r="K28" s="236"/>
      <c r="L28" s="236"/>
      <c r="M28" s="226">
        <f>[1]Parámetros!$C$35*$D$28</f>
        <v>1.2559734708048176</v>
      </c>
      <c r="N28" s="236"/>
      <c r="O28" s="236"/>
      <c r="P28" s="236"/>
      <c r="Q28" s="236"/>
      <c r="R28" s="236"/>
      <c r="S28" s="236"/>
      <c r="T28" s="236"/>
      <c r="U28" s="236"/>
      <c r="V28" s="236"/>
      <c r="W28" s="226">
        <f>[1]Parámetros!$C$35*$D$28</f>
        <v>1.2559734708048176</v>
      </c>
      <c r="X28" s="236"/>
      <c r="Y28" s="236"/>
      <c r="Z28" s="236"/>
      <c r="AA28" s="236"/>
      <c r="AB28" s="236"/>
      <c r="AC28" s="236"/>
      <c r="AD28" s="236"/>
      <c r="AE28" s="236"/>
      <c r="AF28" s="236"/>
      <c r="AG28" s="226">
        <f>[1]Parámetros!$C$35*$D$28</f>
        <v>1.2559734708048176</v>
      </c>
      <c r="AH28" s="225"/>
      <c r="AI28" s="235"/>
      <c r="AJ28" s="227">
        <f>($C28*D28)*(1+'Datos de Entrada'!C$76)</f>
        <v>43749.742566367815</v>
      </c>
      <c r="AK28" s="227">
        <f>($C28*E28)*(1+'Datos de Entrada'!D$76)</f>
        <v>0</v>
      </c>
      <c r="AL28" s="227">
        <f>($C28*F28)*(1+'Datos de Entrada'!E$76)</f>
        <v>0</v>
      </c>
      <c r="AM28" s="227">
        <f>($C28*G28)*(1+'Datos de Entrada'!F$76)</f>
        <v>0</v>
      </c>
      <c r="AN28" s="227">
        <f>($C28*H28)*(1+'Datos de Entrada'!G$76)</f>
        <v>15660.595536642282</v>
      </c>
      <c r="AO28" s="227">
        <f>($C28*I28)*(1+'Datos de Entrada'!H$76)</f>
        <v>0</v>
      </c>
      <c r="AP28" s="227">
        <f>($C28*J28)*(1+'Datos de Entrada'!I$76)</f>
        <v>0</v>
      </c>
      <c r="AQ28" s="227">
        <f>($C28*K28)*(1+'Datos de Entrada'!J$76)</f>
        <v>0</v>
      </c>
      <c r="AR28" s="227">
        <f>($C28*L28)*(1+'Datos de Entrada'!K$76)</f>
        <v>0</v>
      </c>
      <c r="AS28" s="227">
        <f>($C28*M28)*(1+'Datos de Entrada'!L$76)</f>
        <v>19762.389609243266</v>
      </c>
      <c r="AT28" s="227">
        <f>($C28*N28)*(1+'Datos de Entrada'!M$76)</f>
        <v>0</v>
      </c>
      <c r="AU28" s="227">
        <f>($C28*O28)*(1+'Datos de Entrada'!N$76)</f>
        <v>0</v>
      </c>
      <c r="AV28" s="227">
        <f>($C28*P28)*(1+'Datos de Entrada'!O$76)</f>
        <v>0</v>
      </c>
      <c r="AW28" s="227">
        <f>($C28*Q28)*(1+'Datos de Entrada'!P$76)</f>
        <v>0</v>
      </c>
      <c r="AX28" s="227">
        <f>($C28*R28)*(1+'Datos de Entrada'!Q$76)</f>
        <v>0</v>
      </c>
      <c r="AY28" s="227">
        <f>($C28*S28)*(1+'Datos de Entrada'!R$76)</f>
        <v>0</v>
      </c>
      <c r="AZ28" s="227">
        <f>($C28*T28)*(1+'Datos de Entrada'!S$76)</f>
        <v>0</v>
      </c>
      <c r="BA28" s="227">
        <f>($C28*U28)*(1+'Datos de Entrada'!T$76)</f>
        <v>0</v>
      </c>
      <c r="BB28" s="227">
        <f>($C28*V28)*(1+'Datos de Entrada'!U$76)</f>
        <v>0</v>
      </c>
      <c r="BC28" s="227">
        <f>($C28*W28)*(1+'Datos de Entrada'!V$76)</f>
        <v>30898.508917875166</v>
      </c>
      <c r="BD28" s="227">
        <f>($C28*X28)*(1+'Datos de Entrada'!W$76)</f>
        <v>0</v>
      </c>
      <c r="BE28" s="227">
        <f>($C28*Y28)*(1+'Datos de Entrada'!X$76)</f>
        <v>0</v>
      </c>
      <c r="BF28" s="227">
        <f>($C28*Z28)*(1+'Datos de Entrada'!Y$76)</f>
        <v>0</v>
      </c>
      <c r="BG28" s="227">
        <f>($C28*AA28)*(1+'Datos de Entrada'!Z$76)</f>
        <v>0</v>
      </c>
      <c r="BH28" s="227">
        <f>($C28*AB28)*(1+'Datos de Entrada'!AA$76)</f>
        <v>0</v>
      </c>
      <c r="BI28" s="227">
        <f>($C28*AC28)*(1+'Datos de Entrada'!AB$76)</f>
        <v>0</v>
      </c>
      <c r="BJ28" s="227">
        <f>($C28*AD28)*(1+'Datos de Entrada'!AC$76)</f>
        <v>0</v>
      </c>
      <c r="BK28" s="227">
        <f>($C28*AE28)*(1+'Datos de Entrada'!AD$76)</f>
        <v>0</v>
      </c>
      <c r="BL28" s="227">
        <f>($C28*AF28)*(1+'Datos de Entrada'!AE$76)</f>
        <v>0</v>
      </c>
      <c r="BM28" s="227">
        <f>($C28*AG28)*(1+'Datos de Entrada'!AF$76)</f>
        <v>42555.675653971019</v>
      </c>
      <c r="BN28" s="228">
        <f t="shared" si="3"/>
        <v>152626.91228409956</v>
      </c>
    </row>
    <row r="29" spans="1:67" s="230" customFormat="1" ht="12.75" customHeight="1" x14ac:dyDescent="0.2">
      <c r="A29" s="225" t="s">
        <v>47</v>
      </c>
      <c r="B29" s="225" t="s">
        <v>23</v>
      </c>
      <c r="C29" s="234">
        <f>Restauracion!C29</f>
        <v>95000</v>
      </c>
      <c r="D29" s="226">
        <f>+D20</f>
        <v>6.565315870116093</v>
      </c>
      <c r="E29" s="225"/>
      <c r="F29" s="225"/>
      <c r="G29" s="225"/>
      <c r="H29" s="226">
        <v>1</v>
      </c>
      <c r="I29" s="236"/>
      <c r="J29" s="236"/>
      <c r="K29" s="236"/>
      <c r="L29" s="236"/>
      <c r="M29" s="226">
        <v>1</v>
      </c>
      <c r="N29" s="236"/>
      <c r="O29" s="236"/>
      <c r="P29" s="236"/>
      <c r="Q29" s="236"/>
      <c r="R29" s="236"/>
      <c r="S29" s="236"/>
      <c r="T29" s="236"/>
      <c r="U29" s="236"/>
      <c r="V29" s="236"/>
      <c r="W29" s="226">
        <v>1</v>
      </c>
      <c r="X29" s="236"/>
      <c r="Y29" s="236"/>
      <c r="Z29" s="236"/>
      <c r="AA29" s="236"/>
      <c r="AB29" s="236"/>
      <c r="AC29" s="236"/>
      <c r="AD29" s="236"/>
      <c r="AE29" s="236"/>
      <c r="AF29" s="236"/>
      <c r="AG29" s="226">
        <v>1</v>
      </c>
      <c r="AH29" s="225"/>
      <c r="AI29" s="235"/>
      <c r="AJ29" s="227">
        <f>($C29*D29)*(1+'Datos de Entrada'!C$76)</f>
        <v>623705.00766102888</v>
      </c>
      <c r="AK29" s="227">
        <f>($C29*E29)*(1+'Datos de Entrada'!D$76)</f>
        <v>0</v>
      </c>
      <c r="AL29" s="227">
        <f>($C29*F29)*(1+'Datos de Entrada'!E$76)</f>
        <v>0</v>
      </c>
      <c r="AM29" s="227">
        <f>($C29*G29)*(1+'Datos de Entrada'!F$76)</f>
        <v>0</v>
      </c>
      <c r="AN29" s="227">
        <f>($C29*H29)*(1+'Datos de Entrada'!G$76)</f>
        <v>113353.54897415367</v>
      </c>
      <c r="AO29" s="227">
        <f>($C29*I29)*(1+'Datos de Entrada'!H$76)</f>
        <v>0</v>
      </c>
      <c r="AP29" s="227">
        <f>($C29*J29)*(1+'Datos de Entrada'!I$76)</f>
        <v>0</v>
      </c>
      <c r="AQ29" s="227">
        <f>($C29*K29)*(1+'Datos de Entrada'!J$76)</f>
        <v>0</v>
      </c>
      <c r="AR29" s="227">
        <f>($C29*L29)*(1+'Datos de Entrada'!K$76)</f>
        <v>0</v>
      </c>
      <c r="AS29" s="227">
        <f>($C29*M29)*(1+'Datos de Entrada'!L$76)</f>
        <v>143042.8998166924</v>
      </c>
      <c r="AT29" s="227">
        <f>($C29*N29)*(1+'Datos de Entrada'!M$76)</f>
        <v>0</v>
      </c>
      <c r="AU29" s="227">
        <f>($C29*O29)*(1+'Datos de Entrada'!N$76)</f>
        <v>0</v>
      </c>
      <c r="AV29" s="227">
        <f>($C29*P29)*(1+'Datos de Entrada'!O$76)</f>
        <v>0</v>
      </c>
      <c r="AW29" s="227">
        <f>($C29*Q29)*(1+'Datos de Entrada'!P$76)</f>
        <v>0</v>
      </c>
      <c r="AX29" s="227">
        <f>($C29*R29)*(1+'Datos de Entrada'!Q$76)</f>
        <v>0</v>
      </c>
      <c r="AY29" s="227">
        <f>($C29*S29)*(1+'Datos de Entrada'!R$76)</f>
        <v>0</v>
      </c>
      <c r="AZ29" s="227">
        <f>($C29*T29)*(1+'Datos de Entrada'!S$76)</f>
        <v>0</v>
      </c>
      <c r="BA29" s="227">
        <f>($C29*U29)*(1+'Datos de Entrada'!T$76)</f>
        <v>0</v>
      </c>
      <c r="BB29" s="227">
        <f>($C29*V29)*(1+'Datos de Entrada'!U$76)</f>
        <v>0</v>
      </c>
      <c r="BC29" s="227">
        <f>($C29*W29)*(1+'Datos de Entrada'!V$76)</f>
        <v>223647.66624971098</v>
      </c>
      <c r="BD29" s="227">
        <f>($C29*X29)*(1+'Datos de Entrada'!W$76)</f>
        <v>0</v>
      </c>
      <c r="BE29" s="227">
        <f>($C29*Y29)*(1+'Datos de Entrada'!X$76)</f>
        <v>0</v>
      </c>
      <c r="BF29" s="227">
        <f>($C29*Z29)*(1+'Datos de Entrada'!Y$76)</f>
        <v>0</v>
      </c>
      <c r="BG29" s="227">
        <f>($C29*AA29)*(1+'Datos de Entrada'!Z$76)</f>
        <v>0</v>
      </c>
      <c r="BH29" s="227">
        <f>($C29*AB29)*(1+'Datos de Entrada'!AA$76)</f>
        <v>0</v>
      </c>
      <c r="BI29" s="227">
        <f>($C29*AC29)*(1+'Datos de Entrada'!AB$76)</f>
        <v>0</v>
      </c>
      <c r="BJ29" s="227">
        <f>($C29*AD29)*(1+'Datos de Entrada'!AC$76)</f>
        <v>0</v>
      </c>
      <c r="BK29" s="227">
        <f>($C29*AE29)*(1+'Datos de Entrada'!AD$76)</f>
        <v>0</v>
      </c>
      <c r="BL29" s="227">
        <f>($C29*AF29)*(1+'Datos de Entrada'!AE$76)</f>
        <v>0</v>
      </c>
      <c r="BM29" s="227">
        <f>($C29*AG29)*(1+'Datos de Entrada'!AF$76)</f>
        <v>308023.84577801696</v>
      </c>
      <c r="BN29" s="228">
        <f t="shared" si="3"/>
        <v>1411772.9684796031</v>
      </c>
    </row>
    <row r="30" spans="1:67" s="230" customFormat="1" ht="12.75" customHeight="1" x14ac:dyDescent="0.2">
      <c r="A30" s="225" t="s">
        <v>48</v>
      </c>
      <c r="B30" s="225" t="s">
        <v>23</v>
      </c>
      <c r="C30" s="234">
        <f>Restauracion!C30</f>
        <v>45000</v>
      </c>
      <c r="D30" s="226">
        <f>+D20</f>
        <v>6.565315870116093</v>
      </c>
      <c r="E30" s="225"/>
      <c r="F30" s="225"/>
      <c r="G30" s="225"/>
      <c r="H30" s="226">
        <v>1</v>
      </c>
      <c r="I30" s="236"/>
      <c r="J30" s="236"/>
      <c r="K30" s="236"/>
      <c r="L30" s="236"/>
      <c r="M30" s="226">
        <v>1</v>
      </c>
      <c r="N30" s="236"/>
      <c r="O30" s="236"/>
      <c r="P30" s="236"/>
      <c r="Q30" s="236"/>
      <c r="R30" s="236"/>
      <c r="S30" s="236"/>
      <c r="T30" s="236"/>
      <c r="U30" s="236"/>
      <c r="V30" s="236"/>
      <c r="W30" s="226">
        <v>1</v>
      </c>
      <c r="X30" s="236"/>
      <c r="Y30" s="236"/>
      <c r="Z30" s="236"/>
      <c r="AA30" s="236"/>
      <c r="AB30" s="236"/>
      <c r="AC30" s="236"/>
      <c r="AD30" s="236"/>
      <c r="AE30" s="236"/>
      <c r="AF30" s="236"/>
      <c r="AG30" s="226">
        <v>1</v>
      </c>
      <c r="AH30" s="225"/>
      <c r="AI30" s="235"/>
      <c r="AJ30" s="227">
        <f>($C30*D30)*(1+'Datos de Entrada'!C$76)</f>
        <v>295439.21415522421</v>
      </c>
      <c r="AK30" s="227">
        <f>($C30*E30)*(1+'Datos de Entrada'!D$76)</f>
        <v>0</v>
      </c>
      <c r="AL30" s="227">
        <f>($C30*F30)*(1+'Datos de Entrada'!E$76)</f>
        <v>0</v>
      </c>
      <c r="AM30" s="227">
        <f>($C30*G30)*(1+'Datos de Entrada'!F$76)</f>
        <v>0</v>
      </c>
      <c r="AN30" s="227">
        <f>($C30*H30)*(1+'Datos de Entrada'!G$76)</f>
        <v>53693.786356178061</v>
      </c>
      <c r="AO30" s="227">
        <f>($C30*I30)*(1+'Datos de Entrada'!H$76)</f>
        <v>0</v>
      </c>
      <c r="AP30" s="227">
        <f>($C30*J30)*(1+'Datos de Entrada'!I$76)</f>
        <v>0</v>
      </c>
      <c r="AQ30" s="227">
        <f>($C30*K30)*(1+'Datos de Entrada'!J$76)</f>
        <v>0</v>
      </c>
      <c r="AR30" s="227">
        <f>($C30*L30)*(1+'Datos de Entrada'!K$76)</f>
        <v>0</v>
      </c>
      <c r="AS30" s="227">
        <f>($C30*M30)*(1+'Datos de Entrada'!L$76)</f>
        <v>67757.163071064831</v>
      </c>
      <c r="AT30" s="227">
        <f>($C30*N30)*(1+'Datos de Entrada'!M$76)</f>
        <v>0</v>
      </c>
      <c r="AU30" s="227">
        <f>($C30*O30)*(1+'Datos de Entrada'!N$76)</f>
        <v>0</v>
      </c>
      <c r="AV30" s="227">
        <f>($C30*P30)*(1+'Datos de Entrada'!O$76)</f>
        <v>0</v>
      </c>
      <c r="AW30" s="227">
        <f>($C30*Q30)*(1+'Datos de Entrada'!P$76)</f>
        <v>0</v>
      </c>
      <c r="AX30" s="227">
        <f>($C30*R30)*(1+'Datos de Entrada'!Q$76)</f>
        <v>0</v>
      </c>
      <c r="AY30" s="227">
        <f>($C30*S30)*(1+'Datos de Entrada'!R$76)</f>
        <v>0</v>
      </c>
      <c r="AZ30" s="227">
        <f>($C30*T30)*(1+'Datos de Entrada'!S$76)</f>
        <v>0</v>
      </c>
      <c r="BA30" s="227">
        <f>($C30*U30)*(1+'Datos de Entrada'!T$76)</f>
        <v>0</v>
      </c>
      <c r="BB30" s="227">
        <f>($C30*V30)*(1+'Datos de Entrada'!U$76)</f>
        <v>0</v>
      </c>
      <c r="BC30" s="227">
        <f>($C30*W30)*(1+'Datos de Entrada'!V$76)</f>
        <v>105938.36822354731</v>
      </c>
      <c r="BD30" s="227">
        <f>($C30*X30)*(1+'Datos de Entrada'!W$76)</f>
        <v>0</v>
      </c>
      <c r="BE30" s="227">
        <f>($C30*Y30)*(1+'Datos de Entrada'!X$76)</f>
        <v>0</v>
      </c>
      <c r="BF30" s="227">
        <f>($C30*Z30)*(1+'Datos de Entrada'!Y$76)</f>
        <v>0</v>
      </c>
      <c r="BG30" s="227">
        <f>($C30*AA30)*(1+'Datos de Entrada'!Z$76)</f>
        <v>0</v>
      </c>
      <c r="BH30" s="227">
        <f>($C30*AB30)*(1+'Datos de Entrada'!AA$76)</f>
        <v>0</v>
      </c>
      <c r="BI30" s="227">
        <f>($C30*AC30)*(1+'Datos de Entrada'!AB$76)</f>
        <v>0</v>
      </c>
      <c r="BJ30" s="227">
        <f>($C30*AD30)*(1+'Datos de Entrada'!AC$76)</f>
        <v>0</v>
      </c>
      <c r="BK30" s="227">
        <f>($C30*AE30)*(1+'Datos de Entrada'!AD$76)</f>
        <v>0</v>
      </c>
      <c r="BL30" s="227">
        <f>($C30*AF30)*(1+'Datos de Entrada'!AE$76)</f>
        <v>0</v>
      </c>
      <c r="BM30" s="227">
        <f>($C30*AG30)*(1+'Datos de Entrada'!AF$76)</f>
        <v>145906.03221063962</v>
      </c>
      <c r="BN30" s="228">
        <f t="shared" si="3"/>
        <v>668734.56401665404</v>
      </c>
    </row>
    <row r="31" spans="1:67" ht="12.75" customHeight="1" x14ac:dyDescent="0.2">
      <c r="A31" s="18" t="s">
        <v>49</v>
      </c>
      <c r="B31" s="18" t="s">
        <v>50</v>
      </c>
      <c r="C31" s="19">
        <f>Restauracion!C31</f>
        <v>1850000</v>
      </c>
      <c r="D31" s="21">
        <f>+D26/[1]Parámetros!C34</f>
        <v>0.66316321920364574</v>
      </c>
      <c r="E31" s="18"/>
      <c r="F31" s="18"/>
      <c r="G31" s="18"/>
      <c r="H31" s="21">
        <v>1</v>
      </c>
      <c r="I31" s="25"/>
      <c r="J31" s="25"/>
      <c r="K31" s="25"/>
      <c r="L31" s="25"/>
      <c r="M31" s="21">
        <v>1</v>
      </c>
      <c r="N31" s="25"/>
      <c r="O31" s="25"/>
      <c r="P31" s="25"/>
      <c r="Q31" s="25"/>
      <c r="R31" s="25"/>
      <c r="S31" s="25"/>
      <c r="T31" s="25"/>
      <c r="U31" s="25"/>
      <c r="V31" s="25"/>
      <c r="W31" s="21">
        <v>1</v>
      </c>
      <c r="X31" s="25"/>
      <c r="Y31" s="25"/>
      <c r="Z31" s="25"/>
      <c r="AA31" s="25"/>
      <c r="AB31" s="25"/>
      <c r="AC31" s="25"/>
      <c r="AD31" s="25"/>
      <c r="AE31" s="25"/>
      <c r="AF31" s="25"/>
      <c r="AG31" s="21">
        <v>1</v>
      </c>
      <c r="AH31" s="18"/>
      <c r="AI31" s="9"/>
      <c r="AJ31" s="26">
        <f>($C31*D31)*(1+'Datos de Entrada'!C$76)</f>
        <v>1226851.9555267447</v>
      </c>
      <c r="AK31" s="26">
        <f>($C31*E31)*(1+'Datos de Entrada'!D$76)</f>
        <v>0</v>
      </c>
      <c r="AL31" s="26">
        <f>($C31*F31)*(1+'Datos de Entrada'!E$76)</f>
        <v>0</v>
      </c>
      <c r="AM31" s="26">
        <f>($C31*G31)*(1+'Datos de Entrada'!F$76)</f>
        <v>0</v>
      </c>
      <c r="AN31" s="26">
        <f>($C31*H31)*(1+'Datos de Entrada'!G$76)</f>
        <v>2207411.2168650981</v>
      </c>
      <c r="AO31" s="26">
        <f>($C31*I31)*(1+'Datos de Entrada'!H$76)</f>
        <v>0</v>
      </c>
      <c r="AP31" s="26">
        <f>($C31*J31)*(1+'Datos de Entrada'!I$76)</f>
        <v>0</v>
      </c>
      <c r="AQ31" s="26">
        <f>($C31*K31)*(1+'Datos de Entrada'!J$76)</f>
        <v>0</v>
      </c>
      <c r="AR31" s="26">
        <f>($C31*L31)*(1+'Datos de Entrada'!K$76)</f>
        <v>0</v>
      </c>
      <c r="AS31" s="26">
        <f>($C31*M31)*(1+'Datos de Entrada'!L$76)</f>
        <v>2785572.2595882206</v>
      </c>
      <c r="AT31" s="26">
        <f>($C31*N31)*(1+'Datos de Entrada'!M$76)</f>
        <v>0</v>
      </c>
      <c r="AU31" s="26">
        <f>($C31*O31)*(1+'Datos de Entrada'!N$76)</f>
        <v>0</v>
      </c>
      <c r="AV31" s="26">
        <f>($C31*P31)*(1+'Datos de Entrada'!O$76)</f>
        <v>0</v>
      </c>
      <c r="AW31" s="26">
        <f>($C31*Q31)*(1+'Datos de Entrada'!P$76)</f>
        <v>0</v>
      </c>
      <c r="AX31" s="26">
        <f>($C31*R31)*(1+'Datos de Entrada'!Q$76)</f>
        <v>0</v>
      </c>
      <c r="AY31" s="26">
        <f>($C31*S31)*(1+'Datos de Entrada'!R$76)</f>
        <v>0</v>
      </c>
      <c r="AZ31" s="26">
        <f>($C31*T31)*(1+'Datos de Entrada'!S$76)</f>
        <v>0</v>
      </c>
      <c r="BA31" s="26">
        <f>($C31*U31)*(1+'Datos de Entrada'!T$76)</f>
        <v>0</v>
      </c>
      <c r="BB31" s="26">
        <f>($C31*V31)*(1+'Datos de Entrada'!U$76)</f>
        <v>0</v>
      </c>
      <c r="BC31" s="26">
        <f>($C31*W31)*(1+'Datos de Entrada'!V$76)</f>
        <v>4355244.0269680563</v>
      </c>
      <c r="BD31" s="26">
        <f>($C31*X31)*(1+'Datos de Entrada'!W$76)</f>
        <v>0</v>
      </c>
      <c r="BE31" s="26">
        <f>($C31*Y31)*(1+'Datos de Entrada'!X$76)</f>
        <v>0</v>
      </c>
      <c r="BF31" s="26">
        <f>($C31*Z31)*(1+'Datos de Entrada'!Y$76)</f>
        <v>0</v>
      </c>
      <c r="BG31" s="26">
        <f>($C31*AA31)*(1+'Datos de Entrada'!Z$76)</f>
        <v>0</v>
      </c>
      <c r="BH31" s="26">
        <f>($C31*AB31)*(1+'Datos de Entrada'!AA$76)</f>
        <v>0</v>
      </c>
      <c r="BI31" s="26">
        <f>($C31*AC31)*(1+'Datos de Entrada'!AB$76)</f>
        <v>0</v>
      </c>
      <c r="BJ31" s="26">
        <f>($C31*AD31)*(1+'Datos de Entrada'!AC$76)</f>
        <v>0</v>
      </c>
      <c r="BK31" s="26">
        <f>($C31*AE31)*(1+'Datos de Entrada'!AD$76)</f>
        <v>0</v>
      </c>
      <c r="BL31" s="26">
        <f>($C31*AF31)*(1+'Datos de Entrada'!AE$76)</f>
        <v>0</v>
      </c>
      <c r="BM31" s="26">
        <f>($C31*AG31)*(1+'Datos de Entrada'!AF$76)</f>
        <v>5998359.101992962</v>
      </c>
      <c r="BN31" s="211">
        <f t="shared" si="3"/>
        <v>16573438.560941081</v>
      </c>
    </row>
    <row r="32" spans="1:67" s="250" customFormat="1" ht="12.75" customHeight="1" x14ac:dyDescent="0.2">
      <c r="A32" s="245" t="s">
        <v>20</v>
      </c>
      <c r="B32" s="245" t="s">
        <v>39</v>
      </c>
      <c r="C32" s="246">
        <f>Restauracion!C32</f>
        <v>150000</v>
      </c>
      <c r="D32" s="251">
        <f>+D24</f>
        <v>1.6413289675290232</v>
      </c>
      <c r="E32" s="245"/>
      <c r="F32" s="245"/>
      <c r="G32" s="245"/>
      <c r="H32" s="251">
        <f>+H24</f>
        <v>1.6413289675290232</v>
      </c>
      <c r="I32" s="252"/>
      <c r="J32" s="252"/>
      <c r="K32" s="252"/>
      <c r="L32" s="252"/>
      <c r="M32" s="251">
        <f>+M24</f>
        <v>1.6413289675290232</v>
      </c>
      <c r="N32" s="252"/>
      <c r="O32" s="252"/>
      <c r="P32" s="252"/>
      <c r="Q32" s="252"/>
      <c r="R32" s="252"/>
      <c r="S32" s="252"/>
      <c r="T32" s="252"/>
      <c r="U32" s="252"/>
      <c r="V32" s="252"/>
      <c r="W32" s="251">
        <f>+W24</f>
        <v>1.6413289675290232</v>
      </c>
      <c r="X32" s="252"/>
      <c r="Y32" s="252"/>
      <c r="Z32" s="252"/>
      <c r="AA32" s="252"/>
      <c r="AB32" s="252"/>
      <c r="AC32" s="252"/>
      <c r="AD32" s="252"/>
      <c r="AE32" s="252"/>
      <c r="AF32" s="252"/>
      <c r="AG32" s="251">
        <f>+AG24</f>
        <v>1.6413289675290232</v>
      </c>
      <c r="AH32" s="245"/>
      <c r="AI32" s="253"/>
      <c r="AJ32" s="247">
        <f>($C32*D32)*(1+'Datos de Entrada'!C$76)</f>
        <v>246199.34512935349</v>
      </c>
      <c r="AK32" s="247">
        <f>($C32*E32)*(1+'Datos de Entrada'!D$76)</f>
        <v>0</v>
      </c>
      <c r="AL32" s="247">
        <f>($C32*F32)*(1+'Datos de Entrada'!E$76)</f>
        <v>0</v>
      </c>
      <c r="AM32" s="247">
        <f>($C32*G32)*(1+'Datos de Entrada'!F$76)</f>
        <v>0</v>
      </c>
      <c r="AN32" s="247">
        <f>($C32*H32)*(1+'Datos de Entrada'!G$76)</f>
        <v>293763.88974236563</v>
      </c>
      <c r="AO32" s="247">
        <f>($C32*I32)*(1+'Datos de Entrada'!H$76)</f>
        <v>0</v>
      </c>
      <c r="AP32" s="247">
        <f>($C32*J32)*(1+'Datos de Entrada'!I$76)</f>
        <v>0</v>
      </c>
      <c r="AQ32" s="247">
        <f>($C32*K32)*(1+'Datos de Entrada'!J$76)</f>
        <v>0</v>
      </c>
      <c r="AR32" s="247">
        <f>($C32*L32)*(1+'Datos de Entrada'!K$76)</f>
        <v>0</v>
      </c>
      <c r="AS32" s="247">
        <f>($C32*M32)*(1+'Datos de Entrada'!L$76)</f>
        <v>370705.98168708832</v>
      </c>
      <c r="AT32" s="247">
        <f>($C32*N32)*(1+'Datos de Entrada'!M$76)</f>
        <v>0</v>
      </c>
      <c r="AU32" s="247">
        <f>($C32*O32)*(1+'Datos de Entrada'!N$76)</f>
        <v>0</v>
      </c>
      <c r="AV32" s="247">
        <f>($C32*P32)*(1+'Datos de Entrada'!O$76)</f>
        <v>0</v>
      </c>
      <c r="AW32" s="247">
        <f>($C32*Q32)*(1+'Datos de Entrada'!P$76)</f>
        <v>0</v>
      </c>
      <c r="AX32" s="247">
        <f>($C32*R32)*(1+'Datos de Entrada'!Q$76)</f>
        <v>0</v>
      </c>
      <c r="AY32" s="247">
        <f>($C32*S32)*(1+'Datos de Entrada'!R$76)</f>
        <v>0</v>
      </c>
      <c r="AZ32" s="247">
        <f>($C32*T32)*(1+'Datos de Entrada'!S$76)</f>
        <v>0</v>
      </c>
      <c r="BA32" s="247">
        <f>($C32*U32)*(1+'Datos de Entrada'!T$76)</f>
        <v>0</v>
      </c>
      <c r="BB32" s="247">
        <f>($C32*V32)*(1+'Datos de Entrada'!U$76)</f>
        <v>0</v>
      </c>
      <c r="BC32" s="247">
        <f>($C32*W32)*(1+'Datos de Entrada'!V$76)</f>
        <v>579599.04179354792</v>
      </c>
      <c r="BD32" s="247">
        <f>($C32*X32)*(1+'Datos de Entrada'!W$76)</f>
        <v>0</v>
      </c>
      <c r="BE32" s="247">
        <f>($C32*Y32)*(1+'Datos de Entrada'!X$76)</f>
        <v>0</v>
      </c>
      <c r="BF32" s="247">
        <f>($C32*Z32)*(1+'Datos de Entrada'!Y$76)</f>
        <v>0</v>
      </c>
      <c r="BG32" s="247">
        <f>($C32*AA32)*(1+'Datos de Entrada'!Z$76)</f>
        <v>0</v>
      </c>
      <c r="BH32" s="247">
        <f>($C32*AB32)*(1+'Datos de Entrada'!AA$76)</f>
        <v>0</v>
      </c>
      <c r="BI32" s="247">
        <f>($C32*AC32)*(1+'Datos de Entrada'!AB$76)</f>
        <v>0</v>
      </c>
      <c r="BJ32" s="247">
        <f>($C32*AD32)*(1+'Datos de Entrada'!AC$76)</f>
        <v>0</v>
      </c>
      <c r="BK32" s="247">
        <f>($C32*AE32)*(1+'Datos de Entrada'!AD$76)</f>
        <v>0</v>
      </c>
      <c r="BL32" s="247">
        <f>($C32*AF32)*(1+'Datos de Entrada'!AE$76)</f>
        <v>0</v>
      </c>
      <c r="BM32" s="247">
        <f>($C32*AG32)*(1+'Datos de Entrada'!AF$76)</f>
        <v>798265.99068181845</v>
      </c>
      <c r="BN32" s="248">
        <f t="shared" si="3"/>
        <v>2288534.2490341738</v>
      </c>
    </row>
    <row r="33" spans="1:67" ht="12.75" customHeight="1" x14ac:dyDescent="0.2">
      <c r="A33" s="25"/>
      <c r="B33" s="18"/>
      <c r="C33" s="28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18"/>
      <c r="AI33" s="9"/>
      <c r="AJ33" s="26">
        <f>($C33*D33)*(1+'Datos de Entrada'!C$76)</f>
        <v>0</v>
      </c>
      <c r="AK33" s="26">
        <f>($C33*E33)*(1+'Datos de Entrada'!D$76)</f>
        <v>0</v>
      </c>
      <c r="AL33" s="26">
        <f>($C33*F33)*(1+'Datos de Entrada'!E$76)</f>
        <v>0</v>
      </c>
      <c r="AM33" s="26">
        <f>($C33*G33)*(1+'Datos de Entrada'!F$76)</f>
        <v>0</v>
      </c>
      <c r="AN33" s="26">
        <f>($C33*H33)*(1+'Datos de Entrada'!G$76)</f>
        <v>0</v>
      </c>
      <c r="AO33" s="26">
        <f>($C33*I33)*(1+'Datos de Entrada'!H$76)</f>
        <v>0</v>
      </c>
      <c r="AP33" s="26">
        <f>($C33*J33)*(1+'Datos de Entrada'!I$76)</f>
        <v>0</v>
      </c>
      <c r="AQ33" s="26">
        <f>($C33*K33)*(1+'Datos de Entrada'!J$76)</f>
        <v>0</v>
      </c>
      <c r="AR33" s="26">
        <f>($C33*L33)*(1+'Datos de Entrada'!K$76)</f>
        <v>0</v>
      </c>
      <c r="AS33" s="26">
        <f>($C33*M33)*(1+'Datos de Entrada'!L$76)</f>
        <v>0</v>
      </c>
      <c r="AT33" s="26">
        <f>($C33*N33)*(1+'Datos de Entrada'!M$76)</f>
        <v>0</v>
      </c>
      <c r="AU33" s="26">
        <f>($C33*O33)*(1+'Datos de Entrada'!N$76)</f>
        <v>0</v>
      </c>
      <c r="AV33" s="26">
        <f>($C33*P33)*(1+'Datos de Entrada'!O$76)</f>
        <v>0</v>
      </c>
      <c r="AW33" s="26">
        <f>($C33*Q33)*(1+'Datos de Entrada'!P$76)</f>
        <v>0</v>
      </c>
      <c r="AX33" s="26">
        <f>($C33*R33)*(1+'Datos de Entrada'!Q$76)</f>
        <v>0</v>
      </c>
      <c r="AY33" s="26">
        <f>($C33*S33)*(1+'Datos de Entrada'!R$76)</f>
        <v>0</v>
      </c>
      <c r="AZ33" s="26">
        <f>($C33*T33)*(1+'Datos de Entrada'!S$76)</f>
        <v>0</v>
      </c>
      <c r="BA33" s="26">
        <f>($C33*U33)*(1+'Datos de Entrada'!T$76)</f>
        <v>0</v>
      </c>
      <c r="BB33" s="26">
        <f>($C33*V33)*(1+'Datos de Entrada'!U$76)</f>
        <v>0</v>
      </c>
      <c r="BC33" s="26">
        <f>($C33*W33)*(1+'Datos de Entrada'!V$76)</f>
        <v>0</v>
      </c>
      <c r="BD33" s="26">
        <f>($C33*X33)*(1+'Datos de Entrada'!W$76)</f>
        <v>0</v>
      </c>
      <c r="BE33" s="26">
        <f>($C33*Y33)*(1+'Datos de Entrada'!X$76)</f>
        <v>0</v>
      </c>
      <c r="BF33" s="26">
        <f>($C33*Z33)*(1+'Datos de Entrada'!Y$76)</f>
        <v>0</v>
      </c>
      <c r="BG33" s="26">
        <f>($C33*AA33)*(1+'Datos de Entrada'!Z$76)</f>
        <v>0</v>
      </c>
      <c r="BH33" s="26">
        <f>($C33*AB33)*(1+'Datos de Entrada'!AA$76)</f>
        <v>0</v>
      </c>
      <c r="BI33" s="26">
        <f>($C33*AC33)*(1+'Datos de Entrada'!AB$76)</f>
        <v>0</v>
      </c>
      <c r="BJ33" s="26">
        <f>($C33*AD33)*(1+'Datos de Entrada'!AC$76)</f>
        <v>0</v>
      </c>
      <c r="BK33" s="26">
        <f>($C33*AE33)*(1+'Datos de Entrada'!AD$76)</f>
        <v>0</v>
      </c>
      <c r="BL33" s="26">
        <f>($C33*AF33)*(1+'Datos de Entrada'!AE$76)</f>
        <v>0</v>
      </c>
      <c r="BM33" s="26">
        <f>($C33*AG33)*(1+'Datos de Entrada'!AF$76)</f>
        <v>0</v>
      </c>
      <c r="BN33" s="211">
        <f t="shared" si="3"/>
        <v>0</v>
      </c>
    </row>
    <row r="34" spans="1:67" ht="37.5" customHeight="1" x14ac:dyDescent="0.2">
      <c r="A34" s="3" t="s">
        <v>51</v>
      </c>
      <c r="B34" s="3"/>
      <c r="C34" s="3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3">
        <f>SUM(AJ34:BM34)</f>
        <v>269396340.08490902</v>
      </c>
      <c r="AI34" s="3"/>
      <c r="AJ34" s="23">
        <f>SUM(AJ35:AJ39)</f>
        <v>4453955.73700043</v>
      </c>
      <c r="AK34" s="23">
        <f t="shared" ref="AK34:BL34" si="4">SUM(AK35:AK39)</f>
        <v>4649099.8762043845</v>
      </c>
      <c r="AL34" s="23">
        <f t="shared" si="4"/>
        <v>4857326.1361115789</v>
      </c>
      <c r="AM34" s="23">
        <f t="shared" si="4"/>
        <v>5078995.3541915156</v>
      </c>
      <c r="AN34" s="23">
        <f t="shared" si="4"/>
        <v>5314438.8396083266</v>
      </c>
      <c r="AO34" s="23">
        <f t="shared" si="4"/>
        <v>5563947.8509935662</v>
      </c>
      <c r="AP34" s="23">
        <f t="shared" si="4"/>
        <v>5827762.0472288337</v>
      </c>
      <c r="AQ34" s="23">
        <f t="shared" si="4"/>
        <v>6106056.8972159633</v>
      </c>
      <c r="AR34" s="23">
        <f t="shared" si="4"/>
        <v>6398930.060550537</v>
      </c>
      <c r="AS34" s="23">
        <f t="shared" si="4"/>
        <v>6706386.7818498416</v>
      </c>
      <c r="AT34" s="23">
        <f t="shared" si="4"/>
        <v>7028324.3775083348</v>
      </c>
      <c r="AU34" s="23">
        <f t="shared" si="4"/>
        <v>7364515.9350081822</v>
      </c>
      <c r="AV34" s="23">
        <f t="shared" si="4"/>
        <v>7714593.3915605322</v>
      </c>
      <c r="AW34" s="23">
        <f t="shared" si="4"/>
        <v>8078030.2105248384</v>
      </c>
      <c r="AX34" s="23">
        <f t="shared" si="4"/>
        <v>8454123.9302002471</v>
      </c>
      <c r="AY34" s="23">
        <f t="shared" si="4"/>
        <v>8841978.9193294123</v>
      </c>
      <c r="AZ34" s="23">
        <f t="shared" si="4"/>
        <v>9240489.735754529</v>
      </c>
      <c r="BA34" s="23">
        <f t="shared" si="4"/>
        <v>9648325.5474607386</v>
      </c>
      <c r="BB34" s="23">
        <f t="shared" si="4"/>
        <v>10063916.136637686</v>
      </c>
      <c r="BC34" s="23">
        <f t="shared" si="4"/>
        <v>10485440.064838503</v>
      </c>
      <c r="BD34" s="23">
        <f t="shared" si="4"/>
        <v>10910815.62782485</v>
      </c>
      <c r="BE34" s="23">
        <f t="shared" si="4"/>
        <v>11337695.268852834</v>
      </c>
      <c r="BF34" s="23">
        <f t="shared" si="4"/>
        <v>11763464.145226225</v>
      </c>
      <c r="BG34" s="23">
        <f t="shared" si="4"/>
        <v>12185243.550920285</v>
      </c>
      <c r="BH34" s="23">
        <f t="shared" si="4"/>
        <v>12599899.883852936</v>
      </c>
      <c r="BI34" s="23">
        <f t="shared" si="4"/>
        <v>13004059.805913525</v>
      </c>
      <c r="BJ34" s="23">
        <f t="shared" si="4"/>
        <v>13394132.173411645</v>
      </c>
      <c r="BK34" s="23">
        <f t="shared" si="4"/>
        <v>13766337.211994374</v>
      </c>
      <c r="BL34" s="23">
        <f t="shared" si="4"/>
        <v>14116743.270966601</v>
      </c>
      <c r="BM34" s="23">
        <f>SUM(BM35:BM39)</f>
        <v>14441311.316167731</v>
      </c>
      <c r="BN34" s="23"/>
      <c r="BO34" s="23"/>
    </row>
    <row r="35" spans="1:67" s="176" customFormat="1" ht="12.75" customHeight="1" x14ac:dyDescent="0.2">
      <c r="A35" s="173" t="s">
        <v>52</v>
      </c>
      <c r="B35" s="173" t="s">
        <v>15</v>
      </c>
      <c r="C35" s="174">
        <f>'Datos de Entrada'!G49*(1+'Datos de Entrada'!C45)*'Datos de Entrada'!D10</f>
        <v>181457.45595186937</v>
      </c>
      <c r="D35" s="215">
        <v>6</v>
      </c>
      <c r="E35" s="215">
        <v>6</v>
      </c>
      <c r="F35" s="215">
        <v>6</v>
      </c>
      <c r="G35" s="215">
        <v>6</v>
      </c>
      <c r="H35" s="215">
        <v>6</v>
      </c>
      <c r="I35" s="215">
        <v>6</v>
      </c>
      <c r="J35" s="215">
        <v>6</v>
      </c>
      <c r="K35" s="215">
        <v>6</v>
      </c>
      <c r="L35" s="215">
        <v>6</v>
      </c>
      <c r="M35" s="215">
        <v>6</v>
      </c>
      <c r="N35" s="215">
        <v>6</v>
      </c>
      <c r="O35" s="215">
        <v>6</v>
      </c>
      <c r="P35" s="215">
        <v>6</v>
      </c>
      <c r="Q35" s="215">
        <v>6</v>
      </c>
      <c r="R35" s="215">
        <v>6</v>
      </c>
      <c r="S35" s="215">
        <v>6</v>
      </c>
      <c r="T35" s="215">
        <v>6</v>
      </c>
      <c r="U35" s="215">
        <v>6</v>
      </c>
      <c r="V35" s="215">
        <v>6</v>
      </c>
      <c r="W35" s="215">
        <v>6</v>
      </c>
      <c r="X35" s="215">
        <v>6</v>
      </c>
      <c r="Y35" s="215">
        <v>6</v>
      </c>
      <c r="Z35" s="215">
        <v>6</v>
      </c>
      <c r="AA35" s="215">
        <v>6</v>
      </c>
      <c r="AB35" s="215">
        <v>6</v>
      </c>
      <c r="AC35" s="215">
        <v>6</v>
      </c>
      <c r="AD35" s="215">
        <v>6</v>
      </c>
      <c r="AE35" s="215">
        <v>6</v>
      </c>
      <c r="AF35" s="215">
        <v>6</v>
      </c>
      <c r="AG35" s="215">
        <v>6</v>
      </c>
      <c r="AH35" s="173">
        <f>AH34/AH75</f>
        <v>0.21468665446564311</v>
      </c>
      <c r="AI35" s="177"/>
      <c r="AJ35" s="212">
        <f>($C35*D35)*(1+'Datos de Entrada'!C$76)</f>
        <v>1088744.7357112162</v>
      </c>
      <c r="AK35" s="212">
        <f>($C35*E35)*(1+'Datos de Entrada'!D$76)</f>
        <v>1136446.6364055162</v>
      </c>
      <c r="AL35" s="212">
        <f>($C35*F35)*(1+'Datos de Entrada'!E$76)</f>
        <v>1187346.3888272748</v>
      </c>
      <c r="AM35" s="212">
        <f>($C35*G35)*(1+'Datos de Entrada'!F$76)</f>
        <v>1241532.1976912592</v>
      </c>
      <c r="AN35" s="212">
        <f>($C35*H35)*(1+'Datos de Entrada'!G$76)</f>
        <v>1299085.0496820353</v>
      </c>
      <c r="AO35" s="212">
        <f>($C35*I35)*(1+'Datos de Entrada'!H$76)</f>
        <v>1360076.1413539827</v>
      </c>
      <c r="AP35" s="212">
        <f>($C35*J35)*(1+'Datos de Entrada'!I$76)</f>
        <v>1424564.0559892703</v>
      </c>
      <c r="AQ35" s="212">
        <f>($C35*K35)*(1+'Datos de Entrada'!J$76)</f>
        <v>1492591.6859861242</v>
      </c>
      <c r="AR35" s="212">
        <f>($C35*L35)*(1+'Datos de Entrada'!K$76)</f>
        <v>1564182.9036901314</v>
      </c>
      <c r="AS35" s="212">
        <f>($C35*M35)*(1+'Datos de Entrada'!L$76)</f>
        <v>1639338.9911188502</v>
      </c>
      <c r="AT35" s="212">
        <f>($C35*N35)*(1+'Datos de Entrada'!M$76)</f>
        <v>1718034.8478353706</v>
      </c>
      <c r="AU35" s="212">
        <f>($C35*O35)*(1+'Datos de Entrada'!N$76)</f>
        <v>1800215.0063353335</v>
      </c>
      <c r="AV35" s="212">
        <f>($C35*P35)*(1+'Datos de Entrada'!O$76)</f>
        <v>1885789.4957147967</v>
      </c>
      <c r="AW35" s="212">
        <f>($C35*Q35)*(1+'Datos de Entrada'!P$76)</f>
        <v>1974629.6070171827</v>
      </c>
      <c r="AX35" s="212">
        <f>($C35*R35)*(1+'Datos de Entrada'!Q$76)</f>
        <v>2066563.6273822826</v>
      </c>
      <c r="AY35" s="212">
        <f>($C35*S35)*(1+'Datos de Entrada'!R$76)</f>
        <v>2161372.6247249674</v>
      </c>
      <c r="AZ35" s="212">
        <f>($C35*T35)*(1+'Datos de Entrada'!S$76)</f>
        <v>2258786.379851107</v>
      </c>
      <c r="BA35" s="212">
        <f>($C35*U35)*(1+'Datos de Entrada'!T$76)</f>
        <v>2358479.5782681806</v>
      </c>
      <c r="BB35" s="212">
        <f>($C35*V35)*(1+'Datos de Entrada'!U$76)</f>
        <v>2460068.3889558786</v>
      </c>
      <c r="BC35" s="212">
        <f>($C35*W35)*(1+'Datos de Entrada'!V$76)</f>
        <v>2563107.571404967</v>
      </c>
      <c r="BD35" s="212">
        <f>($C35*X35)*(1+'Datos de Entrada'!W$76)</f>
        <v>2667088.2645794079</v>
      </c>
      <c r="BE35" s="212">
        <f>($C35*Y35)*(1+'Datos de Entrada'!X$76)</f>
        <v>2771436.6212751367</v>
      </c>
      <c r="BF35" s="212">
        <f>($C35*Z35)*(1+'Datos de Entrada'!Y$76)</f>
        <v>2875513.4577219659</v>
      </c>
      <c r="BG35" s="212">
        <f>($C35*AA35)*(1+'Datos de Entrada'!Z$76)</f>
        <v>2978615.090224959</v>
      </c>
      <c r="BH35" s="212">
        <f>($C35*AB35)*(1+'Datos de Entrada'!AA$76)</f>
        <v>3079975.5271640508</v>
      </c>
      <c r="BI35" s="212">
        <f>($C35*AC35)*(1+'Datos de Entrada'!AB$76)</f>
        <v>3178770.1747788615</v>
      </c>
      <c r="BJ35" s="212">
        <f>($C35*AD35)*(1+'Datos de Entrada'!AC$76)</f>
        <v>3274121.1979450686</v>
      </c>
      <c r="BK35" s="212">
        <f>($C35*AE35)*(1+'Datos de Entrada'!AD$76)</f>
        <v>3365104.6518208468</v>
      </c>
      <c r="BL35" s="212">
        <f>($C35*AF35)*(1+'Datos de Entrada'!AE$76)</f>
        <v>3450759.4662362798</v>
      </c>
      <c r="BM35" s="212">
        <f>($C35*AG35)*(1+'Datos de Entrada'!AF$76)</f>
        <v>3530098.3217298896</v>
      </c>
      <c r="BN35" s="213">
        <f t="shared" si="3"/>
        <v>65852438.687422186</v>
      </c>
    </row>
    <row r="36" spans="1:67" s="176" customFormat="1" ht="12.75" customHeight="1" x14ac:dyDescent="0.2">
      <c r="A36" s="173" t="s">
        <v>211</v>
      </c>
      <c r="B36" s="173" t="s">
        <v>15</v>
      </c>
      <c r="C36" s="174">
        <f>'Datos de Entrada'!G49*(1+'Datos de Entrada'!C45)*'Datos de Entrada'!D10</f>
        <v>181457.45595186937</v>
      </c>
      <c r="D36" s="215">
        <v>4</v>
      </c>
      <c r="E36" s="215">
        <v>4</v>
      </c>
      <c r="F36" s="215">
        <v>4</v>
      </c>
      <c r="G36" s="215">
        <v>4</v>
      </c>
      <c r="H36" s="215">
        <v>4</v>
      </c>
      <c r="I36" s="215">
        <v>4</v>
      </c>
      <c r="J36" s="215">
        <v>4</v>
      </c>
      <c r="K36" s="215">
        <v>4</v>
      </c>
      <c r="L36" s="215">
        <v>4</v>
      </c>
      <c r="M36" s="215">
        <v>4</v>
      </c>
      <c r="N36" s="215">
        <v>4</v>
      </c>
      <c r="O36" s="215">
        <v>4</v>
      </c>
      <c r="P36" s="215">
        <v>4</v>
      </c>
      <c r="Q36" s="215">
        <v>4</v>
      </c>
      <c r="R36" s="215">
        <v>4</v>
      </c>
      <c r="S36" s="215">
        <v>4</v>
      </c>
      <c r="T36" s="215">
        <v>4</v>
      </c>
      <c r="U36" s="215">
        <v>4</v>
      </c>
      <c r="V36" s="215">
        <v>4</v>
      </c>
      <c r="W36" s="215">
        <v>4</v>
      </c>
      <c r="X36" s="215">
        <v>4</v>
      </c>
      <c r="Y36" s="215">
        <v>4</v>
      </c>
      <c r="Z36" s="215">
        <v>4</v>
      </c>
      <c r="AA36" s="215">
        <v>4</v>
      </c>
      <c r="AB36" s="215">
        <v>4</v>
      </c>
      <c r="AC36" s="215">
        <v>4</v>
      </c>
      <c r="AD36" s="215">
        <v>4</v>
      </c>
      <c r="AE36" s="215">
        <v>4</v>
      </c>
      <c r="AF36" s="215">
        <v>4</v>
      </c>
      <c r="AG36" s="215">
        <v>4</v>
      </c>
      <c r="AH36" s="173"/>
      <c r="AI36" s="177"/>
      <c r="AJ36" s="212">
        <f>($C36*D36)*(1+'Datos de Entrada'!C$76)</f>
        <v>725829.82380747749</v>
      </c>
      <c r="AK36" s="212">
        <f>($C36*E36)*(1+'Datos de Entrada'!D$76)</f>
        <v>757631.09093701083</v>
      </c>
      <c r="AL36" s="212">
        <f>($C36*F36)*(1+'Datos de Entrada'!E$76)</f>
        <v>791564.25921818323</v>
      </c>
      <c r="AM36" s="212">
        <f>($C36*G36)*(1+'Datos de Entrada'!F$76)</f>
        <v>827688.1317941728</v>
      </c>
      <c r="AN36" s="212">
        <f>($C36*H36)*(1+'Datos de Entrada'!G$76)</f>
        <v>866056.69978802348</v>
      </c>
      <c r="AO36" s="212">
        <f>($C36*I36)*(1+'Datos de Entrada'!H$76)</f>
        <v>906717.42756932182</v>
      </c>
      <c r="AP36" s="212">
        <f>($C36*J36)*(1+'Datos de Entrada'!I$76)</f>
        <v>949709.37065951352</v>
      </c>
      <c r="AQ36" s="212">
        <f>($C36*K36)*(1+'Datos de Entrada'!J$76)</f>
        <v>995061.12399074947</v>
      </c>
      <c r="AR36" s="212">
        <f>($C36*L36)*(1+'Datos de Entrada'!K$76)</f>
        <v>1042788.6024600875</v>
      </c>
      <c r="AS36" s="212">
        <f>($C36*M36)*(1+'Datos de Entrada'!L$76)</f>
        <v>1092892.6607459001</v>
      </c>
      <c r="AT36" s="212">
        <f>($C36*N36)*(1+'Datos de Entrada'!M$76)</f>
        <v>1145356.5652235805</v>
      </c>
      <c r="AU36" s="212">
        <f>($C36*O36)*(1+'Datos de Entrada'!N$76)</f>
        <v>1200143.337556889</v>
      </c>
      <c r="AV36" s="212">
        <f>($C36*P36)*(1+'Datos de Entrada'!O$76)</f>
        <v>1257192.9971431978</v>
      </c>
      <c r="AW36" s="212">
        <f>($C36*Q36)*(1+'Datos de Entrada'!P$76)</f>
        <v>1316419.7380114552</v>
      </c>
      <c r="AX36" s="212">
        <f>($C36*R36)*(1+'Datos de Entrada'!Q$76)</f>
        <v>1377709.0849215218</v>
      </c>
      <c r="AY36" s="212">
        <f>($C36*S36)*(1+'Datos de Entrada'!R$76)</f>
        <v>1440915.0831499782</v>
      </c>
      <c r="AZ36" s="212">
        <f>($C36*T36)*(1+'Datos de Entrada'!S$76)</f>
        <v>1505857.5865674047</v>
      </c>
      <c r="BA36" s="212">
        <f>($C36*U36)*(1+'Datos de Entrada'!T$76)</f>
        <v>1572319.7188454536</v>
      </c>
      <c r="BB36" s="212">
        <f>($C36*V36)*(1+'Datos de Entrada'!U$76)</f>
        <v>1640045.5926372523</v>
      </c>
      <c r="BC36" s="212">
        <f>($C36*W36)*(1+'Datos de Entrada'!V$76)</f>
        <v>1708738.3809366447</v>
      </c>
      <c r="BD36" s="212">
        <f>($C36*X36)*(1+'Datos de Entrada'!W$76)</f>
        <v>1778058.8430529386</v>
      </c>
      <c r="BE36" s="212">
        <f>($C36*Y36)*(1+'Datos de Entrada'!X$76)</f>
        <v>1847624.4141834246</v>
      </c>
      <c r="BF36" s="212">
        <f>($C36*Z36)*(1+'Datos de Entrada'!Y$76)</f>
        <v>1917008.9718146441</v>
      </c>
      <c r="BG36" s="212">
        <f>($C36*AA36)*(1+'Datos de Entrada'!Z$76)</f>
        <v>1985743.3934833058</v>
      </c>
      <c r="BH36" s="212">
        <f>($C36*AB36)*(1+'Datos de Entrada'!AA$76)</f>
        <v>2053317.0181093672</v>
      </c>
      <c r="BI36" s="212">
        <f>($C36*AC36)*(1+'Datos de Entrada'!AB$76)</f>
        <v>2119180.1165192411</v>
      </c>
      <c r="BJ36" s="212">
        <f>($C36*AD36)*(1+'Datos de Entrada'!AC$76)</f>
        <v>2182747.4652967122</v>
      </c>
      <c r="BK36" s="212">
        <f>($C36*AE36)*(1+'Datos de Entrada'!AD$76)</f>
        <v>2243403.101213898</v>
      </c>
      <c r="BL36" s="212">
        <f>($C36*AF36)*(1+'Datos de Entrada'!AE$76)</f>
        <v>2300506.3108241865</v>
      </c>
      <c r="BM36" s="212">
        <f>($C36*AG36)*(1+'Datos de Entrada'!AF$76)</f>
        <v>2353398.8811532599</v>
      </c>
      <c r="BN36" s="213">
        <f t="shared" si="3"/>
        <v>43901625.791614793</v>
      </c>
    </row>
    <row r="37" spans="1:67" s="176" customFormat="1" ht="12.75" customHeight="1" x14ac:dyDescent="0.2">
      <c r="A37" s="173" t="s">
        <v>54</v>
      </c>
      <c r="B37" s="173" t="s">
        <v>15</v>
      </c>
      <c r="C37" s="216">
        <f>('Datos de Entrada'!G48*(1+'Datos de Entrada'!C45))*'Datos de Entrada'!D10</f>
        <v>219948.43145681138</v>
      </c>
      <c r="D37" s="215">
        <v>12</v>
      </c>
      <c r="E37" s="215">
        <v>12</v>
      </c>
      <c r="F37" s="215">
        <v>12</v>
      </c>
      <c r="G37" s="215">
        <v>12</v>
      </c>
      <c r="H37" s="215">
        <v>12</v>
      </c>
      <c r="I37" s="215">
        <v>12</v>
      </c>
      <c r="J37" s="215">
        <v>12</v>
      </c>
      <c r="K37" s="215">
        <v>12</v>
      </c>
      <c r="L37" s="215">
        <v>12</v>
      </c>
      <c r="M37" s="215">
        <v>12</v>
      </c>
      <c r="N37" s="215">
        <v>12</v>
      </c>
      <c r="O37" s="215">
        <v>12</v>
      </c>
      <c r="P37" s="215">
        <v>12</v>
      </c>
      <c r="Q37" s="215">
        <v>12</v>
      </c>
      <c r="R37" s="215">
        <v>12</v>
      </c>
      <c r="S37" s="215">
        <v>12</v>
      </c>
      <c r="T37" s="215">
        <v>12</v>
      </c>
      <c r="U37" s="215">
        <v>12</v>
      </c>
      <c r="V37" s="215">
        <v>12</v>
      </c>
      <c r="W37" s="215">
        <v>12</v>
      </c>
      <c r="X37" s="215">
        <v>12</v>
      </c>
      <c r="Y37" s="215">
        <v>12</v>
      </c>
      <c r="Z37" s="215">
        <v>12</v>
      </c>
      <c r="AA37" s="215">
        <v>12</v>
      </c>
      <c r="AB37" s="215">
        <v>12</v>
      </c>
      <c r="AC37" s="215">
        <v>12</v>
      </c>
      <c r="AD37" s="215">
        <v>12</v>
      </c>
      <c r="AE37" s="215">
        <v>12</v>
      </c>
      <c r="AF37" s="215">
        <v>12</v>
      </c>
      <c r="AG37" s="215">
        <v>12</v>
      </c>
      <c r="AH37" s="173"/>
      <c r="AI37" s="177"/>
      <c r="AJ37" s="212">
        <f>($C37*D37)*(1+'Datos de Entrada'!C$76)</f>
        <v>2639381.1774817365</v>
      </c>
      <c r="AK37" s="212">
        <f>($C37*E37)*(1+'Datos de Entrada'!D$76)</f>
        <v>2755022.1488618576</v>
      </c>
      <c r="AL37" s="212">
        <f>($C37*F37)*(1+'Datos de Entrada'!E$76)</f>
        <v>2878415.488066121</v>
      </c>
      <c r="AM37" s="212">
        <f>($C37*G37)*(1+'Datos de Entrada'!F$76)</f>
        <v>3009775.0247060833</v>
      </c>
      <c r="AN37" s="212">
        <f>($C37*H37)*(1+'Datos de Entrada'!G$76)</f>
        <v>3149297.0901382677</v>
      </c>
      <c r="AO37" s="212">
        <f>($C37*I37)*(1+'Datos de Entrada'!H$76)</f>
        <v>3297154.2820702614</v>
      </c>
      <c r="AP37" s="212">
        <f>($C37*J37)*(1+'Datos de Entrada'!I$76)</f>
        <v>3453488.6205800497</v>
      </c>
      <c r="AQ37" s="212">
        <f>($C37*K37)*(1+'Datos de Entrada'!J$76)</f>
        <v>3618404.0872390894</v>
      </c>
      <c r="AR37" s="212">
        <f>($C37*L37)*(1+'Datos de Entrada'!K$76)</f>
        <v>3791958.5544003188</v>
      </c>
      <c r="AS37" s="212">
        <f>($C37*M37)*(1+'Datos de Entrada'!L$76)</f>
        <v>3974155.1299850913</v>
      </c>
      <c r="AT37" s="212">
        <f>($C37*N37)*(1+'Datos de Entrada'!M$76)</f>
        <v>4164932.9644493838</v>
      </c>
      <c r="AU37" s="212">
        <f>($C37*O37)*(1+'Datos de Entrada'!N$76)</f>
        <v>4364157.5911159599</v>
      </c>
      <c r="AV37" s="212">
        <f>($C37*P37)*(1+'Datos de Entrada'!O$76)</f>
        <v>4571610.8987025376</v>
      </c>
      <c r="AW37" s="212">
        <f>($C37*Q37)*(1+'Datos de Entrada'!P$76)</f>
        <v>4786980.8654962005</v>
      </c>
      <c r="AX37" s="212">
        <f>($C37*R37)*(1+'Datos de Entrada'!Q$76)</f>
        <v>5009851.2178964429</v>
      </c>
      <c r="AY37" s="212">
        <f>($C37*S37)*(1+'Datos de Entrada'!R$76)</f>
        <v>5239691.2114544669</v>
      </c>
      <c r="AZ37" s="212">
        <f>($C37*T37)*(1+'Datos de Entrada'!S$76)</f>
        <v>5475845.7693360178</v>
      </c>
      <c r="BA37" s="212">
        <f>($C37*U37)*(1+'Datos de Entrada'!T$76)</f>
        <v>5717526.2503471049</v>
      </c>
      <c r="BB37" s="212">
        <f>($C37*V37)*(1+'Datos de Entrada'!U$76)</f>
        <v>5963802.1550445547</v>
      </c>
      <c r="BC37" s="212">
        <f>($C37*W37)*(1+'Datos de Entrada'!V$76)</f>
        <v>6213594.1124968911</v>
      </c>
      <c r="BD37" s="212">
        <f>($C37*X37)*(1+'Datos de Entrada'!W$76)</f>
        <v>6465668.5201925049</v>
      </c>
      <c r="BE37" s="212">
        <f>($C37*Y37)*(1+'Datos de Entrada'!X$76)</f>
        <v>6718634.2333942717</v>
      </c>
      <c r="BF37" s="212">
        <f>($C37*Z37)*(1+'Datos de Entrada'!Y$76)</f>
        <v>6970941.7156896153</v>
      </c>
      <c r="BG37" s="212">
        <f>($C37*AA37)*(1+'Datos de Entrada'!Z$76)</f>
        <v>7220885.0672120219</v>
      </c>
      <c r="BH37" s="212">
        <f>($C37*AB37)*(1+'Datos de Entrada'!AA$76)</f>
        <v>7466607.3385795178</v>
      </c>
      <c r="BI37" s="212">
        <f>($C37*AC37)*(1+'Datos de Entrada'!AB$76)</f>
        <v>7706109.5146154221</v>
      </c>
      <c r="BJ37" s="212">
        <f>($C37*AD37)*(1+'Datos de Entrada'!AC$76)</f>
        <v>7937263.5101698637</v>
      </c>
      <c r="BK37" s="212">
        <f>($C37*AE37)*(1+'Datos de Entrada'!AD$76)</f>
        <v>8157829.4589596298</v>
      </c>
      <c r="BL37" s="212">
        <f>($C37*AF37)*(1+'Datos de Entrada'!AE$76)</f>
        <v>8365477.4939061338</v>
      </c>
      <c r="BM37" s="212">
        <f>($C37*AG37)*(1+'Datos de Entrada'!AF$76)</f>
        <v>8557814.1132845823</v>
      </c>
      <c r="BN37" s="213">
        <f t="shared" si="3"/>
        <v>159642275.60587204</v>
      </c>
    </row>
    <row r="38" spans="1:67" ht="12.75" customHeight="1" x14ac:dyDescent="0.2">
      <c r="B38" s="18"/>
      <c r="C38" s="19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9"/>
      <c r="AJ38" s="26">
        <f>($C38*D38)*(1+'Datos de Entrada'!C$76)</f>
        <v>0</v>
      </c>
      <c r="AK38" s="26">
        <f>($C38*E38)*(1+'Datos de Entrada'!D$76)</f>
        <v>0</v>
      </c>
      <c r="AL38" s="26">
        <f>($C38*F38)*(1+'Datos de Entrada'!E$76)</f>
        <v>0</v>
      </c>
      <c r="AM38" s="26">
        <f>($C38*G38)*(1+'Datos de Entrada'!F$76)</f>
        <v>0</v>
      </c>
      <c r="AN38" s="26">
        <f>($C38*H38)*(1+'Datos de Entrada'!G$76)</f>
        <v>0</v>
      </c>
      <c r="AO38" s="26">
        <f>($C38*I38)*(1+'Datos de Entrada'!H$76)</f>
        <v>0</v>
      </c>
      <c r="AP38" s="26">
        <f>($C38*J38)*(1+'Datos de Entrada'!I$76)</f>
        <v>0</v>
      </c>
      <c r="AQ38" s="26">
        <f>($C38*K38)*(1+'Datos de Entrada'!J$76)</f>
        <v>0</v>
      </c>
      <c r="AR38" s="26">
        <f>($C38*L38)*(1+'Datos de Entrada'!K$76)</f>
        <v>0</v>
      </c>
      <c r="AS38" s="26">
        <f>($C38*M38)*(1+'Datos de Entrada'!L$76)</f>
        <v>0</v>
      </c>
      <c r="AT38" s="26">
        <f>($C38*N38)*(1+'Datos de Entrada'!M$76)</f>
        <v>0</v>
      </c>
      <c r="AU38" s="26">
        <f>($C38*O38)*(1+'Datos de Entrada'!N$76)</f>
        <v>0</v>
      </c>
      <c r="AV38" s="26">
        <f>($C38*P38)*(1+'Datos de Entrada'!O$76)</f>
        <v>0</v>
      </c>
      <c r="AW38" s="26">
        <f>($C38*Q38)*(1+'Datos de Entrada'!P$76)</f>
        <v>0</v>
      </c>
      <c r="AX38" s="26">
        <f>($C38*R38)*(1+'Datos de Entrada'!Q$76)</f>
        <v>0</v>
      </c>
      <c r="AY38" s="26">
        <f>($C38*S38)*(1+'Datos de Entrada'!R$76)</f>
        <v>0</v>
      </c>
      <c r="AZ38" s="26">
        <f>($C38*T38)*(1+'Datos de Entrada'!S$76)</f>
        <v>0</v>
      </c>
      <c r="BA38" s="26">
        <f>($C38*U38)*(1+'Datos de Entrada'!T$76)</f>
        <v>0</v>
      </c>
      <c r="BB38" s="26">
        <f>($C38*V38)*(1+'Datos de Entrada'!U$76)</f>
        <v>0</v>
      </c>
      <c r="BC38" s="26">
        <f>($C38*W38)*(1+'Datos de Entrada'!V$76)</f>
        <v>0</v>
      </c>
      <c r="BD38" s="26">
        <f>($C38*X38)*(1+'Datos de Entrada'!W$76)</f>
        <v>0</v>
      </c>
      <c r="BE38" s="26">
        <f>($C38*Y38)*(1+'Datos de Entrada'!X$76)</f>
        <v>0</v>
      </c>
      <c r="BF38" s="26">
        <f>($C38*Z38)*(1+'Datos de Entrada'!Y$76)</f>
        <v>0</v>
      </c>
      <c r="BG38" s="26">
        <f>($C38*AA38)*(1+'Datos de Entrada'!Z$76)</f>
        <v>0</v>
      </c>
      <c r="BH38" s="26">
        <f>($C38*AB38)*(1+'Datos de Entrada'!AA$76)</f>
        <v>0</v>
      </c>
      <c r="BI38" s="26">
        <f>($C38*AC38)*(1+'Datos de Entrada'!AB$76)</f>
        <v>0</v>
      </c>
      <c r="BJ38" s="26">
        <f>($C38*AD38)*(1+'Datos de Entrada'!AC$76)</f>
        <v>0</v>
      </c>
      <c r="BK38" s="26">
        <f>($C38*AE38)*(1+'Datos de Entrada'!AD$76)</f>
        <v>0</v>
      </c>
      <c r="BL38" s="26">
        <f>($C38*AF38)*(1+'Datos de Entrada'!AE$76)</f>
        <v>0</v>
      </c>
      <c r="BM38" s="26">
        <f>($C38*AG38)*(1+'Datos de Entrada'!AF$76)</f>
        <v>0</v>
      </c>
      <c r="BN38" s="211">
        <f t="shared" si="3"/>
        <v>0</v>
      </c>
    </row>
    <row r="39" spans="1:67" ht="12.75" customHeight="1" x14ac:dyDescent="0.2">
      <c r="A39" s="18"/>
      <c r="B39" s="18"/>
      <c r="C39" s="19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9"/>
      <c r="AJ39" s="26">
        <f>($C39*D39)*(1+'Datos de Entrada'!C$76)</f>
        <v>0</v>
      </c>
      <c r="AK39" s="26">
        <f>($C39*E39)*(1+'Datos de Entrada'!D$76)</f>
        <v>0</v>
      </c>
      <c r="AL39" s="26">
        <f>($C39*F39)*(1+'Datos de Entrada'!E$76)</f>
        <v>0</v>
      </c>
      <c r="AM39" s="26">
        <f>($C39*G39)*(1+'Datos de Entrada'!F$76)</f>
        <v>0</v>
      </c>
      <c r="AN39" s="26">
        <f>($C39*H39)*(1+'Datos de Entrada'!G$76)</f>
        <v>0</v>
      </c>
      <c r="AO39" s="26">
        <f>($C39*I39)*(1+'Datos de Entrada'!H$76)</f>
        <v>0</v>
      </c>
      <c r="AP39" s="26">
        <f>($C39*J39)*(1+'Datos de Entrada'!I$76)</f>
        <v>0</v>
      </c>
      <c r="AQ39" s="26">
        <f>($C39*K39)*(1+'Datos de Entrada'!J$76)</f>
        <v>0</v>
      </c>
      <c r="AR39" s="26">
        <f>($C39*L39)*(1+'Datos de Entrada'!K$76)</f>
        <v>0</v>
      </c>
      <c r="AS39" s="26">
        <f>($C39*M39)*(1+'Datos de Entrada'!L$76)</f>
        <v>0</v>
      </c>
      <c r="AT39" s="26">
        <f>($C39*N39)*(1+'Datos de Entrada'!M$76)</f>
        <v>0</v>
      </c>
      <c r="AU39" s="26">
        <f>($C39*O39)*(1+'Datos de Entrada'!N$76)</f>
        <v>0</v>
      </c>
      <c r="AV39" s="26">
        <f>($C39*P39)*(1+'Datos de Entrada'!O$76)</f>
        <v>0</v>
      </c>
      <c r="AW39" s="26">
        <f>($C39*Q39)*(1+'Datos de Entrada'!P$76)</f>
        <v>0</v>
      </c>
      <c r="AX39" s="26">
        <f>($C39*R39)*(1+'Datos de Entrada'!Q$76)</f>
        <v>0</v>
      </c>
      <c r="AY39" s="26">
        <f>($C39*S39)*(1+'Datos de Entrada'!R$76)</f>
        <v>0</v>
      </c>
      <c r="AZ39" s="26">
        <f>($C39*T39)*(1+'Datos de Entrada'!S$76)</f>
        <v>0</v>
      </c>
      <c r="BA39" s="26">
        <f>($C39*U39)*(1+'Datos de Entrada'!T$76)</f>
        <v>0</v>
      </c>
      <c r="BB39" s="26">
        <f>($C39*V39)*(1+'Datos de Entrada'!U$76)</f>
        <v>0</v>
      </c>
      <c r="BC39" s="26">
        <f>($C39*W39)*(1+'Datos de Entrada'!V$76)</f>
        <v>0</v>
      </c>
      <c r="BD39" s="26">
        <f>($C39*X39)*(1+'Datos de Entrada'!W$76)</f>
        <v>0</v>
      </c>
      <c r="BE39" s="26">
        <f>($C39*Y39)*(1+'Datos de Entrada'!X$76)</f>
        <v>0</v>
      </c>
      <c r="BF39" s="26">
        <f>($C39*Z39)*(1+'Datos de Entrada'!Y$76)</f>
        <v>0</v>
      </c>
      <c r="BG39" s="26">
        <f>($C39*AA39)*(1+'Datos de Entrada'!Z$76)</f>
        <v>0</v>
      </c>
      <c r="BH39" s="26">
        <f>($C39*AB39)*(1+'Datos de Entrada'!AA$76)</f>
        <v>0</v>
      </c>
      <c r="BI39" s="26">
        <f>($C39*AC39)*(1+'Datos de Entrada'!AB$76)</f>
        <v>0</v>
      </c>
      <c r="BJ39" s="26">
        <f>($C39*AD39)*(1+'Datos de Entrada'!AC$76)</f>
        <v>0</v>
      </c>
      <c r="BK39" s="26">
        <f>($C39*AE39)*(1+'Datos de Entrada'!AD$76)</f>
        <v>0</v>
      </c>
      <c r="BL39" s="26">
        <f>($C39*AF39)*(1+'Datos de Entrada'!AE$76)</f>
        <v>0</v>
      </c>
      <c r="BM39" s="26">
        <f>($C39*AG39)*(1+'Datos de Entrada'!AF$76)</f>
        <v>0</v>
      </c>
      <c r="BN39" s="211">
        <f t="shared" si="3"/>
        <v>0</v>
      </c>
    </row>
    <row r="40" spans="1:67" ht="12.75" customHeight="1" x14ac:dyDescent="0.2">
      <c r="A40" s="31" t="s">
        <v>77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">
        <f>SUM(AJ40:BM40)</f>
        <v>1868827.3423688863</v>
      </c>
      <c r="AI40" s="31"/>
      <c r="AJ40" s="3">
        <f>SUM(AJ41:AJ45)</f>
        <v>1868827.3423688863</v>
      </c>
      <c r="AK40" s="3">
        <f t="shared" ref="AK40:BM40" si="5">SUM(AK41:AK45)</f>
        <v>0</v>
      </c>
      <c r="AL40" s="3">
        <f t="shared" si="5"/>
        <v>0</v>
      </c>
      <c r="AM40" s="3">
        <f t="shared" si="5"/>
        <v>0</v>
      </c>
      <c r="AN40" s="3">
        <f t="shared" si="5"/>
        <v>0</v>
      </c>
      <c r="AO40" s="3">
        <f t="shared" si="5"/>
        <v>0</v>
      </c>
      <c r="AP40" s="3">
        <f t="shared" si="5"/>
        <v>0</v>
      </c>
      <c r="AQ40" s="3">
        <f t="shared" si="5"/>
        <v>0</v>
      </c>
      <c r="AR40" s="3">
        <f t="shared" si="5"/>
        <v>0</v>
      </c>
      <c r="AS40" s="3">
        <f t="shared" si="5"/>
        <v>0</v>
      </c>
      <c r="AT40" s="3">
        <f t="shared" si="5"/>
        <v>0</v>
      </c>
      <c r="AU40" s="3">
        <f t="shared" si="5"/>
        <v>0</v>
      </c>
      <c r="AV40" s="3">
        <f t="shared" si="5"/>
        <v>0</v>
      </c>
      <c r="AW40" s="3">
        <f t="shared" si="5"/>
        <v>0</v>
      </c>
      <c r="AX40" s="3">
        <f t="shared" si="5"/>
        <v>0</v>
      </c>
      <c r="AY40" s="3">
        <f t="shared" si="5"/>
        <v>0</v>
      </c>
      <c r="AZ40" s="3">
        <f t="shared" si="5"/>
        <v>0</v>
      </c>
      <c r="BA40" s="3">
        <f t="shared" si="5"/>
        <v>0</v>
      </c>
      <c r="BB40" s="3">
        <f t="shared" si="5"/>
        <v>0</v>
      </c>
      <c r="BC40" s="3">
        <f t="shared" si="5"/>
        <v>0</v>
      </c>
      <c r="BD40" s="3">
        <f t="shared" si="5"/>
        <v>0</v>
      </c>
      <c r="BE40" s="3">
        <f t="shared" si="5"/>
        <v>0</v>
      </c>
      <c r="BF40" s="3">
        <f t="shared" si="5"/>
        <v>0</v>
      </c>
      <c r="BG40" s="3">
        <f t="shared" si="5"/>
        <v>0</v>
      </c>
      <c r="BH40" s="3">
        <f t="shared" si="5"/>
        <v>0</v>
      </c>
      <c r="BI40" s="3">
        <f t="shared" si="5"/>
        <v>0</v>
      </c>
      <c r="BJ40" s="3">
        <f t="shared" si="5"/>
        <v>0</v>
      </c>
      <c r="BK40" s="3">
        <f t="shared" si="5"/>
        <v>0</v>
      </c>
      <c r="BL40" s="3">
        <f t="shared" si="5"/>
        <v>0</v>
      </c>
      <c r="BM40" s="3">
        <f t="shared" si="5"/>
        <v>0</v>
      </c>
    </row>
    <row r="41" spans="1:67" s="230" customFormat="1" ht="12.75" customHeight="1" x14ac:dyDescent="0.2">
      <c r="A41" s="225" t="s">
        <v>78</v>
      </c>
      <c r="B41" s="225" t="s">
        <v>23</v>
      </c>
      <c r="C41" s="234">
        <f>'Equipos y Herramientas'!C22*'Datos de Entrada'!C16</f>
        <v>64761.343547436649</v>
      </c>
      <c r="D41" s="225">
        <v>1</v>
      </c>
      <c r="E41" s="225"/>
      <c r="F41" s="225"/>
      <c r="G41" s="225"/>
      <c r="H41" s="225"/>
      <c r="I41" s="225"/>
      <c r="J41" s="225"/>
      <c r="K41" s="225"/>
      <c r="L41" s="225"/>
      <c r="M41" s="225"/>
      <c r="N41" s="225"/>
      <c r="O41" s="225"/>
      <c r="P41" s="225"/>
      <c r="Q41" s="225"/>
      <c r="R41" s="225"/>
      <c r="S41" s="225"/>
      <c r="T41" s="225"/>
      <c r="U41" s="225"/>
      <c r="V41" s="225"/>
      <c r="W41" s="225"/>
      <c r="X41" s="225"/>
      <c r="Y41" s="225"/>
      <c r="Z41" s="225"/>
      <c r="AA41" s="225"/>
      <c r="AB41" s="225"/>
      <c r="AC41" s="225"/>
      <c r="AD41" s="225"/>
      <c r="AE41" s="225"/>
      <c r="AF41" s="225"/>
      <c r="AG41" s="225"/>
      <c r="AH41" s="225">
        <f>AH40/AH75</f>
        <v>1.4893011901373275E-3</v>
      </c>
      <c r="AI41" s="235"/>
      <c r="AJ41" s="227">
        <f>($C41*D41)*(1+'Datos de Entrada'!C$76)</f>
        <v>64761.343547436649</v>
      </c>
      <c r="AK41" s="227">
        <f>($C41*E41)*(1+[1]Inflación!C$33)</f>
        <v>0</v>
      </c>
      <c r="AL41" s="227">
        <f>($C41*F41)*(1+[1]Inflación!D$33)</f>
        <v>0</v>
      </c>
      <c r="AM41" s="227">
        <f>($C41*G41)*(1+[1]Inflación!E$33)</f>
        <v>0</v>
      </c>
      <c r="AN41" s="227">
        <f>($C41*H41)*(1+[1]Inflación!F$33)</f>
        <v>0</v>
      </c>
      <c r="AO41" s="227">
        <f>($C41*I41)*(1+[1]Inflación!G$33)</f>
        <v>0</v>
      </c>
      <c r="AP41" s="227">
        <f>($C41*J41)*(1+[1]Inflación!H$33)</f>
        <v>0</v>
      </c>
      <c r="AQ41" s="227">
        <f>($C41*K41)*(1+[1]Inflación!I$33)</f>
        <v>0</v>
      </c>
      <c r="AR41" s="227">
        <f>($C41*L41)*(1+[1]Inflación!J$33)</f>
        <v>0</v>
      </c>
      <c r="AS41" s="227">
        <f>($C41*M41)*(1+[1]Inflación!K$33)</f>
        <v>0</v>
      </c>
      <c r="AT41" s="227">
        <f>($C41*N41)*(1+[1]Inflación!L$33)</f>
        <v>0</v>
      </c>
      <c r="AU41" s="227">
        <f>($C41*O41)*(1+[1]Inflación!M$33)</f>
        <v>0</v>
      </c>
      <c r="AV41" s="227">
        <f>($C41*P41)*(1+[1]Inflación!N$33)</f>
        <v>0</v>
      </c>
      <c r="AW41" s="227">
        <f>($C41*Q41)*(1+[1]Inflación!O$33)</f>
        <v>0</v>
      </c>
      <c r="AX41" s="227">
        <f>($C41*R41)*(1+[1]Inflación!P$33)</f>
        <v>0</v>
      </c>
      <c r="AY41" s="227">
        <f>($C41*S41)*(1+[1]Inflación!Q$33)</f>
        <v>0</v>
      </c>
      <c r="AZ41" s="227">
        <f>($C41*T41)*(1+[1]Inflación!R$33)</f>
        <v>0</v>
      </c>
      <c r="BA41" s="227">
        <f>($C41*U41)*(1+[1]Inflación!S$33)</f>
        <v>0</v>
      </c>
      <c r="BB41" s="227">
        <f>($C41*V41)*(1+[1]Inflación!T$33)</f>
        <v>0</v>
      </c>
      <c r="BC41" s="227">
        <f>($C41*W41)*(1+[1]Inflación!U$33)</f>
        <v>0</v>
      </c>
      <c r="BD41" s="227">
        <f>($C41*X41)*(1+[1]Inflación!V$33)</f>
        <v>0</v>
      </c>
      <c r="BE41" s="227">
        <f>($C41*Y41)*(1+[1]Inflación!W$33)</f>
        <v>0</v>
      </c>
      <c r="BF41" s="227">
        <f>($C41*Z41)*(1+[1]Inflación!X$33)</f>
        <v>0</v>
      </c>
      <c r="BG41" s="227">
        <f>($C41*AA41)*(1+[1]Inflación!Y$33)</f>
        <v>0</v>
      </c>
      <c r="BH41" s="227">
        <f>($C41*AB41)*(1+[1]Inflación!Z$33)</f>
        <v>0</v>
      </c>
      <c r="BI41" s="227">
        <f>($C41*AC41)*(1+[1]Inflación!AA$33)</f>
        <v>0</v>
      </c>
      <c r="BJ41" s="227">
        <f>($C41*AD41)*(1+[1]Inflación!AB$33)</f>
        <v>0</v>
      </c>
      <c r="BK41" s="227">
        <f>($C41*AE41)*(1+[1]Inflación!AC$33)</f>
        <v>0</v>
      </c>
      <c r="BL41" s="227">
        <f>($C41*AF41)*(1+[1]Inflación!AD$33)</f>
        <v>0</v>
      </c>
      <c r="BM41" s="227">
        <f>($C41*AG41)*(1+[1]Inflación!AE$33)</f>
        <v>0</v>
      </c>
      <c r="BN41" s="228">
        <f t="shared" si="3"/>
        <v>64761.343547436649</v>
      </c>
    </row>
    <row r="42" spans="1:67" s="230" customFormat="1" ht="12.75" customHeight="1" x14ac:dyDescent="0.2">
      <c r="A42" s="225" t="s">
        <v>79</v>
      </c>
      <c r="B42" s="225" t="s">
        <v>23</v>
      </c>
      <c r="C42" s="234">
        <f>'Equipos y Herramientas'!C23*'Datos de Entrada'!C16</f>
        <v>1526517.3836181497</v>
      </c>
      <c r="D42" s="225">
        <v>1</v>
      </c>
      <c r="E42" s="225"/>
      <c r="F42" s="225"/>
      <c r="G42" s="225"/>
      <c r="H42" s="225"/>
      <c r="I42" s="225"/>
      <c r="J42" s="225"/>
      <c r="K42" s="225"/>
      <c r="L42" s="225"/>
      <c r="M42" s="225"/>
      <c r="N42" s="225"/>
      <c r="O42" s="225"/>
      <c r="P42" s="225"/>
      <c r="Q42" s="225"/>
      <c r="R42" s="225"/>
      <c r="S42" s="225"/>
      <c r="T42" s="225"/>
      <c r="U42" s="225"/>
      <c r="V42" s="225"/>
      <c r="W42" s="225"/>
      <c r="X42" s="225"/>
      <c r="Y42" s="225"/>
      <c r="Z42" s="225"/>
      <c r="AA42" s="225"/>
      <c r="AB42" s="225"/>
      <c r="AC42" s="225"/>
      <c r="AD42" s="225"/>
      <c r="AE42" s="225"/>
      <c r="AF42" s="225"/>
      <c r="AG42" s="225"/>
      <c r="AH42" s="225"/>
      <c r="AI42" s="235"/>
      <c r="AJ42" s="227">
        <f>($C42*D42)*(1+'Datos de Entrada'!C$76)</f>
        <v>1526517.3836181497</v>
      </c>
      <c r="AK42" s="227">
        <f>($C42*E42)*(1+[1]Inflación!C$33)</f>
        <v>0</v>
      </c>
      <c r="AL42" s="227">
        <f>($C42*F42)*(1+[1]Inflación!D$33)</f>
        <v>0</v>
      </c>
      <c r="AM42" s="227">
        <f>($C42*G42)*(1+[1]Inflación!E$33)</f>
        <v>0</v>
      </c>
      <c r="AN42" s="227">
        <f>($C42*H42)*(1+[1]Inflación!F$33)</f>
        <v>0</v>
      </c>
      <c r="AO42" s="227">
        <f>($C42*I42)*(1+[1]Inflación!G$33)</f>
        <v>0</v>
      </c>
      <c r="AP42" s="227">
        <f>($C42*J42)*(1+[1]Inflación!H$33)</f>
        <v>0</v>
      </c>
      <c r="AQ42" s="227">
        <f>($C42*K42)*(1+[1]Inflación!I$33)</f>
        <v>0</v>
      </c>
      <c r="AR42" s="227">
        <f>($C42*L42)*(1+[1]Inflación!J$33)</f>
        <v>0</v>
      </c>
      <c r="AS42" s="227">
        <f>($C42*M42)*(1+[1]Inflación!K$33)</f>
        <v>0</v>
      </c>
      <c r="AT42" s="227">
        <f>($C42*N42)*(1+[1]Inflación!L$33)</f>
        <v>0</v>
      </c>
      <c r="AU42" s="227">
        <f>($C42*O42)*(1+[1]Inflación!M$33)</f>
        <v>0</v>
      </c>
      <c r="AV42" s="227">
        <f>($C42*P42)*(1+[1]Inflación!N$33)</f>
        <v>0</v>
      </c>
      <c r="AW42" s="227">
        <f>($C42*Q42)*(1+[1]Inflación!O$33)</f>
        <v>0</v>
      </c>
      <c r="AX42" s="227">
        <f>($C42*R42)*(1+[1]Inflación!P$33)</f>
        <v>0</v>
      </c>
      <c r="AY42" s="227">
        <f>($C42*S42)*(1+[1]Inflación!Q$33)</f>
        <v>0</v>
      </c>
      <c r="AZ42" s="227">
        <f>($C42*T42)*(1+[1]Inflación!R$33)</f>
        <v>0</v>
      </c>
      <c r="BA42" s="227">
        <f>($C42*U42)*(1+[1]Inflación!S$33)</f>
        <v>0</v>
      </c>
      <c r="BB42" s="227">
        <f>($C42*V42)*(1+[1]Inflación!T$33)</f>
        <v>0</v>
      </c>
      <c r="BC42" s="227">
        <f>($C42*W42)*(1+[1]Inflación!U$33)</f>
        <v>0</v>
      </c>
      <c r="BD42" s="227">
        <f>($C42*X42)*(1+[1]Inflación!V$33)</f>
        <v>0</v>
      </c>
      <c r="BE42" s="227">
        <f>($C42*Y42)*(1+[1]Inflación!W$33)</f>
        <v>0</v>
      </c>
      <c r="BF42" s="227">
        <f>($C42*Z42)*(1+[1]Inflación!X$33)</f>
        <v>0</v>
      </c>
      <c r="BG42" s="227">
        <f>($C42*AA42)*(1+[1]Inflación!Y$33)</f>
        <v>0</v>
      </c>
      <c r="BH42" s="227">
        <f>($C42*AB42)*(1+[1]Inflación!Z$33)</f>
        <v>0</v>
      </c>
      <c r="BI42" s="227">
        <f>($C42*AC42)*(1+[1]Inflación!AA$33)</f>
        <v>0</v>
      </c>
      <c r="BJ42" s="227">
        <f>($C42*AD42)*(1+[1]Inflación!AB$33)</f>
        <v>0</v>
      </c>
      <c r="BK42" s="227">
        <f>($C42*AE42)*(1+[1]Inflación!AC$33)</f>
        <v>0</v>
      </c>
      <c r="BL42" s="227">
        <f>($C42*AF42)*(1+[1]Inflación!AD$33)</f>
        <v>0</v>
      </c>
      <c r="BM42" s="227">
        <f>($C42*AG42)*(1+[1]Inflación!AE$33)</f>
        <v>0</v>
      </c>
      <c r="BN42" s="228">
        <f t="shared" si="3"/>
        <v>1526517.3836181497</v>
      </c>
    </row>
    <row r="43" spans="1:67" s="230" customFormat="1" ht="12.75" customHeight="1" x14ac:dyDescent="0.2">
      <c r="A43" s="225" t="s">
        <v>80</v>
      </c>
      <c r="B43" s="225" t="s">
        <v>23</v>
      </c>
      <c r="C43" s="234">
        <f>'Equipos y Herramientas'!C24*'Datos de Entrada'!C16</f>
        <v>277548.61520329991</v>
      </c>
      <c r="D43" s="225">
        <v>1</v>
      </c>
      <c r="E43" s="225"/>
      <c r="F43" s="225"/>
      <c r="G43" s="225"/>
      <c r="H43" s="225"/>
      <c r="I43" s="225"/>
      <c r="J43" s="225"/>
      <c r="K43" s="225"/>
      <c r="L43" s="225"/>
      <c r="M43" s="225"/>
      <c r="N43" s="225"/>
      <c r="O43" s="225"/>
      <c r="P43" s="225"/>
      <c r="Q43" s="225"/>
      <c r="R43" s="225"/>
      <c r="S43" s="225"/>
      <c r="T43" s="225"/>
      <c r="U43" s="225"/>
      <c r="V43" s="225"/>
      <c r="W43" s="225"/>
      <c r="X43" s="225"/>
      <c r="Y43" s="225"/>
      <c r="Z43" s="225"/>
      <c r="AA43" s="225"/>
      <c r="AB43" s="225"/>
      <c r="AC43" s="225"/>
      <c r="AD43" s="225"/>
      <c r="AE43" s="225"/>
      <c r="AF43" s="225"/>
      <c r="AG43" s="225"/>
      <c r="AH43" s="225"/>
      <c r="AI43" s="235"/>
      <c r="AJ43" s="227">
        <f>($C43*D43)*(1+'Datos de Entrada'!C$76)</f>
        <v>277548.61520329991</v>
      </c>
      <c r="AK43" s="227">
        <f>($C43*E43)*(1+[1]Inflación!C$33)</f>
        <v>0</v>
      </c>
      <c r="AL43" s="227">
        <f>($C43*F43)*(1+[1]Inflación!D$33)</f>
        <v>0</v>
      </c>
      <c r="AM43" s="227">
        <f>($C43*G43)*(1+[1]Inflación!E$33)</f>
        <v>0</v>
      </c>
      <c r="AN43" s="227">
        <f>($C43*H43)*(1+[1]Inflación!F$33)</f>
        <v>0</v>
      </c>
      <c r="AO43" s="227">
        <f>($C43*I43)*(1+[1]Inflación!G$33)</f>
        <v>0</v>
      </c>
      <c r="AP43" s="227">
        <f>($C43*J43)*(1+[1]Inflación!H$33)</f>
        <v>0</v>
      </c>
      <c r="AQ43" s="227">
        <f>($C43*K43)*(1+[1]Inflación!I$33)</f>
        <v>0</v>
      </c>
      <c r="AR43" s="227">
        <f>($C43*L43)*(1+[1]Inflación!J$33)</f>
        <v>0</v>
      </c>
      <c r="AS43" s="227">
        <f>($C43*M43)*(1+[1]Inflación!K$33)</f>
        <v>0</v>
      </c>
      <c r="AT43" s="227">
        <f>($C43*N43)*(1+[1]Inflación!L$33)</f>
        <v>0</v>
      </c>
      <c r="AU43" s="227">
        <f>($C43*O43)*(1+[1]Inflación!M$33)</f>
        <v>0</v>
      </c>
      <c r="AV43" s="227">
        <f>($C43*P43)*(1+[1]Inflación!N$33)</f>
        <v>0</v>
      </c>
      <c r="AW43" s="227">
        <f>($C43*Q43)*(1+[1]Inflación!O$33)</f>
        <v>0</v>
      </c>
      <c r="AX43" s="227">
        <f>($C43*R43)*(1+[1]Inflación!P$33)</f>
        <v>0</v>
      </c>
      <c r="AY43" s="227">
        <f>($C43*S43)*(1+[1]Inflación!Q$33)</f>
        <v>0</v>
      </c>
      <c r="AZ43" s="227">
        <f>($C43*T43)*(1+[1]Inflación!R$33)</f>
        <v>0</v>
      </c>
      <c r="BA43" s="227">
        <f>($C43*U43)*(1+[1]Inflación!S$33)</f>
        <v>0</v>
      </c>
      <c r="BB43" s="227">
        <f>($C43*V43)*(1+[1]Inflación!T$33)</f>
        <v>0</v>
      </c>
      <c r="BC43" s="227">
        <f>($C43*W43)*(1+[1]Inflación!U$33)</f>
        <v>0</v>
      </c>
      <c r="BD43" s="227">
        <f>($C43*X43)*(1+[1]Inflación!V$33)</f>
        <v>0</v>
      </c>
      <c r="BE43" s="227">
        <f>($C43*Y43)*(1+[1]Inflación!W$33)</f>
        <v>0</v>
      </c>
      <c r="BF43" s="227">
        <f>($C43*Z43)*(1+[1]Inflación!X$33)</f>
        <v>0</v>
      </c>
      <c r="BG43" s="227">
        <f>($C43*AA43)*(1+[1]Inflación!Y$33)</f>
        <v>0</v>
      </c>
      <c r="BH43" s="227">
        <f>($C43*AB43)*(1+[1]Inflación!Z$33)</f>
        <v>0</v>
      </c>
      <c r="BI43" s="227">
        <f>($C43*AC43)*(1+[1]Inflación!AA$33)</f>
        <v>0</v>
      </c>
      <c r="BJ43" s="227">
        <f>($C43*AD43)*(1+[1]Inflación!AB$33)</f>
        <v>0</v>
      </c>
      <c r="BK43" s="227">
        <f>($C43*AE43)*(1+[1]Inflación!AC$33)</f>
        <v>0</v>
      </c>
      <c r="BL43" s="227">
        <f>($C43*AF43)*(1+[1]Inflación!AD$33)</f>
        <v>0</v>
      </c>
      <c r="BM43" s="227">
        <f>($C43*AG43)*(1+[1]Inflación!AE$33)</f>
        <v>0</v>
      </c>
      <c r="BN43" s="228">
        <f t="shared" si="3"/>
        <v>277548.61520329991</v>
      </c>
    </row>
    <row r="44" spans="1:67" ht="12.75" customHeight="1" x14ac:dyDescent="0.2">
      <c r="A44" s="18"/>
      <c r="B44" s="18"/>
      <c r="C44" s="19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9"/>
      <c r="AJ44" s="26">
        <f>($C44*D44)*(1+'Datos de Entrada'!C$76)</f>
        <v>0</v>
      </c>
      <c r="AK44" s="26">
        <f>($C44*E44)*(1+[1]Inflación!C$33)</f>
        <v>0</v>
      </c>
      <c r="AL44" s="26">
        <f>($C44*F44)*(1+[1]Inflación!D$33)</f>
        <v>0</v>
      </c>
      <c r="AM44" s="26">
        <f>($C44*G44)*(1+[1]Inflación!E$33)</f>
        <v>0</v>
      </c>
      <c r="AN44" s="26">
        <f>($C44*H44)*(1+[1]Inflación!F$33)</f>
        <v>0</v>
      </c>
      <c r="AO44" s="26">
        <f>($C44*I44)*(1+[1]Inflación!G$33)</f>
        <v>0</v>
      </c>
      <c r="AP44" s="26">
        <f>($C44*J44)*(1+[1]Inflación!H$33)</f>
        <v>0</v>
      </c>
      <c r="AQ44" s="26">
        <f>($C44*K44)*(1+[1]Inflación!I$33)</f>
        <v>0</v>
      </c>
      <c r="AR44" s="26">
        <f>($C44*L44)*(1+[1]Inflación!J$33)</f>
        <v>0</v>
      </c>
      <c r="AS44" s="26">
        <f>($C44*M44)*(1+[1]Inflación!K$33)</f>
        <v>0</v>
      </c>
      <c r="AT44" s="26">
        <f>($C44*N44)*(1+[1]Inflación!L$33)</f>
        <v>0</v>
      </c>
      <c r="AU44" s="26">
        <f>($C44*O44)*(1+[1]Inflación!M$33)</f>
        <v>0</v>
      </c>
      <c r="AV44" s="26">
        <f>($C44*P44)*(1+[1]Inflación!N$33)</f>
        <v>0</v>
      </c>
      <c r="AW44" s="26">
        <f>($C44*Q44)*(1+[1]Inflación!O$33)</f>
        <v>0</v>
      </c>
      <c r="AX44" s="26">
        <f>($C44*R44)*(1+[1]Inflación!P$33)</f>
        <v>0</v>
      </c>
      <c r="AY44" s="26">
        <f>($C44*S44)*(1+[1]Inflación!Q$33)</f>
        <v>0</v>
      </c>
      <c r="AZ44" s="26">
        <f>($C44*T44)*(1+[1]Inflación!R$33)</f>
        <v>0</v>
      </c>
      <c r="BA44" s="26">
        <f>($C44*U44)*(1+[1]Inflación!S$33)</f>
        <v>0</v>
      </c>
      <c r="BB44" s="26">
        <f>($C44*V44)*(1+[1]Inflación!T$33)</f>
        <v>0</v>
      </c>
      <c r="BC44" s="26">
        <f>($C44*W44)*(1+[1]Inflación!U$33)</f>
        <v>0</v>
      </c>
      <c r="BD44" s="26">
        <f>($C44*X44)*(1+[1]Inflación!V$33)</f>
        <v>0</v>
      </c>
      <c r="BE44" s="26">
        <f>($C44*Y44)*(1+[1]Inflación!W$33)</f>
        <v>0</v>
      </c>
      <c r="BF44" s="26">
        <f>($C44*Z44)*(1+[1]Inflación!X$33)</f>
        <v>0</v>
      </c>
      <c r="BG44" s="26">
        <f>($C44*AA44)*(1+[1]Inflación!Y$33)</f>
        <v>0</v>
      </c>
      <c r="BH44" s="26">
        <f>($C44*AB44)*(1+[1]Inflación!Z$33)</f>
        <v>0</v>
      </c>
      <c r="BI44" s="26">
        <f>($C44*AC44)*(1+[1]Inflación!AA$33)</f>
        <v>0</v>
      </c>
      <c r="BJ44" s="26">
        <f>($C44*AD44)*(1+[1]Inflación!AB$33)</f>
        <v>0</v>
      </c>
      <c r="BK44" s="26">
        <f>($C44*AE44)*(1+[1]Inflación!AC$33)</f>
        <v>0</v>
      </c>
      <c r="BL44" s="26">
        <f>($C44*AF44)*(1+[1]Inflación!AD$33)</f>
        <v>0</v>
      </c>
      <c r="BM44" s="26">
        <f>($C44*AG44)*(1+[1]Inflación!AE$33)</f>
        <v>0</v>
      </c>
      <c r="BN44" s="211">
        <f t="shared" si="3"/>
        <v>0</v>
      </c>
    </row>
    <row r="45" spans="1:67" ht="12.75" customHeight="1" x14ac:dyDescent="0.2">
      <c r="A45" s="18"/>
      <c r="B45" s="18"/>
      <c r="C45" s="19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9"/>
      <c r="AJ45" s="26">
        <f>($C45*D45)*(1+'Datos de Entrada'!C$76)</f>
        <v>0</v>
      </c>
      <c r="AK45" s="26">
        <f>($C45*E45)*(1+[1]Inflación!C$33)</f>
        <v>0</v>
      </c>
      <c r="AL45" s="26">
        <f>($C45*F45)*(1+[1]Inflación!D$33)</f>
        <v>0</v>
      </c>
      <c r="AM45" s="26">
        <f>($C45*G45)*(1+[1]Inflación!E$33)</f>
        <v>0</v>
      </c>
      <c r="AN45" s="26">
        <f>($C45*H45)*(1+[1]Inflación!F$33)</f>
        <v>0</v>
      </c>
      <c r="AO45" s="26">
        <f>($C45*I45)*(1+[1]Inflación!G$33)</f>
        <v>0</v>
      </c>
      <c r="AP45" s="26">
        <f>($C45*J45)*(1+[1]Inflación!H$33)</f>
        <v>0</v>
      </c>
      <c r="AQ45" s="26">
        <f>($C45*K45)*(1+[1]Inflación!I$33)</f>
        <v>0</v>
      </c>
      <c r="AR45" s="26">
        <f>($C45*L45)*(1+[1]Inflación!J$33)</f>
        <v>0</v>
      </c>
      <c r="AS45" s="26">
        <f>($C45*M45)*(1+[1]Inflación!K$33)</f>
        <v>0</v>
      </c>
      <c r="AT45" s="26">
        <f>($C45*N45)*(1+[1]Inflación!L$33)</f>
        <v>0</v>
      </c>
      <c r="AU45" s="26">
        <f>($C45*O45)*(1+[1]Inflación!M$33)</f>
        <v>0</v>
      </c>
      <c r="AV45" s="26">
        <f>($C45*P45)*(1+[1]Inflación!N$33)</f>
        <v>0</v>
      </c>
      <c r="AW45" s="26">
        <f>($C45*Q45)*(1+[1]Inflación!O$33)</f>
        <v>0</v>
      </c>
      <c r="AX45" s="26">
        <f>($C45*R45)*(1+[1]Inflación!P$33)</f>
        <v>0</v>
      </c>
      <c r="AY45" s="26">
        <f>($C45*S45)*(1+[1]Inflación!Q$33)</f>
        <v>0</v>
      </c>
      <c r="AZ45" s="26">
        <f>($C45*T45)*(1+[1]Inflación!R$33)</f>
        <v>0</v>
      </c>
      <c r="BA45" s="26">
        <f>($C45*U45)*(1+[1]Inflación!S$33)</f>
        <v>0</v>
      </c>
      <c r="BB45" s="26">
        <f>($C45*V45)*(1+[1]Inflación!T$33)</f>
        <v>0</v>
      </c>
      <c r="BC45" s="26">
        <f>($C45*W45)*(1+[1]Inflación!U$33)</f>
        <v>0</v>
      </c>
      <c r="BD45" s="26">
        <f>($C45*X45)*(1+[1]Inflación!V$33)</f>
        <v>0</v>
      </c>
      <c r="BE45" s="26">
        <f>($C45*Y45)*(1+[1]Inflación!W$33)</f>
        <v>0</v>
      </c>
      <c r="BF45" s="26">
        <f>($C45*Z45)*(1+[1]Inflación!X$33)</f>
        <v>0</v>
      </c>
      <c r="BG45" s="26">
        <f>($C45*AA45)*(1+[1]Inflación!Y$33)</f>
        <v>0</v>
      </c>
      <c r="BH45" s="26">
        <f>($C45*AB45)*(1+[1]Inflación!Z$33)</f>
        <v>0</v>
      </c>
      <c r="BI45" s="26">
        <f>($C45*AC45)*(1+[1]Inflación!AA$33)</f>
        <v>0</v>
      </c>
      <c r="BJ45" s="26">
        <f>($C45*AD45)*(1+[1]Inflación!AB$33)</f>
        <v>0</v>
      </c>
      <c r="BK45" s="26">
        <f>($C45*AE45)*(1+[1]Inflación!AC$33)</f>
        <v>0</v>
      </c>
      <c r="BL45" s="26">
        <f>($C45*AF45)*(1+[1]Inflación!AD$33)</f>
        <v>0</v>
      </c>
      <c r="BM45" s="26">
        <f>($C45*AG45)*(1+[1]Inflación!AE$33)</f>
        <v>0</v>
      </c>
      <c r="BN45" s="211">
        <f t="shared" si="3"/>
        <v>0</v>
      </c>
    </row>
    <row r="46" spans="1:67" ht="12.75" customHeight="1" x14ac:dyDescent="0.2">
      <c r="A46" s="31" t="s">
        <v>81</v>
      </c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">
        <f>SUM(AJ46:BM46)</f>
        <v>125937515.6257647</v>
      </c>
      <c r="AI46" s="31"/>
      <c r="AJ46" s="33">
        <f>SUM(AJ47:AJ74)</f>
        <v>9204270.7130229808</v>
      </c>
      <c r="AK46" s="33">
        <f t="shared" ref="AK46:BL46" si="6">SUM(AK47:AK74)</f>
        <v>9202932.715135416</v>
      </c>
      <c r="AL46" s="33">
        <f t="shared" si="6"/>
        <v>9615118.3662242293</v>
      </c>
      <c r="AM46" s="33">
        <f t="shared" si="6"/>
        <v>2173701.2990688113</v>
      </c>
      <c r="AN46" s="33">
        <f t="shared" si="6"/>
        <v>10326794.528406957</v>
      </c>
      <c r="AO46" s="33">
        <f t="shared" si="6"/>
        <v>650635.33458349213</v>
      </c>
      <c r="AP46" s="33">
        <f t="shared" si="6"/>
        <v>9511590.389833495</v>
      </c>
      <c r="AQ46" s="33">
        <f t="shared" si="6"/>
        <v>714028.32641512156</v>
      </c>
      <c r="AR46" s="33">
        <f t="shared" si="6"/>
        <v>748276.2442101615</v>
      </c>
      <c r="AS46" s="33">
        <f t="shared" si="6"/>
        <v>10945608.888592392</v>
      </c>
      <c r="AT46" s="33">
        <f t="shared" si="6"/>
        <v>821876.17594310525</v>
      </c>
      <c r="AU46" s="33">
        <f t="shared" si="6"/>
        <v>861189.64766426769</v>
      </c>
      <c r="AV46" s="33">
        <f t="shared" si="6"/>
        <v>902126.90465768147</v>
      </c>
      <c r="AW46" s="33">
        <f t="shared" si="6"/>
        <v>944626.37493301404</v>
      </c>
      <c r="AX46" s="33">
        <f t="shared" si="6"/>
        <v>988605.91422579577</v>
      </c>
      <c r="AY46" s="33">
        <f t="shared" si="6"/>
        <v>1033960.7894654814</v>
      </c>
      <c r="AZ46" s="33">
        <f t="shared" si="6"/>
        <v>1080561.7327747534</v>
      </c>
      <c r="BA46" s="33">
        <f t="shared" si="6"/>
        <v>1128253.1197019718</v>
      </c>
      <c r="BB46" s="33">
        <f t="shared" si="6"/>
        <v>1176851.3325681488</v>
      </c>
      <c r="BC46" s="33">
        <f t="shared" si="6"/>
        <v>17113466.566692997</v>
      </c>
      <c r="BD46" s="33">
        <f t="shared" si="6"/>
        <v>1275885.821848769</v>
      </c>
      <c r="BE46" s="33">
        <f t="shared" si="6"/>
        <v>1325804.1506155499</v>
      </c>
      <c r="BF46" s="33">
        <f t="shared" si="6"/>
        <v>1375592.5891044138</v>
      </c>
      <c r="BG46" s="33">
        <f t="shared" si="6"/>
        <v>1424914.5080176503</v>
      </c>
      <c r="BH46" s="33">
        <f t="shared" si="6"/>
        <v>1473403.4710956602</v>
      </c>
      <c r="BI46" s="33">
        <f t="shared" si="6"/>
        <v>1520665.0078960406</v>
      </c>
      <c r="BJ46" s="33">
        <f t="shared" si="6"/>
        <v>1566279.1782901059</v>
      </c>
      <c r="BK46" s="33">
        <f t="shared" si="6"/>
        <v>1609803.9841109747</v>
      </c>
      <c r="BL46" s="33">
        <f t="shared" si="6"/>
        <v>1650779.6671197154</v>
      </c>
      <c r="BM46" s="33">
        <f>SUM(BM47:BM74)</f>
        <v>23569911.883545563</v>
      </c>
      <c r="BN46" s="34"/>
      <c r="BO46" s="34"/>
    </row>
    <row r="47" spans="1:67" s="176" customFormat="1" ht="12.75" customHeight="1" x14ac:dyDescent="0.2">
      <c r="A47" s="173" t="s">
        <v>82</v>
      </c>
      <c r="B47" s="173" t="s">
        <v>83</v>
      </c>
      <c r="C47" s="174"/>
      <c r="D47" s="175">
        <v>2</v>
      </c>
      <c r="E47" s="173">
        <v>1</v>
      </c>
      <c r="F47" s="173">
        <v>1</v>
      </c>
      <c r="G47" s="173">
        <v>1</v>
      </c>
      <c r="H47" s="173">
        <v>1</v>
      </c>
      <c r="I47" s="173">
        <v>1</v>
      </c>
      <c r="J47" s="173">
        <v>1</v>
      </c>
      <c r="K47" s="173">
        <v>1</v>
      </c>
      <c r="L47" s="173">
        <v>1</v>
      </c>
      <c r="M47" s="173">
        <v>1</v>
      </c>
      <c r="N47" s="173">
        <v>1</v>
      </c>
      <c r="O47" s="173">
        <v>1</v>
      </c>
      <c r="P47" s="173">
        <v>1</v>
      </c>
      <c r="Q47" s="173">
        <v>1</v>
      </c>
      <c r="R47" s="173">
        <v>1</v>
      </c>
      <c r="S47" s="173">
        <v>1</v>
      </c>
      <c r="T47" s="173">
        <v>1</v>
      </c>
      <c r="U47" s="173">
        <v>1</v>
      </c>
      <c r="V47" s="173">
        <v>1</v>
      </c>
      <c r="W47" s="173">
        <v>1</v>
      </c>
      <c r="X47" s="173">
        <v>1</v>
      </c>
      <c r="Y47" s="173">
        <v>1</v>
      </c>
      <c r="Z47" s="173">
        <v>1</v>
      </c>
      <c r="AA47" s="173">
        <v>1</v>
      </c>
      <c r="AB47" s="173">
        <v>1</v>
      </c>
      <c r="AC47" s="173">
        <v>1</v>
      </c>
      <c r="AD47" s="173">
        <v>1</v>
      </c>
      <c r="AE47" s="173">
        <v>1</v>
      </c>
      <c r="AF47" s="173">
        <v>1</v>
      </c>
      <c r="AG47" s="173">
        <v>1</v>
      </c>
      <c r="AH47" s="173"/>
      <c r="AI47" s="177"/>
      <c r="AJ47" s="212">
        <f>($C47*D47)*(1+'Datos de Entrada'!C$76)</f>
        <v>0</v>
      </c>
      <c r="AK47" s="212">
        <f>($C47*E47)*(1+'Datos de Entrada'!D$76)</f>
        <v>0</v>
      </c>
      <c r="AL47" s="212">
        <f>($C47*F47)*(1+'Datos de Entrada'!E$76)</f>
        <v>0</v>
      </c>
      <c r="AM47" s="212">
        <f>($C47*G47)*(1+'Datos de Entrada'!F$76)</f>
        <v>0</v>
      </c>
      <c r="AN47" s="212">
        <f>($C47*H47)*(1+'Datos de Entrada'!G$76)</f>
        <v>0</v>
      </c>
      <c r="AO47" s="212">
        <f>($C47*I47)*(1+'Datos de Entrada'!H$76)</f>
        <v>0</v>
      </c>
      <c r="AP47" s="212">
        <f>($C47*J47)*(1+'Datos de Entrada'!I$76)</f>
        <v>0</v>
      </c>
      <c r="AQ47" s="212">
        <f>($C47*K47)*(1+'Datos de Entrada'!J$76)</f>
        <v>0</v>
      </c>
      <c r="AR47" s="212">
        <f>($C47*L47)*(1+'Datos de Entrada'!K$76)</f>
        <v>0</v>
      </c>
      <c r="AS47" s="212">
        <f>($C47*M47)*(1+'Datos de Entrada'!L$76)</f>
        <v>0</v>
      </c>
      <c r="AT47" s="212">
        <f>($C47*N47)*(1+'Datos de Entrada'!M$76)</f>
        <v>0</v>
      </c>
      <c r="AU47" s="212">
        <f>($C47*O47)*(1+'Datos de Entrada'!N$76)</f>
        <v>0</v>
      </c>
      <c r="AV47" s="212">
        <f>($C47*P47)*(1+'Datos de Entrada'!O$76)</f>
        <v>0</v>
      </c>
      <c r="AW47" s="212">
        <f>($C47*Q47)*(1+'Datos de Entrada'!P$76)</f>
        <v>0</v>
      </c>
      <c r="AX47" s="212">
        <f>($C47*R47)*(1+'Datos de Entrada'!Q$76)</f>
        <v>0</v>
      </c>
      <c r="AY47" s="212">
        <f>($C47*S47)*(1+'Datos de Entrada'!R$76)</f>
        <v>0</v>
      </c>
      <c r="AZ47" s="212">
        <f>($C47*T47)*(1+'Datos de Entrada'!S$76)</f>
        <v>0</v>
      </c>
      <c r="BA47" s="212">
        <f>($C47*U47)*(1+'Datos de Entrada'!T$76)</f>
        <v>0</v>
      </c>
      <c r="BB47" s="212">
        <f>($C47*V47)*(1+'Datos de Entrada'!U$76)</f>
        <v>0</v>
      </c>
      <c r="BC47" s="212">
        <f>($C47*W47)*(1+'Datos de Entrada'!V$76)</f>
        <v>0</v>
      </c>
      <c r="BD47" s="212">
        <f>($C47*X47)*(1+'Datos de Entrada'!W$76)</f>
        <v>0</v>
      </c>
      <c r="BE47" s="212">
        <f>($C47*Y47)*(1+'Datos de Entrada'!X$76)</f>
        <v>0</v>
      </c>
      <c r="BF47" s="212">
        <f>($C47*Z47)*(1+'Datos de Entrada'!Y$76)</f>
        <v>0</v>
      </c>
      <c r="BG47" s="212">
        <f>($C47*AA47)*(1+'Datos de Entrada'!Z$76)</f>
        <v>0</v>
      </c>
      <c r="BH47" s="212">
        <f>($C47*AB47)*(1+'Datos de Entrada'!AA$76)</f>
        <v>0</v>
      </c>
      <c r="BI47" s="212">
        <f>($C47*AC47)*(1+'Datos de Entrada'!AB$76)</f>
        <v>0</v>
      </c>
      <c r="BJ47" s="212">
        <f>($C47*AD47)*(1+'Datos de Entrada'!AC$76)</f>
        <v>0</v>
      </c>
      <c r="BK47" s="212">
        <f>($C47*AE47)*(1+'Datos de Entrada'!AD$76)</f>
        <v>0</v>
      </c>
      <c r="BL47" s="212">
        <f>($C47*AF47)*(1+'Datos de Entrada'!AE$76)</f>
        <v>0</v>
      </c>
      <c r="BM47" s="212">
        <f>($C47*AG47)*(1+'Datos de Entrada'!AF$76)</f>
        <v>0</v>
      </c>
      <c r="BN47" s="213">
        <f t="shared" si="3"/>
        <v>0</v>
      </c>
    </row>
    <row r="48" spans="1:67" s="176" customFormat="1" ht="12.75" customHeight="1" x14ac:dyDescent="0.2">
      <c r="A48" s="178" t="s">
        <v>84</v>
      </c>
      <c r="B48" s="173" t="s">
        <v>39</v>
      </c>
      <c r="C48" s="174">
        <f>'Datos de Entrada'!H47*(1+'Datos de Entrada'!C45)*'Datos de Entrada'!C16</f>
        <v>13320.791593007265</v>
      </c>
      <c r="D48" s="175">
        <v>20</v>
      </c>
      <c r="E48" s="173">
        <v>15</v>
      </c>
      <c r="F48" s="173">
        <v>15</v>
      </c>
      <c r="G48" s="173">
        <v>15</v>
      </c>
      <c r="H48" s="173">
        <v>15</v>
      </c>
      <c r="I48" s="173">
        <v>15</v>
      </c>
      <c r="J48" s="173">
        <v>15</v>
      </c>
      <c r="K48" s="173">
        <v>15</v>
      </c>
      <c r="L48" s="173">
        <v>15</v>
      </c>
      <c r="M48" s="173">
        <v>15</v>
      </c>
      <c r="N48" s="173">
        <v>15</v>
      </c>
      <c r="O48" s="173">
        <v>15</v>
      </c>
      <c r="P48" s="173">
        <v>15</v>
      </c>
      <c r="Q48" s="173">
        <v>15</v>
      </c>
      <c r="R48" s="173">
        <v>15</v>
      </c>
      <c r="S48" s="173">
        <v>15</v>
      </c>
      <c r="T48" s="173">
        <v>15</v>
      </c>
      <c r="U48" s="173">
        <v>15</v>
      </c>
      <c r="V48" s="173">
        <v>15</v>
      </c>
      <c r="W48" s="173">
        <v>15</v>
      </c>
      <c r="X48" s="173">
        <v>15</v>
      </c>
      <c r="Y48" s="173">
        <v>15</v>
      </c>
      <c r="Z48" s="173">
        <v>15</v>
      </c>
      <c r="AA48" s="173">
        <v>15</v>
      </c>
      <c r="AB48" s="173">
        <v>15</v>
      </c>
      <c r="AC48" s="173">
        <v>15</v>
      </c>
      <c r="AD48" s="173">
        <v>15</v>
      </c>
      <c r="AE48" s="173">
        <v>15</v>
      </c>
      <c r="AF48" s="173">
        <v>15</v>
      </c>
      <c r="AG48" s="173">
        <v>15</v>
      </c>
      <c r="AH48" s="173">
        <f>AH46/AH75</f>
        <v>0.1003618085267545</v>
      </c>
      <c r="AI48" s="177"/>
      <c r="AJ48" s="212">
        <f>($C48*D48)*(1+'Datos de Entrada'!C$76)</f>
        <v>266415.83186014532</v>
      </c>
      <c r="AK48" s="212">
        <f>($C48*E48)*(1+'Datos de Entrada'!D$76)</f>
        <v>208566.36505676786</v>
      </c>
      <c r="AL48" s="212">
        <f>($C48*F48)*(1+'Datos de Entrada'!E$76)</f>
        <v>217907.74194576376</v>
      </c>
      <c r="AM48" s="212">
        <f>($C48*G48)*(1+'Datos de Entrada'!F$76)</f>
        <v>227852.19233207242</v>
      </c>
      <c r="AN48" s="212">
        <f>($C48*H48)*(1+'Datos de Entrada'!G$76)</f>
        <v>238414.57929670162</v>
      </c>
      <c r="AO48" s="212">
        <f>($C48*I48)*(1+'Datos de Entrada'!H$76)</f>
        <v>249607.96918705021</v>
      </c>
      <c r="AP48" s="212">
        <f>($C48*J48)*(1+'Datos de Entrada'!I$76)</f>
        <v>261443.11349977774</v>
      </c>
      <c r="AQ48" s="212">
        <f>($C48*K48)*(1+'Datos de Entrada'!J$76)</f>
        <v>273927.88406212186</v>
      </c>
      <c r="AR48" s="212">
        <f>($C48*L48)*(1+'Datos de Entrada'!K$76)</f>
        <v>287066.66204622464</v>
      </c>
      <c r="AS48" s="212">
        <f>($C48*M48)*(1+'Datos de Entrada'!L$76)</f>
        <v>300859.68273435422</v>
      </c>
      <c r="AT48" s="212">
        <f>($C48*N48)*(1+'Datos de Entrada'!M$76)</f>
        <v>315302.33956891252</v>
      </c>
      <c r="AU48" s="212">
        <f>($C48*O48)*(1+'Datos de Entrada'!N$76)</f>
        <v>330384.45287635183</v>
      </c>
      <c r="AV48" s="212">
        <f>($C48*P48)*(1+'Datos de Entrada'!O$76)</f>
        <v>346089.51074683416</v>
      </c>
      <c r="AW48" s="212">
        <f>($C48*Q48)*(1+'Datos de Entrada'!P$76)</f>
        <v>362393.89186954411</v>
      </c>
      <c r="AX48" s="212">
        <f>($C48*R48)*(1+'Datos de Entrada'!Q$76)</f>
        <v>379266.08264239959</v>
      </c>
      <c r="AY48" s="212">
        <f>($C48*S48)*(1+'Datos de Entrada'!R$76)</f>
        <v>396665.90355522645</v>
      </c>
      <c r="AZ48" s="212">
        <f>($C48*T48)*(1+'Datos de Entrada'!S$76)</f>
        <v>414543.76263134705</v>
      </c>
      <c r="BA48" s="212">
        <f>($C48*U48)*(1+'Datos de Entrada'!T$76)</f>
        <v>432839.95652963466</v>
      </c>
      <c r="BB48" s="212">
        <f>($C48*V48)*(1+'Datos de Entrada'!U$76)</f>
        <v>451484.04266340088</v>
      </c>
      <c r="BC48" s="212">
        <f>($C48*W48)*(1+'Datos de Entrada'!V$76)</f>
        <v>470394.30826971232</v>
      </c>
      <c r="BD48" s="212">
        <f>($C48*X48)*(1+'Datos de Entrada'!W$76)</f>
        <v>489477.36462867161</v>
      </c>
      <c r="BE48" s="212">
        <f>($C48*Y48)*(1+'Datos de Entrada'!X$76)</f>
        <v>508627.89643411693</v>
      </c>
      <c r="BF48" s="212">
        <f>($C48*Z48)*(1+'Datos de Entrada'!Y$76)</f>
        <v>527728.59748681227</v>
      </c>
      <c r="BG48" s="212">
        <f>($C48*AA48)*(1+'Datos de Entrada'!Z$76)</f>
        <v>546650.32423905272</v>
      </c>
      <c r="BH48" s="212">
        <f>($C48*AB48)*(1+'Datos de Entrada'!AA$76)</f>
        <v>565252.4980813876</v>
      </c>
      <c r="BI48" s="212">
        <f>($C48*AC48)*(1+'Datos de Entrada'!AB$76)</f>
        <v>583383.78544676525</v>
      </c>
      <c r="BJ48" s="212">
        <f>($C48*AD48)*(1+'Datos de Entrada'!AC$76)</f>
        <v>600883.08164699899</v>
      </c>
      <c r="BK48" s="212">
        <f>($C48*AE48)*(1+'Datos de Entrada'!AD$76)</f>
        <v>617580.81970815512</v>
      </c>
      <c r="BL48" s="212">
        <f>($C48*AF48)*(1+'Datos de Entrada'!AE$76)</f>
        <v>633300.6192305889</v>
      </c>
      <c r="BM48" s="212">
        <f>($C48*AG48)*(1+'Datos de Entrada'!AF$76)</f>
        <v>647861.28241351177</v>
      </c>
      <c r="BN48" s="213">
        <f t="shared" si="3"/>
        <v>12152172.542690407</v>
      </c>
    </row>
    <row r="49" spans="1:67" s="176" customFormat="1" ht="12.75" customHeight="1" x14ac:dyDescent="0.2">
      <c r="A49" s="178" t="s">
        <v>85</v>
      </c>
      <c r="B49" s="173" t="s">
        <v>39</v>
      </c>
      <c r="C49" s="174">
        <f>'Datos de Entrada'!H47*(1+'Datos de Entrada'!C45)*'Datos de Entrada'!C16</f>
        <v>13320.791593007265</v>
      </c>
      <c r="D49" s="175">
        <v>10</v>
      </c>
      <c r="E49" s="173">
        <v>5</v>
      </c>
      <c r="F49" s="173">
        <v>5</v>
      </c>
      <c r="G49" s="173">
        <v>5</v>
      </c>
      <c r="H49" s="173">
        <v>5</v>
      </c>
      <c r="I49" s="173">
        <v>5</v>
      </c>
      <c r="J49" s="173">
        <v>5</v>
      </c>
      <c r="K49" s="173">
        <v>5</v>
      </c>
      <c r="L49" s="173">
        <v>5</v>
      </c>
      <c r="M49" s="173">
        <v>5</v>
      </c>
      <c r="N49" s="173">
        <v>5</v>
      </c>
      <c r="O49" s="173">
        <v>5</v>
      </c>
      <c r="P49" s="173">
        <v>5</v>
      </c>
      <c r="Q49" s="173">
        <v>5</v>
      </c>
      <c r="R49" s="173">
        <v>5</v>
      </c>
      <c r="S49" s="173">
        <v>5</v>
      </c>
      <c r="T49" s="173">
        <v>5</v>
      </c>
      <c r="U49" s="173">
        <v>5</v>
      </c>
      <c r="V49" s="173">
        <v>5</v>
      </c>
      <c r="W49" s="173">
        <v>5</v>
      </c>
      <c r="X49" s="173">
        <v>5</v>
      </c>
      <c r="Y49" s="173">
        <v>5</v>
      </c>
      <c r="Z49" s="173">
        <v>5</v>
      </c>
      <c r="AA49" s="173">
        <v>5</v>
      </c>
      <c r="AB49" s="173">
        <v>5</v>
      </c>
      <c r="AC49" s="173">
        <v>5</v>
      </c>
      <c r="AD49" s="173">
        <v>5</v>
      </c>
      <c r="AE49" s="173">
        <v>5</v>
      </c>
      <c r="AF49" s="173">
        <v>5</v>
      </c>
      <c r="AG49" s="173">
        <v>5</v>
      </c>
      <c r="AH49" s="173"/>
      <c r="AI49" s="177"/>
      <c r="AJ49" s="212">
        <f>($C49*D49)*(1+'Datos de Entrada'!C$76)</f>
        <v>133207.91593007266</v>
      </c>
      <c r="AK49" s="212">
        <f>($C49*E49)*(1+'Datos de Entrada'!D$76)</f>
        <v>69522.121685589285</v>
      </c>
      <c r="AL49" s="212">
        <f>($C49*F49)*(1+'Datos de Entrada'!E$76)</f>
        <v>72635.913981921258</v>
      </c>
      <c r="AM49" s="212">
        <f>($C49*G49)*(1+'Datos de Entrada'!F$76)</f>
        <v>75950.730777357487</v>
      </c>
      <c r="AN49" s="212">
        <f>($C49*H49)*(1+'Datos de Entrada'!G$76)</f>
        <v>79471.526432233877</v>
      </c>
      <c r="AO49" s="212">
        <f>($C49*I49)*(1+'Datos de Entrada'!H$76)</f>
        <v>83202.656395683414</v>
      </c>
      <c r="AP49" s="212">
        <f>($C49*J49)*(1+'Datos de Entrada'!I$76)</f>
        <v>87147.704499925923</v>
      </c>
      <c r="AQ49" s="212">
        <f>($C49*K49)*(1+'Datos de Entrada'!J$76)</f>
        <v>91309.294687373971</v>
      </c>
      <c r="AR49" s="212">
        <f>($C49*L49)*(1+'Datos de Entrada'!K$76)</f>
        <v>95688.887348741569</v>
      </c>
      <c r="AS49" s="212">
        <f>($C49*M49)*(1+'Datos de Entrada'!L$76)</f>
        <v>100286.56091145141</v>
      </c>
      <c r="AT49" s="212">
        <f>($C49*N49)*(1+'Datos de Entrada'!M$76)</f>
        <v>105100.77985630419</v>
      </c>
      <c r="AU49" s="212">
        <f>($C49*O49)*(1+'Datos de Entrada'!N$76)</f>
        <v>110128.15095878395</v>
      </c>
      <c r="AV49" s="212">
        <f>($C49*P49)*(1+'Datos de Entrada'!O$76)</f>
        <v>115363.17024894473</v>
      </c>
      <c r="AW49" s="212">
        <f>($C49*Q49)*(1+'Datos de Entrada'!P$76)</f>
        <v>120797.96395651472</v>
      </c>
      <c r="AX49" s="212">
        <f>($C49*R49)*(1+'Datos de Entrada'!Q$76)</f>
        <v>126422.02754746654</v>
      </c>
      <c r="AY49" s="212">
        <f>($C49*S49)*(1+'Datos de Entrada'!R$76)</f>
        <v>132221.96785174217</v>
      </c>
      <c r="AZ49" s="212">
        <f>($C49*T49)*(1+'Datos de Entrada'!S$76)</f>
        <v>138181.25421044903</v>
      </c>
      <c r="BA49" s="212">
        <f>($C49*U49)*(1+'Datos de Entrada'!T$76)</f>
        <v>144279.98550987826</v>
      </c>
      <c r="BB49" s="212">
        <f>($C49*V49)*(1+'Datos de Entrada'!U$76)</f>
        <v>150494.68088780032</v>
      </c>
      <c r="BC49" s="212">
        <f>($C49*W49)*(1+'Datos de Entrada'!V$76)</f>
        <v>156798.10275657079</v>
      </c>
      <c r="BD49" s="212">
        <f>($C49*X49)*(1+'Datos de Entrada'!W$76)</f>
        <v>163159.12154289056</v>
      </c>
      <c r="BE49" s="212">
        <f>($C49*Y49)*(1+'Datos de Entrada'!X$76)</f>
        <v>169542.63214470565</v>
      </c>
      <c r="BF49" s="212">
        <f>($C49*Z49)*(1+'Datos de Entrada'!Y$76)</f>
        <v>175909.5324956041</v>
      </c>
      <c r="BG49" s="212">
        <f>($C49*AA49)*(1+'Datos de Entrada'!Z$76)</f>
        <v>182216.77474635091</v>
      </c>
      <c r="BH49" s="212">
        <f>($C49*AB49)*(1+'Datos de Entrada'!AA$76)</f>
        <v>188417.49936046256</v>
      </c>
      <c r="BI49" s="212">
        <f>($C49*AC49)*(1+'Datos de Entrada'!AB$76)</f>
        <v>194461.26181558846</v>
      </c>
      <c r="BJ49" s="212">
        <f>($C49*AD49)*(1+'Datos de Entrada'!AC$76)</f>
        <v>200294.36054899971</v>
      </c>
      <c r="BK49" s="212">
        <f>($C49*AE49)*(1+'Datos de Entrada'!AD$76)</f>
        <v>205860.27323605173</v>
      </c>
      <c r="BL49" s="212">
        <f>($C49*AF49)*(1+'Datos de Entrada'!AE$76)</f>
        <v>211100.20641019632</v>
      </c>
      <c r="BM49" s="212">
        <f>($C49*AG49)*(1+'Datos de Entrada'!AF$76)</f>
        <v>215953.76080450395</v>
      </c>
      <c r="BN49" s="213">
        <f t="shared" si="3"/>
        <v>4095126.8195401598</v>
      </c>
    </row>
    <row r="50" spans="1:67" s="176" customFormat="1" ht="12.75" customHeight="1" x14ac:dyDescent="0.2">
      <c r="A50" s="178" t="s">
        <v>20</v>
      </c>
      <c r="B50" s="173" t="s">
        <v>39</v>
      </c>
      <c r="C50" s="174">
        <f>'Datos de Entrada'!C54*'Datos de Entrada'!C16</f>
        <v>13877.430760164996</v>
      </c>
      <c r="D50" s="175">
        <v>10</v>
      </c>
      <c r="E50" s="173">
        <v>5</v>
      </c>
      <c r="F50" s="173">
        <v>5</v>
      </c>
      <c r="G50" s="173">
        <v>5</v>
      </c>
      <c r="H50" s="173">
        <v>5</v>
      </c>
      <c r="I50" s="173">
        <v>5</v>
      </c>
      <c r="J50" s="173">
        <v>5</v>
      </c>
      <c r="K50" s="173">
        <v>5</v>
      </c>
      <c r="L50" s="173">
        <v>5</v>
      </c>
      <c r="M50" s="173">
        <v>5</v>
      </c>
      <c r="N50" s="173">
        <v>5</v>
      </c>
      <c r="O50" s="173">
        <v>5</v>
      </c>
      <c r="P50" s="173">
        <v>5</v>
      </c>
      <c r="Q50" s="173">
        <v>5</v>
      </c>
      <c r="R50" s="173">
        <v>5</v>
      </c>
      <c r="S50" s="173">
        <v>5</v>
      </c>
      <c r="T50" s="173">
        <v>5</v>
      </c>
      <c r="U50" s="173">
        <v>5</v>
      </c>
      <c r="V50" s="173">
        <v>5</v>
      </c>
      <c r="W50" s="173">
        <v>5</v>
      </c>
      <c r="X50" s="173">
        <v>5</v>
      </c>
      <c r="Y50" s="173">
        <v>5</v>
      </c>
      <c r="Z50" s="173">
        <v>5</v>
      </c>
      <c r="AA50" s="173">
        <v>5</v>
      </c>
      <c r="AB50" s="173">
        <v>5</v>
      </c>
      <c r="AC50" s="173">
        <v>5</v>
      </c>
      <c r="AD50" s="173">
        <v>5</v>
      </c>
      <c r="AE50" s="173">
        <v>5</v>
      </c>
      <c r="AF50" s="173">
        <v>5</v>
      </c>
      <c r="AG50" s="173">
        <v>5</v>
      </c>
      <c r="AH50" s="173"/>
      <c r="AI50" s="177"/>
      <c r="AJ50" s="212">
        <f>($C50*D50)*(1+'Datos de Entrada'!C$76)</f>
        <v>138774.30760164995</v>
      </c>
      <c r="AK50" s="212">
        <f>($C50*E50)*(1+'Datos de Entrada'!D$76)</f>
        <v>72427.259540491214</v>
      </c>
      <c r="AL50" s="212">
        <f>($C50*F50)*(1+'Datos de Entrada'!E$76)</f>
        <v>75671.168634945177</v>
      </c>
      <c r="AM50" s="212">
        <f>($C50*G50)*(1+'Datos de Entrada'!F$76)</f>
        <v>79124.502488276106</v>
      </c>
      <c r="AN50" s="212">
        <f>($C50*H50)*(1+'Datos de Entrada'!G$76)</f>
        <v>82792.422489883655</v>
      </c>
      <c r="AO50" s="212">
        <f>($C50*I50)*(1+'Datos de Entrada'!H$76)</f>
        <v>86679.466091115959</v>
      </c>
      <c r="AP50" s="212">
        <f>($C50*J50)*(1+'Datos de Entrada'!I$76)</f>
        <v>90789.36688266389</v>
      </c>
      <c r="AQ50" s="212">
        <f>($C50*K50)*(1+'Datos de Entrada'!J$76)</f>
        <v>95124.858454261572</v>
      </c>
      <c r="AR50" s="212">
        <f>($C50*L50)*(1+'Datos de Entrada'!K$76)</f>
        <v>99687.462222325979</v>
      </c>
      <c r="AS50" s="212">
        <f>($C50*M50)*(1+'Datos de Entrada'!L$76)</f>
        <v>104477.25989154563</v>
      </c>
      <c r="AT50" s="212">
        <f>($C50*N50)*(1+'Datos de Entrada'!M$76)</f>
        <v>109492.65177760593</v>
      </c>
      <c r="AU50" s="212">
        <f>($C50*O50)*(1+'Datos de Entrada'!N$76)</f>
        <v>114730.10286249052</v>
      </c>
      <c r="AV50" s="212">
        <f>($C50*P50)*(1+'Datos de Entrada'!O$76)</f>
        <v>120183.87918051888</v>
      </c>
      <c r="AW50" s="212">
        <f>($C50*Q50)*(1+'Datos de Entrada'!P$76)</f>
        <v>125845.77793826051</v>
      </c>
      <c r="AX50" s="212">
        <f>($C50*R50)*(1+'Datos de Entrada'!Q$76)</f>
        <v>131704.85564616261</v>
      </c>
      <c r="AY50" s="212">
        <f>($C50*S50)*(1+'Datos de Entrada'!R$76)</f>
        <v>137747.15947050348</v>
      </c>
      <c r="AZ50" s="212">
        <f>($C50*T50)*(1+'Datos de Entrada'!S$76)</f>
        <v>143955.46798171563</v>
      </c>
      <c r="BA50" s="212">
        <f>($C50*U50)*(1+'Datos de Entrada'!T$76)</f>
        <v>150309.04845339787</v>
      </c>
      <c r="BB50" s="212">
        <f>($C50*V50)*(1+'Datos de Entrada'!U$76)</f>
        <v>156783.4388228039</v>
      </c>
      <c r="BC50" s="212">
        <f>($C50*W50)*(1+'Datos de Entrada'!V$76)</f>
        <v>163350.26331857126</v>
      </c>
      <c r="BD50" s="212">
        <f>($C50*X50)*(1+'Datos de Entrada'!W$76)</f>
        <v>169977.09154832907</v>
      </c>
      <c r="BE50" s="212">
        <f>($C50*Y50)*(1+'Datos de Entrada'!X$76)</f>
        <v>176627.351464562</v>
      </c>
      <c r="BF50" s="212">
        <f>($C50*Z50)*(1+'Datos de Entrada'!Y$76)</f>
        <v>183260.30703327202</v>
      </c>
      <c r="BG50" s="212">
        <f>($C50*AA50)*(1+'Datos de Entrada'!Z$76)</f>
        <v>189831.11155424913</v>
      </c>
      <c r="BH50" s="212">
        <f>($C50*AB50)*(1+'Datos de Entrada'!AA$76)</f>
        <v>196290.94736013</v>
      </c>
      <c r="BI50" s="212">
        <f>($C50*AC50)*(1+'Datos de Entrada'!AB$76)</f>
        <v>202587.26199100545</v>
      </c>
      <c r="BJ50" s="212">
        <f>($C50*AD50)*(1+'Datos de Entrada'!AC$76)</f>
        <v>208664.10984384737</v>
      </c>
      <c r="BK50" s="212">
        <f>($C50*AE50)*(1+'Datos de Entrada'!AD$76)</f>
        <v>214462.60668184576</v>
      </c>
      <c r="BL50" s="212">
        <f>($C50*AF50)*(1+'Datos de Entrada'!AE$76)</f>
        <v>219921.50222152646</v>
      </c>
      <c r="BM50" s="212">
        <f>($C50*AG50)*(1+'Datos de Entrada'!AF$76)</f>
        <v>224977.87327706165</v>
      </c>
      <c r="BN50" s="213">
        <f t="shared" si="3"/>
        <v>4266250.882725019</v>
      </c>
    </row>
    <row r="51" spans="1:67" s="176" customFormat="1" ht="12.75" customHeight="1" x14ac:dyDescent="0.2">
      <c r="A51" s="178" t="s">
        <v>76</v>
      </c>
      <c r="B51" s="173" t="s">
        <v>39</v>
      </c>
      <c r="C51" s="174">
        <f>'Equipos y Herramientas'!C21*'Datos de Entrada'!C16</f>
        <v>37006.482027106656</v>
      </c>
      <c r="D51" s="175">
        <v>10</v>
      </c>
      <c r="E51" s="173">
        <v>5</v>
      </c>
      <c r="F51" s="173">
        <v>5</v>
      </c>
      <c r="G51" s="173">
        <v>5</v>
      </c>
      <c r="H51" s="173">
        <v>5</v>
      </c>
      <c r="I51" s="173">
        <v>5</v>
      </c>
      <c r="J51" s="173">
        <v>5</v>
      </c>
      <c r="K51" s="173">
        <v>5</v>
      </c>
      <c r="L51" s="173">
        <v>5</v>
      </c>
      <c r="M51" s="173">
        <v>5</v>
      </c>
      <c r="N51" s="173">
        <v>5</v>
      </c>
      <c r="O51" s="173">
        <v>5</v>
      </c>
      <c r="P51" s="173">
        <v>5</v>
      </c>
      <c r="Q51" s="173">
        <v>5</v>
      </c>
      <c r="R51" s="173">
        <v>5</v>
      </c>
      <c r="S51" s="173">
        <v>5</v>
      </c>
      <c r="T51" s="173">
        <v>5</v>
      </c>
      <c r="U51" s="173">
        <v>5</v>
      </c>
      <c r="V51" s="173">
        <v>5</v>
      </c>
      <c r="W51" s="173">
        <v>5</v>
      </c>
      <c r="X51" s="173">
        <v>5</v>
      </c>
      <c r="Y51" s="173">
        <v>5</v>
      </c>
      <c r="Z51" s="173">
        <v>5</v>
      </c>
      <c r="AA51" s="173">
        <v>5</v>
      </c>
      <c r="AB51" s="173">
        <v>5</v>
      </c>
      <c r="AC51" s="173">
        <v>5</v>
      </c>
      <c r="AD51" s="173">
        <v>5</v>
      </c>
      <c r="AE51" s="173">
        <v>5</v>
      </c>
      <c r="AF51" s="173">
        <v>5</v>
      </c>
      <c r="AG51" s="173">
        <v>5</v>
      </c>
      <c r="AH51" s="173"/>
      <c r="AI51" s="177"/>
      <c r="AJ51" s="212">
        <f>($C51*D51)*(1+'Datos de Entrada'!C$76)</f>
        <v>370064.82027106656</v>
      </c>
      <c r="AK51" s="212">
        <f>($C51*E51)*(1+'Datos de Entrada'!D$76)</f>
        <v>193139.35877464325</v>
      </c>
      <c r="AL51" s="212">
        <f>($C51*F51)*(1+'Datos de Entrada'!E$76)</f>
        <v>201789.78302652048</v>
      </c>
      <c r="AM51" s="212">
        <f>($C51*G51)*(1+'Datos de Entrada'!F$76)</f>
        <v>210998.67330206963</v>
      </c>
      <c r="AN51" s="212">
        <f>($C51*H51)*(1+'Datos de Entrada'!G$76)</f>
        <v>220779.79330635644</v>
      </c>
      <c r="AO51" s="212">
        <f>($C51*I51)*(1+'Datos de Entrada'!H$76)</f>
        <v>231145.24290964255</v>
      </c>
      <c r="AP51" s="212">
        <f>($C51*J51)*(1+'Datos de Entrada'!I$76)</f>
        <v>242104.97835377039</v>
      </c>
      <c r="AQ51" s="212">
        <f>($C51*K51)*(1+'Datos de Entrada'!J$76)</f>
        <v>253666.2892113642</v>
      </c>
      <c r="AR51" s="212">
        <f>($C51*L51)*(1+'Datos de Entrada'!K$76)</f>
        <v>265833.23259286926</v>
      </c>
      <c r="AS51" s="212">
        <f>($C51*M51)*(1+'Datos de Entrada'!L$76)</f>
        <v>278606.02637745504</v>
      </c>
      <c r="AT51" s="212">
        <f>($C51*N51)*(1+'Datos de Entrada'!M$76)</f>
        <v>291980.40474028251</v>
      </c>
      <c r="AU51" s="212">
        <f>($C51*O51)*(1+'Datos de Entrada'!N$76)</f>
        <v>305946.94096664141</v>
      </c>
      <c r="AV51" s="212">
        <f>($C51*P51)*(1+'Datos de Entrada'!O$76)</f>
        <v>320490.34448138374</v>
      </c>
      <c r="AW51" s="212">
        <f>($C51*Q51)*(1+'Datos de Entrada'!P$76)</f>
        <v>335588.74116869469</v>
      </c>
      <c r="AX51" s="212">
        <f>($C51*R51)*(1+'Datos de Entrada'!Q$76)</f>
        <v>351212.94838976703</v>
      </c>
      <c r="AY51" s="212">
        <f>($C51*S51)*(1+'Datos de Entrada'!R$76)</f>
        <v>367325.75858800928</v>
      </c>
      <c r="AZ51" s="212">
        <f>($C51*T51)*(1+'Datos de Entrada'!S$76)</f>
        <v>383881.24795124168</v>
      </c>
      <c r="BA51" s="212">
        <f>($C51*U51)*(1+'Datos de Entrada'!T$76)</f>
        <v>400824.12920906104</v>
      </c>
      <c r="BB51" s="212">
        <f>($C51*V51)*(1+'Datos de Entrada'!U$76)</f>
        <v>418089.17019414372</v>
      </c>
      <c r="BC51" s="212">
        <f>($C51*W51)*(1+'Datos de Entrada'!V$76)</f>
        <v>435600.70218285674</v>
      </c>
      <c r="BD51" s="212">
        <f>($C51*X51)*(1+'Datos de Entrada'!W$76)</f>
        <v>453272.24412887759</v>
      </c>
      <c r="BE51" s="212">
        <f>($C51*Y51)*(1+'Datos de Entrada'!X$76)</f>
        <v>471006.27057216532</v>
      </c>
      <c r="BF51" s="212">
        <f>($C51*Z51)*(1+'Datos de Entrada'!Y$76)</f>
        <v>488694.15208872542</v>
      </c>
      <c r="BG51" s="212">
        <f>($C51*AA51)*(1+'Datos de Entrada'!Z$76)</f>
        <v>506216.29747799772</v>
      </c>
      <c r="BH51" s="212">
        <f>($C51*AB51)*(1+'Datos de Entrada'!AA$76)</f>
        <v>523442.52629368001</v>
      </c>
      <c r="BI51" s="212">
        <f>($C51*AC51)*(1+'Datos de Entrada'!AB$76)</f>
        <v>540232.69864268124</v>
      </c>
      <c r="BJ51" s="212">
        <f>($C51*AD51)*(1+'Datos de Entrada'!AC$76)</f>
        <v>556437.62625025969</v>
      </c>
      <c r="BK51" s="212">
        <f>($C51*AE51)*(1+'Datos de Entrada'!AD$76)</f>
        <v>571900.28448492207</v>
      </c>
      <c r="BL51" s="212">
        <f>($C51*AF51)*(1+'Datos de Entrada'!AE$76)</f>
        <v>586457.33925740386</v>
      </c>
      <c r="BM51" s="212">
        <f>($C51*AG51)*(1+'Datos de Entrada'!AF$76)</f>
        <v>599940.99540549773</v>
      </c>
      <c r="BN51" s="213">
        <f t="shared" si="3"/>
        <v>11376669.020600047</v>
      </c>
    </row>
    <row r="52" spans="1:67" ht="12.75" customHeight="1" x14ac:dyDescent="0.2">
      <c r="A52" s="35"/>
      <c r="B52" s="18"/>
      <c r="C52" s="19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9"/>
      <c r="AJ52" s="26">
        <f>($C52*D52)*(1+'Datos de Entrada'!C$76)</f>
        <v>0</v>
      </c>
      <c r="AK52" s="26">
        <f>($C52*E52)*(1+'Datos de Entrada'!D$76)</f>
        <v>0</v>
      </c>
      <c r="AL52" s="26">
        <f>($C52*F52)*(1+'Datos de Entrada'!E$76)</f>
        <v>0</v>
      </c>
      <c r="AM52" s="26">
        <f>($C52*G52)*(1+'Datos de Entrada'!F$76)</f>
        <v>0</v>
      </c>
      <c r="AN52" s="26">
        <f>($C52*H52)*(1+'Datos de Entrada'!G$76)</f>
        <v>0</v>
      </c>
      <c r="AO52" s="26">
        <f>($C52*I52)*(1+'Datos de Entrada'!H$76)</f>
        <v>0</v>
      </c>
      <c r="AP52" s="26">
        <f>($C52*J52)*(1+'Datos de Entrada'!I$76)</f>
        <v>0</v>
      </c>
      <c r="AQ52" s="26">
        <f>($C52*K52)*(1+'Datos de Entrada'!J$76)</f>
        <v>0</v>
      </c>
      <c r="AR52" s="26">
        <f>($C52*L52)*(1+'Datos de Entrada'!K$76)</f>
        <v>0</v>
      </c>
      <c r="AS52" s="26">
        <f>($C52*M52)*(1+'Datos de Entrada'!L$76)</f>
        <v>0</v>
      </c>
      <c r="AT52" s="26">
        <f>($C52*N52)*(1+'Datos de Entrada'!M$76)</f>
        <v>0</v>
      </c>
      <c r="AU52" s="26">
        <f>($C52*O52)*(1+'Datos de Entrada'!N$76)</f>
        <v>0</v>
      </c>
      <c r="AV52" s="26">
        <f>($C52*P52)*(1+'Datos de Entrada'!O$76)</f>
        <v>0</v>
      </c>
      <c r="AW52" s="26">
        <f>($C52*Q52)*(1+'Datos de Entrada'!P$76)</f>
        <v>0</v>
      </c>
      <c r="AX52" s="26">
        <f>($C52*R52)*(1+'Datos de Entrada'!Q$76)</f>
        <v>0</v>
      </c>
      <c r="AY52" s="26">
        <f>($C52*S52)*(1+'Datos de Entrada'!R$76)</f>
        <v>0</v>
      </c>
      <c r="AZ52" s="26">
        <f>($C52*T52)*(1+'Datos de Entrada'!S$76)</f>
        <v>0</v>
      </c>
      <c r="BA52" s="26">
        <f>($C52*U52)*(1+'Datos de Entrada'!T$76)</f>
        <v>0</v>
      </c>
      <c r="BB52" s="26">
        <f>($C52*V52)*(1+'Datos de Entrada'!U$76)</f>
        <v>0</v>
      </c>
      <c r="BC52" s="26">
        <f>($C52*W52)*(1+'Datos de Entrada'!V$76)</f>
        <v>0</v>
      </c>
      <c r="BD52" s="26">
        <f>($C52*X52)*(1+'Datos de Entrada'!W$76)</f>
        <v>0</v>
      </c>
      <c r="BE52" s="26">
        <f>($C52*Y52)*(1+'Datos de Entrada'!X$76)</f>
        <v>0</v>
      </c>
      <c r="BF52" s="26">
        <f>($C52*Z52)*(1+'Datos de Entrada'!Y$76)</f>
        <v>0</v>
      </c>
      <c r="BG52" s="26">
        <f>($C52*AA52)*(1+'Datos de Entrada'!Z$76)</f>
        <v>0</v>
      </c>
      <c r="BH52" s="26">
        <f>($C52*AB52)*(1+'Datos de Entrada'!AA$76)</f>
        <v>0</v>
      </c>
      <c r="BI52" s="26">
        <f>($C52*AC52)*(1+'Datos de Entrada'!AB$76)</f>
        <v>0</v>
      </c>
      <c r="BJ52" s="26">
        <f>($C52*AD52)*(1+'Datos de Entrada'!AC$76)</f>
        <v>0</v>
      </c>
      <c r="BK52" s="26">
        <f>($C52*AE52)*(1+'Datos de Entrada'!AD$76)</f>
        <v>0</v>
      </c>
      <c r="BL52" s="26">
        <f>($C52*AF52)*(1+'Datos de Entrada'!AE$76)</f>
        <v>0</v>
      </c>
      <c r="BM52" s="26">
        <f>($C52*AG52)*(1+'Datos de Entrada'!AF$76)</f>
        <v>0</v>
      </c>
      <c r="BN52" s="211">
        <f t="shared" si="3"/>
        <v>0</v>
      </c>
    </row>
    <row r="53" spans="1:67" ht="12.75" customHeight="1" x14ac:dyDescent="0.2">
      <c r="A53" s="18"/>
      <c r="B53" s="18"/>
      <c r="C53" s="19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9"/>
      <c r="AJ53" s="26">
        <f>($C53*D53)*(1+'Datos de Entrada'!C$76)</f>
        <v>0</v>
      </c>
      <c r="AK53" s="26">
        <f>($C53*E53)*(1+'Datos de Entrada'!D$76)</f>
        <v>0</v>
      </c>
      <c r="AL53" s="26">
        <f>($C53*F53)*(1+'Datos de Entrada'!E$76)</f>
        <v>0</v>
      </c>
      <c r="AM53" s="26">
        <f>($C53*G53)*(1+'Datos de Entrada'!F$76)</f>
        <v>0</v>
      </c>
      <c r="AN53" s="26">
        <f>($C53*H53)*(1+'Datos de Entrada'!G$76)</f>
        <v>0</v>
      </c>
      <c r="AO53" s="26">
        <f>($C53*I53)*(1+'Datos de Entrada'!H$76)</f>
        <v>0</v>
      </c>
      <c r="AP53" s="26">
        <f>($C53*J53)*(1+'Datos de Entrada'!I$76)</f>
        <v>0</v>
      </c>
      <c r="AQ53" s="26">
        <f>($C53*K53)*(1+'Datos de Entrada'!J$76)</f>
        <v>0</v>
      </c>
      <c r="AR53" s="26">
        <f>($C53*L53)*(1+'Datos de Entrada'!K$76)</f>
        <v>0</v>
      </c>
      <c r="AS53" s="26">
        <f>($C53*M53)*(1+'Datos de Entrada'!L$76)</f>
        <v>0</v>
      </c>
      <c r="AT53" s="26">
        <f>($C53*N53)*(1+'Datos de Entrada'!M$76)</f>
        <v>0</v>
      </c>
      <c r="AU53" s="26">
        <f>($C53*O53)*(1+'Datos de Entrada'!N$76)</f>
        <v>0</v>
      </c>
      <c r="AV53" s="26">
        <f>($C53*P53)*(1+'Datos de Entrada'!O$76)</f>
        <v>0</v>
      </c>
      <c r="AW53" s="26">
        <f>($C53*Q53)*(1+'Datos de Entrada'!P$76)</f>
        <v>0</v>
      </c>
      <c r="AX53" s="26">
        <f>($C53*R53)*(1+'Datos de Entrada'!Q$76)</f>
        <v>0</v>
      </c>
      <c r="AY53" s="26">
        <f>($C53*S53)*(1+'Datos de Entrada'!R$76)</f>
        <v>0</v>
      </c>
      <c r="AZ53" s="26">
        <f>($C53*T53)*(1+'Datos de Entrada'!S$76)</f>
        <v>0</v>
      </c>
      <c r="BA53" s="26">
        <f>($C53*U53)*(1+'Datos de Entrada'!T$76)</f>
        <v>0</v>
      </c>
      <c r="BB53" s="26">
        <f>($C53*V53)*(1+'Datos de Entrada'!U$76)</f>
        <v>0</v>
      </c>
      <c r="BC53" s="26">
        <f>($C53*W53)*(1+'Datos de Entrada'!V$76)</f>
        <v>0</v>
      </c>
      <c r="BD53" s="26">
        <f>($C53*X53)*(1+'Datos de Entrada'!W$76)</f>
        <v>0</v>
      </c>
      <c r="BE53" s="26">
        <f>($C53*Y53)*(1+'Datos de Entrada'!X$76)</f>
        <v>0</v>
      </c>
      <c r="BF53" s="26">
        <f>($C53*Z53)*(1+'Datos de Entrada'!Y$76)</f>
        <v>0</v>
      </c>
      <c r="BG53" s="26">
        <f>($C53*AA53)*(1+'Datos de Entrada'!Z$76)</f>
        <v>0</v>
      </c>
      <c r="BH53" s="26">
        <f>($C53*AB53)*(1+'Datos de Entrada'!AA$76)</f>
        <v>0</v>
      </c>
      <c r="BI53" s="26">
        <f>($C53*AC53)*(1+'Datos de Entrada'!AB$76)</f>
        <v>0</v>
      </c>
      <c r="BJ53" s="26">
        <f>($C53*AD53)*(1+'Datos de Entrada'!AC$76)</f>
        <v>0</v>
      </c>
      <c r="BK53" s="26">
        <f>($C53*AE53)*(1+'Datos de Entrada'!AD$76)</f>
        <v>0</v>
      </c>
      <c r="BL53" s="26">
        <f>($C53*AF53)*(1+'Datos de Entrada'!AE$76)</f>
        <v>0</v>
      </c>
      <c r="BM53" s="26">
        <f>($C53*AG53)*(1+'Datos de Entrada'!AF$76)</f>
        <v>0</v>
      </c>
      <c r="BN53" s="211">
        <f t="shared" si="3"/>
        <v>0</v>
      </c>
    </row>
    <row r="54" spans="1:67" ht="12.75" customHeight="1" x14ac:dyDescent="0.2">
      <c r="A54" s="19" t="s">
        <v>86</v>
      </c>
      <c r="B54" s="18" t="s">
        <v>83</v>
      </c>
      <c r="C54" s="19"/>
      <c r="D54" s="18">
        <v>2</v>
      </c>
      <c r="E54" s="18">
        <v>2</v>
      </c>
      <c r="F54" s="18">
        <v>2</v>
      </c>
      <c r="G54" s="18">
        <v>2</v>
      </c>
      <c r="H54" s="18">
        <v>2</v>
      </c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9"/>
      <c r="AJ54" s="26">
        <f>($C54*D54)*(1+'Datos de Entrada'!C$76)</f>
        <v>0</v>
      </c>
      <c r="AK54" s="26">
        <f>($C54*E54)*(1+'Datos de Entrada'!D$76)</f>
        <v>0</v>
      </c>
      <c r="AL54" s="26">
        <f>($C54*F54)*(1+'Datos de Entrada'!E$76)</f>
        <v>0</v>
      </c>
      <c r="AM54" s="26">
        <f>($C54*G54)*(1+'Datos de Entrada'!F$76)</f>
        <v>0</v>
      </c>
      <c r="AN54" s="26">
        <f>($C54*H54)*(1+'Datos de Entrada'!G$76)</f>
        <v>0</v>
      </c>
      <c r="AO54" s="26">
        <f>($C54*I54)*(1+'Datos de Entrada'!H$76)</f>
        <v>0</v>
      </c>
      <c r="AP54" s="26">
        <f>($C54*J54)*(1+'Datos de Entrada'!I$76)</f>
        <v>0</v>
      </c>
      <c r="AQ54" s="26">
        <f>($C54*K54)*(1+'Datos de Entrada'!J$76)</f>
        <v>0</v>
      </c>
      <c r="AR54" s="26">
        <f>($C54*L54)*(1+'Datos de Entrada'!K$76)</f>
        <v>0</v>
      </c>
      <c r="AS54" s="26">
        <f>($C54*M54)*(1+'Datos de Entrada'!L$76)</f>
        <v>0</v>
      </c>
      <c r="AT54" s="26">
        <f>($C54*N54)*(1+'Datos de Entrada'!M$76)</f>
        <v>0</v>
      </c>
      <c r="AU54" s="26">
        <f>($C54*O54)*(1+'Datos de Entrada'!N$76)</f>
        <v>0</v>
      </c>
      <c r="AV54" s="26">
        <f>($C54*P54)*(1+'Datos de Entrada'!O$76)</f>
        <v>0</v>
      </c>
      <c r="AW54" s="26">
        <f>($C54*Q54)*(1+'Datos de Entrada'!P$76)</f>
        <v>0</v>
      </c>
      <c r="AX54" s="26">
        <f>($C54*R54)*(1+'Datos de Entrada'!Q$76)</f>
        <v>0</v>
      </c>
      <c r="AY54" s="26">
        <f>($C54*S54)*(1+'Datos de Entrada'!R$76)</f>
        <v>0</v>
      </c>
      <c r="AZ54" s="26">
        <f>($C54*T54)*(1+'Datos de Entrada'!S$76)</f>
        <v>0</v>
      </c>
      <c r="BA54" s="26">
        <f>($C54*U54)*(1+'Datos de Entrada'!T$76)</f>
        <v>0</v>
      </c>
      <c r="BB54" s="26">
        <f>($C54*V54)*(1+'Datos de Entrada'!U$76)</f>
        <v>0</v>
      </c>
      <c r="BC54" s="26">
        <f>($C54*W54)*(1+'Datos de Entrada'!V$76)</f>
        <v>0</v>
      </c>
      <c r="BD54" s="26">
        <f>($C54*X54)*(1+'Datos de Entrada'!W$76)</f>
        <v>0</v>
      </c>
      <c r="BE54" s="26">
        <f>($C54*Y54)*(1+'Datos de Entrada'!X$76)</f>
        <v>0</v>
      </c>
      <c r="BF54" s="26">
        <f>($C54*Z54)*(1+'Datos de Entrada'!Y$76)</f>
        <v>0</v>
      </c>
      <c r="BG54" s="26">
        <f>($C54*AA54)*(1+'Datos de Entrada'!Z$76)</f>
        <v>0</v>
      </c>
      <c r="BH54" s="26">
        <f>($C54*AB54)*(1+'Datos de Entrada'!AA$76)</f>
        <v>0</v>
      </c>
      <c r="BI54" s="26">
        <f>($C54*AC54)*(1+'Datos de Entrada'!AB$76)</f>
        <v>0</v>
      </c>
      <c r="BJ54" s="26">
        <f>($C54*AD54)*(1+'Datos de Entrada'!AC$76)</f>
        <v>0</v>
      </c>
      <c r="BK54" s="26">
        <f>($C54*AE54)*(1+'Datos de Entrada'!AD$76)</f>
        <v>0</v>
      </c>
      <c r="BL54" s="26">
        <f>($C54*AF54)*(1+'Datos de Entrada'!AE$76)</f>
        <v>0</v>
      </c>
      <c r="BM54" s="26">
        <f>($C54*AG54)*(1+'Datos de Entrada'!AF$76)</f>
        <v>0</v>
      </c>
      <c r="BN54" s="211">
        <f t="shared" si="3"/>
        <v>0</v>
      </c>
    </row>
    <row r="55" spans="1:67" s="176" customFormat="1" ht="12.75" customHeight="1" x14ac:dyDescent="0.2">
      <c r="A55" s="178" t="s">
        <v>84</v>
      </c>
      <c r="B55" s="173" t="s">
        <v>39</v>
      </c>
      <c r="C55" s="174">
        <f>'Datos de Entrada'!H47*(1+'Datos de Entrada'!C45)*'Datos de Entrada'!C16*4</f>
        <v>53283.16637202906</v>
      </c>
      <c r="D55" s="173">
        <v>20</v>
      </c>
      <c r="E55" s="173">
        <v>20</v>
      </c>
      <c r="F55" s="173">
        <v>20</v>
      </c>
      <c r="G55" s="173">
        <v>20</v>
      </c>
      <c r="H55" s="173">
        <v>20</v>
      </c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H55" s="173"/>
      <c r="AI55" s="177"/>
      <c r="AJ55" s="212">
        <f>($C55*D55)*(1+'Datos de Entrada'!C$76)</f>
        <v>1065663.3274405813</v>
      </c>
      <c r="AK55" s="212">
        <f>($C55*E55)*(1+'Datos de Entrada'!D$76)</f>
        <v>1112353.9469694286</v>
      </c>
      <c r="AL55" s="212">
        <f>($C55*F55)*(1+'Datos de Entrada'!E$76)</f>
        <v>1162174.6237107401</v>
      </c>
      <c r="AM55" s="212">
        <f>($C55*G55)*(1+'Datos de Entrada'!F$76)</f>
        <v>1215211.6924377198</v>
      </c>
      <c r="AN55" s="212">
        <f>($C55*H55)*(1+'Datos de Entrada'!G$76)</f>
        <v>1271544.422915742</v>
      </c>
      <c r="AO55" s="212">
        <f>($C55*I55)*(1+'Datos de Entrada'!H$76)</f>
        <v>0</v>
      </c>
      <c r="AP55" s="212">
        <f>($C55*J55)*(1+'Datos de Entrada'!I$76)</f>
        <v>0</v>
      </c>
      <c r="AQ55" s="212">
        <f>($C55*K55)*(1+'Datos de Entrada'!J$76)</f>
        <v>0</v>
      </c>
      <c r="AR55" s="212">
        <f>($C55*L55)*(1+'Datos de Entrada'!K$76)</f>
        <v>0</v>
      </c>
      <c r="AS55" s="212">
        <f>($C55*M55)*(1+'Datos de Entrada'!L$76)</f>
        <v>0</v>
      </c>
      <c r="AT55" s="212">
        <f>($C55*N55)*(1+'Datos de Entrada'!M$76)</f>
        <v>0</v>
      </c>
      <c r="AU55" s="212">
        <f>($C55*O55)*(1+'Datos de Entrada'!N$76)</f>
        <v>0</v>
      </c>
      <c r="AV55" s="212">
        <f>($C55*P55)*(1+'Datos de Entrada'!O$76)</f>
        <v>0</v>
      </c>
      <c r="AW55" s="212">
        <f>($C55*Q55)*(1+'Datos de Entrada'!P$76)</f>
        <v>0</v>
      </c>
      <c r="AX55" s="212">
        <f>($C55*R55)*(1+'Datos de Entrada'!Q$76)</f>
        <v>0</v>
      </c>
      <c r="AY55" s="212">
        <f>($C55*S55)*(1+'Datos de Entrada'!R$76)</f>
        <v>0</v>
      </c>
      <c r="AZ55" s="212">
        <f>($C55*T55)*(1+'Datos de Entrada'!S$76)</f>
        <v>0</v>
      </c>
      <c r="BA55" s="212">
        <f>($C55*U55)*(1+'Datos de Entrada'!T$76)</f>
        <v>0</v>
      </c>
      <c r="BB55" s="212">
        <f>($C55*V55)*(1+'Datos de Entrada'!U$76)</f>
        <v>0</v>
      </c>
      <c r="BC55" s="212">
        <f>($C55*W55)*(1+'Datos de Entrada'!V$76)</f>
        <v>0</v>
      </c>
      <c r="BD55" s="212">
        <f>($C55*X55)*(1+'Datos de Entrada'!W$76)</f>
        <v>0</v>
      </c>
      <c r="BE55" s="212">
        <f>($C55*Y55)*(1+'Datos de Entrada'!X$76)</f>
        <v>0</v>
      </c>
      <c r="BF55" s="212">
        <f>($C55*Z55)*(1+'Datos de Entrada'!Y$76)</f>
        <v>0</v>
      </c>
      <c r="BG55" s="212">
        <f>($C55*AA55)*(1+'Datos de Entrada'!Z$76)</f>
        <v>0</v>
      </c>
      <c r="BH55" s="212">
        <f>($C55*AB55)*(1+'Datos de Entrada'!AA$76)</f>
        <v>0</v>
      </c>
      <c r="BI55" s="212">
        <f>($C55*AC55)*(1+'Datos de Entrada'!AB$76)</f>
        <v>0</v>
      </c>
      <c r="BJ55" s="212">
        <f>($C55*AD55)*(1+'Datos de Entrada'!AC$76)</f>
        <v>0</v>
      </c>
      <c r="BK55" s="212">
        <f>($C55*AE55)*(1+'Datos de Entrada'!AD$76)</f>
        <v>0</v>
      </c>
      <c r="BL55" s="212">
        <f>($C55*AF55)*(1+'Datos de Entrada'!AE$76)</f>
        <v>0</v>
      </c>
      <c r="BM55" s="212">
        <f>($C55*AG55)*(1+'Datos de Entrada'!AF$76)</f>
        <v>0</v>
      </c>
      <c r="BN55" s="213">
        <f t="shared" si="3"/>
        <v>5826948.0134742111</v>
      </c>
    </row>
    <row r="56" spans="1:67" s="176" customFormat="1" ht="12.75" customHeight="1" x14ac:dyDescent="0.2">
      <c r="A56" s="178" t="s">
        <v>85</v>
      </c>
      <c r="B56" s="173" t="s">
        <v>39</v>
      </c>
      <c r="C56" s="174">
        <f>'Datos de Entrada'!H47*(1+'Datos de Entrada'!C45)*'Datos de Entrada'!C16*4</f>
        <v>53283.16637202906</v>
      </c>
      <c r="D56" s="173">
        <v>6</v>
      </c>
      <c r="E56" s="173">
        <v>6</v>
      </c>
      <c r="F56" s="173">
        <v>6</v>
      </c>
      <c r="G56" s="173">
        <v>6</v>
      </c>
      <c r="H56" s="173">
        <v>6</v>
      </c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H56" s="173"/>
      <c r="AI56" s="177"/>
      <c r="AJ56" s="212">
        <f>($C56*D56)*(1+'Datos de Entrada'!C$76)</f>
        <v>319698.99823217437</v>
      </c>
      <c r="AK56" s="212">
        <f>($C56*E56)*(1+'Datos de Entrada'!D$76)</f>
        <v>333706.18409082858</v>
      </c>
      <c r="AL56" s="212">
        <f>($C56*F56)*(1+'Datos de Entrada'!E$76)</f>
        <v>348652.38711322204</v>
      </c>
      <c r="AM56" s="212">
        <f>($C56*G56)*(1+'Datos de Entrada'!F$76)</f>
        <v>364563.50773131591</v>
      </c>
      <c r="AN56" s="212">
        <f>($C56*H56)*(1+'Datos de Entrada'!G$76)</f>
        <v>381463.32687472261</v>
      </c>
      <c r="AO56" s="212">
        <f>($C56*I56)*(1+'Datos de Entrada'!H$76)</f>
        <v>0</v>
      </c>
      <c r="AP56" s="212">
        <f>($C56*J56)*(1+'Datos de Entrada'!I$76)</f>
        <v>0</v>
      </c>
      <c r="AQ56" s="212">
        <f>($C56*K56)*(1+'Datos de Entrada'!J$76)</f>
        <v>0</v>
      </c>
      <c r="AR56" s="212">
        <f>($C56*L56)*(1+'Datos de Entrada'!K$76)</f>
        <v>0</v>
      </c>
      <c r="AS56" s="212">
        <f>($C56*M56)*(1+'Datos de Entrada'!L$76)</f>
        <v>0</v>
      </c>
      <c r="AT56" s="212">
        <f>($C56*N56)*(1+'Datos de Entrada'!M$76)</f>
        <v>0</v>
      </c>
      <c r="AU56" s="212">
        <f>($C56*O56)*(1+'Datos de Entrada'!N$76)</f>
        <v>0</v>
      </c>
      <c r="AV56" s="212">
        <f>($C56*P56)*(1+'Datos de Entrada'!O$76)</f>
        <v>0</v>
      </c>
      <c r="AW56" s="212">
        <f>($C56*Q56)*(1+'Datos de Entrada'!P$76)</f>
        <v>0</v>
      </c>
      <c r="AX56" s="212">
        <f>($C56*R56)*(1+'Datos de Entrada'!Q$76)</f>
        <v>0</v>
      </c>
      <c r="AY56" s="212">
        <f>($C56*S56)*(1+'Datos de Entrada'!R$76)</f>
        <v>0</v>
      </c>
      <c r="AZ56" s="212">
        <f>($C56*T56)*(1+'Datos de Entrada'!S$76)</f>
        <v>0</v>
      </c>
      <c r="BA56" s="212">
        <f>($C56*U56)*(1+'Datos de Entrada'!T$76)</f>
        <v>0</v>
      </c>
      <c r="BB56" s="212">
        <f>($C56*V56)*(1+'Datos de Entrada'!U$76)</f>
        <v>0</v>
      </c>
      <c r="BC56" s="212">
        <f>($C56*W56)*(1+'Datos de Entrada'!V$76)</f>
        <v>0</v>
      </c>
      <c r="BD56" s="212">
        <f>($C56*X56)*(1+'Datos de Entrada'!W$76)</f>
        <v>0</v>
      </c>
      <c r="BE56" s="212">
        <f>($C56*Y56)*(1+'Datos de Entrada'!X$76)</f>
        <v>0</v>
      </c>
      <c r="BF56" s="212">
        <f>($C56*Z56)*(1+'Datos de Entrada'!Y$76)</f>
        <v>0</v>
      </c>
      <c r="BG56" s="212">
        <f>($C56*AA56)*(1+'Datos de Entrada'!Z$76)</f>
        <v>0</v>
      </c>
      <c r="BH56" s="212">
        <f>($C56*AB56)*(1+'Datos de Entrada'!AA$76)</f>
        <v>0</v>
      </c>
      <c r="BI56" s="212">
        <f>($C56*AC56)*(1+'Datos de Entrada'!AB$76)</f>
        <v>0</v>
      </c>
      <c r="BJ56" s="212">
        <f>($C56*AD56)*(1+'Datos de Entrada'!AC$76)</f>
        <v>0</v>
      </c>
      <c r="BK56" s="212">
        <f>($C56*AE56)*(1+'Datos de Entrada'!AD$76)</f>
        <v>0</v>
      </c>
      <c r="BL56" s="212">
        <f>($C56*AF56)*(1+'Datos de Entrada'!AE$76)</f>
        <v>0</v>
      </c>
      <c r="BM56" s="212">
        <f>($C56*AG56)*(1+'Datos de Entrada'!AF$76)</f>
        <v>0</v>
      </c>
      <c r="BN56" s="213">
        <f t="shared" si="3"/>
        <v>1748084.4040422635</v>
      </c>
    </row>
    <row r="57" spans="1:67" ht="12.75" customHeight="1" x14ac:dyDescent="0.2">
      <c r="A57" s="19"/>
      <c r="B57" s="18"/>
      <c r="C57" s="19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9"/>
      <c r="AJ57" s="26">
        <f>($C57*D57)*(1+'Datos de Entrada'!C$76)</f>
        <v>0</v>
      </c>
      <c r="AK57" s="26">
        <f>($C57*E57)*(1+'Datos de Entrada'!D$76)</f>
        <v>0</v>
      </c>
      <c r="AL57" s="26">
        <f>($C57*F57)*(1+'Datos de Entrada'!E$76)</f>
        <v>0</v>
      </c>
      <c r="AM57" s="26">
        <f>($C57*G57)*(1+'Datos de Entrada'!F$76)</f>
        <v>0</v>
      </c>
      <c r="AN57" s="26">
        <f>($C57*H57)*(1+'Datos de Entrada'!G$76)</f>
        <v>0</v>
      </c>
      <c r="AO57" s="26">
        <f>($C57*I57)*(1+'Datos de Entrada'!H$76)</f>
        <v>0</v>
      </c>
      <c r="AP57" s="26">
        <f>($C57*J57)*(1+'Datos de Entrada'!I$76)</f>
        <v>0</v>
      </c>
      <c r="AQ57" s="26">
        <f>($C57*K57)*(1+'Datos de Entrada'!J$76)</f>
        <v>0</v>
      </c>
      <c r="AR57" s="26">
        <f>($C57*L57)*(1+'Datos de Entrada'!K$76)</f>
        <v>0</v>
      </c>
      <c r="AS57" s="26">
        <f>($C57*M57)*(1+'Datos de Entrada'!L$76)</f>
        <v>0</v>
      </c>
      <c r="AT57" s="26">
        <f>($C57*N57)*(1+'Datos de Entrada'!M$76)</f>
        <v>0</v>
      </c>
      <c r="AU57" s="26">
        <f>($C57*O57)*(1+'Datos de Entrada'!N$76)</f>
        <v>0</v>
      </c>
      <c r="AV57" s="26">
        <f>($C57*P57)*(1+'Datos de Entrada'!O$76)</f>
        <v>0</v>
      </c>
      <c r="AW57" s="26">
        <f>($C57*Q57)*(1+'Datos de Entrada'!P$76)</f>
        <v>0</v>
      </c>
      <c r="AX57" s="26">
        <f>($C57*R57)*(1+'Datos de Entrada'!Q$76)</f>
        <v>0</v>
      </c>
      <c r="AY57" s="26">
        <f>($C57*S57)*(1+'Datos de Entrada'!R$76)</f>
        <v>0</v>
      </c>
      <c r="AZ57" s="26">
        <f>($C57*T57)*(1+'Datos de Entrada'!S$76)</f>
        <v>0</v>
      </c>
      <c r="BA57" s="26">
        <f>($C57*U57)*(1+'Datos de Entrada'!T$76)</f>
        <v>0</v>
      </c>
      <c r="BB57" s="26">
        <f>($C57*V57)*(1+'Datos de Entrada'!U$76)</f>
        <v>0</v>
      </c>
      <c r="BC57" s="26">
        <f>($C57*W57)*(1+'Datos de Entrada'!V$76)</f>
        <v>0</v>
      </c>
      <c r="BD57" s="26">
        <f>($C57*X57)*(1+'Datos de Entrada'!W$76)</f>
        <v>0</v>
      </c>
      <c r="BE57" s="26">
        <f>($C57*Y57)*(1+'Datos de Entrada'!X$76)</f>
        <v>0</v>
      </c>
      <c r="BF57" s="26">
        <f>($C57*Z57)*(1+'Datos de Entrada'!Y$76)</f>
        <v>0</v>
      </c>
      <c r="BG57" s="26">
        <f>($C57*AA57)*(1+'Datos de Entrada'!Z$76)</f>
        <v>0</v>
      </c>
      <c r="BH57" s="26">
        <f>($C57*AB57)*(1+'Datos de Entrada'!AA$76)</f>
        <v>0</v>
      </c>
      <c r="BI57" s="26">
        <f>($C57*AC57)*(1+'Datos de Entrada'!AB$76)</f>
        <v>0</v>
      </c>
      <c r="BJ57" s="26">
        <f>($C57*AD57)*(1+'Datos de Entrada'!AC$76)</f>
        <v>0</v>
      </c>
      <c r="BK57" s="26">
        <f>($C57*AE57)*(1+'Datos de Entrada'!AD$76)</f>
        <v>0</v>
      </c>
      <c r="BL57" s="26">
        <f>($C57*AF57)*(1+'Datos de Entrada'!AE$76)</f>
        <v>0</v>
      </c>
      <c r="BM57" s="26">
        <f>($C57*AG57)*(1+'Datos de Entrada'!AF$76)</f>
        <v>0</v>
      </c>
      <c r="BN57" s="211">
        <f t="shared" si="3"/>
        <v>0</v>
      </c>
    </row>
    <row r="58" spans="1:67" ht="12.75" customHeight="1" x14ac:dyDescent="0.2">
      <c r="A58" s="19"/>
      <c r="B58" s="18"/>
      <c r="C58" s="19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9"/>
      <c r="AJ58" s="26">
        <f>($C58*D58)*(1+'Datos de Entrada'!C$76)</f>
        <v>0</v>
      </c>
      <c r="AK58" s="26">
        <f>($C58*E58)*(1+'Datos de Entrada'!D$76)</f>
        <v>0</v>
      </c>
      <c r="AL58" s="26">
        <f>($C58*F58)*(1+'Datos de Entrada'!E$76)</f>
        <v>0</v>
      </c>
      <c r="AM58" s="26">
        <f>($C58*G58)*(1+'Datos de Entrada'!F$76)</f>
        <v>0</v>
      </c>
      <c r="AN58" s="26">
        <f>($C58*H58)*(1+'Datos de Entrada'!G$76)</f>
        <v>0</v>
      </c>
      <c r="AO58" s="26">
        <f>($C58*I58)*(1+'Datos de Entrada'!H$76)</f>
        <v>0</v>
      </c>
      <c r="AP58" s="26">
        <f>($C58*J58)*(1+'Datos de Entrada'!I$76)</f>
        <v>0</v>
      </c>
      <c r="AQ58" s="26">
        <f>($C58*K58)*(1+'Datos de Entrada'!J$76)</f>
        <v>0</v>
      </c>
      <c r="AR58" s="26">
        <f>($C58*L58)*(1+'Datos de Entrada'!K$76)</f>
        <v>0</v>
      </c>
      <c r="AS58" s="26">
        <f>($C58*M58)*(1+'Datos de Entrada'!L$76)</f>
        <v>0</v>
      </c>
      <c r="AT58" s="26">
        <f>($C58*N58)*(1+'Datos de Entrada'!M$76)</f>
        <v>0</v>
      </c>
      <c r="AU58" s="26">
        <f>($C58*O58)*(1+'Datos de Entrada'!N$76)</f>
        <v>0</v>
      </c>
      <c r="AV58" s="26">
        <f>($C58*P58)*(1+'Datos de Entrada'!O$76)</f>
        <v>0</v>
      </c>
      <c r="AW58" s="26">
        <f>($C58*Q58)*(1+'Datos de Entrada'!P$76)</f>
        <v>0</v>
      </c>
      <c r="AX58" s="26">
        <f>($C58*R58)*(1+'Datos de Entrada'!Q$76)</f>
        <v>0</v>
      </c>
      <c r="AY58" s="26">
        <f>($C58*S58)*(1+'Datos de Entrada'!R$76)</f>
        <v>0</v>
      </c>
      <c r="AZ58" s="26">
        <f>($C58*T58)*(1+'Datos de Entrada'!S$76)</f>
        <v>0</v>
      </c>
      <c r="BA58" s="26">
        <f>($C58*U58)*(1+'Datos de Entrada'!T$76)</f>
        <v>0</v>
      </c>
      <c r="BB58" s="26">
        <f>($C58*V58)*(1+'Datos de Entrada'!U$76)</f>
        <v>0</v>
      </c>
      <c r="BC58" s="26">
        <f>($C58*W58)*(1+'Datos de Entrada'!V$76)</f>
        <v>0</v>
      </c>
      <c r="BD58" s="26">
        <f>($C58*X58)*(1+'Datos de Entrada'!W$76)</f>
        <v>0</v>
      </c>
      <c r="BE58" s="26">
        <f>($C58*Y58)*(1+'Datos de Entrada'!X$76)</f>
        <v>0</v>
      </c>
      <c r="BF58" s="26">
        <f>($C58*Z58)*(1+'Datos de Entrada'!Y$76)</f>
        <v>0</v>
      </c>
      <c r="BG58" s="26">
        <f>($C58*AA58)*(1+'Datos de Entrada'!Z$76)</f>
        <v>0</v>
      </c>
      <c r="BH58" s="26">
        <f>($C58*AB58)*(1+'Datos de Entrada'!AA$76)</f>
        <v>0</v>
      </c>
      <c r="BI58" s="26">
        <f>($C58*AC58)*(1+'Datos de Entrada'!AB$76)</f>
        <v>0</v>
      </c>
      <c r="BJ58" s="26">
        <f>($C58*AD58)*(1+'Datos de Entrada'!AC$76)</f>
        <v>0</v>
      </c>
      <c r="BK58" s="26">
        <f>($C58*AE58)*(1+'Datos de Entrada'!AD$76)</f>
        <v>0</v>
      </c>
      <c r="BL58" s="26">
        <f>($C58*AF58)*(1+'Datos de Entrada'!AE$76)</f>
        <v>0</v>
      </c>
      <c r="BM58" s="26">
        <f>($C58*AG58)*(1+'Datos de Entrada'!AF$76)</f>
        <v>0</v>
      </c>
      <c r="BN58" s="211">
        <f t="shared" si="3"/>
        <v>0</v>
      </c>
    </row>
    <row r="59" spans="1:67" ht="12.75" customHeight="1" x14ac:dyDescent="0.2">
      <c r="A59" s="19" t="s">
        <v>87</v>
      </c>
      <c r="B59" s="18" t="s">
        <v>83</v>
      </c>
      <c r="C59" s="19"/>
      <c r="D59" s="18">
        <v>1</v>
      </c>
      <c r="E59" s="18">
        <v>1</v>
      </c>
      <c r="F59" s="18">
        <v>1</v>
      </c>
      <c r="G59" s="18"/>
      <c r="H59" s="18">
        <v>1</v>
      </c>
      <c r="I59" s="18"/>
      <c r="J59" s="18">
        <v>1</v>
      </c>
      <c r="K59" s="18"/>
      <c r="L59" s="18"/>
      <c r="M59" s="18">
        <v>1</v>
      </c>
      <c r="N59" s="18"/>
      <c r="O59" s="18"/>
      <c r="P59" s="18"/>
      <c r="Q59" s="18"/>
      <c r="R59" s="18"/>
      <c r="S59" s="18"/>
      <c r="T59" s="18"/>
      <c r="U59" s="18"/>
      <c r="V59" s="18"/>
      <c r="W59" s="18">
        <v>1</v>
      </c>
      <c r="X59" s="18"/>
      <c r="Y59" s="18"/>
      <c r="Z59" s="18"/>
      <c r="AA59" s="18"/>
      <c r="AB59" s="18"/>
      <c r="AC59" s="18"/>
      <c r="AD59" s="18"/>
      <c r="AE59" s="18"/>
      <c r="AF59" s="18"/>
      <c r="AG59" s="18">
        <v>1</v>
      </c>
      <c r="AH59" s="18"/>
      <c r="AI59" s="9"/>
      <c r="AJ59" s="26">
        <f>($C59*D59)*(1+'Datos de Entrada'!C$76)</f>
        <v>0</v>
      </c>
      <c r="AK59" s="26">
        <f>($C59*E59)*(1+'Datos de Entrada'!D$76)</f>
        <v>0</v>
      </c>
      <c r="AL59" s="26">
        <f>($C59*F59)*(1+'Datos de Entrada'!E$76)</f>
        <v>0</v>
      </c>
      <c r="AM59" s="26">
        <f>($C59*G59)*(1+'Datos de Entrada'!F$76)</f>
        <v>0</v>
      </c>
      <c r="AN59" s="26">
        <f>($C59*H59)*(1+'Datos de Entrada'!G$76)</f>
        <v>0</v>
      </c>
      <c r="AO59" s="26">
        <f>($C59*I59)*(1+'Datos de Entrada'!H$76)</f>
        <v>0</v>
      </c>
      <c r="AP59" s="26">
        <f>($C59*J59)*(1+'Datos de Entrada'!I$76)</f>
        <v>0</v>
      </c>
      <c r="AQ59" s="26">
        <f>($C59*K59)*(1+'Datos de Entrada'!J$76)</f>
        <v>0</v>
      </c>
      <c r="AR59" s="26">
        <f>($C59*L59)*(1+'Datos de Entrada'!K$76)</f>
        <v>0</v>
      </c>
      <c r="AS59" s="26">
        <f>($C59*M59)*(1+'Datos de Entrada'!L$76)</f>
        <v>0</v>
      </c>
      <c r="AT59" s="26">
        <f>($C59*N59)*(1+'Datos de Entrada'!M$76)</f>
        <v>0</v>
      </c>
      <c r="AU59" s="26">
        <f>($C59*O59)*(1+'Datos de Entrada'!N$76)</f>
        <v>0</v>
      </c>
      <c r="AV59" s="26">
        <f>($C59*P59)*(1+'Datos de Entrada'!O$76)</f>
        <v>0</v>
      </c>
      <c r="AW59" s="26">
        <f>($C59*Q59)*(1+'Datos de Entrada'!P$76)</f>
        <v>0</v>
      </c>
      <c r="AX59" s="26">
        <f>($C59*R59)*(1+'Datos de Entrada'!Q$76)</f>
        <v>0</v>
      </c>
      <c r="AY59" s="26">
        <f>($C59*S59)*(1+'Datos de Entrada'!R$76)</f>
        <v>0</v>
      </c>
      <c r="AZ59" s="26">
        <f>($C59*T59)*(1+'Datos de Entrada'!S$76)</f>
        <v>0</v>
      </c>
      <c r="BA59" s="26">
        <f>($C59*U59)*(1+'Datos de Entrada'!T$76)</f>
        <v>0</v>
      </c>
      <c r="BB59" s="26">
        <f>($C59*V59)*(1+'Datos de Entrada'!U$76)</f>
        <v>0</v>
      </c>
      <c r="BC59" s="26">
        <f>($C59*W59)*(1+'Datos de Entrada'!V$76)</f>
        <v>0</v>
      </c>
      <c r="BD59" s="26">
        <f>($C59*X59)*(1+'Datos de Entrada'!W$76)</f>
        <v>0</v>
      </c>
      <c r="BE59" s="26">
        <f>($C59*Y59)*(1+'Datos de Entrada'!X$76)</f>
        <v>0</v>
      </c>
      <c r="BF59" s="26">
        <f>($C59*Z59)*(1+'Datos de Entrada'!Y$76)</f>
        <v>0</v>
      </c>
      <c r="BG59" s="26">
        <f>($C59*AA59)*(1+'Datos de Entrada'!Z$76)</f>
        <v>0</v>
      </c>
      <c r="BH59" s="26">
        <f>($C59*AB59)*(1+'Datos de Entrada'!AA$76)</f>
        <v>0</v>
      </c>
      <c r="BI59" s="26">
        <f>($C59*AC59)*(1+'Datos de Entrada'!AB$76)</f>
        <v>0</v>
      </c>
      <c r="BJ59" s="26">
        <f>($C59*AD59)*(1+'Datos de Entrada'!AC$76)</f>
        <v>0</v>
      </c>
      <c r="BK59" s="26">
        <f>($C59*AE59)*(1+'Datos de Entrada'!AD$76)</f>
        <v>0</v>
      </c>
      <c r="BL59" s="26">
        <f>($C59*AF59)*(1+'Datos de Entrada'!AE$76)</f>
        <v>0</v>
      </c>
      <c r="BM59" s="26">
        <f>($C59*AG59)*(1+'Datos de Entrada'!AF$76)</f>
        <v>0</v>
      </c>
      <c r="BN59" s="211">
        <f t="shared" si="3"/>
        <v>0</v>
      </c>
    </row>
    <row r="60" spans="1:67" s="176" customFormat="1" ht="12.75" customHeight="1" x14ac:dyDescent="0.2">
      <c r="A60" s="178" t="s">
        <v>73</v>
      </c>
      <c r="B60" s="173" t="s">
        <v>39</v>
      </c>
      <c r="C60" s="174">
        <f>'Datos de Entrada'!H47*(1+'Datos de Entrada'!C45)*'Datos de Entrada'!C16</f>
        <v>13320.791593007265</v>
      </c>
      <c r="D60" s="217">
        <v>30</v>
      </c>
      <c r="E60" s="217">
        <v>30</v>
      </c>
      <c r="F60" s="218">
        <v>30</v>
      </c>
      <c r="G60" s="180"/>
      <c r="H60" s="218">
        <v>30</v>
      </c>
      <c r="I60" s="180"/>
      <c r="J60" s="218">
        <v>30</v>
      </c>
      <c r="K60" s="180"/>
      <c r="L60" s="180"/>
      <c r="M60" s="218">
        <v>30</v>
      </c>
      <c r="N60" s="173"/>
      <c r="O60" s="173"/>
      <c r="P60" s="173"/>
      <c r="Q60" s="173"/>
      <c r="R60" s="168"/>
      <c r="S60" s="173"/>
      <c r="T60" s="173"/>
      <c r="U60" s="173"/>
      <c r="V60" s="173"/>
      <c r="W60" s="217">
        <v>30</v>
      </c>
      <c r="X60" s="173"/>
      <c r="Y60" s="173"/>
      <c r="Z60" s="173"/>
      <c r="AA60" s="173"/>
      <c r="AB60" s="168"/>
      <c r="AC60" s="173"/>
      <c r="AD60" s="173"/>
      <c r="AE60" s="173"/>
      <c r="AF60" s="173"/>
      <c r="AG60" s="168">
        <v>30</v>
      </c>
      <c r="AH60" s="173"/>
      <c r="AI60" s="177"/>
      <c r="AJ60" s="212">
        <f>($C60*D60)*(1+'Datos de Entrada'!C$76)</f>
        <v>399623.74779021792</v>
      </c>
      <c r="AK60" s="212">
        <f>($C60*E60)*(1+'Datos de Entrada'!D$76)</f>
        <v>417132.73011353571</v>
      </c>
      <c r="AL60" s="212">
        <f>($C60*F60)*(1+'Datos de Entrada'!E$76)</f>
        <v>435815.48389152752</v>
      </c>
      <c r="AM60" s="212">
        <f>($C60*G60)*(1+'Datos de Entrada'!F$76)</f>
        <v>0</v>
      </c>
      <c r="AN60" s="212">
        <f>($C60*H60)*(1+'Datos de Entrada'!G$76)</f>
        <v>476829.15859340323</v>
      </c>
      <c r="AO60" s="212">
        <f>($C60*I60)*(1+'Datos de Entrada'!H$76)</f>
        <v>0</v>
      </c>
      <c r="AP60" s="212">
        <f>($C60*J60)*(1+'Datos de Entrada'!I$76)</f>
        <v>522886.22699955548</v>
      </c>
      <c r="AQ60" s="212">
        <f>($C60*K60)*(1+'Datos de Entrada'!J$76)</f>
        <v>0</v>
      </c>
      <c r="AR60" s="212">
        <f>($C60*L60)*(1+'Datos de Entrada'!K$76)</f>
        <v>0</v>
      </c>
      <c r="AS60" s="212">
        <f>($C60*M60)*(1+'Datos de Entrada'!L$76)</f>
        <v>601719.36546870845</v>
      </c>
      <c r="AT60" s="212">
        <f>($C60*N60)*(1+'Datos de Entrada'!M$76)</f>
        <v>0</v>
      </c>
      <c r="AU60" s="212">
        <f>($C60*O60)*(1+'Datos de Entrada'!N$76)</f>
        <v>0</v>
      </c>
      <c r="AV60" s="212">
        <f>($C60*P60)*(1+'Datos de Entrada'!O$76)</f>
        <v>0</v>
      </c>
      <c r="AW60" s="212">
        <f>($C60*Q60)*(1+'Datos de Entrada'!P$76)</f>
        <v>0</v>
      </c>
      <c r="AX60" s="212">
        <f>($C60*R60)*(1+'Datos de Entrada'!Q$76)</f>
        <v>0</v>
      </c>
      <c r="AY60" s="212">
        <f>($C60*S60)*(1+'Datos de Entrada'!R$76)</f>
        <v>0</v>
      </c>
      <c r="AZ60" s="212">
        <f>($C60*T60)*(1+'Datos de Entrada'!S$76)</f>
        <v>0</v>
      </c>
      <c r="BA60" s="212">
        <f>($C60*U60)*(1+'Datos de Entrada'!T$76)</f>
        <v>0</v>
      </c>
      <c r="BB60" s="212">
        <f>($C60*V60)*(1+'Datos de Entrada'!U$76)</f>
        <v>0</v>
      </c>
      <c r="BC60" s="212">
        <f>($C60*W60)*(1+'Datos de Entrada'!V$76)</f>
        <v>940788.61653942463</v>
      </c>
      <c r="BD60" s="212">
        <f>($C60*X60)*(1+'Datos de Entrada'!W$76)</f>
        <v>0</v>
      </c>
      <c r="BE60" s="212">
        <f>($C60*Y60)*(1+'Datos de Entrada'!X$76)</f>
        <v>0</v>
      </c>
      <c r="BF60" s="212">
        <f>($C60*Z60)*(1+'Datos de Entrada'!Y$76)</f>
        <v>0</v>
      </c>
      <c r="BG60" s="212">
        <f>($C60*AA60)*(1+'Datos de Entrada'!Z$76)</f>
        <v>0</v>
      </c>
      <c r="BH60" s="212">
        <f>($C60*AB60)*(1+'Datos de Entrada'!AA$76)</f>
        <v>0</v>
      </c>
      <c r="BI60" s="212">
        <f>($C60*AC60)*(1+'Datos de Entrada'!AB$76)</f>
        <v>0</v>
      </c>
      <c r="BJ60" s="212">
        <f>($C60*AD60)*(1+'Datos de Entrada'!AC$76)</f>
        <v>0</v>
      </c>
      <c r="BK60" s="212">
        <f>($C60*AE60)*(1+'Datos de Entrada'!AD$76)</f>
        <v>0</v>
      </c>
      <c r="BL60" s="212">
        <f>($C60*AF60)*(1+'Datos de Entrada'!AE$76)</f>
        <v>0</v>
      </c>
      <c r="BM60" s="212">
        <f>($C60*AG60)*(1+'Datos de Entrada'!AF$76)</f>
        <v>1295722.5648270235</v>
      </c>
      <c r="BN60" s="213">
        <f t="shared" si="3"/>
        <v>5090517.8942233957</v>
      </c>
    </row>
    <row r="61" spans="1:67" s="176" customFormat="1" ht="12.75" customHeight="1" x14ac:dyDescent="0.2">
      <c r="A61" s="178" t="s">
        <v>88</v>
      </c>
      <c r="B61" s="173" t="s">
        <v>39</v>
      </c>
      <c r="C61" s="174">
        <f>'Datos de Entrada'!H47*(1+'Datos de Entrada'!C45)*'Datos de Entrada'!C16</f>
        <v>13320.791593007265</v>
      </c>
      <c r="D61" s="217">
        <v>30</v>
      </c>
      <c r="E61" s="217">
        <v>30</v>
      </c>
      <c r="F61" s="180">
        <v>30</v>
      </c>
      <c r="G61" s="180"/>
      <c r="H61" s="180">
        <v>30</v>
      </c>
      <c r="I61" s="180"/>
      <c r="J61" s="180">
        <v>30</v>
      </c>
      <c r="K61" s="180"/>
      <c r="L61" s="180"/>
      <c r="M61" s="180">
        <v>30</v>
      </c>
      <c r="N61" s="173"/>
      <c r="O61" s="173"/>
      <c r="P61" s="173"/>
      <c r="Q61" s="173"/>
      <c r="R61" s="173"/>
      <c r="S61" s="173"/>
      <c r="T61" s="173"/>
      <c r="U61" s="173"/>
      <c r="V61" s="173"/>
      <c r="W61" s="217">
        <v>30</v>
      </c>
      <c r="X61" s="173"/>
      <c r="Y61" s="173"/>
      <c r="Z61" s="173"/>
      <c r="AA61" s="173"/>
      <c r="AB61" s="173"/>
      <c r="AC61" s="173"/>
      <c r="AD61" s="173"/>
      <c r="AE61" s="173"/>
      <c r="AF61" s="173"/>
      <c r="AG61" s="173">
        <v>30</v>
      </c>
      <c r="AH61" s="173"/>
      <c r="AI61" s="177"/>
      <c r="AJ61" s="212">
        <f>($C61*D61)*(1+'Datos de Entrada'!C$76)</f>
        <v>399623.74779021792</v>
      </c>
      <c r="AK61" s="212">
        <f>($C61*E61)*(1+'Datos de Entrada'!D$76)</f>
        <v>417132.73011353571</v>
      </c>
      <c r="AL61" s="212">
        <f>($C61*F61)*(1+'Datos de Entrada'!E$76)</f>
        <v>435815.48389152752</v>
      </c>
      <c r="AM61" s="212">
        <f>($C61*G61)*(1+'Datos de Entrada'!F$76)</f>
        <v>0</v>
      </c>
      <c r="AN61" s="212">
        <f>($C61*H61)*(1+'Datos de Entrada'!G$76)</f>
        <v>476829.15859340323</v>
      </c>
      <c r="AO61" s="212">
        <f>($C61*I61)*(1+'Datos de Entrada'!H$76)</f>
        <v>0</v>
      </c>
      <c r="AP61" s="212">
        <f>($C61*J61)*(1+'Datos de Entrada'!I$76)</f>
        <v>522886.22699955548</v>
      </c>
      <c r="AQ61" s="212">
        <f>($C61*K61)*(1+'Datos de Entrada'!J$76)</f>
        <v>0</v>
      </c>
      <c r="AR61" s="212">
        <f>($C61*L61)*(1+'Datos de Entrada'!K$76)</f>
        <v>0</v>
      </c>
      <c r="AS61" s="212">
        <f>($C61*M61)*(1+'Datos de Entrada'!L$76)</f>
        <v>601719.36546870845</v>
      </c>
      <c r="AT61" s="212">
        <f>($C61*N61)*(1+'Datos de Entrada'!M$76)</f>
        <v>0</v>
      </c>
      <c r="AU61" s="212">
        <f>($C61*O61)*(1+'Datos de Entrada'!N$76)</f>
        <v>0</v>
      </c>
      <c r="AV61" s="212">
        <f>($C61*P61)*(1+'Datos de Entrada'!O$76)</f>
        <v>0</v>
      </c>
      <c r="AW61" s="212">
        <f>($C61*Q61)*(1+'Datos de Entrada'!P$76)</f>
        <v>0</v>
      </c>
      <c r="AX61" s="212">
        <f>($C61*R61)*(1+'Datos de Entrada'!Q$76)</f>
        <v>0</v>
      </c>
      <c r="AY61" s="212">
        <f>($C61*S61)*(1+'Datos de Entrada'!R$76)</f>
        <v>0</v>
      </c>
      <c r="AZ61" s="212">
        <f>($C61*T61)*(1+'Datos de Entrada'!S$76)</f>
        <v>0</v>
      </c>
      <c r="BA61" s="212">
        <f>($C61*U61)*(1+'Datos de Entrada'!T$76)</f>
        <v>0</v>
      </c>
      <c r="BB61" s="212">
        <f>($C61*V61)*(1+'Datos de Entrada'!U$76)</f>
        <v>0</v>
      </c>
      <c r="BC61" s="212">
        <f>($C61*W61)*(1+'Datos de Entrada'!V$76)</f>
        <v>940788.61653942463</v>
      </c>
      <c r="BD61" s="212">
        <f>($C61*X61)*(1+'Datos de Entrada'!W$76)</f>
        <v>0</v>
      </c>
      <c r="BE61" s="212">
        <f>($C61*Y61)*(1+'Datos de Entrada'!X$76)</f>
        <v>0</v>
      </c>
      <c r="BF61" s="212">
        <f>($C61*Z61)*(1+'Datos de Entrada'!Y$76)</f>
        <v>0</v>
      </c>
      <c r="BG61" s="212">
        <f>($C61*AA61)*(1+'Datos de Entrada'!Z$76)</f>
        <v>0</v>
      </c>
      <c r="BH61" s="212">
        <f>($C61*AB61)*(1+'Datos de Entrada'!AA$76)</f>
        <v>0</v>
      </c>
      <c r="BI61" s="212">
        <f>($C61*AC61)*(1+'Datos de Entrada'!AB$76)</f>
        <v>0</v>
      </c>
      <c r="BJ61" s="212">
        <f>($C61*AD61)*(1+'Datos de Entrada'!AC$76)</f>
        <v>0</v>
      </c>
      <c r="BK61" s="212">
        <f>($C61*AE61)*(1+'Datos de Entrada'!AD$76)</f>
        <v>0</v>
      </c>
      <c r="BL61" s="212">
        <f>($C61*AF61)*(1+'Datos de Entrada'!AE$76)</f>
        <v>0</v>
      </c>
      <c r="BM61" s="212">
        <f>($C61*AG61)*(1+'Datos de Entrada'!AF$76)</f>
        <v>1295722.5648270235</v>
      </c>
      <c r="BN61" s="213">
        <f t="shared" si="3"/>
        <v>5090517.8942233957</v>
      </c>
    </row>
    <row r="62" spans="1:67" s="176" customFormat="1" ht="12.75" customHeight="1" x14ac:dyDescent="0.2">
      <c r="A62" s="178" t="s">
        <v>89</v>
      </c>
      <c r="B62" s="173" t="s">
        <v>39</v>
      </c>
      <c r="C62" s="174">
        <f>'Datos de Entrada'!H47*(1+'Datos de Entrada'!C45)*'Datos de Entrada'!C16</f>
        <v>13320.791593007265</v>
      </c>
      <c r="D62" s="217">
        <v>30</v>
      </c>
      <c r="E62" s="217">
        <v>30</v>
      </c>
      <c r="F62" s="180">
        <v>30</v>
      </c>
      <c r="G62" s="180"/>
      <c r="H62" s="180">
        <v>30</v>
      </c>
      <c r="I62" s="180"/>
      <c r="J62" s="180">
        <v>30</v>
      </c>
      <c r="K62" s="180"/>
      <c r="L62" s="180"/>
      <c r="M62" s="180">
        <v>30</v>
      </c>
      <c r="N62" s="173"/>
      <c r="O62" s="173"/>
      <c r="P62" s="173"/>
      <c r="Q62" s="173"/>
      <c r="R62" s="173"/>
      <c r="S62" s="173"/>
      <c r="T62" s="173"/>
      <c r="U62" s="173"/>
      <c r="V62" s="173"/>
      <c r="W62" s="217">
        <v>30</v>
      </c>
      <c r="X62" s="173"/>
      <c r="Y62" s="173"/>
      <c r="Z62" s="173"/>
      <c r="AA62" s="173"/>
      <c r="AB62" s="173"/>
      <c r="AC62" s="173"/>
      <c r="AD62" s="173"/>
      <c r="AE62" s="173"/>
      <c r="AF62" s="173"/>
      <c r="AG62" s="173">
        <v>30</v>
      </c>
      <c r="AH62" s="173"/>
      <c r="AI62" s="177"/>
      <c r="AJ62" s="212">
        <f>($C62*D62)*(1+'Datos de Entrada'!C$76)</f>
        <v>399623.74779021792</v>
      </c>
      <c r="AK62" s="212">
        <f>($C62*E62)*(1+'Datos de Entrada'!D$76)</f>
        <v>417132.73011353571</v>
      </c>
      <c r="AL62" s="212">
        <f>($C62*F62)*(1+'Datos de Entrada'!E$76)</f>
        <v>435815.48389152752</v>
      </c>
      <c r="AM62" s="212">
        <f>($C62*G62)*(1+'Datos de Entrada'!F$76)</f>
        <v>0</v>
      </c>
      <c r="AN62" s="212">
        <f>($C62*H62)*(1+'Datos de Entrada'!G$76)</f>
        <v>476829.15859340323</v>
      </c>
      <c r="AO62" s="212">
        <f>($C62*I62)*(1+'Datos de Entrada'!H$76)</f>
        <v>0</v>
      </c>
      <c r="AP62" s="212">
        <f>($C62*J62)*(1+'Datos de Entrada'!I$76)</f>
        <v>522886.22699955548</v>
      </c>
      <c r="AQ62" s="212">
        <f>($C62*K62)*(1+'Datos de Entrada'!J$76)</f>
        <v>0</v>
      </c>
      <c r="AR62" s="212">
        <f>($C62*L62)*(1+'Datos de Entrada'!K$76)</f>
        <v>0</v>
      </c>
      <c r="AS62" s="212">
        <f>($C62*M62)*(1+'Datos de Entrada'!L$76)</f>
        <v>601719.36546870845</v>
      </c>
      <c r="AT62" s="212">
        <f>($C62*N62)*(1+'Datos de Entrada'!M$76)</f>
        <v>0</v>
      </c>
      <c r="AU62" s="212">
        <f>($C62*O62)*(1+'Datos de Entrada'!N$76)</f>
        <v>0</v>
      </c>
      <c r="AV62" s="212">
        <f>($C62*P62)*(1+'Datos de Entrada'!O$76)</f>
        <v>0</v>
      </c>
      <c r="AW62" s="212">
        <f>($C62*Q62)*(1+'Datos de Entrada'!P$76)</f>
        <v>0</v>
      </c>
      <c r="AX62" s="212">
        <f>($C62*R62)*(1+'Datos de Entrada'!Q$76)</f>
        <v>0</v>
      </c>
      <c r="AY62" s="212">
        <f>($C62*S62)*(1+'Datos de Entrada'!R$76)</f>
        <v>0</v>
      </c>
      <c r="AZ62" s="212">
        <f>($C62*T62)*(1+'Datos de Entrada'!S$76)</f>
        <v>0</v>
      </c>
      <c r="BA62" s="212">
        <f>($C62*U62)*(1+'Datos de Entrada'!T$76)</f>
        <v>0</v>
      </c>
      <c r="BB62" s="212">
        <f>($C62*V62)*(1+'Datos de Entrada'!U$76)</f>
        <v>0</v>
      </c>
      <c r="BC62" s="212">
        <f>($C62*W62)*(1+'Datos de Entrada'!V$76)</f>
        <v>940788.61653942463</v>
      </c>
      <c r="BD62" s="212">
        <f>($C62*X62)*(1+'Datos de Entrada'!W$76)</f>
        <v>0</v>
      </c>
      <c r="BE62" s="212">
        <f>($C62*Y62)*(1+'Datos de Entrada'!X$76)</f>
        <v>0</v>
      </c>
      <c r="BF62" s="212">
        <f>($C62*Z62)*(1+'Datos de Entrada'!Y$76)</f>
        <v>0</v>
      </c>
      <c r="BG62" s="212">
        <f>($C62*AA62)*(1+'Datos de Entrada'!Z$76)</f>
        <v>0</v>
      </c>
      <c r="BH62" s="212">
        <f>($C62*AB62)*(1+'Datos de Entrada'!AA$76)</f>
        <v>0</v>
      </c>
      <c r="BI62" s="212">
        <f>($C62*AC62)*(1+'Datos de Entrada'!AB$76)</f>
        <v>0</v>
      </c>
      <c r="BJ62" s="212">
        <f>($C62*AD62)*(1+'Datos de Entrada'!AC$76)</f>
        <v>0</v>
      </c>
      <c r="BK62" s="212">
        <f>($C62*AE62)*(1+'Datos de Entrada'!AD$76)</f>
        <v>0</v>
      </c>
      <c r="BL62" s="212">
        <f>($C62*AF62)*(1+'Datos de Entrada'!AE$76)</f>
        <v>0</v>
      </c>
      <c r="BM62" s="212">
        <f>($C62*AG62)*(1+'Datos de Entrada'!AF$76)</f>
        <v>1295722.5648270235</v>
      </c>
      <c r="BN62" s="213">
        <f t="shared" si="3"/>
        <v>5090517.8942233957</v>
      </c>
    </row>
    <row r="63" spans="1:67" s="176" customFormat="1" ht="12.75" customHeight="1" x14ac:dyDescent="0.2">
      <c r="A63" s="178" t="s">
        <v>74</v>
      </c>
      <c r="B63" s="173" t="s">
        <v>39</v>
      </c>
      <c r="C63" s="174">
        <f>'Datos de Entrada'!H47*(1+'Datos de Entrada'!C45)*'Datos de Entrada'!C16</f>
        <v>13320.791593007265</v>
      </c>
      <c r="D63" s="217">
        <v>30</v>
      </c>
      <c r="E63" s="217">
        <v>30</v>
      </c>
      <c r="F63" s="218">
        <v>30</v>
      </c>
      <c r="G63" s="218"/>
      <c r="H63" s="218">
        <v>30</v>
      </c>
      <c r="I63" s="218"/>
      <c r="J63" s="218">
        <v>30</v>
      </c>
      <c r="K63" s="180"/>
      <c r="L63" s="180"/>
      <c r="M63" s="218">
        <v>30</v>
      </c>
      <c r="N63" s="173"/>
      <c r="O63" s="173"/>
      <c r="P63" s="173"/>
      <c r="Q63" s="173"/>
      <c r="R63" s="168"/>
      <c r="S63" s="173"/>
      <c r="T63" s="173"/>
      <c r="U63" s="173"/>
      <c r="V63" s="173"/>
      <c r="W63" s="217">
        <v>30</v>
      </c>
      <c r="X63" s="173"/>
      <c r="Y63" s="173"/>
      <c r="Z63" s="173"/>
      <c r="AA63" s="173"/>
      <c r="AB63" s="168"/>
      <c r="AC63" s="173"/>
      <c r="AD63" s="173"/>
      <c r="AE63" s="173"/>
      <c r="AF63" s="173"/>
      <c r="AG63" s="168">
        <v>30</v>
      </c>
      <c r="AH63" s="173"/>
      <c r="AI63" s="177"/>
      <c r="AJ63" s="212">
        <f>($C63*D63)*(1+'Datos de Entrada'!C$76)</f>
        <v>399623.74779021792</v>
      </c>
      <c r="AK63" s="212">
        <f>($C63*E63)*(1+'Datos de Entrada'!D$76)</f>
        <v>417132.73011353571</v>
      </c>
      <c r="AL63" s="212">
        <f>($C63*F63)*(1+'Datos de Entrada'!E$76)</f>
        <v>435815.48389152752</v>
      </c>
      <c r="AM63" s="212">
        <f>($C63*G63)*(1+'Datos de Entrada'!F$76)</f>
        <v>0</v>
      </c>
      <c r="AN63" s="212">
        <f>($C63*H63)*(1+'Datos de Entrada'!G$76)</f>
        <v>476829.15859340323</v>
      </c>
      <c r="AO63" s="212">
        <f>($C63*I63)*(1+'Datos de Entrada'!H$76)</f>
        <v>0</v>
      </c>
      <c r="AP63" s="212">
        <f>($C63*J63)*(1+'Datos de Entrada'!I$76)</f>
        <v>522886.22699955548</v>
      </c>
      <c r="AQ63" s="212">
        <f>($C63*K63)*(1+'Datos de Entrada'!J$76)</f>
        <v>0</v>
      </c>
      <c r="AR63" s="212">
        <f>($C63*L63)*(1+'Datos de Entrada'!K$76)</f>
        <v>0</v>
      </c>
      <c r="AS63" s="212">
        <f>($C63*M63)*(1+'Datos de Entrada'!L$76)</f>
        <v>601719.36546870845</v>
      </c>
      <c r="AT63" s="212">
        <f>($C63*N63)*(1+'Datos de Entrada'!M$76)</f>
        <v>0</v>
      </c>
      <c r="AU63" s="212">
        <f>($C63*O63)*(1+'Datos de Entrada'!N$76)</f>
        <v>0</v>
      </c>
      <c r="AV63" s="212">
        <f>($C63*P63)*(1+'Datos de Entrada'!O$76)</f>
        <v>0</v>
      </c>
      <c r="AW63" s="212">
        <f>($C63*Q63)*(1+'Datos de Entrada'!P$76)</f>
        <v>0</v>
      </c>
      <c r="AX63" s="212">
        <f>($C63*R63)*(1+'Datos de Entrada'!Q$76)</f>
        <v>0</v>
      </c>
      <c r="AY63" s="212">
        <f>($C63*S63)*(1+'Datos de Entrada'!R$76)</f>
        <v>0</v>
      </c>
      <c r="AZ63" s="212">
        <f>($C63*T63)*(1+'Datos de Entrada'!S$76)</f>
        <v>0</v>
      </c>
      <c r="BA63" s="212">
        <f>($C63*U63)*(1+'Datos de Entrada'!T$76)</f>
        <v>0</v>
      </c>
      <c r="BB63" s="212">
        <f>($C63*V63)*(1+'Datos de Entrada'!U$76)</f>
        <v>0</v>
      </c>
      <c r="BC63" s="212">
        <f>($C63*W63)*(1+'Datos de Entrada'!V$76)</f>
        <v>940788.61653942463</v>
      </c>
      <c r="BD63" s="212">
        <f>($C63*X63)*(1+'Datos de Entrada'!W$76)</f>
        <v>0</v>
      </c>
      <c r="BE63" s="212">
        <f>($C63*Y63)*(1+'Datos de Entrada'!X$76)</f>
        <v>0</v>
      </c>
      <c r="BF63" s="212">
        <f>($C63*Z63)*(1+'Datos de Entrada'!Y$76)</f>
        <v>0</v>
      </c>
      <c r="BG63" s="212">
        <f>($C63*AA63)*(1+'Datos de Entrada'!Z$76)</f>
        <v>0</v>
      </c>
      <c r="BH63" s="212">
        <f>($C63*AB63)*(1+'Datos de Entrada'!AA$76)</f>
        <v>0</v>
      </c>
      <c r="BI63" s="212">
        <f>($C63*AC63)*(1+'Datos de Entrada'!AB$76)</f>
        <v>0</v>
      </c>
      <c r="BJ63" s="212">
        <f>($C63*AD63)*(1+'Datos de Entrada'!AC$76)</f>
        <v>0</v>
      </c>
      <c r="BK63" s="212">
        <f>($C63*AE63)*(1+'Datos de Entrada'!AD$76)</f>
        <v>0</v>
      </c>
      <c r="BL63" s="212">
        <f>($C63*AF63)*(1+'Datos de Entrada'!AE$76)</f>
        <v>0</v>
      </c>
      <c r="BM63" s="212">
        <f>($C63*AG63)*(1+'Datos de Entrada'!AF$76)</f>
        <v>1295722.5648270235</v>
      </c>
      <c r="BN63" s="213">
        <f t="shared" si="3"/>
        <v>5090517.8942233957</v>
      </c>
      <c r="BO63" s="181"/>
    </row>
    <row r="64" spans="1:67" s="176" customFormat="1" ht="12.75" customHeight="1" x14ac:dyDescent="0.2">
      <c r="A64" s="178" t="s">
        <v>75</v>
      </c>
      <c r="B64" s="173" t="s">
        <v>39</v>
      </c>
      <c r="C64" s="174">
        <f>'Datos de Entrada'!H47*(1+'Datos de Entrada'!C45)*'Datos de Entrada'!C16</f>
        <v>13320.791593007265</v>
      </c>
      <c r="D64" s="217">
        <v>30</v>
      </c>
      <c r="E64" s="217">
        <v>30</v>
      </c>
      <c r="F64" s="218">
        <v>30</v>
      </c>
      <c r="G64" s="218"/>
      <c r="H64" s="218">
        <v>30</v>
      </c>
      <c r="I64" s="218"/>
      <c r="J64" s="218">
        <v>30</v>
      </c>
      <c r="K64" s="180"/>
      <c r="L64" s="180"/>
      <c r="M64" s="218">
        <v>30</v>
      </c>
      <c r="N64" s="173"/>
      <c r="O64" s="173"/>
      <c r="P64" s="173"/>
      <c r="Q64" s="173"/>
      <c r="R64" s="168"/>
      <c r="S64" s="173"/>
      <c r="T64" s="173"/>
      <c r="U64" s="173"/>
      <c r="V64" s="173"/>
      <c r="W64" s="217">
        <v>30</v>
      </c>
      <c r="X64" s="173"/>
      <c r="Y64" s="173"/>
      <c r="Z64" s="173"/>
      <c r="AA64" s="173"/>
      <c r="AB64" s="168"/>
      <c r="AC64" s="173"/>
      <c r="AD64" s="173"/>
      <c r="AE64" s="173"/>
      <c r="AF64" s="173"/>
      <c r="AG64" s="168">
        <v>30</v>
      </c>
      <c r="AH64" s="173"/>
      <c r="AI64" s="177"/>
      <c r="AJ64" s="212">
        <f>($C64*D64)*(1+'Datos de Entrada'!C$76)</f>
        <v>399623.74779021792</v>
      </c>
      <c r="AK64" s="212">
        <f>($C64*E64)*(1+'Datos de Entrada'!D$76)</f>
        <v>417132.73011353571</v>
      </c>
      <c r="AL64" s="212">
        <f>($C64*F64)*(1+'Datos de Entrada'!E$76)</f>
        <v>435815.48389152752</v>
      </c>
      <c r="AM64" s="212">
        <f>($C64*G64)*(1+'Datos de Entrada'!F$76)</f>
        <v>0</v>
      </c>
      <c r="AN64" s="212">
        <f>($C64*H64)*(1+'Datos de Entrada'!G$76)</f>
        <v>476829.15859340323</v>
      </c>
      <c r="AO64" s="212">
        <f>($C64*I64)*(1+'Datos de Entrada'!H$76)</f>
        <v>0</v>
      </c>
      <c r="AP64" s="212">
        <f>($C64*J64)*(1+'Datos de Entrada'!I$76)</f>
        <v>522886.22699955548</v>
      </c>
      <c r="AQ64" s="212">
        <f>($C64*K64)*(1+'Datos de Entrada'!J$76)</f>
        <v>0</v>
      </c>
      <c r="AR64" s="212">
        <f>($C64*L64)*(1+'Datos de Entrada'!K$76)</f>
        <v>0</v>
      </c>
      <c r="AS64" s="212">
        <f>($C64*M64)*(1+'Datos de Entrada'!L$76)</f>
        <v>601719.36546870845</v>
      </c>
      <c r="AT64" s="212">
        <f>($C64*N64)*(1+'Datos de Entrada'!M$76)</f>
        <v>0</v>
      </c>
      <c r="AU64" s="212">
        <f>($C64*O64)*(1+'Datos de Entrada'!N$76)</f>
        <v>0</v>
      </c>
      <c r="AV64" s="212">
        <f>($C64*P64)*(1+'Datos de Entrada'!O$76)</f>
        <v>0</v>
      </c>
      <c r="AW64" s="212">
        <f>($C64*Q64)*(1+'Datos de Entrada'!P$76)</f>
        <v>0</v>
      </c>
      <c r="AX64" s="212">
        <f>($C64*R64)*(1+'Datos de Entrada'!Q$76)</f>
        <v>0</v>
      </c>
      <c r="AY64" s="212">
        <f>($C64*S64)*(1+'Datos de Entrada'!R$76)</f>
        <v>0</v>
      </c>
      <c r="AZ64" s="212">
        <f>($C64*T64)*(1+'Datos de Entrada'!S$76)</f>
        <v>0</v>
      </c>
      <c r="BA64" s="212">
        <f>($C64*U64)*(1+'Datos de Entrada'!T$76)</f>
        <v>0</v>
      </c>
      <c r="BB64" s="212">
        <f>($C64*V64)*(1+'Datos de Entrada'!U$76)</f>
        <v>0</v>
      </c>
      <c r="BC64" s="212">
        <f>($C64*W64)*(1+'Datos de Entrada'!V$76)</f>
        <v>940788.61653942463</v>
      </c>
      <c r="BD64" s="212">
        <f>($C64*X64)*(1+'Datos de Entrada'!W$76)</f>
        <v>0</v>
      </c>
      <c r="BE64" s="212">
        <f>($C64*Y64)*(1+'Datos de Entrada'!X$76)</f>
        <v>0</v>
      </c>
      <c r="BF64" s="212">
        <f>($C64*Z64)*(1+'Datos de Entrada'!Y$76)</f>
        <v>0</v>
      </c>
      <c r="BG64" s="212">
        <f>($C64*AA64)*(1+'Datos de Entrada'!Z$76)</f>
        <v>0</v>
      </c>
      <c r="BH64" s="212">
        <f>($C64*AB64)*(1+'Datos de Entrada'!AA$76)</f>
        <v>0</v>
      </c>
      <c r="BI64" s="212">
        <f>($C64*AC64)*(1+'Datos de Entrada'!AB$76)</f>
        <v>0</v>
      </c>
      <c r="BJ64" s="212">
        <f>($C64*AD64)*(1+'Datos de Entrada'!AC$76)</f>
        <v>0</v>
      </c>
      <c r="BK64" s="212">
        <f>($C64*AE64)*(1+'Datos de Entrada'!AD$76)</f>
        <v>0</v>
      </c>
      <c r="BL64" s="212">
        <f>($C64*AF64)*(1+'Datos de Entrada'!AE$76)</f>
        <v>0</v>
      </c>
      <c r="BM64" s="212">
        <f>($C64*AG64)*(1+'Datos de Entrada'!AF$76)</f>
        <v>1295722.5648270235</v>
      </c>
      <c r="BN64" s="213">
        <f t="shared" si="3"/>
        <v>5090517.8942233957</v>
      </c>
      <c r="BO64" s="181"/>
    </row>
    <row r="65" spans="1:67" s="176" customFormat="1" ht="12.75" customHeight="1" x14ac:dyDescent="0.2">
      <c r="A65" s="178" t="s">
        <v>90</v>
      </c>
      <c r="B65" s="173" t="s">
        <v>39</v>
      </c>
      <c r="C65" s="174">
        <f>'Datos de Entrada'!H47*(1+'Datos de Entrada'!C45)*'Datos de Entrada'!C16</f>
        <v>13320.791593007265</v>
      </c>
      <c r="D65" s="217">
        <v>30</v>
      </c>
      <c r="E65" s="217">
        <v>30</v>
      </c>
      <c r="F65" s="218">
        <v>30</v>
      </c>
      <c r="G65" s="218"/>
      <c r="H65" s="218">
        <v>30</v>
      </c>
      <c r="I65" s="218"/>
      <c r="J65" s="218">
        <v>30</v>
      </c>
      <c r="K65" s="180"/>
      <c r="L65" s="180"/>
      <c r="M65" s="218">
        <v>30</v>
      </c>
      <c r="N65" s="173"/>
      <c r="O65" s="173"/>
      <c r="P65" s="173"/>
      <c r="Q65" s="173"/>
      <c r="R65" s="168"/>
      <c r="S65" s="173"/>
      <c r="T65" s="173"/>
      <c r="U65" s="173"/>
      <c r="V65" s="173"/>
      <c r="W65" s="217">
        <v>30</v>
      </c>
      <c r="X65" s="173"/>
      <c r="Y65" s="173"/>
      <c r="Z65" s="173"/>
      <c r="AA65" s="173"/>
      <c r="AB65" s="168"/>
      <c r="AC65" s="173"/>
      <c r="AD65" s="173"/>
      <c r="AE65" s="173"/>
      <c r="AF65" s="173"/>
      <c r="AG65" s="168">
        <v>30</v>
      </c>
      <c r="AH65" s="173"/>
      <c r="AI65" s="177"/>
      <c r="AJ65" s="212">
        <f>($C65*D65)*(1+'Datos de Entrada'!C$76)</f>
        <v>399623.74779021792</v>
      </c>
      <c r="AK65" s="212">
        <f>($C65*E65)*(1+'Datos de Entrada'!D$76)</f>
        <v>417132.73011353571</v>
      </c>
      <c r="AL65" s="212">
        <f>($C65*F65)*(1+'Datos de Entrada'!E$76)</f>
        <v>435815.48389152752</v>
      </c>
      <c r="AM65" s="212">
        <f>($C65*G65)*(1+'Datos de Entrada'!F$76)</f>
        <v>0</v>
      </c>
      <c r="AN65" s="212">
        <f>($C65*H65)*(1+'Datos de Entrada'!G$76)</f>
        <v>476829.15859340323</v>
      </c>
      <c r="AO65" s="212">
        <f>($C65*I65)*(1+'Datos de Entrada'!H$76)</f>
        <v>0</v>
      </c>
      <c r="AP65" s="212">
        <f>($C65*J65)*(1+'Datos de Entrada'!I$76)</f>
        <v>522886.22699955548</v>
      </c>
      <c r="AQ65" s="212">
        <f>($C65*K65)*(1+'Datos de Entrada'!J$76)</f>
        <v>0</v>
      </c>
      <c r="AR65" s="212">
        <f>($C65*L65)*(1+'Datos de Entrada'!K$76)</f>
        <v>0</v>
      </c>
      <c r="AS65" s="212">
        <f>($C65*M65)*(1+'Datos de Entrada'!L$76)</f>
        <v>601719.36546870845</v>
      </c>
      <c r="AT65" s="212">
        <f>($C65*N65)*(1+'Datos de Entrada'!M$76)</f>
        <v>0</v>
      </c>
      <c r="AU65" s="212">
        <f>($C65*O65)*(1+'Datos de Entrada'!N$76)</f>
        <v>0</v>
      </c>
      <c r="AV65" s="212">
        <f>($C65*P65)*(1+'Datos de Entrada'!O$76)</f>
        <v>0</v>
      </c>
      <c r="AW65" s="212">
        <f>($C65*Q65)*(1+'Datos de Entrada'!P$76)</f>
        <v>0</v>
      </c>
      <c r="AX65" s="212">
        <f>($C65*R65)*(1+'Datos de Entrada'!Q$76)</f>
        <v>0</v>
      </c>
      <c r="AY65" s="212">
        <f>($C65*S65)*(1+'Datos de Entrada'!R$76)</f>
        <v>0</v>
      </c>
      <c r="AZ65" s="212">
        <f>($C65*T65)*(1+'Datos de Entrada'!S$76)</f>
        <v>0</v>
      </c>
      <c r="BA65" s="212">
        <f>($C65*U65)*(1+'Datos de Entrada'!T$76)</f>
        <v>0</v>
      </c>
      <c r="BB65" s="212">
        <f>($C65*V65)*(1+'Datos de Entrada'!U$76)</f>
        <v>0</v>
      </c>
      <c r="BC65" s="212">
        <f>($C65*W65)*(1+'Datos de Entrada'!V$76)</f>
        <v>940788.61653942463</v>
      </c>
      <c r="BD65" s="212">
        <f>($C65*X65)*(1+'Datos de Entrada'!W$76)</f>
        <v>0</v>
      </c>
      <c r="BE65" s="212">
        <f>($C65*Y65)*(1+'Datos de Entrada'!X$76)</f>
        <v>0</v>
      </c>
      <c r="BF65" s="212">
        <f>($C65*Z65)*(1+'Datos de Entrada'!Y$76)</f>
        <v>0</v>
      </c>
      <c r="BG65" s="212">
        <f>($C65*AA65)*(1+'Datos de Entrada'!Z$76)</f>
        <v>0</v>
      </c>
      <c r="BH65" s="212">
        <f>($C65*AB65)*(1+'Datos de Entrada'!AA$76)</f>
        <v>0</v>
      </c>
      <c r="BI65" s="212">
        <f>($C65*AC65)*(1+'Datos de Entrada'!AB$76)</f>
        <v>0</v>
      </c>
      <c r="BJ65" s="212">
        <f>($C65*AD65)*(1+'Datos de Entrada'!AC$76)</f>
        <v>0</v>
      </c>
      <c r="BK65" s="212">
        <f>($C65*AE65)*(1+'Datos de Entrada'!AD$76)</f>
        <v>0</v>
      </c>
      <c r="BL65" s="212">
        <f>($C65*AF65)*(1+'Datos de Entrada'!AE$76)</f>
        <v>0</v>
      </c>
      <c r="BM65" s="212">
        <f>($C65*AG65)*(1+'Datos de Entrada'!AF$76)</f>
        <v>1295722.5648270235</v>
      </c>
      <c r="BN65" s="213">
        <f t="shared" si="3"/>
        <v>5090517.8942233957</v>
      </c>
      <c r="BO65" s="181"/>
    </row>
    <row r="66" spans="1:67" s="176" customFormat="1" ht="12.75" customHeight="1" x14ac:dyDescent="0.2">
      <c r="A66" s="178" t="s">
        <v>91</v>
      </c>
      <c r="B66" s="173" t="s">
        <v>39</v>
      </c>
      <c r="C66" s="174">
        <f>'Datos de Entrada'!H49*(1+'Datos de Entrada'!C45)*'Datos de Entrada'!C16</f>
        <v>8294.0777843252799</v>
      </c>
      <c r="D66" s="179">
        <f t="shared" ref="D66:F66" si="7">8*8</f>
        <v>64</v>
      </c>
      <c r="E66" s="180">
        <f t="shared" si="7"/>
        <v>64</v>
      </c>
      <c r="F66" s="180">
        <f t="shared" si="7"/>
        <v>64</v>
      </c>
      <c r="G66" s="180"/>
      <c r="H66" s="180">
        <f>8*8</f>
        <v>64</v>
      </c>
      <c r="I66" s="180"/>
      <c r="J66" s="180">
        <f>8*8</f>
        <v>64</v>
      </c>
      <c r="K66" s="180"/>
      <c r="L66" s="180"/>
      <c r="M66" s="180">
        <f>8*8</f>
        <v>64</v>
      </c>
      <c r="N66" s="173"/>
      <c r="O66" s="173"/>
      <c r="P66" s="173"/>
      <c r="Q66" s="173"/>
      <c r="R66" s="173"/>
      <c r="S66" s="173"/>
      <c r="T66" s="173"/>
      <c r="U66" s="173"/>
      <c r="V66" s="173"/>
      <c r="W66" s="173">
        <f>8*8</f>
        <v>64</v>
      </c>
      <c r="X66" s="173"/>
      <c r="Y66" s="173"/>
      <c r="Z66" s="173"/>
      <c r="AA66" s="173"/>
      <c r="AB66" s="173"/>
      <c r="AC66" s="173"/>
      <c r="AD66" s="173"/>
      <c r="AE66" s="173"/>
      <c r="AF66" s="173"/>
      <c r="AG66" s="173">
        <f>8*8</f>
        <v>64</v>
      </c>
      <c r="AH66" s="173"/>
      <c r="AI66" s="177"/>
      <c r="AJ66" s="212">
        <f>($C66*D66)*(1+'Datos de Entrada'!C$76)</f>
        <v>530820.97819681792</v>
      </c>
      <c r="AK66" s="212">
        <f>($C66*E66)*(1+'Datos de Entrada'!D$76)</f>
        <v>554078.19245269662</v>
      </c>
      <c r="AL66" s="212">
        <f>($C66*F66)*(1+'Datos de Entrada'!E$76)</f>
        <v>578894.52954648202</v>
      </c>
      <c r="AM66" s="212">
        <f>($C66*G66)*(1+'Datos de Entrada'!F$76)</f>
        <v>0</v>
      </c>
      <c r="AN66" s="212">
        <f>($C66*H66)*(1+'Datos de Entrada'!G$76)</f>
        <v>633373.07103727537</v>
      </c>
      <c r="AO66" s="212">
        <f>($C66*I66)*(1+'Datos de Entrada'!H$76)</f>
        <v>0</v>
      </c>
      <c r="AP66" s="212">
        <f>($C66*J66)*(1+'Datos de Entrada'!I$76)</f>
        <v>694550.76190129656</v>
      </c>
      <c r="AQ66" s="212">
        <f>($C66*K66)*(1+'Datos de Entrada'!J$76)</f>
        <v>0</v>
      </c>
      <c r="AR66" s="212">
        <f>($C66*L66)*(1+'Datos de Entrada'!K$76)</f>
        <v>0</v>
      </c>
      <c r="AS66" s="212">
        <f>($C66*M66)*(1+'Datos de Entrada'!L$76)</f>
        <v>799264.96847164305</v>
      </c>
      <c r="AT66" s="212">
        <f>($C66*N66)*(1+'Datos de Entrada'!M$76)</f>
        <v>0</v>
      </c>
      <c r="AU66" s="212">
        <f>($C66*O66)*(1+'Datos de Entrada'!N$76)</f>
        <v>0</v>
      </c>
      <c r="AV66" s="212">
        <f>($C66*P66)*(1+'Datos de Entrada'!O$76)</f>
        <v>0</v>
      </c>
      <c r="AW66" s="212">
        <f>($C66*Q66)*(1+'Datos de Entrada'!P$76)</f>
        <v>0</v>
      </c>
      <c r="AX66" s="212">
        <f>($C66*R66)*(1+'Datos de Entrada'!Q$76)</f>
        <v>0</v>
      </c>
      <c r="AY66" s="212">
        <f>($C66*S66)*(1+'Datos de Entrada'!R$76)</f>
        <v>0</v>
      </c>
      <c r="AZ66" s="212">
        <f>($C66*T66)*(1+'Datos de Entrada'!S$76)</f>
        <v>0</v>
      </c>
      <c r="BA66" s="212">
        <f>($C66*U66)*(1+'Datos de Entrada'!T$76)</f>
        <v>0</v>
      </c>
      <c r="BB66" s="212">
        <f>($C66*V66)*(1+'Datos de Entrada'!U$76)</f>
        <v>0</v>
      </c>
      <c r="BC66" s="212">
        <f>($C66*W66)*(1+'Datos de Entrada'!V$76)</f>
        <v>1249651.2944221795</v>
      </c>
      <c r="BD66" s="212">
        <f>($C66*X66)*(1+'Datos de Entrada'!W$76)</f>
        <v>0</v>
      </c>
      <c r="BE66" s="212">
        <f>($C66*Y66)*(1+'Datos de Entrada'!X$76)</f>
        <v>0</v>
      </c>
      <c r="BF66" s="212">
        <f>($C66*Z66)*(1+'Datos de Entrada'!Y$76)</f>
        <v>0</v>
      </c>
      <c r="BG66" s="212">
        <f>($C66*AA66)*(1+'Datos de Entrada'!Z$76)</f>
        <v>0</v>
      </c>
      <c r="BH66" s="212">
        <f>($C66*AB66)*(1+'Datos de Entrada'!AA$76)</f>
        <v>0</v>
      </c>
      <c r="BI66" s="212">
        <f>($C66*AC66)*(1+'Datos de Entrada'!AB$76)</f>
        <v>0</v>
      </c>
      <c r="BJ66" s="212">
        <f>($C66*AD66)*(1+'Datos de Entrada'!AC$76)</f>
        <v>0</v>
      </c>
      <c r="BK66" s="212">
        <f>($C66*AE66)*(1+'Datos de Entrada'!AD$76)</f>
        <v>0</v>
      </c>
      <c r="BL66" s="212">
        <f>($C66*AF66)*(1+'Datos de Entrada'!AE$76)</f>
        <v>0</v>
      </c>
      <c r="BM66" s="212">
        <f>($C66*AG66)*(1+'Datos de Entrada'!AF$76)</f>
        <v>1721110.7276192922</v>
      </c>
      <c r="BN66" s="213">
        <f t="shared" si="3"/>
        <v>6761744.5236476827</v>
      </c>
      <c r="BO66" s="181"/>
    </row>
    <row r="67" spans="1:67" s="176" customFormat="1" ht="12.75" customHeight="1" x14ac:dyDescent="0.2">
      <c r="A67" s="178" t="s">
        <v>85</v>
      </c>
      <c r="B67" s="173" t="s">
        <v>39</v>
      </c>
      <c r="C67" s="174">
        <f>'Datos de Entrada'!H47*(1+'Datos de Entrada'!C45)*'Datos de Entrada'!C16</f>
        <v>13320.791593007265</v>
      </c>
      <c r="D67" s="173">
        <v>10</v>
      </c>
      <c r="E67" s="173">
        <v>10</v>
      </c>
      <c r="F67" s="173">
        <v>10</v>
      </c>
      <c r="G67" s="173"/>
      <c r="H67" s="173">
        <v>10</v>
      </c>
      <c r="I67" s="173"/>
      <c r="J67" s="173">
        <v>10</v>
      </c>
      <c r="K67" s="173"/>
      <c r="L67" s="173"/>
      <c r="M67" s="173">
        <v>10</v>
      </c>
      <c r="N67" s="173"/>
      <c r="O67" s="173"/>
      <c r="P67" s="173"/>
      <c r="Q67" s="173"/>
      <c r="R67" s="173"/>
      <c r="S67" s="173"/>
      <c r="T67" s="173"/>
      <c r="U67" s="173"/>
      <c r="V67" s="173"/>
      <c r="W67" s="173">
        <v>10</v>
      </c>
      <c r="X67" s="173"/>
      <c r="Y67" s="173"/>
      <c r="Z67" s="173"/>
      <c r="AA67" s="173"/>
      <c r="AB67" s="173"/>
      <c r="AC67" s="173"/>
      <c r="AD67" s="173"/>
      <c r="AE67" s="173"/>
      <c r="AF67" s="173"/>
      <c r="AG67" s="173">
        <v>10</v>
      </c>
      <c r="AH67" s="173"/>
      <c r="AI67" s="177"/>
      <c r="AJ67" s="212">
        <f>($C67*D67)*(1+'Datos de Entrada'!C$76)</f>
        <v>133207.91593007266</v>
      </c>
      <c r="AK67" s="212">
        <f>($C67*E67)*(1+'Datos de Entrada'!D$76)</f>
        <v>139044.24337117857</v>
      </c>
      <c r="AL67" s="212">
        <f>($C67*F67)*(1+'Datos de Entrada'!E$76)</f>
        <v>145271.82796384252</v>
      </c>
      <c r="AM67" s="212">
        <f>($C67*G67)*(1+'Datos de Entrada'!F$76)</f>
        <v>0</v>
      </c>
      <c r="AN67" s="212">
        <f>($C67*H67)*(1+'Datos de Entrada'!G$76)</f>
        <v>158943.05286446775</v>
      </c>
      <c r="AO67" s="212">
        <f>($C67*I67)*(1+'Datos de Entrada'!H$76)</f>
        <v>0</v>
      </c>
      <c r="AP67" s="212">
        <f>($C67*J67)*(1+'Datos de Entrada'!I$76)</f>
        <v>174295.40899985185</v>
      </c>
      <c r="AQ67" s="212">
        <f>($C67*K67)*(1+'Datos de Entrada'!J$76)</f>
        <v>0</v>
      </c>
      <c r="AR67" s="212">
        <f>($C67*L67)*(1+'Datos de Entrada'!K$76)</f>
        <v>0</v>
      </c>
      <c r="AS67" s="212">
        <f>($C67*M67)*(1+'Datos de Entrada'!L$76)</f>
        <v>200573.12182290282</v>
      </c>
      <c r="AT67" s="212">
        <f>($C67*N67)*(1+'Datos de Entrada'!M$76)</f>
        <v>0</v>
      </c>
      <c r="AU67" s="212">
        <f>($C67*O67)*(1+'Datos de Entrada'!N$76)</f>
        <v>0</v>
      </c>
      <c r="AV67" s="212">
        <f>($C67*P67)*(1+'Datos de Entrada'!O$76)</f>
        <v>0</v>
      </c>
      <c r="AW67" s="212">
        <f>($C67*Q67)*(1+'Datos de Entrada'!P$76)</f>
        <v>0</v>
      </c>
      <c r="AX67" s="212">
        <f>($C67*R67)*(1+'Datos de Entrada'!Q$76)</f>
        <v>0</v>
      </c>
      <c r="AY67" s="212">
        <f>($C67*S67)*(1+'Datos de Entrada'!R$76)</f>
        <v>0</v>
      </c>
      <c r="AZ67" s="212">
        <f>($C67*T67)*(1+'Datos de Entrada'!S$76)</f>
        <v>0</v>
      </c>
      <c r="BA67" s="212">
        <f>($C67*U67)*(1+'Datos de Entrada'!T$76)</f>
        <v>0</v>
      </c>
      <c r="BB67" s="212">
        <f>($C67*V67)*(1+'Datos de Entrada'!U$76)</f>
        <v>0</v>
      </c>
      <c r="BC67" s="212">
        <f>($C67*W67)*(1+'Datos de Entrada'!V$76)</f>
        <v>313596.20551314158</v>
      </c>
      <c r="BD67" s="212">
        <f>($C67*X67)*(1+'Datos de Entrada'!W$76)</f>
        <v>0</v>
      </c>
      <c r="BE67" s="212">
        <f>($C67*Y67)*(1+'Datos de Entrada'!X$76)</f>
        <v>0</v>
      </c>
      <c r="BF67" s="212">
        <f>($C67*Z67)*(1+'Datos de Entrada'!Y$76)</f>
        <v>0</v>
      </c>
      <c r="BG67" s="212">
        <f>($C67*AA67)*(1+'Datos de Entrada'!Z$76)</f>
        <v>0</v>
      </c>
      <c r="BH67" s="212">
        <f>($C67*AB67)*(1+'Datos de Entrada'!AA$76)</f>
        <v>0</v>
      </c>
      <c r="BI67" s="212">
        <f>($C67*AC67)*(1+'Datos de Entrada'!AB$76)</f>
        <v>0</v>
      </c>
      <c r="BJ67" s="212">
        <f>($C67*AD67)*(1+'Datos de Entrada'!AC$76)</f>
        <v>0</v>
      </c>
      <c r="BK67" s="212">
        <f>($C67*AE67)*(1+'Datos de Entrada'!AD$76)</f>
        <v>0</v>
      </c>
      <c r="BL67" s="212">
        <f>($C67*AF67)*(1+'Datos de Entrada'!AE$76)</f>
        <v>0</v>
      </c>
      <c r="BM67" s="212">
        <f>($C67*AG67)*(1+'Datos de Entrada'!AF$76)</f>
        <v>431907.5216090079</v>
      </c>
      <c r="BN67" s="213">
        <f t="shared" si="3"/>
        <v>1696839.2980744657</v>
      </c>
    </row>
    <row r="68" spans="1:67" s="250" customFormat="1" ht="12.75" customHeight="1" x14ac:dyDescent="0.2">
      <c r="A68" s="254" t="s">
        <v>20</v>
      </c>
      <c r="B68" s="245" t="s">
        <v>39</v>
      </c>
      <c r="C68" s="246">
        <f>C50</f>
        <v>13877.430760164996</v>
      </c>
      <c r="D68" s="245">
        <f t="shared" ref="D68:F68" si="8">+(4+2+8)*8</f>
        <v>112</v>
      </c>
      <c r="E68" s="245">
        <f t="shared" si="8"/>
        <v>112</v>
      </c>
      <c r="F68" s="245">
        <f t="shared" si="8"/>
        <v>112</v>
      </c>
      <c r="G68" s="245"/>
      <c r="H68" s="245">
        <f>+(4+2+8)*8</f>
        <v>112</v>
      </c>
      <c r="I68" s="245"/>
      <c r="J68" s="245">
        <f>+(4+2+8)*8</f>
        <v>112</v>
      </c>
      <c r="K68" s="245"/>
      <c r="L68" s="245"/>
      <c r="M68" s="245">
        <f>+(4+2+8)*8</f>
        <v>112</v>
      </c>
      <c r="N68" s="245"/>
      <c r="O68" s="245"/>
      <c r="P68" s="245"/>
      <c r="Q68" s="245"/>
      <c r="R68" s="245"/>
      <c r="S68" s="245"/>
      <c r="T68" s="245"/>
      <c r="U68" s="245"/>
      <c r="V68" s="245"/>
      <c r="W68" s="245">
        <f>+(4+2+8)*8</f>
        <v>112</v>
      </c>
      <c r="X68" s="245"/>
      <c r="Y68" s="245"/>
      <c r="Z68" s="245"/>
      <c r="AA68" s="245"/>
      <c r="AB68" s="245"/>
      <c r="AC68" s="245"/>
      <c r="AD68" s="245"/>
      <c r="AE68" s="245"/>
      <c r="AF68" s="245"/>
      <c r="AG68" s="245">
        <f>+(4+2+8)*8</f>
        <v>112</v>
      </c>
      <c r="AH68" s="245"/>
      <c r="AI68" s="253"/>
      <c r="AJ68" s="247">
        <f>($C68*D68)*(1+'Datos de Entrada'!C$76)</f>
        <v>1554272.2451384796</v>
      </c>
      <c r="AK68" s="247">
        <f>($C68*E68)*(1+'Datos de Entrada'!D$76)</f>
        <v>1622370.6137070034</v>
      </c>
      <c r="AL68" s="247">
        <f>($C68*F68)*(1+'Datos de Entrada'!E$76)</f>
        <v>1695034.1774227719</v>
      </c>
      <c r="AM68" s="247">
        <f>($C68*G68)*(1+'Datos de Entrada'!F$76)</f>
        <v>0</v>
      </c>
      <c r="AN68" s="247">
        <f>($C68*H68)*(1+'Datos de Entrada'!G$76)</f>
        <v>1854550.2637733941</v>
      </c>
      <c r="AO68" s="247">
        <f>($C68*I68)*(1+'Datos de Entrada'!H$76)</f>
        <v>0</v>
      </c>
      <c r="AP68" s="247">
        <f>($C68*J68)*(1+'Datos de Entrada'!I$76)</f>
        <v>2033681.8181716714</v>
      </c>
      <c r="AQ68" s="247">
        <f>($C68*K68)*(1+'Datos de Entrada'!J$76)</f>
        <v>0</v>
      </c>
      <c r="AR68" s="247">
        <f>($C68*L68)*(1+'Datos de Entrada'!K$76)</f>
        <v>0</v>
      </c>
      <c r="AS68" s="247">
        <f>($C68*M68)*(1+'Datos de Entrada'!L$76)</f>
        <v>2340290.6215706225</v>
      </c>
      <c r="AT68" s="247">
        <f>($C68*N68)*(1+'Datos de Entrada'!M$76)</f>
        <v>0</v>
      </c>
      <c r="AU68" s="247">
        <f>($C68*O68)*(1+'Datos de Entrada'!N$76)</f>
        <v>0</v>
      </c>
      <c r="AV68" s="247">
        <f>($C68*P68)*(1+'Datos de Entrada'!O$76)</f>
        <v>0</v>
      </c>
      <c r="AW68" s="247">
        <f>($C68*Q68)*(1+'Datos de Entrada'!P$76)</f>
        <v>0</v>
      </c>
      <c r="AX68" s="247">
        <f>($C68*R68)*(1+'Datos de Entrada'!Q$76)</f>
        <v>0</v>
      </c>
      <c r="AY68" s="247">
        <f>($C68*S68)*(1+'Datos de Entrada'!R$76)</f>
        <v>0</v>
      </c>
      <c r="AZ68" s="247">
        <f>($C68*T68)*(1+'Datos de Entrada'!S$76)</f>
        <v>0</v>
      </c>
      <c r="BA68" s="247">
        <f>($C68*U68)*(1+'Datos de Entrada'!T$76)</f>
        <v>0</v>
      </c>
      <c r="BB68" s="247">
        <f>($C68*V68)*(1+'Datos de Entrada'!U$76)</f>
        <v>0</v>
      </c>
      <c r="BC68" s="247">
        <f>($C68*W68)*(1+'Datos de Entrada'!V$76)</f>
        <v>3659045.8983359965</v>
      </c>
      <c r="BD68" s="247">
        <f>($C68*X68)*(1+'Datos de Entrada'!W$76)</f>
        <v>0</v>
      </c>
      <c r="BE68" s="247">
        <f>($C68*Y68)*(1+'Datos de Entrada'!X$76)</f>
        <v>0</v>
      </c>
      <c r="BF68" s="247">
        <f>($C68*Z68)*(1+'Datos de Entrada'!Y$76)</f>
        <v>0</v>
      </c>
      <c r="BG68" s="247">
        <f>($C68*AA68)*(1+'Datos de Entrada'!Z$76)</f>
        <v>0</v>
      </c>
      <c r="BH68" s="247">
        <f>($C68*AB68)*(1+'Datos de Entrada'!AA$76)</f>
        <v>0</v>
      </c>
      <c r="BI68" s="247">
        <f>($C68*AC68)*(1+'Datos de Entrada'!AB$76)</f>
        <v>0</v>
      </c>
      <c r="BJ68" s="247">
        <f>($C68*AD68)*(1+'Datos de Entrada'!AC$76)</f>
        <v>0</v>
      </c>
      <c r="BK68" s="247">
        <f>($C68*AE68)*(1+'Datos de Entrada'!AD$76)</f>
        <v>0</v>
      </c>
      <c r="BL68" s="247">
        <f>($C68*AF68)*(1+'Datos de Entrada'!AE$76)</f>
        <v>0</v>
      </c>
      <c r="BM68" s="247">
        <f>($C68*AG68)*(1+'Datos de Entrada'!AF$76)</f>
        <v>5039504.3614061819</v>
      </c>
      <c r="BN68" s="248">
        <f t="shared" si="3"/>
        <v>19798749.999526121</v>
      </c>
    </row>
    <row r="69" spans="1:67" s="244" customFormat="1" ht="12.75" customHeight="1" x14ac:dyDescent="0.2">
      <c r="A69" s="238" t="s">
        <v>92</v>
      </c>
      <c r="B69" s="239" t="s">
        <v>93</v>
      </c>
      <c r="C69" s="240">
        <f>'Datos de Entrada'!C59*'Datos de Entrada'!C16</f>
        <v>46258.102533883321</v>
      </c>
      <c r="D69" s="239">
        <v>2</v>
      </c>
      <c r="E69" s="239">
        <v>2</v>
      </c>
      <c r="F69" s="239">
        <v>2</v>
      </c>
      <c r="G69" s="239"/>
      <c r="H69" s="239">
        <v>2</v>
      </c>
      <c r="I69" s="239"/>
      <c r="J69" s="239">
        <v>2</v>
      </c>
      <c r="K69" s="239"/>
      <c r="L69" s="239"/>
      <c r="M69" s="239">
        <v>2</v>
      </c>
      <c r="N69" s="239"/>
      <c r="O69" s="239"/>
      <c r="P69" s="239"/>
      <c r="Q69" s="239"/>
      <c r="R69" s="239"/>
      <c r="S69" s="239"/>
      <c r="T69" s="239"/>
      <c r="U69" s="239"/>
      <c r="V69" s="239"/>
      <c r="W69" s="239">
        <v>2</v>
      </c>
      <c r="X69" s="239"/>
      <c r="Y69" s="239"/>
      <c r="Z69" s="239"/>
      <c r="AA69" s="239"/>
      <c r="AB69" s="239"/>
      <c r="AC69" s="239"/>
      <c r="AD69" s="239"/>
      <c r="AE69" s="239"/>
      <c r="AF69" s="239"/>
      <c r="AG69" s="239">
        <v>2</v>
      </c>
      <c r="AH69" s="239"/>
      <c r="AI69" s="241"/>
      <c r="AJ69" s="242">
        <f>($C69*D69)*(1+'Datos de Entrada'!C$76)</f>
        <v>92516.205067766641</v>
      </c>
      <c r="AK69" s="242">
        <f>($C69*E69)*(1+'Datos de Entrada'!D$76)</f>
        <v>96569.679387321623</v>
      </c>
      <c r="AL69" s="242">
        <f>($C69*F69)*(1+'Datos de Entrada'!E$76)</f>
        <v>100894.89151326024</v>
      </c>
      <c r="AM69" s="242">
        <f>($C69*G69)*(1+'Datos de Entrada'!F$76)</f>
        <v>0</v>
      </c>
      <c r="AN69" s="242">
        <f>($C69*H69)*(1+'Datos de Entrada'!G$76)</f>
        <v>110389.89665317822</v>
      </c>
      <c r="AO69" s="242">
        <f>($C69*I69)*(1+'Datos de Entrada'!H$76)</f>
        <v>0</v>
      </c>
      <c r="AP69" s="242">
        <f>($C69*J69)*(1+'Datos de Entrada'!I$76)</f>
        <v>121052.4891768852</v>
      </c>
      <c r="AQ69" s="242">
        <f>($C69*K69)*(1+'Datos de Entrada'!J$76)</f>
        <v>0</v>
      </c>
      <c r="AR69" s="242">
        <f>($C69*L69)*(1+'Datos de Entrada'!K$76)</f>
        <v>0</v>
      </c>
      <c r="AS69" s="242">
        <f>($C69*M69)*(1+'Datos de Entrada'!L$76)</f>
        <v>139303.01318872752</v>
      </c>
      <c r="AT69" s="242">
        <f>($C69*N69)*(1+'Datos de Entrada'!M$76)</f>
        <v>0</v>
      </c>
      <c r="AU69" s="242">
        <f>($C69*O69)*(1+'Datos de Entrada'!N$76)</f>
        <v>0</v>
      </c>
      <c r="AV69" s="242">
        <f>($C69*P69)*(1+'Datos de Entrada'!O$76)</f>
        <v>0</v>
      </c>
      <c r="AW69" s="242">
        <f>($C69*Q69)*(1+'Datos de Entrada'!P$76)</f>
        <v>0</v>
      </c>
      <c r="AX69" s="242">
        <f>($C69*R69)*(1+'Datos de Entrada'!Q$76)</f>
        <v>0</v>
      </c>
      <c r="AY69" s="242">
        <f>($C69*S69)*(1+'Datos de Entrada'!R$76)</f>
        <v>0</v>
      </c>
      <c r="AZ69" s="242">
        <f>($C69*T69)*(1+'Datos de Entrada'!S$76)</f>
        <v>0</v>
      </c>
      <c r="BA69" s="242">
        <f>($C69*U69)*(1+'Datos de Entrada'!T$76)</f>
        <v>0</v>
      </c>
      <c r="BB69" s="242">
        <f>($C69*V69)*(1+'Datos de Entrada'!U$76)</f>
        <v>0</v>
      </c>
      <c r="BC69" s="242">
        <f>($C69*W69)*(1+'Datos de Entrada'!V$76)</f>
        <v>217800.35109142837</v>
      </c>
      <c r="BD69" s="242">
        <f>($C69*X69)*(1+'Datos de Entrada'!W$76)</f>
        <v>0</v>
      </c>
      <c r="BE69" s="242">
        <f>($C69*Y69)*(1+'Datos de Entrada'!X$76)</f>
        <v>0</v>
      </c>
      <c r="BF69" s="242">
        <f>($C69*Z69)*(1+'Datos de Entrada'!Y$76)</f>
        <v>0</v>
      </c>
      <c r="BG69" s="242">
        <f>($C69*AA69)*(1+'Datos de Entrada'!Z$76)</f>
        <v>0</v>
      </c>
      <c r="BH69" s="242">
        <f>($C69*AB69)*(1+'Datos de Entrada'!AA$76)</f>
        <v>0</v>
      </c>
      <c r="BI69" s="242">
        <f>($C69*AC69)*(1+'Datos de Entrada'!AB$76)</f>
        <v>0</v>
      </c>
      <c r="BJ69" s="242">
        <f>($C69*AD69)*(1+'Datos de Entrada'!AC$76)</f>
        <v>0</v>
      </c>
      <c r="BK69" s="242">
        <f>($C69*AE69)*(1+'Datos de Entrada'!AD$76)</f>
        <v>0</v>
      </c>
      <c r="BL69" s="242">
        <f>($C69*AF69)*(1+'Datos de Entrada'!AE$76)</f>
        <v>0</v>
      </c>
      <c r="BM69" s="242">
        <f>($C69*AG69)*(1+'Datos de Entrada'!AF$76)</f>
        <v>299970.49770274886</v>
      </c>
      <c r="BN69" s="243">
        <f t="shared" si="3"/>
        <v>1178497.0237813168</v>
      </c>
    </row>
    <row r="70" spans="1:67" ht="12.75" customHeight="1" x14ac:dyDescent="0.2">
      <c r="A70" s="35" t="s">
        <v>94</v>
      </c>
      <c r="B70" s="18" t="s">
        <v>39</v>
      </c>
      <c r="C70" s="19">
        <f>C51</f>
        <v>37006.482027106656</v>
      </c>
      <c r="D70" s="18">
        <f t="shared" ref="D70:F70" si="9">4*8</f>
        <v>32</v>
      </c>
      <c r="E70" s="18">
        <f t="shared" si="9"/>
        <v>32</v>
      </c>
      <c r="F70" s="18">
        <f t="shared" si="9"/>
        <v>32</v>
      </c>
      <c r="G70" s="18"/>
      <c r="H70" s="18">
        <f>4*8</f>
        <v>32</v>
      </c>
      <c r="I70" s="18"/>
      <c r="J70" s="18">
        <f>4*8</f>
        <v>32</v>
      </c>
      <c r="K70" s="18"/>
      <c r="L70" s="18"/>
      <c r="M70" s="18">
        <f>4*8</f>
        <v>32</v>
      </c>
      <c r="N70" s="18"/>
      <c r="O70" s="18"/>
      <c r="P70" s="18"/>
      <c r="Q70" s="18"/>
      <c r="R70" s="18"/>
      <c r="S70" s="18"/>
      <c r="T70" s="18"/>
      <c r="U70" s="18"/>
      <c r="V70" s="18"/>
      <c r="W70" s="18">
        <f>4*8</f>
        <v>32</v>
      </c>
      <c r="X70" s="18"/>
      <c r="Y70" s="18"/>
      <c r="Z70" s="18"/>
      <c r="AA70" s="18"/>
      <c r="AB70" s="18"/>
      <c r="AC70" s="18"/>
      <c r="AD70" s="18"/>
      <c r="AE70" s="18"/>
      <c r="AF70" s="18"/>
      <c r="AG70" s="18">
        <f>4*8</f>
        <v>32</v>
      </c>
      <c r="AH70" s="18"/>
      <c r="AI70" s="9"/>
      <c r="AJ70" s="26">
        <f>($C70*D70)*(1+'Datos de Entrada'!C$76)</f>
        <v>1184207.424867413</v>
      </c>
      <c r="AK70" s="26">
        <f>($C70*E70)*(1+'Datos de Entrada'!D$76)</f>
        <v>1236091.8961577169</v>
      </c>
      <c r="AL70" s="26">
        <f>($C70*F70)*(1+'Datos de Entrada'!E$76)</f>
        <v>1291454.6113697309</v>
      </c>
      <c r="AM70" s="26">
        <f>($C70*G70)*(1+'Datos de Entrada'!F$76)</f>
        <v>0</v>
      </c>
      <c r="AN70" s="26">
        <f>($C70*H70)*(1+'Datos de Entrada'!G$76)</f>
        <v>1412990.6771606812</v>
      </c>
      <c r="AO70" s="26">
        <f>($C70*I70)*(1+'Datos de Entrada'!H$76)</f>
        <v>0</v>
      </c>
      <c r="AP70" s="26">
        <f>($C70*J70)*(1+'Datos de Entrada'!I$76)</f>
        <v>1549471.8614641305</v>
      </c>
      <c r="AQ70" s="26">
        <f>($C70*K70)*(1+'Datos de Entrada'!J$76)</f>
        <v>0</v>
      </c>
      <c r="AR70" s="26">
        <f>($C70*L70)*(1+'Datos de Entrada'!K$76)</f>
        <v>0</v>
      </c>
      <c r="AS70" s="26">
        <f>($C70*M70)*(1+'Datos de Entrada'!L$76)</f>
        <v>1783078.5688157124</v>
      </c>
      <c r="AT70" s="26">
        <f>($C70*N70)*(1+'Datos de Entrada'!M$76)</f>
        <v>0</v>
      </c>
      <c r="AU70" s="26">
        <f>($C70*O70)*(1+'Datos de Entrada'!N$76)</f>
        <v>0</v>
      </c>
      <c r="AV70" s="26">
        <f>($C70*P70)*(1+'Datos de Entrada'!O$76)</f>
        <v>0</v>
      </c>
      <c r="AW70" s="26">
        <f>($C70*Q70)*(1+'Datos de Entrada'!P$76)</f>
        <v>0</v>
      </c>
      <c r="AX70" s="26">
        <f>($C70*R70)*(1+'Datos de Entrada'!Q$76)</f>
        <v>0</v>
      </c>
      <c r="AY70" s="26">
        <f>($C70*S70)*(1+'Datos de Entrada'!R$76)</f>
        <v>0</v>
      </c>
      <c r="AZ70" s="26">
        <f>($C70*T70)*(1+'Datos de Entrada'!S$76)</f>
        <v>0</v>
      </c>
      <c r="BA70" s="26">
        <f>($C70*U70)*(1+'Datos de Entrada'!T$76)</f>
        <v>0</v>
      </c>
      <c r="BB70" s="26">
        <f>($C70*V70)*(1+'Datos de Entrada'!U$76)</f>
        <v>0</v>
      </c>
      <c r="BC70" s="26">
        <f>($C70*W70)*(1+'Datos de Entrada'!V$76)</f>
        <v>2787844.4939702828</v>
      </c>
      <c r="BD70" s="26">
        <f>($C70*X70)*(1+'Datos de Entrada'!W$76)</f>
        <v>0</v>
      </c>
      <c r="BE70" s="26">
        <f>($C70*Y70)*(1+'Datos de Entrada'!X$76)</f>
        <v>0</v>
      </c>
      <c r="BF70" s="26">
        <f>($C70*Z70)*(1+'Datos de Entrada'!Y$76)</f>
        <v>0</v>
      </c>
      <c r="BG70" s="26">
        <f>($C70*AA70)*(1+'Datos de Entrada'!Z$76)</f>
        <v>0</v>
      </c>
      <c r="BH70" s="26">
        <f>($C70*AB70)*(1+'Datos de Entrada'!AA$76)</f>
        <v>0</v>
      </c>
      <c r="BI70" s="26">
        <f>($C70*AC70)*(1+'Datos de Entrada'!AB$76)</f>
        <v>0</v>
      </c>
      <c r="BJ70" s="26">
        <f>($C70*AD70)*(1+'Datos de Entrada'!AC$76)</f>
        <v>0</v>
      </c>
      <c r="BK70" s="26">
        <f>($C70*AE70)*(1+'Datos de Entrada'!AD$76)</f>
        <v>0</v>
      </c>
      <c r="BL70" s="26">
        <f>($C70*AF70)*(1+'Datos de Entrada'!AE$76)</f>
        <v>0</v>
      </c>
      <c r="BM70" s="26">
        <f>($C70*AG70)*(1+'Datos de Entrada'!AF$76)</f>
        <v>3839622.3705951856</v>
      </c>
      <c r="BN70" s="211">
        <f t="shared" si="3"/>
        <v>15084761.904400853</v>
      </c>
    </row>
    <row r="71" spans="1:67" s="230" customFormat="1" ht="12.75" customHeight="1" x14ac:dyDescent="0.2">
      <c r="A71" s="237" t="s">
        <v>95</v>
      </c>
      <c r="B71" s="225" t="s">
        <v>23</v>
      </c>
      <c r="C71" s="234">
        <f>'Equipos y Herramientas'!C25*'Datos de Entrada'!C16</f>
        <v>32380.671773718324</v>
      </c>
      <c r="D71" s="225">
        <f t="shared" ref="D71:F71" si="10">5*2</f>
        <v>10</v>
      </c>
      <c r="E71" s="225">
        <f t="shared" si="10"/>
        <v>10</v>
      </c>
      <c r="F71" s="225">
        <f t="shared" si="10"/>
        <v>10</v>
      </c>
      <c r="G71" s="225"/>
      <c r="H71" s="225">
        <v>5</v>
      </c>
      <c r="I71" s="225"/>
      <c r="J71" s="225">
        <v>5</v>
      </c>
      <c r="K71" s="225"/>
      <c r="L71" s="225"/>
      <c r="M71" s="225">
        <v>5</v>
      </c>
      <c r="N71" s="225"/>
      <c r="O71" s="225"/>
      <c r="P71" s="225"/>
      <c r="Q71" s="225"/>
      <c r="R71" s="225"/>
      <c r="S71" s="225"/>
      <c r="T71" s="225"/>
      <c r="U71" s="225"/>
      <c r="V71" s="225"/>
      <c r="W71" s="225">
        <v>5</v>
      </c>
      <c r="X71" s="225"/>
      <c r="Y71" s="225"/>
      <c r="Z71" s="225"/>
      <c r="AA71" s="225"/>
      <c r="AB71" s="225"/>
      <c r="AC71" s="225"/>
      <c r="AD71" s="225"/>
      <c r="AE71" s="225"/>
      <c r="AF71" s="225"/>
      <c r="AG71" s="225">
        <v>5</v>
      </c>
      <c r="AH71" s="225"/>
      <c r="AI71" s="235"/>
      <c r="AJ71" s="227">
        <f>($C71*D71)*(1+'Datos de Entrada'!C$76)</f>
        <v>323806.71773718327</v>
      </c>
      <c r="AK71" s="227">
        <f>($C71*E71)*(1+'Datos de Entrada'!D$76)</f>
        <v>337993.8778556257</v>
      </c>
      <c r="AL71" s="227">
        <f>($C71*F71)*(1+'Datos de Entrada'!E$76)</f>
        <v>353132.12029641087</v>
      </c>
      <c r="AM71" s="227">
        <f>($C71*G71)*(1+'Datos de Entrada'!F$76)</f>
        <v>0</v>
      </c>
      <c r="AN71" s="227">
        <f>($C71*H71)*(1+'Datos de Entrada'!G$76)</f>
        <v>193182.3191430619</v>
      </c>
      <c r="AO71" s="227">
        <f>($C71*I71)*(1+'Datos de Entrada'!H$76)</f>
        <v>0</v>
      </c>
      <c r="AP71" s="227">
        <f>($C71*J71)*(1+'Datos de Entrada'!I$76)</f>
        <v>211841.85605954911</v>
      </c>
      <c r="AQ71" s="227">
        <f>($C71*K71)*(1+'Datos de Entrada'!J$76)</f>
        <v>0</v>
      </c>
      <c r="AR71" s="227">
        <f>($C71*L71)*(1+'Datos de Entrada'!K$76)</f>
        <v>0</v>
      </c>
      <c r="AS71" s="227">
        <f>($C71*M71)*(1+'Datos de Entrada'!L$76)</f>
        <v>243780.27308027318</v>
      </c>
      <c r="AT71" s="227">
        <f>($C71*N71)*(1+'Datos de Entrada'!M$76)</f>
        <v>0</v>
      </c>
      <c r="AU71" s="227">
        <f>($C71*O71)*(1+'Datos de Entrada'!N$76)</f>
        <v>0</v>
      </c>
      <c r="AV71" s="227">
        <f>($C71*P71)*(1+'Datos de Entrada'!O$76)</f>
        <v>0</v>
      </c>
      <c r="AW71" s="227">
        <f>($C71*Q71)*(1+'Datos de Entrada'!P$76)</f>
        <v>0</v>
      </c>
      <c r="AX71" s="227">
        <f>($C71*R71)*(1+'Datos de Entrada'!Q$76)</f>
        <v>0</v>
      </c>
      <c r="AY71" s="227">
        <f>($C71*S71)*(1+'Datos de Entrada'!R$76)</f>
        <v>0</v>
      </c>
      <c r="AZ71" s="227">
        <f>($C71*T71)*(1+'Datos de Entrada'!S$76)</f>
        <v>0</v>
      </c>
      <c r="BA71" s="227">
        <f>($C71*U71)*(1+'Datos de Entrada'!T$76)</f>
        <v>0</v>
      </c>
      <c r="BB71" s="227">
        <f>($C71*V71)*(1+'Datos de Entrada'!U$76)</f>
        <v>0</v>
      </c>
      <c r="BC71" s="227">
        <f>($C71*W71)*(1+'Datos de Entrada'!V$76)</f>
        <v>381150.61440999963</v>
      </c>
      <c r="BD71" s="227">
        <f>($C71*X71)*(1+'Datos de Entrada'!W$76)</f>
        <v>0</v>
      </c>
      <c r="BE71" s="227">
        <f>($C71*Y71)*(1+'Datos de Entrada'!X$76)</f>
        <v>0</v>
      </c>
      <c r="BF71" s="227">
        <f>($C71*Z71)*(1+'Datos de Entrada'!Y$76)</f>
        <v>0</v>
      </c>
      <c r="BG71" s="227">
        <f>($C71*AA71)*(1+'Datos de Entrada'!Z$76)</f>
        <v>0</v>
      </c>
      <c r="BH71" s="227">
        <f>($C71*AB71)*(1+'Datos de Entrada'!AA$76)</f>
        <v>0</v>
      </c>
      <c r="BI71" s="227">
        <f>($C71*AC71)*(1+'Datos de Entrada'!AB$76)</f>
        <v>0</v>
      </c>
      <c r="BJ71" s="227">
        <f>($C71*AD71)*(1+'Datos de Entrada'!AC$76)</f>
        <v>0</v>
      </c>
      <c r="BK71" s="227">
        <f>($C71*AE71)*(1+'Datos de Entrada'!AD$76)</f>
        <v>0</v>
      </c>
      <c r="BL71" s="227">
        <f>($C71*AF71)*(1+'Datos de Entrada'!AE$76)</f>
        <v>0</v>
      </c>
      <c r="BM71" s="227">
        <f>($C71*AG71)*(1+'Datos de Entrada'!AF$76)</f>
        <v>524948.3709798106</v>
      </c>
      <c r="BN71" s="228">
        <f t="shared" si="3"/>
        <v>2569836.1495619146</v>
      </c>
    </row>
    <row r="72" spans="1:67" s="230" customFormat="1" ht="12.75" customHeight="1" x14ac:dyDescent="0.2">
      <c r="A72" s="237" t="s">
        <v>96</v>
      </c>
      <c r="B72" s="225" t="s">
        <v>23</v>
      </c>
      <c r="C72" s="234">
        <f>'Equipos y Herramientas'!C25*'Datos de Entrada'!C16</f>
        <v>32380.671773718324</v>
      </c>
      <c r="D72" s="225">
        <v>6</v>
      </c>
      <c r="E72" s="225">
        <v>6</v>
      </c>
      <c r="F72" s="225">
        <v>6</v>
      </c>
      <c r="G72" s="225"/>
      <c r="H72" s="225">
        <v>6</v>
      </c>
      <c r="I72" s="225"/>
      <c r="J72" s="225">
        <v>6</v>
      </c>
      <c r="K72" s="225"/>
      <c r="L72" s="225"/>
      <c r="M72" s="225">
        <v>6</v>
      </c>
      <c r="N72" s="225"/>
      <c r="O72" s="225"/>
      <c r="P72" s="225"/>
      <c r="Q72" s="225"/>
      <c r="R72" s="225"/>
      <c r="S72" s="225"/>
      <c r="T72" s="225"/>
      <c r="U72" s="225"/>
      <c r="V72" s="225"/>
      <c r="W72" s="225">
        <v>6</v>
      </c>
      <c r="X72" s="225"/>
      <c r="Y72" s="225"/>
      <c r="Z72" s="225"/>
      <c r="AA72" s="225"/>
      <c r="AB72" s="225"/>
      <c r="AC72" s="225"/>
      <c r="AD72" s="225"/>
      <c r="AE72" s="225"/>
      <c r="AF72" s="225"/>
      <c r="AG72" s="225">
        <v>6</v>
      </c>
      <c r="AH72" s="225"/>
      <c r="AI72" s="235"/>
      <c r="AJ72" s="227">
        <f>($C72*D72)*(1+'Datos de Entrada'!C$76)</f>
        <v>194284.03064230995</v>
      </c>
      <c r="AK72" s="227">
        <f>($C72*E72)*(1+'Datos de Entrada'!D$76)</f>
        <v>202796.32671337543</v>
      </c>
      <c r="AL72" s="227">
        <f>($C72*F72)*(1+'Datos de Entrada'!E$76)</f>
        <v>211879.27217784649</v>
      </c>
      <c r="AM72" s="227">
        <f>($C72*G72)*(1+'Datos de Entrada'!F$76)</f>
        <v>0</v>
      </c>
      <c r="AN72" s="227">
        <f>($C72*H72)*(1+'Datos de Entrada'!G$76)</f>
        <v>231818.78297167426</v>
      </c>
      <c r="AO72" s="227">
        <f>($C72*I72)*(1+'Datos de Entrada'!H$76)</f>
        <v>0</v>
      </c>
      <c r="AP72" s="227">
        <f>($C72*J72)*(1+'Datos de Entrada'!I$76)</f>
        <v>254210.22727145892</v>
      </c>
      <c r="AQ72" s="227">
        <f>($C72*K72)*(1+'Datos de Entrada'!J$76)</f>
        <v>0</v>
      </c>
      <c r="AR72" s="227">
        <f>($C72*L72)*(1+'Datos de Entrada'!K$76)</f>
        <v>0</v>
      </c>
      <c r="AS72" s="227">
        <f>($C72*M72)*(1+'Datos de Entrada'!L$76)</f>
        <v>292536.32769632782</v>
      </c>
      <c r="AT72" s="227">
        <f>($C72*N72)*(1+'Datos de Entrada'!M$76)</f>
        <v>0</v>
      </c>
      <c r="AU72" s="227">
        <f>($C72*O72)*(1+'Datos de Entrada'!N$76)</f>
        <v>0</v>
      </c>
      <c r="AV72" s="227">
        <f>($C72*P72)*(1+'Datos de Entrada'!O$76)</f>
        <v>0</v>
      </c>
      <c r="AW72" s="227">
        <f>($C72*Q72)*(1+'Datos de Entrada'!P$76)</f>
        <v>0</v>
      </c>
      <c r="AX72" s="227">
        <f>($C72*R72)*(1+'Datos de Entrada'!Q$76)</f>
        <v>0</v>
      </c>
      <c r="AY72" s="227">
        <f>($C72*S72)*(1+'Datos de Entrada'!R$76)</f>
        <v>0</v>
      </c>
      <c r="AZ72" s="227">
        <f>($C72*T72)*(1+'Datos de Entrada'!S$76)</f>
        <v>0</v>
      </c>
      <c r="BA72" s="227">
        <f>($C72*U72)*(1+'Datos de Entrada'!T$76)</f>
        <v>0</v>
      </c>
      <c r="BB72" s="227">
        <f>($C72*V72)*(1+'Datos de Entrada'!U$76)</f>
        <v>0</v>
      </c>
      <c r="BC72" s="227">
        <f>($C72*W72)*(1+'Datos de Entrada'!V$76)</f>
        <v>457380.73729199957</v>
      </c>
      <c r="BD72" s="227">
        <f>($C72*X72)*(1+'Datos de Entrada'!W$76)</f>
        <v>0</v>
      </c>
      <c r="BE72" s="227">
        <f>($C72*Y72)*(1+'Datos de Entrada'!X$76)</f>
        <v>0</v>
      </c>
      <c r="BF72" s="227">
        <f>($C72*Z72)*(1+'Datos de Entrada'!Y$76)</f>
        <v>0</v>
      </c>
      <c r="BG72" s="227">
        <f>($C72*AA72)*(1+'Datos de Entrada'!Z$76)</f>
        <v>0</v>
      </c>
      <c r="BH72" s="227">
        <f>($C72*AB72)*(1+'Datos de Entrada'!AA$76)</f>
        <v>0</v>
      </c>
      <c r="BI72" s="227">
        <f>($C72*AC72)*(1+'Datos de Entrada'!AB$76)</f>
        <v>0</v>
      </c>
      <c r="BJ72" s="227">
        <f>($C72*AD72)*(1+'Datos de Entrada'!AC$76)</f>
        <v>0</v>
      </c>
      <c r="BK72" s="227">
        <f>($C72*AE72)*(1+'Datos de Entrada'!AD$76)</f>
        <v>0</v>
      </c>
      <c r="BL72" s="227">
        <f>($C72*AF72)*(1+'Datos de Entrada'!AE$76)</f>
        <v>0</v>
      </c>
      <c r="BM72" s="227">
        <f>($C72*AG72)*(1+'Datos de Entrada'!AF$76)</f>
        <v>629938.04517577274</v>
      </c>
      <c r="BN72" s="228">
        <f t="shared" si="3"/>
        <v>2474843.7499407651</v>
      </c>
    </row>
    <row r="73" spans="1:67" s="230" customFormat="1" ht="12.75" customHeight="1" x14ac:dyDescent="0.2">
      <c r="A73" s="237" t="s">
        <v>97</v>
      </c>
      <c r="B73" s="225" t="s">
        <v>98</v>
      </c>
      <c r="C73" s="234">
        <f>'Equipos y Herramientas'!C27*'Datos de Entrada'!C16</f>
        <v>499587.50736593985</v>
      </c>
      <c r="D73" s="225">
        <v>1</v>
      </c>
      <c r="E73" s="225">
        <v>1</v>
      </c>
      <c r="F73" s="225">
        <v>1</v>
      </c>
      <c r="G73" s="225"/>
      <c r="H73" s="225">
        <v>1</v>
      </c>
      <c r="I73" s="225"/>
      <c r="J73" s="225">
        <v>1</v>
      </c>
      <c r="K73" s="225"/>
      <c r="L73" s="225"/>
      <c r="M73" s="225">
        <v>1</v>
      </c>
      <c r="N73" s="225"/>
      <c r="O73" s="225"/>
      <c r="P73" s="225"/>
      <c r="Q73" s="225"/>
      <c r="R73" s="225"/>
      <c r="S73" s="225"/>
      <c r="T73" s="225"/>
      <c r="U73" s="225"/>
      <c r="V73" s="225"/>
      <c r="W73" s="225">
        <v>1</v>
      </c>
      <c r="X73" s="225"/>
      <c r="Y73" s="225"/>
      <c r="Z73" s="225"/>
      <c r="AA73" s="225"/>
      <c r="AB73" s="225"/>
      <c r="AC73" s="225"/>
      <c r="AD73" s="225"/>
      <c r="AE73" s="225"/>
      <c r="AF73" s="225"/>
      <c r="AG73" s="225">
        <v>1</v>
      </c>
      <c r="AH73" s="225"/>
      <c r="AI73" s="235"/>
      <c r="AJ73" s="227">
        <f>($C73*D73)*(1+'Datos de Entrada'!C$76)</f>
        <v>499587.50736593985</v>
      </c>
      <c r="AK73" s="227">
        <f>($C73*E73)*(1+'Datos de Entrada'!D$76)</f>
        <v>521476.2686915368</v>
      </c>
      <c r="AL73" s="227">
        <f>($C73*F73)*(1+'Datos de Entrada'!E$76)</f>
        <v>544832.41417160525</v>
      </c>
      <c r="AM73" s="227">
        <f>($C73*G73)*(1+'Datos de Entrada'!F$76)</f>
        <v>0</v>
      </c>
      <c r="AN73" s="227">
        <f>($C73*H73)*(1+'Datos de Entrada'!G$76)</f>
        <v>596105.44192716235</v>
      </c>
      <c r="AO73" s="227">
        <f>($C73*I73)*(1+'Datos de Entrada'!H$76)</f>
        <v>0</v>
      </c>
      <c r="AP73" s="227">
        <f>($C73*J73)*(1+'Datos de Entrada'!I$76)</f>
        <v>653683.44155518</v>
      </c>
      <c r="AQ73" s="227">
        <f>($C73*K73)*(1+'Datos de Entrada'!J$76)</f>
        <v>0</v>
      </c>
      <c r="AR73" s="227">
        <f>($C73*L73)*(1+'Datos de Entrada'!K$76)</f>
        <v>0</v>
      </c>
      <c r="AS73" s="227">
        <f>($C73*M73)*(1+'Datos de Entrada'!L$76)</f>
        <v>752236.27121912863</v>
      </c>
      <c r="AT73" s="227">
        <f>($C73*N73)*(1+'Datos de Entrada'!M$76)</f>
        <v>0</v>
      </c>
      <c r="AU73" s="227">
        <f>($C73*O73)*(1+'Datos de Entrada'!N$76)</f>
        <v>0</v>
      </c>
      <c r="AV73" s="227">
        <f>($C73*P73)*(1+'Datos de Entrada'!O$76)</f>
        <v>0</v>
      </c>
      <c r="AW73" s="227">
        <f>($C73*Q73)*(1+'Datos de Entrada'!P$76)</f>
        <v>0</v>
      </c>
      <c r="AX73" s="227">
        <f>($C73*R73)*(1+'Datos de Entrada'!Q$76)</f>
        <v>0</v>
      </c>
      <c r="AY73" s="227">
        <f>($C73*S73)*(1+'Datos de Entrada'!R$76)</f>
        <v>0</v>
      </c>
      <c r="AZ73" s="227">
        <f>($C73*T73)*(1+'Datos de Entrada'!S$76)</f>
        <v>0</v>
      </c>
      <c r="BA73" s="227">
        <f>($C73*U73)*(1+'Datos de Entrada'!T$76)</f>
        <v>0</v>
      </c>
      <c r="BB73" s="227">
        <f>($C73*V73)*(1+'Datos de Entrada'!U$76)</f>
        <v>0</v>
      </c>
      <c r="BC73" s="227">
        <f>($C73*W73)*(1+'Datos de Entrada'!V$76)</f>
        <v>1176121.895893713</v>
      </c>
      <c r="BD73" s="227">
        <f>($C73*X73)*(1+'Datos de Entrada'!W$76)</f>
        <v>0</v>
      </c>
      <c r="BE73" s="227">
        <f>($C73*Y73)*(1+'Datos de Entrada'!X$76)</f>
        <v>0</v>
      </c>
      <c r="BF73" s="227">
        <f>($C73*Z73)*(1+'Datos de Entrada'!Y$76)</f>
        <v>0</v>
      </c>
      <c r="BG73" s="227">
        <f>($C73*AA73)*(1+'Datos de Entrada'!Z$76)</f>
        <v>0</v>
      </c>
      <c r="BH73" s="227">
        <f>($C73*AB73)*(1+'Datos de Entrada'!AA$76)</f>
        <v>0</v>
      </c>
      <c r="BI73" s="227">
        <f>($C73*AC73)*(1+'Datos de Entrada'!AB$76)</f>
        <v>0</v>
      </c>
      <c r="BJ73" s="227">
        <f>($C73*AD73)*(1+'Datos de Entrada'!AC$76)</f>
        <v>0</v>
      </c>
      <c r="BK73" s="227">
        <f>($C73*AE73)*(1+'Datos de Entrada'!AD$76)</f>
        <v>0</v>
      </c>
      <c r="BL73" s="227">
        <f>($C73*AF73)*(1+'Datos de Entrada'!AE$76)</f>
        <v>0</v>
      </c>
      <c r="BM73" s="227">
        <f>($C73*AG73)*(1+'Datos de Entrada'!AF$76)</f>
        <v>1619840.687594844</v>
      </c>
      <c r="BN73" s="228">
        <f t="shared" si="3"/>
        <v>6363883.9284191104</v>
      </c>
    </row>
    <row r="74" spans="1:67" ht="12.75" customHeight="1" x14ac:dyDescent="0.2">
      <c r="A74" s="35"/>
      <c r="B74" s="18"/>
      <c r="C74" s="19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9"/>
      <c r="AJ74" s="26">
        <f>($C74*D74)*(1+'Datos de Entrada'!C$76)</f>
        <v>0</v>
      </c>
      <c r="AK74" s="26">
        <f>($C74*E74)*(1+'Datos de Entrada'!D$76)</f>
        <v>0</v>
      </c>
      <c r="AL74" s="26">
        <f>($C74*F74)*(1+'Datos de Entrada'!E$76)</f>
        <v>0</v>
      </c>
      <c r="AM74" s="26">
        <f>($C74*G74)*(1+'Datos de Entrada'!F$76)</f>
        <v>0</v>
      </c>
      <c r="AN74" s="26">
        <f>($C74*H74)*(1+'Datos de Entrada'!G$76)</f>
        <v>0</v>
      </c>
      <c r="AO74" s="26">
        <f>($C74*I74)*(1+'Datos de Entrada'!H$76)</f>
        <v>0</v>
      </c>
      <c r="AP74" s="26">
        <f>($C74*J74)*(1+'Datos de Entrada'!I$76)</f>
        <v>0</v>
      </c>
      <c r="AQ74" s="26">
        <f>($C74*K74)*(1+'Datos de Entrada'!J$76)</f>
        <v>0</v>
      </c>
      <c r="AR74" s="26">
        <f>($C74*L74)*(1+'Datos de Entrada'!K$76)</f>
        <v>0</v>
      </c>
      <c r="AS74" s="26">
        <f>($C74*M74)*(1+'Datos de Entrada'!L$76)</f>
        <v>0</v>
      </c>
      <c r="AT74" s="26">
        <f>($C74*N74)*(1+'Datos de Entrada'!M$76)</f>
        <v>0</v>
      </c>
      <c r="AU74" s="26">
        <f>($C74*O74)*(1+'Datos de Entrada'!N$76)</f>
        <v>0</v>
      </c>
      <c r="AV74" s="26">
        <f>($C74*P74)*(1+'Datos de Entrada'!O$76)</f>
        <v>0</v>
      </c>
      <c r="AW74" s="26">
        <f>($C74*Q74)*(1+'Datos de Entrada'!P$76)</f>
        <v>0</v>
      </c>
      <c r="AX74" s="26">
        <f>($C74*R74)*(1+'Datos de Entrada'!Q$76)</f>
        <v>0</v>
      </c>
      <c r="AY74" s="26">
        <f>($C74*S74)*(1+'Datos de Entrada'!R$76)</f>
        <v>0</v>
      </c>
      <c r="AZ74" s="26">
        <f>($C74*T74)*(1+'Datos de Entrada'!S$76)</f>
        <v>0</v>
      </c>
      <c r="BA74" s="26">
        <f>($C74*U74)*(1+'Datos de Entrada'!T$76)</f>
        <v>0</v>
      </c>
      <c r="BB74" s="26">
        <f>($C74*V74)*(1+'Datos de Entrada'!U$76)</f>
        <v>0</v>
      </c>
      <c r="BC74" s="26">
        <f>($C74*W74)*(1+'Datos de Entrada'!V$76)</f>
        <v>0</v>
      </c>
      <c r="BD74" s="26">
        <f>($C74*X74)*(1+'Datos de Entrada'!W$76)</f>
        <v>0</v>
      </c>
      <c r="BE74" s="26">
        <f>($C74*Y74)*(1+'Datos de Entrada'!X$76)</f>
        <v>0</v>
      </c>
      <c r="BF74" s="26">
        <f>($C74*Z74)*(1+'Datos de Entrada'!Y$76)</f>
        <v>0</v>
      </c>
      <c r="BG74" s="26">
        <f>($C74*AA74)*(1+'Datos de Entrada'!Z$76)</f>
        <v>0</v>
      </c>
      <c r="BH74" s="26">
        <f>($C74*AB74)*(1+'Datos de Entrada'!AA$76)</f>
        <v>0</v>
      </c>
      <c r="BI74" s="26">
        <f>($C74*AC74)*(1+'Datos de Entrada'!AB$76)</f>
        <v>0</v>
      </c>
      <c r="BJ74" s="26">
        <f>($C74*AD74)*(1+'Datos de Entrada'!AC$76)</f>
        <v>0</v>
      </c>
      <c r="BK74" s="26">
        <f>($C74*AE74)*(1+'Datos de Entrada'!AD$76)</f>
        <v>0</v>
      </c>
      <c r="BL74" s="26">
        <f>($C74*AF74)*(1+'Datos de Entrada'!AE$76)</f>
        <v>0</v>
      </c>
      <c r="BM74" s="26">
        <f>($C74*AG74)*(1+'Datos de Entrada'!AF$76)</f>
        <v>0</v>
      </c>
      <c r="BN74" s="211">
        <f t="shared" si="3"/>
        <v>0</v>
      </c>
    </row>
    <row r="75" spans="1:67" ht="12.75" customHeight="1" x14ac:dyDescent="0.2">
      <c r="A75" s="39" t="s">
        <v>99</v>
      </c>
      <c r="B75" s="40"/>
      <c r="C75" s="41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  <c r="AF75" s="40"/>
      <c r="AG75" s="40"/>
      <c r="AH75" s="3">
        <f>SUM(AJ75:BM75)</f>
        <v>1254835056.0282323</v>
      </c>
      <c r="AI75" s="40"/>
      <c r="AJ75" s="43">
        <f t="shared" ref="AJ75:BM75" si="11">AJ4+AJ18+AJ34+AJ46+AJ40</f>
        <v>63798261.416578695</v>
      </c>
      <c r="AK75" s="43">
        <f t="shared" si="11"/>
        <v>26877083.087246634</v>
      </c>
      <c r="AL75" s="43">
        <f t="shared" si="11"/>
        <v>28080867.612745233</v>
      </c>
      <c r="AM75" s="43">
        <f t="shared" si="11"/>
        <v>21482154.552287061</v>
      </c>
      <c r="AN75" s="43">
        <f t="shared" si="11"/>
        <v>38130990.975911953</v>
      </c>
      <c r="AO75" s="43">
        <f t="shared" si="11"/>
        <v>21802697.798195358</v>
      </c>
      <c r="AP75" s="43">
        <f t="shared" si="11"/>
        <v>31666576.408266146</v>
      </c>
      <c r="AQ75" s="43">
        <f t="shared" si="11"/>
        <v>23926987.964995578</v>
      </c>
      <c r="AR75" s="43">
        <f t="shared" si="11"/>
        <v>25074630.833762754</v>
      </c>
      <c r="AS75" s="43">
        <f t="shared" si="11"/>
        <v>48326589.341237493</v>
      </c>
      <c r="AT75" s="43">
        <f t="shared" si="11"/>
        <v>27540954.109255351</v>
      </c>
      <c r="AU75" s="43">
        <f t="shared" si="11"/>
        <v>28858342.971763272</v>
      </c>
      <c r="AV75" s="43">
        <f t="shared" si="11"/>
        <v>30230144.648482576</v>
      </c>
      <c r="AW75" s="43">
        <f t="shared" si="11"/>
        <v>31654295.870748475</v>
      </c>
      <c r="AX75" s="43">
        <f t="shared" si="11"/>
        <v>33128043.995907106</v>
      </c>
      <c r="AY75" s="43">
        <f t="shared" si="11"/>
        <v>34647879.433616214</v>
      </c>
      <c r="AZ75" s="43">
        <f t="shared" si="11"/>
        <v>36209470.435637817</v>
      </c>
      <c r="BA75" s="43">
        <f t="shared" si="11"/>
        <v>37807602.048665844</v>
      </c>
      <c r="BB75" s="43">
        <f t="shared" si="11"/>
        <v>39436121.270315431</v>
      </c>
      <c r="BC75" s="43">
        <f t="shared" si="11"/>
        <v>75558653.647447005</v>
      </c>
      <c r="BD75" s="43">
        <f t="shared" si="11"/>
        <v>42879132.270728663</v>
      </c>
      <c r="BE75" s="43">
        <f t="shared" si="11"/>
        <v>44686000.240877338</v>
      </c>
      <c r="BF75" s="43">
        <f t="shared" si="11"/>
        <v>46498210.162909865</v>
      </c>
      <c r="BG75" s="43">
        <f t="shared" si="11"/>
        <v>48304312.385079317</v>
      </c>
      <c r="BH75" s="43">
        <f t="shared" si="11"/>
        <v>50091712.635179445</v>
      </c>
      <c r="BI75" s="43">
        <f t="shared" si="11"/>
        <v>51846717.934424013</v>
      </c>
      <c r="BJ75" s="43">
        <f t="shared" si="11"/>
        <v>53554610.618839905</v>
      </c>
      <c r="BK75" s="43">
        <f t="shared" si="11"/>
        <v>55199752.909258008</v>
      </c>
      <c r="BL75" s="43">
        <f t="shared" si="11"/>
        <v>56765723.954818726</v>
      </c>
      <c r="BM75" s="43">
        <f t="shared" si="11"/>
        <v>100770534.49305108</v>
      </c>
    </row>
    <row r="76" spans="1:67" ht="12.75" customHeight="1" x14ac:dyDescent="0.2">
      <c r="A76" s="35"/>
      <c r="B76" s="18"/>
      <c r="C76" s="19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9"/>
      <c r="AJ76" s="44">
        <f t="shared" ref="AJ76:BM76" si="12">+$C76*D76</f>
        <v>0</v>
      </c>
      <c r="AK76" s="44">
        <f t="shared" si="12"/>
        <v>0</v>
      </c>
      <c r="AL76" s="44">
        <f t="shared" si="12"/>
        <v>0</v>
      </c>
      <c r="AM76" s="44">
        <f t="shared" si="12"/>
        <v>0</v>
      </c>
      <c r="AN76" s="44">
        <f t="shared" si="12"/>
        <v>0</v>
      </c>
      <c r="AO76" s="44">
        <f t="shared" si="12"/>
        <v>0</v>
      </c>
      <c r="AP76" s="44">
        <f t="shared" si="12"/>
        <v>0</v>
      </c>
      <c r="AQ76" s="44">
        <f t="shared" si="12"/>
        <v>0</v>
      </c>
      <c r="AR76" s="44">
        <f t="shared" si="12"/>
        <v>0</v>
      </c>
      <c r="AS76" s="44">
        <f t="shared" si="12"/>
        <v>0</v>
      </c>
      <c r="AT76" s="44">
        <f t="shared" si="12"/>
        <v>0</v>
      </c>
      <c r="AU76" s="44">
        <f t="shared" si="12"/>
        <v>0</v>
      </c>
      <c r="AV76" s="44">
        <f t="shared" si="12"/>
        <v>0</v>
      </c>
      <c r="AW76" s="44">
        <f t="shared" si="12"/>
        <v>0</v>
      </c>
      <c r="AX76" s="44">
        <f t="shared" si="12"/>
        <v>0</v>
      </c>
      <c r="AY76" s="44">
        <f t="shared" si="12"/>
        <v>0</v>
      </c>
      <c r="AZ76" s="44">
        <f t="shared" si="12"/>
        <v>0</v>
      </c>
      <c r="BA76" s="44">
        <f t="shared" si="12"/>
        <v>0</v>
      </c>
      <c r="BB76" s="44">
        <f t="shared" si="12"/>
        <v>0</v>
      </c>
      <c r="BC76" s="44">
        <f t="shared" si="12"/>
        <v>0</v>
      </c>
      <c r="BD76" s="44">
        <f t="shared" si="12"/>
        <v>0</v>
      </c>
      <c r="BE76" s="44">
        <f t="shared" si="12"/>
        <v>0</v>
      </c>
      <c r="BF76" s="44">
        <f t="shared" si="12"/>
        <v>0</v>
      </c>
      <c r="BG76" s="44">
        <f t="shared" si="12"/>
        <v>0</v>
      </c>
      <c r="BH76" s="44">
        <f t="shared" si="12"/>
        <v>0</v>
      </c>
      <c r="BI76" s="44">
        <f t="shared" si="12"/>
        <v>0</v>
      </c>
      <c r="BJ76" s="44">
        <f t="shared" si="12"/>
        <v>0</v>
      </c>
      <c r="BK76" s="44">
        <f t="shared" si="12"/>
        <v>0</v>
      </c>
      <c r="BL76" s="44">
        <f t="shared" si="12"/>
        <v>0</v>
      </c>
      <c r="BM76" s="44">
        <f t="shared" si="12"/>
        <v>0</v>
      </c>
    </row>
    <row r="77" spans="1:67" ht="12.75" customHeight="1" x14ac:dyDescent="0.2">
      <c r="A77" s="31" t="s">
        <v>100</v>
      </c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">
        <f>SUM(AJ77:BM77)</f>
        <v>169665705.70619661</v>
      </c>
      <c r="AI77" s="31"/>
      <c r="AJ77" s="33">
        <f>SUM(AJ78:AJ80)</f>
        <v>7324249.8349526953</v>
      </c>
      <c r="AK77" s="33">
        <f t="shared" ref="AK77:BM77" si="13">SUM(AK78:AK80)</f>
        <v>4467838.9522754494</v>
      </c>
      <c r="AL77" s="33">
        <f t="shared" si="13"/>
        <v>4566306.2437906805</v>
      </c>
      <c r="AM77" s="33">
        <f t="shared" si="13"/>
        <v>4040291.0837883591</v>
      </c>
      <c r="AN77" s="33">
        <f t="shared" si="13"/>
        <v>5373797.2378716711</v>
      </c>
      <c r="AO77" s="33">
        <f t="shared" si="13"/>
        <v>4068850.3792066551</v>
      </c>
      <c r="AP77" s="33">
        <f t="shared" si="13"/>
        <v>4858994.6189236175</v>
      </c>
      <c r="AQ77" s="33">
        <f t="shared" si="13"/>
        <v>4240578.8497322612</v>
      </c>
      <c r="AR77" s="33">
        <f t="shared" si="13"/>
        <v>4332858.9408629136</v>
      </c>
      <c r="AS77" s="33">
        <f t="shared" si="13"/>
        <v>6193201.6384491604</v>
      </c>
      <c r="AT77" s="33">
        <f t="shared" si="13"/>
        <v>4530254.1922378456</v>
      </c>
      <c r="AU77" s="33">
        <f t="shared" si="13"/>
        <v>4635266.0289447242</v>
      </c>
      <c r="AV77" s="33">
        <f t="shared" si="13"/>
        <v>4744348.2461475041</v>
      </c>
      <c r="AW77" s="33">
        <f t="shared" si="13"/>
        <v>4857335.7823530007</v>
      </c>
      <c r="AX77" s="33">
        <f t="shared" si="13"/>
        <v>4974008.4261489045</v>
      </c>
      <c r="AY77" s="33">
        <f t="shared" si="13"/>
        <v>5094085.4103078349</v>
      </c>
      <c r="AZ77" s="33">
        <f t="shared" si="13"/>
        <v>5217220.1949707549</v>
      </c>
      <c r="BA77" s="33">
        <f t="shared" si="13"/>
        <v>5342995.5838731788</v>
      </c>
      <c r="BB77" s="33">
        <f t="shared" si="13"/>
        <v>5470919.3368243156</v>
      </c>
      <c r="BC77" s="33">
        <f t="shared" si="13"/>
        <v>8358081.4975730004</v>
      </c>
      <c r="BD77" s="33">
        <f t="shared" si="13"/>
        <v>5740796.7133726822</v>
      </c>
      <c r="BE77" s="33">
        <f t="shared" si="13"/>
        <v>5882140.4322807137</v>
      </c>
      <c r="BF77" s="33">
        <f t="shared" si="13"/>
        <v>6023628.8626984432</v>
      </c>
      <c r="BG77" s="33">
        <f t="shared" si="13"/>
        <v>6164346.0324861147</v>
      </c>
      <c r="BH77" s="33">
        <f t="shared" si="13"/>
        <v>6303284.399867231</v>
      </c>
      <c r="BI77" s="33">
        <f t="shared" si="13"/>
        <v>6439348.5265388899</v>
      </c>
      <c r="BJ77" s="33">
        <f t="shared" si="13"/>
        <v>6571360.9993832447</v>
      </c>
      <c r="BK77" s="33">
        <f t="shared" si="13"/>
        <v>6698070.7960667666</v>
      </c>
      <c r="BL77" s="33">
        <f t="shared" si="13"/>
        <v>6818164.2485206854</v>
      </c>
      <c r="BM77" s="33">
        <f t="shared" si="13"/>
        <v>10333082.215747327</v>
      </c>
      <c r="BN77" s="34"/>
      <c r="BO77" s="34"/>
    </row>
    <row r="78" spans="1:67" ht="12.75" customHeight="1" x14ac:dyDescent="0.2">
      <c r="A78" s="19" t="s">
        <v>101</v>
      </c>
      <c r="B78" s="18" t="s">
        <v>102</v>
      </c>
      <c r="C78" s="45">
        <v>0.05</v>
      </c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21">
        <f>SUM(AJ78:BM78)</f>
        <v>62741752.801411614</v>
      </c>
      <c r="AI78" s="9"/>
      <c r="AJ78" s="44">
        <f>+$C$78*AJ$75</f>
        <v>3189913.0708289351</v>
      </c>
      <c r="AK78" s="44">
        <f>+$C$78*AK$75</f>
        <v>1343854.1543623318</v>
      </c>
      <c r="AL78" s="44">
        <f t="shared" ref="AL78:BM78" si="14">+$C$78*AL$75</f>
        <v>1404043.3806372618</v>
      </c>
      <c r="AM78" s="44">
        <f t="shared" si="14"/>
        <v>1074107.7276143532</v>
      </c>
      <c r="AN78" s="44">
        <f t="shared" si="14"/>
        <v>1906549.5487955976</v>
      </c>
      <c r="AO78" s="44">
        <f t="shared" si="14"/>
        <v>1090134.889909768</v>
      </c>
      <c r="AP78" s="44">
        <f t="shared" si="14"/>
        <v>1583328.8204133073</v>
      </c>
      <c r="AQ78" s="44">
        <f t="shared" si="14"/>
        <v>1196349.3982497789</v>
      </c>
      <c r="AR78" s="44">
        <f t="shared" si="14"/>
        <v>1253731.5416881377</v>
      </c>
      <c r="AS78" s="44">
        <f t="shared" si="14"/>
        <v>2416329.4670618749</v>
      </c>
      <c r="AT78" s="44">
        <f t="shared" si="14"/>
        <v>1377047.7054627677</v>
      </c>
      <c r="AU78" s="44">
        <f t="shared" si="14"/>
        <v>1442917.1485881638</v>
      </c>
      <c r="AV78" s="44">
        <f t="shared" si="14"/>
        <v>1511507.2324241288</v>
      </c>
      <c r="AW78" s="44">
        <f t="shared" si="14"/>
        <v>1582714.7935374239</v>
      </c>
      <c r="AX78" s="44">
        <f t="shared" si="14"/>
        <v>1656402.1997953553</v>
      </c>
      <c r="AY78" s="44">
        <f t="shared" si="14"/>
        <v>1732393.9716808107</v>
      </c>
      <c r="AZ78" s="44">
        <f t="shared" si="14"/>
        <v>1810473.5217818909</v>
      </c>
      <c r="BA78" s="44">
        <f t="shared" si="14"/>
        <v>1890380.1024332922</v>
      </c>
      <c r="BB78" s="44">
        <f t="shared" si="14"/>
        <v>1971806.0635157716</v>
      </c>
      <c r="BC78" s="44">
        <f t="shared" si="14"/>
        <v>3777932.6823723502</v>
      </c>
      <c r="BD78" s="44">
        <f t="shared" si="14"/>
        <v>2143956.6135364333</v>
      </c>
      <c r="BE78" s="44">
        <f t="shared" si="14"/>
        <v>2234300.0120438668</v>
      </c>
      <c r="BF78" s="44">
        <f t="shared" si="14"/>
        <v>2324910.5081454935</v>
      </c>
      <c r="BG78" s="44">
        <f t="shared" si="14"/>
        <v>2415215.619253966</v>
      </c>
      <c r="BH78" s="44">
        <f t="shared" si="14"/>
        <v>2504585.6317589725</v>
      </c>
      <c r="BI78" s="44">
        <f t="shared" si="14"/>
        <v>2592335.896721201</v>
      </c>
      <c r="BJ78" s="44">
        <f t="shared" si="14"/>
        <v>2677730.5309419953</v>
      </c>
      <c r="BK78" s="44">
        <f t="shared" si="14"/>
        <v>2759987.6454629004</v>
      </c>
      <c r="BL78" s="44">
        <f t="shared" si="14"/>
        <v>2838286.1977409367</v>
      </c>
      <c r="BM78" s="44">
        <f t="shared" si="14"/>
        <v>5038526.7246525548</v>
      </c>
    </row>
    <row r="79" spans="1:67" ht="12.75" customHeight="1" x14ac:dyDescent="0.2">
      <c r="A79" s="19" t="s">
        <v>103</v>
      </c>
      <c r="B79" s="18" t="s">
        <v>102</v>
      </c>
      <c r="C79" s="46">
        <v>0.03</v>
      </c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21">
        <f t="shared" ref="AH79:AH80" si="15">SUM(AJ79:BM79)</f>
        <v>37645051.680846967</v>
      </c>
      <c r="AI79" s="9"/>
      <c r="AJ79" s="44">
        <f t="shared" ref="AJ79:BO79" si="16">+$C$79*AJ$75</f>
        <v>1913947.8424973609</v>
      </c>
      <c r="AK79" s="44">
        <f t="shared" si="16"/>
        <v>806312.49261739897</v>
      </c>
      <c r="AL79" s="44">
        <f t="shared" si="16"/>
        <v>842426.02838235698</v>
      </c>
      <c r="AM79" s="44">
        <f t="shared" si="16"/>
        <v>644464.63656861184</v>
      </c>
      <c r="AN79" s="44">
        <f t="shared" si="16"/>
        <v>1143929.7292773586</v>
      </c>
      <c r="AO79" s="44">
        <f t="shared" si="16"/>
        <v>654080.93394586071</v>
      </c>
      <c r="AP79" s="44">
        <f t="shared" si="16"/>
        <v>949997.29224798433</v>
      </c>
      <c r="AQ79" s="44">
        <f t="shared" si="16"/>
        <v>717809.63894986734</v>
      </c>
      <c r="AR79" s="44">
        <f t="shared" si="16"/>
        <v>752238.92501288257</v>
      </c>
      <c r="AS79" s="44">
        <f t="shared" si="16"/>
        <v>1449797.6802371247</v>
      </c>
      <c r="AT79" s="44">
        <f t="shared" si="16"/>
        <v>826228.62327766046</v>
      </c>
      <c r="AU79" s="44">
        <f t="shared" si="16"/>
        <v>865750.28915289813</v>
      </c>
      <c r="AV79" s="44">
        <f t="shared" si="16"/>
        <v>906904.3394544773</v>
      </c>
      <c r="AW79" s="44">
        <f t="shared" si="16"/>
        <v>949628.87612245418</v>
      </c>
      <c r="AX79" s="44">
        <f t="shared" si="16"/>
        <v>993841.3198772131</v>
      </c>
      <c r="AY79" s="44">
        <f t="shared" si="16"/>
        <v>1039436.3830084864</v>
      </c>
      <c r="AZ79" s="44">
        <f t="shared" si="16"/>
        <v>1086284.1130691345</v>
      </c>
      <c r="BA79" s="44">
        <f t="shared" si="16"/>
        <v>1134228.0614599753</v>
      </c>
      <c r="BB79" s="44">
        <f t="shared" si="16"/>
        <v>1183083.6381094628</v>
      </c>
      <c r="BC79" s="44">
        <f t="shared" si="16"/>
        <v>2266759.6094234101</v>
      </c>
      <c r="BD79" s="44">
        <f t="shared" si="16"/>
        <v>1286373.9681218599</v>
      </c>
      <c r="BE79" s="44">
        <f t="shared" si="16"/>
        <v>1340580.00722632</v>
      </c>
      <c r="BF79" s="44">
        <f t="shared" si="16"/>
        <v>1394946.3048872959</v>
      </c>
      <c r="BG79" s="44">
        <f t="shared" si="16"/>
        <v>1449129.3715523793</v>
      </c>
      <c r="BH79" s="44">
        <f t="shared" si="16"/>
        <v>1502751.3790553834</v>
      </c>
      <c r="BI79" s="44">
        <f t="shared" si="16"/>
        <v>1555401.5380327203</v>
      </c>
      <c r="BJ79" s="44">
        <f t="shared" si="16"/>
        <v>1606638.3185651971</v>
      </c>
      <c r="BK79" s="44">
        <f t="shared" si="16"/>
        <v>1655992.5872777402</v>
      </c>
      <c r="BL79" s="44">
        <f t="shared" si="16"/>
        <v>1702971.7186445617</v>
      </c>
      <c r="BM79" s="44">
        <f t="shared" si="16"/>
        <v>3023116.0347915324</v>
      </c>
      <c r="BN79" s="44">
        <f t="shared" si="16"/>
        <v>0</v>
      </c>
      <c r="BO79" s="44">
        <f t="shared" si="16"/>
        <v>0</v>
      </c>
    </row>
    <row r="80" spans="1:67" ht="12.75" customHeight="1" x14ac:dyDescent="0.2">
      <c r="A80" s="19" t="s">
        <v>104</v>
      </c>
      <c r="B80" s="38" t="s">
        <v>15</v>
      </c>
      <c r="C80" s="21">
        <f>2000000*'Datos de Entrada'!C16</f>
        <v>185032.41013553328</v>
      </c>
      <c r="D80" s="18">
        <v>12</v>
      </c>
      <c r="E80" s="18">
        <v>12</v>
      </c>
      <c r="F80" s="18">
        <v>12</v>
      </c>
      <c r="G80" s="18">
        <v>12</v>
      </c>
      <c r="H80" s="18">
        <v>12</v>
      </c>
      <c r="I80" s="18">
        <v>12</v>
      </c>
      <c r="J80" s="18">
        <v>12</v>
      </c>
      <c r="K80" s="18">
        <v>12</v>
      </c>
      <c r="L80" s="18">
        <v>12</v>
      </c>
      <c r="M80" s="18">
        <v>12</v>
      </c>
      <c r="N80" s="18">
        <v>12</v>
      </c>
      <c r="O80" s="18">
        <v>12</v>
      </c>
      <c r="P80" s="18">
        <v>12</v>
      </c>
      <c r="Q80" s="18">
        <v>12</v>
      </c>
      <c r="R80" s="18">
        <v>12</v>
      </c>
      <c r="S80" s="18">
        <v>12</v>
      </c>
      <c r="T80" s="18">
        <v>12</v>
      </c>
      <c r="U80" s="18">
        <v>12</v>
      </c>
      <c r="V80" s="18">
        <v>12</v>
      </c>
      <c r="W80" s="18">
        <v>12</v>
      </c>
      <c r="X80" s="18">
        <v>12</v>
      </c>
      <c r="Y80" s="18">
        <v>12</v>
      </c>
      <c r="Z80" s="18">
        <v>12</v>
      </c>
      <c r="AA80" s="18">
        <v>12</v>
      </c>
      <c r="AB80" s="18">
        <v>12</v>
      </c>
      <c r="AC80" s="18">
        <v>12</v>
      </c>
      <c r="AD80" s="18">
        <v>12</v>
      </c>
      <c r="AE80" s="18">
        <v>12</v>
      </c>
      <c r="AF80" s="18">
        <v>12</v>
      </c>
      <c r="AG80" s="18">
        <v>12</v>
      </c>
      <c r="AH80" s="21">
        <f t="shared" si="15"/>
        <v>69278901.223938033</v>
      </c>
      <c r="AI80" s="9"/>
      <c r="AJ80" s="26">
        <f>+$C80*D80*(1+[1]Inflación!B$32)</f>
        <v>2220388.9216263993</v>
      </c>
      <c r="AK80" s="26">
        <f>+$C80*E80*(1+[1]Inflación!C$32)</f>
        <v>2317672.3052957188</v>
      </c>
      <c r="AL80" s="26">
        <f>+$C80*F80*(1+[1]Inflación!D$32)</f>
        <v>2319836.8347710618</v>
      </c>
      <c r="AM80" s="26">
        <f>+$C80*G80*(1+[1]Inflación!E$32)</f>
        <v>2321718.7196053942</v>
      </c>
      <c r="AN80" s="26">
        <f>+$C80*H80*(1+[1]Inflación!F$32)</f>
        <v>2323317.9597987155</v>
      </c>
      <c r="AO80" s="26">
        <f>+$C80*I80*(1+[1]Inflación!G$32)</f>
        <v>2324634.5553510264</v>
      </c>
      <c r="AP80" s="26">
        <f>+$C80*J80*(1+[1]Inflación!H$32)</f>
        <v>2325668.5062623261</v>
      </c>
      <c r="AQ80" s="26">
        <f>+$C80*K80*(1+[1]Inflación!I$32)</f>
        <v>2326419.8125326149</v>
      </c>
      <c r="AR80" s="26">
        <f>+$C80*L80*(1+[1]Inflación!J$32)</f>
        <v>2326888.4741618936</v>
      </c>
      <c r="AS80" s="26">
        <f>+$C80*M80*(1+[1]Inflación!K$32)</f>
        <v>2327074.4911501608</v>
      </c>
      <c r="AT80" s="26">
        <f>+$C80*N80*(1+[1]Inflación!L$32)</f>
        <v>2326977.8634974174</v>
      </c>
      <c r="AU80" s="26">
        <f>+$C80*O80*(1+[1]Inflación!M$32)</f>
        <v>2326598.5912036626</v>
      </c>
      <c r="AV80" s="26">
        <f>+$C80*P80*(1+[1]Inflación!N$32)</f>
        <v>2325936.6742688981</v>
      </c>
      <c r="AW80" s="26">
        <f>+$C80*Q80*(1+[1]Inflación!O$32)</f>
        <v>2324992.1126931221</v>
      </c>
      <c r="AX80" s="26">
        <f>+$C80*R80*(1+[1]Inflación!P$32)</f>
        <v>2323764.9064763356</v>
      </c>
      <c r="AY80" s="26">
        <f>+$C80*S80*(1+[1]Inflación!Q$32)</f>
        <v>2322255.0556185376</v>
      </c>
      <c r="AZ80" s="26">
        <f>+$C80*T80*(1+[1]Inflación!R$32)</f>
        <v>2320462.56011973</v>
      </c>
      <c r="BA80" s="26">
        <f>+$C80*U80*(1+[1]Inflación!S$32)</f>
        <v>2318387.4199799108</v>
      </c>
      <c r="BB80" s="26">
        <f>+$C80*V80*(1+[1]Inflación!T$32)</f>
        <v>2316029.6351990812</v>
      </c>
      <c r="BC80" s="26">
        <f>+$C80*W80*(1+[1]Inflación!U$32)</f>
        <v>2313389.20577724</v>
      </c>
      <c r="BD80" s="26">
        <f>+$C80*X80*(1+[1]Inflación!V$32)</f>
        <v>2310466.1317143887</v>
      </c>
      <c r="BE80" s="26">
        <f>+$C80*Y80*(1+[1]Inflación!W$32)</f>
        <v>2307260.4130105264</v>
      </c>
      <c r="BF80" s="26">
        <f>+$C80*Z80*(1+[1]Inflación!X$32)</f>
        <v>2303772.0496656536</v>
      </c>
      <c r="BG80" s="26">
        <f>+$C80*AA80*(1+[1]Inflación!Y$32)</f>
        <v>2300001.0416797693</v>
      </c>
      <c r="BH80" s="26">
        <f>+$C80*AB80*(1+[1]Inflación!Z$32)</f>
        <v>2295947.3890528749</v>
      </c>
      <c r="BI80" s="26">
        <f>+$C80*AC80*(1+[1]Inflación!AA$32)</f>
        <v>2291611.091784969</v>
      </c>
      <c r="BJ80" s="26">
        <f>+$C80*AD80*(1+[1]Inflación!AB$32)</f>
        <v>2286992.149876053</v>
      </c>
      <c r="BK80" s="26">
        <f>+$C80*AE80*(1+[1]Inflación!AC$32)</f>
        <v>2282090.5633261255</v>
      </c>
      <c r="BL80" s="26">
        <f>+$C80*AF80*(1+[1]Inflación!AD$32)</f>
        <v>2276906.3321351879</v>
      </c>
      <c r="BM80" s="26">
        <f>+$C80*AG80*(1+[1]Inflación!AE$32)</f>
        <v>2271439.4563032389</v>
      </c>
      <c r="BN80" s="44"/>
      <c r="BO80" s="44"/>
    </row>
    <row r="81" spans="1:67" ht="12.75" customHeight="1" x14ac:dyDescent="0.2">
      <c r="A81" s="47" t="s">
        <v>105</v>
      </c>
      <c r="B81" s="48" t="s">
        <v>102</v>
      </c>
      <c r="C81" s="49">
        <v>0.1</v>
      </c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3">
        <f>SUM(AJ81:BM81)</f>
        <v>126215930.58631849</v>
      </c>
      <c r="AI81" s="48"/>
      <c r="AJ81" s="51">
        <f>+$C$81*(AJ$75+AJ77)</f>
        <v>7112251.1251531392</v>
      </c>
      <c r="AK81" s="51">
        <f t="shared" ref="AK81:BO81" si="17">+$C$81*AK$75</f>
        <v>2687708.3087246637</v>
      </c>
      <c r="AL81" s="51">
        <f t="shared" si="17"/>
        <v>2808086.7612745236</v>
      </c>
      <c r="AM81" s="51">
        <f t="shared" si="17"/>
        <v>2148215.4552287064</v>
      </c>
      <c r="AN81" s="51">
        <f t="shared" si="17"/>
        <v>3813099.0975911953</v>
      </c>
      <c r="AO81" s="51">
        <f t="shared" si="17"/>
        <v>2180269.779819536</v>
      </c>
      <c r="AP81" s="51">
        <f t="shared" si="17"/>
        <v>3166657.6408266146</v>
      </c>
      <c r="AQ81" s="51">
        <f t="shared" si="17"/>
        <v>2392698.7964995578</v>
      </c>
      <c r="AR81" s="51">
        <f t="shared" si="17"/>
        <v>2507463.0833762754</v>
      </c>
      <c r="AS81" s="51">
        <f t="shared" si="17"/>
        <v>4832658.9341237498</v>
      </c>
      <c r="AT81" s="51">
        <f t="shared" si="17"/>
        <v>2754095.4109255355</v>
      </c>
      <c r="AU81" s="51">
        <f t="shared" si="17"/>
        <v>2885834.2971763276</v>
      </c>
      <c r="AV81" s="51">
        <f t="shared" si="17"/>
        <v>3023014.4648482576</v>
      </c>
      <c r="AW81" s="51">
        <f t="shared" si="17"/>
        <v>3165429.5870748479</v>
      </c>
      <c r="AX81" s="51">
        <f t="shared" si="17"/>
        <v>3312804.3995907106</v>
      </c>
      <c r="AY81" s="51">
        <f t="shared" si="17"/>
        <v>3464787.9433616214</v>
      </c>
      <c r="AZ81" s="51">
        <f t="shared" si="17"/>
        <v>3620947.0435637818</v>
      </c>
      <c r="BA81" s="51">
        <f t="shared" si="17"/>
        <v>3780760.2048665844</v>
      </c>
      <c r="BB81" s="51">
        <f t="shared" si="17"/>
        <v>3943612.1270315433</v>
      </c>
      <c r="BC81" s="51">
        <f t="shared" si="17"/>
        <v>7555865.3647447005</v>
      </c>
      <c r="BD81" s="51">
        <f t="shared" si="17"/>
        <v>4287913.2270728666</v>
      </c>
      <c r="BE81" s="51">
        <f t="shared" si="17"/>
        <v>4468600.0240877336</v>
      </c>
      <c r="BF81" s="51">
        <f t="shared" si="17"/>
        <v>4649821.0162909869</v>
      </c>
      <c r="BG81" s="51">
        <f t="shared" si="17"/>
        <v>4830431.2385079321</v>
      </c>
      <c r="BH81" s="51">
        <f t="shared" si="17"/>
        <v>5009171.2635179451</v>
      </c>
      <c r="BI81" s="51">
        <f t="shared" si="17"/>
        <v>5184671.793442402</v>
      </c>
      <c r="BJ81" s="51">
        <f t="shared" si="17"/>
        <v>5355461.0618839907</v>
      </c>
      <c r="BK81" s="51">
        <f t="shared" si="17"/>
        <v>5519975.2909258008</v>
      </c>
      <c r="BL81" s="51">
        <f t="shared" si="17"/>
        <v>5676572.3954818733</v>
      </c>
      <c r="BM81" s="51">
        <f t="shared" si="17"/>
        <v>10077053.44930511</v>
      </c>
      <c r="BN81" s="51">
        <f t="shared" si="17"/>
        <v>0</v>
      </c>
      <c r="BO81" s="51">
        <f t="shared" si="17"/>
        <v>0</v>
      </c>
    </row>
    <row r="82" spans="1:67" ht="12.75" customHeight="1" x14ac:dyDescent="0.2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9"/>
      <c r="AJ82" s="44"/>
    </row>
    <row r="83" spans="1:67" ht="12.75" customHeight="1" x14ac:dyDescent="0.2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9"/>
      <c r="AJ83" s="44"/>
    </row>
    <row r="84" spans="1:67" ht="12.75" customHeight="1" x14ac:dyDescent="0.2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9"/>
    </row>
    <row r="85" spans="1:67" ht="12.75" customHeight="1" x14ac:dyDescent="0.2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9"/>
    </row>
    <row r="86" spans="1:67" ht="12.75" customHeight="1" x14ac:dyDescent="0.2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9"/>
    </row>
    <row r="87" spans="1:67" ht="12.75" customHeight="1" x14ac:dyDescent="0.2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9"/>
    </row>
    <row r="88" spans="1:67" ht="12.75" customHeight="1" x14ac:dyDescent="0.2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9"/>
    </row>
    <row r="89" spans="1:67" ht="12.75" customHeight="1" x14ac:dyDescent="0.2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9"/>
    </row>
    <row r="90" spans="1:67" ht="12.75" customHeight="1" x14ac:dyDescent="0.2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9"/>
    </row>
    <row r="91" spans="1:67" ht="12.75" customHeight="1" x14ac:dyDescent="0.2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9"/>
    </row>
    <row r="92" spans="1:67" ht="12.75" customHeight="1" x14ac:dyDescent="0.2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9"/>
    </row>
    <row r="93" spans="1:67" ht="12.75" customHeight="1" x14ac:dyDescent="0.2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9"/>
    </row>
    <row r="94" spans="1:67" ht="12.75" customHeight="1" x14ac:dyDescent="0.2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9"/>
      <c r="AJ94" s="38">
        <f t="shared" ref="AJ94:AU96" si="18">+$C94*D94</f>
        <v>0</v>
      </c>
      <c r="AK94" s="38">
        <f t="shared" si="18"/>
        <v>0</v>
      </c>
      <c r="AL94" s="38">
        <f t="shared" si="18"/>
        <v>0</v>
      </c>
      <c r="AM94" s="38">
        <f t="shared" si="18"/>
        <v>0</v>
      </c>
      <c r="AN94" s="38">
        <f t="shared" si="18"/>
        <v>0</v>
      </c>
      <c r="AO94" s="38">
        <f t="shared" si="18"/>
        <v>0</v>
      </c>
      <c r="AP94" s="38">
        <f t="shared" si="18"/>
        <v>0</v>
      </c>
      <c r="AQ94" s="38">
        <f t="shared" si="18"/>
        <v>0</v>
      </c>
      <c r="AR94" s="38">
        <f t="shared" si="18"/>
        <v>0</v>
      </c>
      <c r="AS94" s="38">
        <f t="shared" ref="AS94:BM96" si="19">+$C94*AG94</f>
        <v>0</v>
      </c>
      <c r="AT94" s="38">
        <f t="shared" si="19"/>
        <v>0</v>
      </c>
      <c r="AU94" s="38">
        <f t="shared" si="19"/>
        <v>0</v>
      </c>
      <c r="AV94" s="38">
        <f t="shared" si="19"/>
        <v>0</v>
      </c>
      <c r="AW94" s="38">
        <f t="shared" si="19"/>
        <v>0</v>
      </c>
      <c r="AX94" s="38">
        <f t="shared" si="19"/>
        <v>0</v>
      </c>
      <c r="AY94" s="38">
        <f t="shared" si="19"/>
        <v>0</v>
      </c>
      <c r="AZ94" s="38">
        <f t="shared" si="19"/>
        <v>0</v>
      </c>
      <c r="BA94" s="38">
        <f t="shared" si="19"/>
        <v>0</v>
      </c>
      <c r="BB94" s="38">
        <f t="shared" si="19"/>
        <v>0</v>
      </c>
      <c r="BC94" s="38">
        <f t="shared" si="19"/>
        <v>0</v>
      </c>
      <c r="BD94" s="38">
        <f t="shared" si="19"/>
        <v>0</v>
      </c>
      <c r="BE94" s="38">
        <f t="shared" si="19"/>
        <v>0</v>
      </c>
      <c r="BF94" s="38">
        <f t="shared" si="19"/>
        <v>0</v>
      </c>
      <c r="BG94" s="38">
        <f t="shared" si="19"/>
        <v>0</v>
      </c>
      <c r="BH94" s="38">
        <f t="shared" si="19"/>
        <v>0</v>
      </c>
      <c r="BI94" s="38">
        <f t="shared" si="19"/>
        <v>0</v>
      </c>
      <c r="BJ94" s="38">
        <f t="shared" si="19"/>
        <v>0</v>
      </c>
      <c r="BK94" s="38">
        <f t="shared" si="19"/>
        <v>0</v>
      </c>
      <c r="BL94" s="38">
        <f t="shared" si="19"/>
        <v>0</v>
      </c>
      <c r="BM94" s="38">
        <f t="shared" si="19"/>
        <v>0</v>
      </c>
    </row>
    <row r="95" spans="1:67" ht="12.75" customHeight="1" x14ac:dyDescent="0.2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9"/>
      <c r="AJ95" s="38">
        <f t="shared" si="18"/>
        <v>0</v>
      </c>
      <c r="AK95" s="38">
        <f t="shared" si="18"/>
        <v>0</v>
      </c>
      <c r="AL95" s="38">
        <f t="shared" si="18"/>
        <v>0</v>
      </c>
      <c r="AM95" s="38">
        <f t="shared" si="18"/>
        <v>0</v>
      </c>
      <c r="AN95" s="38">
        <f t="shared" si="18"/>
        <v>0</v>
      </c>
      <c r="AO95" s="38">
        <f t="shared" si="18"/>
        <v>0</v>
      </c>
      <c r="AP95" s="38">
        <f t="shared" si="18"/>
        <v>0</v>
      </c>
      <c r="AQ95" s="38">
        <f t="shared" si="18"/>
        <v>0</v>
      </c>
      <c r="AR95" s="38">
        <f t="shared" si="18"/>
        <v>0</v>
      </c>
      <c r="AS95" s="38">
        <f t="shared" si="19"/>
        <v>0</v>
      </c>
      <c r="AT95" s="38">
        <f t="shared" si="19"/>
        <v>0</v>
      </c>
      <c r="AU95" s="38">
        <f t="shared" si="19"/>
        <v>0</v>
      </c>
      <c r="AV95" s="38">
        <f t="shared" si="19"/>
        <v>0</v>
      </c>
      <c r="AW95" s="38">
        <f t="shared" si="19"/>
        <v>0</v>
      </c>
      <c r="AX95" s="38">
        <f t="shared" si="19"/>
        <v>0</v>
      </c>
      <c r="AY95" s="38">
        <f t="shared" si="19"/>
        <v>0</v>
      </c>
      <c r="AZ95" s="38">
        <f t="shared" si="19"/>
        <v>0</v>
      </c>
      <c r="BA95" s="38">
        <f t="shared" si="19"/>
        <v>0</v>
      </c>
      <c r="BB95" s="38">
        <f t="shared" si="19"/>
        <v>0</v>
      </c>
      <c r="BC95" s="38">
        <f t="shared" si="19"/>
        <v>0</v>
      </c>
      <c r="BD95" s="38">
        <f t="shared" si="19"/>
        <v>0</v>
      </c>
      <c r="BE95" s="38">
        <f t="shared" si="19"/>
        <v>0</v>
      </c>
      <c r="BF95" s="38">
        <f t="shared" si="19"/>
        <v>0</v>
      </c>
      <c r="BG95" s="38">
        <f t="shared" si="19"/>
        <v>0</v>
      </c>
      <c r="BH95" s="38">
        <f t="shared" si="19"/>
        <v>0</v>
      </c>
      <c r="BI95" s="38">
        <f t="shared" si="19"/>
        <v>0</v>
      </c>
      <c r="BJ95" s="38">
        <f t="shared" si="19"/>
        <v>0</v>
      </c>
      <c r="BK95" s="38">
        <f t="shared" si="19"/>
        <v>0</v>
      </c>
      <c r="BL95" s="38">
        <f t="shared" si="19"/>
        <v>0</v>
      </c>
      <c r="BM95" s="38">
        <f t="shared" si="19"/>
        <v>0</v>
      </c>
    </row>
    <row r="96" spans="1:67" ht="12.75" customHeight="1" x14ac:dyDescent="0.2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9"/>
      <c r="AJ96" s="38">
        <f t="shared" si="18"/>
        <v>0</v>
      </c>
      <c r="AK96" s="38">
        <f t="shared" si="18"/>
        <v>0</v>
      </c>
      <c r="AL96" s="38">
        <f t="shared" si="18"/>
        <v>0</v>
      </c>
      <c r="AM96" s="38">
        <f t="shared" si="18"/>
        <v>0</v>
      </c>
      <c r="AN96" s="38">
        <f t="shared" si="18"/>
        <v>0</v>
      </c>
      <c r="AO96" s="38">
        <f t="shared" si="18"/>
        <v>0</v>
      </c>
      <c r="AP96" s="38">
        <f t="shared" si="18"/>
        <v>0</v>
      </c>
      <c r="AQ96" s="38">
        <f t="shared" si="18"/>
        <v>0</v>
      </c>
      <c r="AR96" s="38">
        <f t="shared" si="18"/>
        <v>0</v>
      </c>
      <c r="AS96" s="38">
        <f t="shared" si="18"/>
        <v>0</v>
      </c>
      <c r="AT96" s="38">
        <f t="shared" si="18"/>
        <v>0</v>
      </c>
      <c r="AU96" s="38">
        <f t="shared" si="18"/>
        <v>0</v>
      </c>
      <c r="AV96" s="38">
        <f t="shared" si="19"/>
        <v>0</v>
      </c>
      <c r="AW96" s="38">
        <f t="shared" si="19"/>
        <v>0</v>
      </c>
      <c r="AX96" s="38">
        <f t="shared" si="19"/>
        <v>0</v>
      </c>
      <c r="AY96" s="38">
        <f t="shared" si="19"/>
        <v>0</v>
      </c>
      <c r="AZ96" s="38">
        <f t="shared" si="19"/>
        <v>0</v>
      </c>
      <c r="BA96" s="38">
        <f t="shared" si="19"/>
        <v>0</v>
      </c>
      <c r="BB96" s="38">
        <f t="shared" si="19"/>
        <v>0</v>
      </c>
      <c r="BC96" s="38">
        <f t="shared" si="19"/>
        <v>0</v>
      </c>
      <c r="BD96" s="38">
        <f t="shared" si="19"/>
        <v>0</v>
      </c>
      <c r="BE96" s="38">
        <f t="shared" si="19"/>
        <v>0</v>
      </c>
      <c r="BF96" s="38">
        <f t="shared" si="19"/>
        <v>0</v>
      </c>
      <c r="BG96" s="38">
        <f t="shared" si="19"/>
        <v>0</v>
      </c>
      <c r="BH96" s="38">
        <f t="shared" si="19"/>
        <v>0</v>
      </c>
      <c r="BI96" s="38">
        <f t="shared" si="19"/>
        <v>0</v>
      </c>
      <c r="BJ96" s="38">
        <f t="shared" si="19"/>
        <v>0</v>
      </c>
      <c r="BK96" s="38">
        <f t="shared" si="19"/>
        <v>0</v>
      </c>
      <c r="BL96" s="38">
        <f t="shared" si="19"/>
        <v>0</v>
      </c>
      <c r="BM96" s="38">
        <f t="shared" si="19"/>
        <v>0</v>
      </c>
    </row>
    <row r="97" spans="1:67" ht="12.75" customHeight="1" x14ac:dyDescent="0.2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</row>
    <row r="98" spans="1:67" ht="12.75" customHeight="1" x14ac:dyDescent="0.2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9"/>
      <c r="AJ98" s="52">
        <f t="shared" ref="AJ98:BM98" si="20">+AJ75+AJ77+AJ81</f>
        <v>78234762.376684532</v>
      </c>
      <c r="AK98" s="52">
        <f t="shared" si="20"/>
        <v>34032630.348246746</v>
      </c>
      <c r="AL98" s="52">
        <f t="shared" si="20"/>
        <v>35455260.617810436</v>
      </c>
      <c r="AM98" s="52">
        <f t="shared" si="20"/>
        <v>27670661.091304123</v>
      </c>
      <c r="AN98" s="52">
        <f t="shared" si="20"/>
        <v>47317887.311374813</v>
      </c>
      <c r="AO98" s="52">
        <f t="shared" si="20"/>
        <v>28051817.957221549</v>
      </c>
      <c r="AP98" s="52">
        <f t="shared" si="20"/>
        <v>39692228.668016374</v>
      </c>
      <c r="AQ98" s="52">
        <f t="shared" si="20"/>
        <v>30560265.611227397</v>
      </c>
      <c r="AR98" s="52">
        <f t="shared" si="20"/>
        <v>31914952.85800194</v>
      </c>
      <c r="AS98" s="52">
        <f t="shared" si="20"/>
        <v>59352449.913810402</v>
      </c>
      <c r="AT98" s="52">
        <f t="shared" si="20"/>
        <v>34825303.712418735</v>
      </c>
      <c r="AU98" s="52">
        <f t="shared" si="20"/>
        <v>36379443.297884323</v>
      </c>
      <c r="AV98" s="52">
        <f t="shared" si="20"/>
        <v>37997507.35947834</v>
      </c>
      <c r="AW98" s="52">
        <f t="shared" si="20"/>
        <v>39677061.24017632</v>
      </c>
      <c r="AX98" s="52">
        <f t="shared" si="20"/>
        <v>41414856.82164672</v>
      </c>
      <c r="AY98" s="52">
        <f t="shared" si="20"/>
        <v>43206752.787285671</v>
      </c>
      <c r="AZ98" s="52">
        <f t="shared" si="20"/>
        <v>45047637.674172357</v>
      </c>
      <c r="BA98" s="52">
        <f t="shared" si="20"/>
        <v>46931357.837405607</v>
      </c>
      <c r="BB98" s="52">
        <f t="shared" si="20"/>
        <v>48850652.734171286</v>
      </c>
      <c r="BC98" s="52">
        <f t="shared" si="20"/>
        <v>91472600.509764701</v>
      </c>
      <c r="BD98" s="52">
        <f t="shared" si="20"/>
        <v>52907842.211174212</v>
      </c>
      <c r="BE98" s="52">
        <f t="shared" si="20"/>
        <v>55036740.697245784</v>
      </c>
      <c r="BF98" s="52">
        <f t="shared" si="20"/>
        <v>57171660.041899294</v>
      </c>
      <c r="BG98" s="52">
        <f t="shared" si="20"/>
        <v>59299089.656073369</v>
      </c>
      <c r="BH98" s="52">
        <f t="shared" si="20"/>
        <v>61404168.29856462</v>
      </c>
      <c r="BI98" s="52">
        <f t="shared" si="20"/>
        <v>63470738.254405305</v>
      </c>
      <c r="BJ98" s="52">
        <f t="shared" si="20"/>
        <v>65481432.680107139</v>
      </c>
      <c r="BK98" s="52">
        <f t="shared" si="20"/>
        <v>67417798.99625057</v>
      </c>
      <c r="BL98" s="52">
        <f t="shared" si="20"/>
        <v>69260460.598821282</v>
      </c>
      <c r="BM98" s="52">
        <f t="shared" si="20"/>
        <v>121180670.15810353</v>
      </c>
    </row>
    <row r="99" spans="1:67" ht="21" customHeight="1" x14ac:dyDescent="0.2">
      <c r="A99" s="18"/>
      <c r="B99" s="18"/>
      <c r="C99" s="18"/>
      <c r="D99" s="18"/>
      <c r="E99" s="18"/>
      <c r="F99" s="18"/>
      <c r="G99" s="18"/>
      <c r="H99" s="18"/>
      <c r="I99" s="18"/>
      <c r="J99" s="283" t="s">
        <v>106</v>
      </c>
      <c r="K99" s="281"/>
      <c r="L99" s="281"/>
      <c r="M99" s="281"/>
      <c r="N99" s="281"/>
      <c r="O99" s="281"/>
      <c r="P99" s="281"/>
      <c r="Q99" s="281"/>
      <c r="R99" s="281"/>
      <c r="S99" s="281"/>
      <c r="T99" s="281"/>
      <c r="U99" s="281"/>
      <c r="V99" s="281"/>
      <c r="W99" s="281"/>
      <c r="X99" s="281"/>
      <c r="Y99" s="281"/>
      <c r="Z99" s="281"/>
      <c r="AA99" s="281"/>
      <c r="AB99" s="281"/>
      <c r="AC99" s="281"/>
      <c r="AD99" s="281"/>
      <c r="AE99" s="281"/>
      <c r="AF99" s="281"/>
      <c r="AG99" s="281"/>
      <c r="AH99" s="53">
        <f>AH81+AH77+AH75</f>
        <v>1550716692.3207474</v>
      </c>
      <c r="AI99" s="9"/>
    </row>
    <row r="100" spans="1:67" ht="12.75" customHeight="1" x14ac:dyDescent="0.2">
      <c r="A100" s="18"/>
      <c r="B100" s="18"/>
      <c r="C100" s="18"/>
      <c r="D100" s="18"/>
      <c r="E100" s="18"/>
      <c r="F100" s="18"/>
      <c r="G100" s="18"/>
      <c r="H100" s="18"/>
      <c r="I100" s="18"/>
      <c r="J100" s="284" t="s">
        <v>212</v>
      </c>
      <c r="K100" s="281"/>
      <c r="L100" s="281"/>
      <c r="M100" s="281"/>
      <c r="N100" s="281"/>
      <c r="O100" s="281"/>
      <c r="P100" s="281"/>
      <c r="Q100" s="281"/>
      <c r="R100" s="281"/>
      <c r="S100" s="281"/>
      <c r="T100" s="281"/>
      <c r="U100" s="281"/>
      <c r="V100" s="281"/>
      <c r="W100" s="281"/>
      <c r="X100" s="281"/>
      <c r="Y100" s="281"/>
      <c r="Z100" s="281"/>
      <c r="AA100" s="281"/>
      <c r="AB100" s="281"/>
      <c r="AC100" s="281"/>
      <c r="AD100" s="281"/>
      <c r="AE100" s="281"/>
      <c r="AF100" s="281"/>
      <c r="AG100" s="281"/>
      <c r="AH100" s="45">
        <v>0.08</v>
      </c>
      <c r="AI100" s="9"/>
    </row>
    <row r="101" spans="1:67" ht="12.75" customHeight="1" x14ac:dyDescent="0.2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9"/>
    </row>
    <row r="102" spans="1:67" ht="12.75" customHeight="1" x14ac:dyDescent="0.2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69"/>
      <c r="AI102" s="9"/>
    </row>
    <row r="103" spans="1:67" ht="12.75" customHeight="1" x14ac:dyDescent="0.2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9"/>
    </row>
    <row r="104" spans="1:67" ht="12.75" customHeight="1" x14ac:dyDescent="0.2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66"/>
      <c r="AI104" s="9"/>
    </row>
    <row r="105" spans="1:67" ht="12.75" customHeight="1" x14ac:dyDescent="0.2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9"/>
    </row>
    <row r="106" spans="1:67" ht="12.75" customHeight="1" x14ac:dyDescent="0.2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66"/>
      <c r="AI106" s="9"/>
    </row>
    <row r="107" spans="1:67" ht="12.75" customHeight="1" x14ac:dyDescent="0.2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9"/>
    </row>
    <row r="108" spans="1:67" ht="15.75" customHeight="1" x14ac:dyDescent="0.2">
      <c r="AI108" s="11"/>
    </row>
    <row r="109" spans="1:67" ht="15.75" customHeight="1" x14ac:dyDescent="0.2">
      <c r="AI109" s="11"/>
    </row>
    <row r="110" spans="1:67" ht="15.75" customHeight="1" x14ac:dyDescent="0.2">
      <c r="AI110" s="11"/>
    </row>
    <row r="111" spans="1:67" ht="15.75" customHeight="1" x14ac:dyDescent="0.2">
      <c r="AI111" s="11"/>
    </row>
    <row r="112" spans="1:67" ht="15.75" customHeight="1" x14ac:dyDescent="0.2">
      <c r="AI112" s="11"/>
    </row>
    <row r="113" spans="35:35" ht="15.75" customHeight="1" x14ac:dyDescent="0.2">
      <c r="AI113" s="11"/>
    </row>
    <row r="114" spans="35:35" ht="15.75" customHeight="1" x14ac:dyDescent="0.2">
      <c r="AI114" s="11"/>
    </row>
    <row r="115" spans="35:35" ht="15.75" customHeight="1" x14ac:dyDescent="0.2">
      <c r="AI115" s="11"/>
    </row>
    <row r="116" spans="35:35" ht="15.75" customHeight="1" x14ac:dyDescent="0.2">
      <c r="AI116" s="11"/>
    </row>
    <row r="117" spans="35:35" ht="15.75" customHeight="1" x14ac:dyDescent="0.2">
      <c r="AI117" s="11"/>
    </row>
    <row r="118" spans="35:35" ht="15.75" customHeight="1" x14ac:dyDescent="0.2">
      <c r="AI118" s="11"/>
    </row>
    <row r="119" spans="35:35" ht="15.75" customHeight="1" x14ac:dyDescent="0.2">
      <c r="AI119" s="11"/>
    </row>
    <row r="120" spans="35:35" ht="15.75" customHeight="1" x14ac:dyDescent="0.2">
      <c r="AI120" s="11"/>
    </row>
    <row r="121" spans="35:35" ht="15.75" customHeight="1" x14ac:dyDescent="0.2">
      <c r="AI121" s="11"/>
    </row>
    <row r="122" spans="35:35" ht="15.75" customHeight="1" x14ac:dyDescent="0.2">
      <c r="AI122" s="11"/>
    </row>
    <row r="123" spans="35:35" ht="15.75" customHeight="1" x14ac:dyDescent="0.2">
      <c r="AI123" s="11"/>
    </row>
    <row r="124" spans="35:35" ht="15.75" customHeight="1" x14ac:dyDescent="0.2">
      <c r="AI124" s="11"/>
    </row>
    <row r="125" spans="35:35" ht="15.75" customHeight="1" x14ac:dyDescent="0.2">
      <c r="AI125" s="11"/>
    </row>
    <row r="126" spans="35:35" ht="15.75" customHeight="1" x14ac:dyDescent="0.2">
      <c r="AI126" s="11"/>
    </row>
    <row r="127" spans="35:35" ht="15.75" customHeight="1" x14ac:dyDescent="0.2">
      <c r="AI127" s="11"/>
    </row>
    <row r="128" spans="35:35" ht="15.75" customHeight="1" x14ac:dyDescent="0.2">
      <c r="AI128" s="11"/>
    </row>
    <row r="129" spans="35:35" ht="15.75" customHeight="1" x14ac:dyDescent="0.2">
      <c r="AI129" s="11"/>
    </row>
    <row r="130" spans="35:35" ht="15.75" customHeight="1" x14ac:dyDescent="0.2">
      <c r="AI130" s="11"/>
    </row>
    <row r="131" spans="35:35" ht="15.75" customHeight="1" x14ac:dyDescent="0.2">
      <c r="AI131" s="11"/>
    </row>
    <row r="132" spans="35:35" ht="15.75" customHeight="1" x14ac:dyDescent="0.2">
      <c r="AI132" s="11"/>
    </row>
    <row r="133" spans="35:35" ht="15.75" customHeight="1" x14ac:dyDescent="0.2">
      <c r="AI133" s="11"/>
    </row>
    <row r="134" spans="35:35" ht="15.75" customHeight="1" x14ac:dyDescent="0.2">
      <c r="AI134" s="11"/>
    </row>
    <row r="135" spans="35:35" ht="15.75" customHeight="1" x14ac:dyDescent="0.2">
      <c r="AI135" s="11"/>
    </row>
    <row r="136" spans="35:35" ht="15.75" customHeight="1" x14ac:dyDescent="0.2">
      <c r="AI136" s="11"/>
    </row>
    <row r="137" spans="35:35" ht="15.75" customHeight="1" x14ac:dyDescent="0.2">
      <c r="AI137" s="11"/>
    </row>
    <row r="138" spans="35:35" ht="15.75" customHeight="1" x14ac:dyDescent="0.2">
      <c r="AI138" s="11"/>
    </row>
    <row r="139" spans="35:35" ht="15.75" customHeight="1" x14ac:dyDescent="0.2">
      <c r="AI139" s="11"/>
    </row>
    <row r="140" spans="35:35" ht="15.75" customHeight="1" x14ac:dyDescent="0.2">
      <c r="AI140" s="11"/>
    </row>
    <row r="141" spans="35:35" ht="15.75" customHeight="1" x14ac:dyDescent="0.2">
      <c r="AI141" s="11"/>
    </row>
    <row r="142" spans="35:35" ht="15.75" customHeight="1" x14ac:dyDescent="0.2">
      <c r="AI142" s="11"/>
    </row>
    <row r="143" spans="35:35" ht="15.75" customHeight="1" x14ac:dyDescent="0.2">
      <c r="AI143" s="11"/>
    </row>
    <row r="144" spans="35:35" ht="15.75" customHeight="1" x14ac:dyDescent="0.2">
      <c r="AI144" s="11"/>
    </row>
    <row r="145" spans="35:35" ht="15.75" customHeight="1" x14ac:dyDescent="0.2">
      <c r="AI145" s="11"/>
    </row>
    <row r="146" spans="35:35" ht="15.75" customHeight="1" x14ac:dyDescent="0.2">
      <c r="AI146" s="11"/>
    </row>
    <row r="147" spans="35:35" ht="15.75" customHeight="1" x14ac:dyDescent="0.2">
      <c r="AI147" s="11"/>
    </row>
    <row r="148" spans="35:35" ht="15.75" customHeight="1" x14ac:dyDescent="0.2">
      <c r="AI148" s="11"/>
    </row>
    <row r="149" spans="35:35" ht="15.75" customHeight="1" x14ac:dyDescent="0.2">
      <c r="AI149" s="11"/>
    </row>
    <row r="150" spans="35:35" ht="15.75" customHeight="1" x14ac:dyDescent="0.2">
      <c r="AI150" s="11"/>
    </row>
    <row r="151" spans="35:35" ht="15.75" customHeight="1" x14ac:dyDescent="0.2">
      <c r="AI151" s="11"/>
    </row>
    <row r="152" spans="35:35" ht="15.75" customHeight="1" x14ac:dyDescent="0.2">
      <c r="AI152" s="11"/>
    </row>
    <row r="153" spans="35:35" ht="15.75" customHeight="1" x14ac:dyDescent="0.2">
      <c r="AI153" s="11"/>
    </row>
    <row r="154" spans="35:35" ht="15.75" customHeight="1" x14ac:dyDescent="0.2">
      <c r="AI154" s="11"/>
    </row>
    <row r="155" spans="35:35" ht="15.75" customHeight="1" x14ac:dyDescent="0.2">
      <c r="AI155" s="11"/>
    </row>
    <row r="156" spans="35:35" ht="15.75" customHeight="1" x14ac:dyDescent="0.2">
      <c r="AI156" s="11"/>
    </row>
    <row r="157" spans="35:35" ht="15.75" customHeight="1" x14ac:dyDescent="0.2">
      <c r="AI157" s="11"/>
    </row>
    <row r="158" spans="35:35" ht="15.75" customHeight="1" x14ac:dyDescent="0.2">
      <c r="AI158" s="11"/>
    </row>
    <row r="159" spans="35:35" ht="15.75" customHeight="1" x14ac:dyDescent="0.2">
      <c r="AI159" s="11"/>
    </row>
    <row r="160" spans="35:35" ht="15.75" customHeight="1" x14ac:dyDescent="0.2">
      <c r="AI160" s="11"/>
    </row>
    <row r="161" spans="35:35" ht="15.75" customHeight="1" x14ac:dyDescent="0.2">
      <c r="AI161" s="11"/>
    </row>
    <row r="162" spans="35:35" ht="15.75" customHeight="1" x14ac:dyDescent="0.2">
      <c r="AI162" s="11"/>
    </row>
    <row r="163" spans="35:35" ht="15.75" customHeight="1" x14ac:dyDescent="0.2">
      <c r="AI163" s="11"/>
    </row>
    <row r="164" spans="35:35" ht="15.75" customHeight="1" x14ac:dyDescent="0.2">
      <c r="AI164" s="11"/>
    </row>
    <row r="165" spans="35:35" ht="15.75" customHeight="1" x14ac:dyDescent="0.2">
      <c r="AI165" s="11"/>
    </row>
    <row r="166" spans="35:35" ht="15.75" customHeight="1" x14ac:dyDescent="0.2">
      <c r="AI166" s="11"/>
    </row>
    <row r="167" spans="35:35" ht="15.75" customHeight="1" x14ac:dyDescent="0.2">
      <c r="AI167" s="11"/>
    </row>
    <row r="168" spans="35:35" ht="15.75" customHeight="1" x14ac:dyDescent="0.2">
      <c r="AI168" s="11"/>
    </row>
    <row r="169" spans="35:35" ht="15.75" customHeight="1" x14ac:dyDescent="0.2">
      <c r="AI169" s="11"/>
    </row>
    <row r="170" spans="35:35" ht="15.75" customHeight="1" x14ac:dyDescent="0.2">
      <c r="AI170" s="11"/>
    </row>
    <row r="171" spans="35:35" ht="15.75" customHeight="1" x14ac:dyDescent="0.2">
      <c r="AI171" s="11"/>
    </row>
    <row r="172" spans="35:35" ht="15.75" customHeight="1" x14ac:dyDescent="0.2">
      <c r="AI172" s="11"/>
    </row>
    <row r="173" spans="35:35" ht="15.75" customHeight="1" x14ac:dyDescent="0.2">
      <c r="AI173" s="11"/>
    </row>
    <row r="174" spans="35:35" ht="15.75" customHeight="1" x14ac:dyDescent="0.2">
      <c r="AI174" s="11"/>
    </row>
    <row r="175" spans="35:35" ht="15.75" customHeight="1" x14ac:dyDescent="0.2">
      <c r="AI175" s="11"/>
    </row>
    <row r="176" spans="35:35" ht="15.75" customHeight="1" x14ac:dyDescent="0.2">
      <c r="AI176" s="11"/>
    </row>
    <row r="177" spans="35:35" ht="15.75" customHeight="1" x14ac:dyDescent="0.2">
      <c r="AI177" s="11"/>
    </row>
    <row r="178" spans="35:35" ht="15.75" customHeight="1" x14ac:dyDescent="0.2">
      <c r="AI178" s="11"/>
    </row>
    <row r="179" spans="35:35" ht="15.75" customHeight="1" x14ac:dyDescent="0.2">
      <c r="AI179" s="11"/>
    </row>
    <row r="180" spans="35:35" ht="15.75" customHeight="1" x14ac:dyDescent="0.2">
      <c r="AI180" s="11"/>
    </row>
    <row r="181" spans="35:35" ht="15.75" customHeight="1" x14ac:dyDescent="0.2">
      <c r="AI181" s="11"/>
    </row>
    <row r="182" spans="35:35" ht="15.75" customHeight="1" x14ac:dyDescent="0.2">
      <c r="AI182" s="11"/>
    </row>
    <row r="183" spans="35:35" ht="15.75" customHeight="1" x14ac:dyDescent="0.2">
      <c r="AI183" s="11"/>
    </row>
    <row r="184" spans="35:35" ht="15.75" customHeight="1" x14ac:dyDescent="0.2">
      <c r="AI184" s="11"/>
    </row>
    <row r="185" spans="35:35" ht="15.75" customHeight="1" x14ac:dyDescent="0.2">
      <c r="AI185" s="11"/>
    </row>
    <row r="186" spans="35:35" ht="15.75" customHeight="1" x14ac:dyDescent="0.2">
      <c r="AI186" s="11"/>
    </row>
    <row r="187" spans="35:35" ht="15.75" customHeight="1" x14ac:dyDescent="0.2">
      <c r="AI187" s="11"/>
    </row>
    <row r="188" spans="35:35" ht="15.75" customHeight="1" x14ac:dyDescent="0.2">
      <c r="AI188" s="11"/>
    </row>
    <row r="189" spans="35:35" ht="15.75" customHeight="1" x14ac:dyDescent="0.2">
      <c r="AI189" s="11"/>
    </row>
    <row r="190" spans="35:35" ht="15.75" customHeight="1" x14ac:dyDescent="0.2">
      <c r="AI190" s="11"/>
    </row>
    <row r="191" spans="35:35" ht="15.75" customHeight="1" x14ac:dyDescent="0.2">
      <c r="AI191" s="11"/>
    </row>
    <row r="192" spans="35:35" ht="15.75" customHeight="1" x14ac:dyDescent="0.2">
      <c r="AI192" s="11"/>
    </row>
    <row r="193" spans="35:35" ht="15.75" customHeight="1" x14ac:dyDescent="0.2">
      <c r="AI193" s="11"/>
    </row>
    <row r="194" spans="35:35" ht="15.75" customHeight="1" x14ac:dyDescent="0.2">
      <c r="AI194" s="11"/>
    </row>
    <row r="195" spans="35:35" ht="15.75" customHeight="1" x14ac:dyDescent="0.2">
      <c r="AI195" s="11"/>
    </row>
    <row r="196" spans="35:35" ht="15.75" customHeight="1" x14ac:dyDescent="0.2">
      <c r="AI196" s="11"/>
    </row>
    <row r="197" spans="35:35" ht="15.75" customHeight="1" x14ac:dyDescent="0.2">
      <c r="AI197" s="11"/>
    </row>
    <row r="198" spans="35:35" ht="15.75" customHeight="1" x14ac:dyDescent="0.2">
      <c r="AI198" s="11"/>
    </row>
    <row r="199" spans="35:35" ht="15.75" customHeight="1" x14ac:dyDescent="0.2">
      <c r="AI199" s="11"/>
    </row>
    <row r="200" spans="35:35" ht="15.75" customHeight="1" x14ac:dyDescent="0.2">
      <c r="AI200" s="11"/>
    </row>
    <row r="201" spans="35:35" ht="15.75" customHeight="1" x14ac:dyDescent="0.2">
      <c r="AI201" s="11"/>
    </row>
    <row r="202" spans="35:35" ht="15.75" customHeight="1" x14ac:dyDescent="0.2">
      <c r="AI202" s="11"/>
    </row>
    <row r="203" spans="35:35" ht="15.75" customHeight="1" x14ac:dyDescent="0.2">
      <c r="AI203" s="11"/>
    </row>
    <row r="204" spans="35:35" ht="15.75" customHeight="1" x14ac:dyDescent="0.2">
      <c r="AI204" s="11"/>
    </row>
    <row r="205" spans="35:35" ht="15.75" customHeight="1" x14ac:dyDescent="0.2">
      <c r="AI205" s="11"/>
    </row>
    <row r="206" spans="35:35" ht="15.75" customHeight="1" x14ac:dyDescent="0.2">
      <c r="AI206" s="11"/>
    </row>
    <row r="207" spans="35:35" ht="15.75" customHeight="1" x14ac:dyDescent="0.2">
      <c r="AI207" s="11"/>
    </row>
    <row r="208" spans="35:35" ht="15.75" customHeight="1" x14ac:dyDescent="0.2">
      <c r="AI208" s="11"/>
    </row>
    <row r="209" spans="35:35" ht="15.75" customHeight="1" x14ac:dyDescent="0.2">
      <c r="AI209" s="11"/>
    </row>
    <row r="210" spans="35:35" ht="15.75" customHeight="1" x14ac:dyDescent="0.2">
      <c r="AI210" s="11"/>
    </row>
    <row r="211" spans="35:35" ht="15.75" customHeight="1" x14ac:dyDescent="0.2">
      <c r="AI211" s="11"/>
    </row>
    <row r="212" spans="35:35" ht="15.75" customHeight="1" x14ac:dyDescent="0.2">
      <c r="AI212" s="11"/>
    </row>
    <row r="213" spans="35:35" ht="15.75" customHeight="1" x14ac:dyDescent="0.2">
      <c r="AI213" s="11"/>
    </row>
    <row r="214" spans="35:35" ht="15.75" customHeight="1" x14ac:dyDescent="0.2">
      <c r="AI214" s="11"/>
    </row>
    <row r="215" spans="35:35" ht="15.75" customHeight="1" x14ac:dyDescent="0.2">
      <c r="AI215" s="11"/>
    </row>
    <row r="216" spans="35:35" ht="15.75" customHeight="1" x14ac:dyDescent="0.2">
      <c r="AI216" s="11"/>
    </row>
    <row r="217" spans="35:35" ht="15.75" customHeight="1" x14ac:dyDescent="0.2">
      <c r="AI217" s="11"/>
    </row>
    <row r="218" spans="35:35" ht="15.75" customHeight="1" x14ac:dyDescent="0.2">
      <c r="AI218" s="11"/>
    </row>
    <row r="219" spans="35:35" ht="15.75" customHeight="1" x14ac:dyDescent="0.2">
      <c r="AI219" s="11"/>
    </row>
    <row r="220" spans="35:35" ht="15.75" customHeight="1" x14ac:dyDescent="0.2">
      <c r="AI220" s="11"/>
    </row>
    <row r="221" spans="35:35" ht="15.75" customHeight="1" x14ac:dyDescent="0.2">
      <c r="AI221" s="11"/>
    </row>
    <row r="222" spans="35:35" ht="15.75" customHeight="1" x14ac:dyDescent="0.2">
      <c r="AI222" s="11"/>
    </row>
    <row r="223" spans="35:35" ht="15.75" customHeight="1" x14ac:dyDescent="0.2">
      <c r="AI223" s="11"/>
    </row>
    <row r="224" spans="35:35" ht="15.75" customHeight="1" x14ac:dyDescent="0.2">
      <c r="AI224" s="11"/>
    </row>
    <row r="225" spans="35:35" ht="15.75" customHeight="1" x14ac:dyDescent="0.2">
      <c r="AI225" s="11"/>
    </row>
    <row r="226" spans="35:35" ht="15.75" customHeight="1" x14ac:dyDescent="0.2">
      <c r="AI226" s="11"/>
    </row>
    <row r="227" spans="35:35" ht="15.75" customHeight="1" x14ac:dyDescent="0.2">
      <c r="AI227" s="11"/>
    </row>
    <row r="228" spans="35:35" ht="15.75" customHeight="1" x14ac:dyDescent="0.2">
      <c r="AI228" s="11"/>
    </row>
    <row r="229" spans="35:35" ht="15.75" customHeight="1" x14ac:dyDescent="0.2">
      <c r="AI229" s="11"/>
    </row>
    <row r="230" spans="35:35" ht="15.75" customHeight="1" x14ac:dyDescent="0.2">
      <c r="AI230" s="11"/>
    </row>
    <row r="231" spans="35:35" ht="15.75" customHeight="1" x14ac:dyDescent="0.2">
      <c r="AI231" s="11"/>
    </row>
    <row r="232" spans="35:35" ht="15.75" customHeight="1" x14ac:dyDescent="0.2">
      <c r="AI232" s="11"/>
    </row>
    <row r="233" spans="35:35" ht="15.75" customHeight="1" x14ac:dyDescent="0.2">
      <c r="AI233" s="11"/>
    </row>
    <row r="234" spans="35:35" ht="15.75" customHeight="1" x14ac:dyDescent="0.2">
      <c r="AI234" s="11"/>
    </row>
    <row r="235" spans="35:35" ht="15.75" customHeight="1" x14ac:dyDescent="0.2">
      <c r="AI235" s="11"/>
    </row>
    <row r="236" spans="35:35" ht="15.75" customHeight="1" x14ac:dyDescent="0.2">
      <c r="AI236" s="11"/>
    </row>
    <row r="237" spans="35:35" ht="15.75" customHeight="1" x14ac:dyDescent="0.2">
      <c r="AI237" s="11"/>
    </row>
    <row r="238" spans="35:35" ht="15.75" customHeight="1" x14ac:dyDescent="0.2">
      <c r="AI238" s="11"/>
    </row>
    <row r="239" spans="35:35" ht="15.75" customHeight="1" x14ac:dyDescent="0.2">
      <c r="AI239" s="11"/>
    </row>
    <row r="240" spans="35:35" ht="15.75" customHeight="1" x14ac:dyDescent="0.2">
      <c r="AI240" s="11"/>
    </row>
    <row r="241" spans="35:35" ht="15.75" customHeight="1" x14ac:dyDescent="0.2">
      <c r="AI241" s="11"/>
    </row>
    <row r="242" spans="35:35" ht="15.75" customHeight="1" x14ac:dyDescent="0.2">
      <c r="AI242" s="11"/>
    </row>
    <row r="243" spans="35:35" ht="15.75" customHeight="1" x14ac:dyDescent="0.2">
      <c r="AI243" s="11"/>
    </row>
    <row r="244" spans="35:35" ht="15.75" customHeight="1" x14ac:dyDescent="0.2">
      <c r="AI244" s="11"/>
    </row>
    <row r="245" spans="35:35" ht="15.75" customHeight="1" x14ac:dyDescent="0.2">
      <c r="AI245" s="11"/>
    </row>
    <row r="246" spans="35:35" ht="15.75" customHeight="1" x14ac:dyDescent="0.2">
      <c r="AI246" s="11"/>
    </row>
    <row r="247" spans="35:35" ht="15.75" customHeight="1" x14ac:dyDescent="0.2">
      <c r="AI247" s="11"/>
    </row>
    <row r="248" spans="35:35" ht="15.75" customHeight="1" x14ac:dyDescent="0.2">
      <c r="AI248" s="11"/>
    </row>
    <row r="249" spans="35:35" ht="15.75" customHeight="1" x14ac:dyDescent="0.2">
      <c r="AI249" s="11"/>
    </row>
    <row r="250" spans="35:35" ht="15.75" customHeight="1" x14ac:dyDescent="0.2">
      <c r="AI250" s="11"/>
    </row>
    <row r="251" spans="35:35" ht="15.75" customHeight="1" x14ac:dyDescent="0.2">
      <c r="AI251" s="11"/>
    </row>
    <row r="252" spans="35:35" ht="15.75" customHeight="1" x14ac:dyDescent="0.2">
      <c r="AI252" s="11"/>
    </row>
    <row r="253" spans="35:35" ht="15.75" customHeight="1" x14ac:dyDescent="0.2">
      <c r="AI253" s="11"/>
    </row>
    <row r="254" spans="35:35" ht="15.75" customHeight="1" x14ac:dyDescent="0.2">
      <c r="AI254" s="11"/>
    </row>
    <row r="255" spans="35:35" ht="15.75" customHeight="1" x14ac:dyDescent="0.2">
      <c r="AI255" s="11"/>
    </row>
    <row r="256" spans="35:35" ht="15.75" customHeight="1" x14ac:dyDescent="0.2">
      <c r="AI256" s="11"/>
    </row>
    <row r="257" spans="35:35" ht="15.75" customHeight="1" x14ac:dyDescent="0.2">
      <c r="AI257" s="11"/>
    </row>
    <row r="258" spans="35:35" ht="15.75" customHeight="1" x14ac:dyDescent="0.2">
      <c r="AI258" s="11"/>
    </row>
    <row r="259" spans="35:35" ht="15.75" customHeight="1" x14ac:dyDescent="0.2">
      <c r="AI259" s="11"/>
    </row>
    <row r="260" spans="35:35" ht="15.75" customHeight="1" x14ac:dyDescent="0.2">
      <c r="AI260" s="11"/>
    </row>
    <row r="261" spans="35:35" ht="15.75" customHeight="1" x14ac:dyDescent="0.2">
      <c r="AI261" s="11"/>
    </row>
    <row r="262" spans="35:35" ht="15.75" customHeight="1" x14ac:dyDescent="0.2">
      <c r="AI262" s="11"/>
    </row>
    <row r="263" spans="35:35" ht="15.75" customHeight="1" x14ac:dyDescent="0.2">
      <c r="AI263" s="11"/>
    </row>
    <row r="264" spans="35:35" ht="15.75" customHeight="1" x14ac:dyDescent="0.2">
      <c r="AI264" s="11"/>
    </row>
    <row r="265" spans="35:35" ht="15.75" customHeight="1" x14ac:dyDescent="0.2">
      <c r="AI265" s="11"/>
    </row>
    <row r="266" spans="35:35" ht="15.75" customHeight="1" x14ac:dyDescent="0.2">
      <c r="AI266" s="11"/>
    </row>
    <row r="267" spans="35:35" ht="15.75" customHeight="1" x14ac:dyDescent="0.2">
      <c r="AI267" s="11"/>
    </row>
    <row r="268" spans="35:35" ht="15.75" customHeight="1" x14ac:dyDescent="0.2">
      <c r="AI268" s="11"/>
    </row>
    <row r="269" spans="35:35" ht="15.75" customHeight="1" x14ac:dyDescent="0.2">
      <c r="AI269" s="11"/>
    </row>
    <row r="270" spans="35:35" ht="15.75" customHeight="1" x14ac:dyDescent="0.2">
      <c r="AI270" s="11"/>
    </row>
    <row r="271" spans="35:35" ht="15.75" customHeight="1" x14ac:dyDescent="0.2">
      <c r="AI271" s="11"/>
    </row>
    <row r="272" spans="35:35" ht="15.75" customHeight="1" x14ac:dyDescent="0.2">
      <c r="AI272" s="11"/>
    </row>
    <row r="273" spans="35:35" ht="15.75" customHeight="1" x14ac:dyDescent="0.2">
      <c r="AI273" s="11"/>
    </row>
    <row r="274" spans="35:35" ht="15.75" customHeight="1" x14ac:dyDescent="0.2">
      <c r="AI274" s="11"/>
    </row>
    <row r="275" spans="35:35" ht="15.75" customHeight="1" x14ac:dyDescent="0.2">
      <c r="AI275" s="11"/>
    </row>
    <row r="276" spans="35:35" ht="15.75" customHeight="1" x14ac:dyDescent="0.2">
      <c r="AI276" s="11"/>
    </row>
    <row r="277" spans="35:35" ht="15.75" customHeight="1" x14ac:dyDescent="0.2">
      <c r="AI277" s="11"/>
    </row>
    <row r="278" spans="35:35" ht="15.75" customHeight="1" x14ac:dyDescent="0.2">
      <c r="AI278" s="11"/>
    </row>
    <row r="279" spans="35:35" ht="15.75" customHeight="1" x14ac:dyDescent="0.2">
      <c r="AI279" s="11"/>
    </row>
    <row r="280" spans="35:35" ht="15.75" customHeight="1" x14ac:dyDescent="0.2">
      <c r="AI280" s="11"/>
    </row>
    <row r="281" spans="35:35" ht="15.75" customHeight="1" x14ac:dyDescent="0.2">
      <c r="AI281" s="11"/>
    </row>
    <row r="282" spans="35:35" ht="15.75" customHeight="1" x14ac:dyDescent="0.2">
      <c r="AI282" s="11"/>
    </row>
    <row r="283" spans="35:35" ht="15.75" customHeight="1" x14ac:dyDescent="0.2">
      <c r="AI283" s="11"/>
    </row>
    <row r="284" spans="35:35" ht="15.75" customHeight="1" x14ac:dyDescent="0.2">
      <c r="AI284" s="11"/>
    </row>
    <row r="285" spans="35:35" ht="15.75" customHeight="1" x14ac:dyDescent="0.2">
      <c r="AI285" s="11"/>
    </row>
    <row r="286" spans="35:35" ht="15.75" customHeight="1" x14ac:dyDescent="0.2">
      <c r="AI286" s="11"/>
    </row>
    <row r="287" spans="35:35" ht="15.75" customHeight="1" x14ac:dyDescent="0.2">
      <c r="AI287" s="11"/>
    </row>
    <row r="288" spans="35:35" ht="15.75" customHeight="1" x14ac:dyDescent="0.2">
      <c r="AI288" s="11"/>
    </row>
    <row r="289" spans="35:35" ht="15.75" customHeight="1" x14ac:dyDescent="0.2">
      <c r="AI289" s="11"/>
    </row>
    <row r="290" spans="35:35" ht="15.75" customHeight="1" x14ac:dyDescent="0.2">
      <c r="AI290" s="11"/>
    </row>
    <row r="291" spans="35:35" ht="15.75" customHeight="1" x14ac:dyDescent="0.2">
      <c r="AI291" s="11"/>
    </row>
    <row r="292" spans="35:35" ht="15.75" customHeight="1" x14ac:dyDescent="0.2">
      <c r="AI292" s="11"/>
    </row>
    <row r="293" spans="35:35" ht="15.75" customHeight="1" x14ac:dyDescent="0.2">
      <c r="AI293" s="11"/>
    </row>
    <row r="294" spans="35:35" ht="15.75" customHeight="1" x14ac:dyDescent="0.2">
      <c r="AI294" s="11"/>
    </row>
    <row r="295" spans="35:35" ht="15.75" customHeight="1" x14ac:dyDescent="0.2">
      <c r="AI295" s="11"/>
    </row>
    <row r="296" spans="35:35" ht="15.75" customHeight="1" x14ac:dyDescent="0.2">
      <c r="AI296" s="11"/>
    </row>
    <row r="297" spans="35:35" ht="15.75" customHeight="1" x14ac:dyDescent="0.2">
      <c r="AI297" s="11"/>
    </row>
    <row r="298" spans="35:35" ht="15.75" customHeight="1" x14ac:dyDescent="0.2">
      <c r="AI298" s="11"/>
    </row>
    <row r="299" spans="35:35" ht="15.75" customHeight="1" x14ac:dyDescent="0.2">
      <c r="AI299" s="11"/>
    </row>
    <row r="300" spans="35:35" ht="15.75" customHeight="1" x14ac:dyDescent="0.2">
      <c r="AI300" s="11"/>
    </row>
    <row r="301" spans="35:35" ht="15.75" customHeight="1" x14ac:dyDescent="0.2">
      <c r="AI301" s="11"/>
    </row>
    <row r="302" spans="35:35" ht="15.75" customHeight="1" x14ac:dyDescent="0.2">
      <c r="AI302" s="11"/>
    </row>
    <row r="303" spans="35:35" ht="15.75" customHeight="1" x14ac:dyDescent="0.2">
      <c r="AI303" s="11"/>
    </row>
    <row r="304" spans="35:35" ht="15.75" customHeight="1" x14ac:dyDescent="0.2">
      <c r="AI304" s="11"/>
    </row>
    <row r="305" spans="35:35" ht="15.75" customHeight="1" x14ac:dyDescent="0.2">
      <c r="AI305" s="11"/>
    </row>
    <row r="306" spans="35:35" ht="15.75" customHeight="1" x14ac:dyDescent="0.2">
      <c r="AI306" s="11"/>
    </row>
    <row r="307" spans="35:35" ht="15.75" customHeight="1" x14ac:dyDescent="0.2">
      <c r="AI307" s="11"/>
    </row>
    <row r="308" spans="35:35" ht="15.75" customHeight="1" x14ac:dyDescent="0.2">
      <c r="AI308" s="11"/>
    </row>
    <row r="309" spans="35:35" ht="15.75" customHeight="1" x14ac:dyDescent="0.2">
      <c r="AI309" s="11"/>
    </row>
    <row r="310" spans="35:35" ht="15.75" customHeight="1" x14ac:dyDescent="0.2">
      <c r="AI310" s="11"/>
    </row>
    <row r="311" spans="35:35" ht="15.75" customHeight="1" x14ac:dyDescent="0.2">
      <c r="AI311" s="11"/>
    </row>
    <row r="312" spans="35:35" ht="15.75" customHeight="1" x14ac:dyDescent="0.2">
      <c r="AI312" s="11"/>
    </row>
    <row r="313" spans="35:35" ht="15.75" customHeight="1" x14ac:dyDescent="0.2">
      <c r="AI313" s="11"/>
    </row>
    <row r="314" spans="35:35" ht="15.75" customHeight="1" x14ac:dyDescent="0.2">
      <c r="AI314" s="11"/>
    </row>
    <row r="315" spans="35:35" ht="15.75" customHeight="1" x14ac:dyDescent="0.2">
      <c r="AI315" s="11"/>
    </row>
    <row r="316" spans="35:35" ht="15.75" customHeight="1" x14ac:dyDescent="0.2">
      <c r="AI316" s="11"/>
    </row>
    <row r="317" spans="35:35" ht="15.75" customHeight="1" x14ac:dyDescent="0.2">
      <c r="AI317" s="11"/>
    </row>
    <row r="318" spans="35:35" ht="15.75" customHeight="1" x14ac:dyDescent="0.2">
      <c r="AI318" s="11"/>
    </row>
    <row r="319" spans="35:35" ht="15.75" customHeight="1" x14ac:dyDescent="0.2">
      <c r="AI319" s="11"/>
    </row>
    <row r="320" spans="35:35" ht="15.75" customHeight="1" x14ac:dyDescent="0.2">
      <c r="AI320" s="11"/>
    </row>
    <row r="321" spans="35:35" ht="15.75" customHeight="1" x14ac:dyDescent="0.2">
      <c r="AI321" s="11"/>
    </row>
    <row r="322" spans="35:35" ht="15.75" customHeight="1" x14ac:dyDescent="0.2">
      <c r="AI322" s="11"/>
    </row>
    <row r="323" spans="35:35" ht="15.75" customHeight="1" x14ac:dyDescent="0.2">
      <c r="AI323" s="11"/>
    </row>
    <row r="324" spans="35:35" ht="15.75" customHeight="1" x14ac:dyDescent="0.2">
      <c r="AI324" s="11"/>
    </row>
    <row r="325" spans="35:35" ht="15.75" customHeight="1" x14ac:dyDescent="0.2">
      <c r="AI325" s="11"/>
    </row>
    <row r="326" spans="35:35" ht="15.75" customHeight="1" x14ac:dyDescent="0.2">
      <c r="AI326" s="11"/>
    </row>
    <row r="327" spans="35:35" ht="15.75" customHeight="1" x14ac:dyDescent="0.2">
      <c r="AI327" s="11"/>
    </row>
    <row r="328" spans="35:35" ht="15.75" customHeight="1" x14ac:dyDescent="0.2">
      <c r="AI328" s="11"/>
    </row>
    <row r="329" spans="35:35" ht="15.75" customHeight="1" x14ac:dyDescent="0.2">
      <c r="AI329" s="11"/>
    </row>
    <row r="330" spans="35:35" ht="15.75" customHeight="1" x14ac:dyDescent="0.2">
      <c r="AI330" s="11"/>
    </row>
    <row r="331" spans="35:35" ht="15.75" customHeight="1" x14ac:dyDescent="0.2">
      <c r="AI331" s="11"/>
    </row>
    <row r="332" spans="35:35" ht="15.75" customHeight="1" x14ac:dyDescent="0.2">
      <c r="AI332" s="11"/>
    </row>
    <row r="333" spans="35:35" ht="15.75" customHeight="1" x14ac:dyDescent="0.2">
      <c r="AI333" s="11"/>
    </row>
    <row r="334" spans="35:35" ht="15.75" customHeight="1" x14ac:dyDescent="0.2">
      <c r="AI334" s="11"/>
    </row>
    <row r="335" spans="35:35" ht="15.75" customHeight="1" x14ac:dyDescent="0.2">
      <c r="AI335" s="11"/>
    </row>
    <row r="336" spans="35:35" ht="15.75" customHeight="1" x14ac:dyDescent="0.2">
      <c r="AI336" s="11"/>
    </row>
    <row r="337" spans="35:35" ht="15.75" customHeight="1" x14ac:dyDescent="0.2">
      <c r="AI337" s="11"/>
    </row>
    <row r="338" spans="35:35" ht="15.75" customHeight="1" x14ac:dyDescent="0.2">
      <c r="AI338" s="11"/>
    </row>
    <row r="339" spans="35:35" ht="15.75" customHeight="1" x14ac:dyDescent="0.2">
      <c r="AI339" s="11"/>
    </row>
    <row r="340" spans="35:35" ht="15.75" customHeight="1" x14ac:dyDescent="0.2">
      <c r="AI340" s="11"/>
    </row>
    <row r="341" spans="35:35" ht="15.75" customHeight="1" x14ac:dyDescent="0.2">
      <c r="AI341" s="11"/>
    </row>
    <row r="342" spans="35:35" ht="15.75" customHeight="1" x14ac:dyDescent="0.2">
      <c r="AI342" s="11"/>
    </row>
    <row r="343" spans="35:35" ht="15.75" customHeight="1" x14ac:dyDescent="0.2">
      <c r="AI343" s="11"/>
    </row>
    <row r="344" spans="35:35" ht="15.75" customHeight="1" x14ac:dyDescent="0.2">
      <c r="AI344" s="11"/>
    </row>
    <row r="345" spans="35:35" ht="15.75" customHeight="1" x14ac:dyDescent="0.2">
      <c r="AI345" s="11"/>
    </row>
    <row r="346" spans="35:35" ht="15.75" customHeight="1" x14ac:dyDescent="0.2">
      <c r="AI346" s="11"/>
    </row>
    <row r="347" spans="35:35" ht="15.75" customHeight="1" x14ac:dyDescent="0.2">
      <c r="AI347" s="11"/>
    </row>
    <row r="348" spans="35:35" ht="15.75" customHeight="1" x14ac:dyDescent="0.2">
      <c r="AI348" s="11"/>
    </row>
    <row r="349" spans="35:35" ht="15.75" customHeight="1" x14ac:dyDescent="0.2">
      <c r="AI349" s="11"/>
    </row>
    <row r="350" spans="35:35" ht="15.75" customHeight="1" x14ac:dyDescent="0.2">
      <c r="AI350" s="11"/>
    </row>
    <row r="351" spans="35:35" ht="15.75" customHeight="1" x14ac:dyDescent="0.2">
      <c r="AI351" s="11"/>
    </row>
    <row r="352" spans="35:35" ht="15.75" customHeight="1" x14ac:dyDescent="0.2">
      <c r="AI352" s="11"/>
    </row>
    <row r="353" spans="35:35" ht="15.75" customHeight="1" x14ac:dyDescent="0.2">
      <c r="AI353" s="11"/>
    </row>
    <row r="354" spans="35:35" ht="15.75" customHeight="1" x14ac:dyDescent="0.2">
      <c r="AI354" s="11"/>
    </row>
    <row r="355" spans="35:35" ht="15.75" customHeight="1" x14ac:dyDescent="0.2">
      <c r="AI355" s="11"/>
    </row>
    <row r="356" spans="35:35" ht="15.75" customHeight="1" x14ac:dyDescent="0.2">
      <c r="AI356" s="11"/>
    </row>
    <row r="357" spans="35:35" ht="15.75" customHeight="1" x14ac:dyDescent="0.2">
      <c r="AI357" s="11"/>
    </row>
    <row r="358" spans="35:35" ht="15.75" customHeight="1" x14ac:dyDescent="0.2">
      <c r="AI358" s="11"/>
    </row>
    <row r="359" spans="35:35" ht="15.75" customHeight="1" x14ac:dyDescent="0.2">
      <c r="AI359" s="11"/>
    </row>
    <row r="360" spans="35:35" ht="15.75" customHeight="1" x14ac:dyDescent="0.2">
      <c r="AI360" s="11"/>
    </row>
    <row r="361" spans="35:35" ht="15.75" customHeight="1" x14ac:dyDescent="0.2">
      <c r="AI361" s="11"/>
    </row>
    <row r="362" spans="35:35" ht="15.75" customHeight="1" x14ac:dyDescent="0.2">
      <c r="AI362" s="11"/>
    </row>
    <row r="363" spans="35:35" ht="15.75" customHeight="1" x14ac:dyDescent="0.2">
      <c r="AI363" s="11"/>
    </row>
    <row r="364" spans="35:35" ht="15.75" customHeight="1" x14ac:dyDescent="0.2">
      <c r="AI364" s="11"/>
    </row>
    <row r="365" spans="35:35" ht="15.75" customHeight="1" x14ac:dyDescent="0.2">
      <c r="AI365" s="11"/>
    </row>
    <row r="366" spans="35:35" ht="15.75" customHeight="1" x14ac:dyDescent="0.2">
      <c r="AI366" s="11"/>
    </row>
    <row r="367" spans="35:35" ht="15.75" customHeight="1" x14ac:dyDescent="0.2">
      <c r="AI367" s="11"/>
    </row>
    <row r="368" spans="35:35" ht="15.75" customHeight="1" x14ac:dyDescent="0.2">
      <c r="AI368" s="11"/>
    </row>
    <row r="369" spans="35:35" ht="15.75" customHeight="1" x14ac:dyDescent="0.2">
      <c r="AI369" s="11"/>
    </row>
    <row r="370" spans="35:35" ht="15.75" customHeight="1" x14ac:dyDescent="0.2">
      <c r="AI370" s="11"/>
    </row>
    <row r="371" spans="35:35" ht="15.75" customHeight="1" x14ac:dyDescent="0.2">
      <c r="AI371" s="11"/>
    </row>
    <row r="372" spans="35:35" ht="15.75" customHeight="1" x14ac:dyDescent="0.2">
      <c r="AI372" s="11"/>
    </row>
    <row r="373" spans="35:35" ht="15.75" customHeight="1" x14ac:dyDescent="0.2">
      <c r="AI373" s="11"/>
    </row>
    <row r="374" spans="35:35" ht="15.75" customHeight="1" x14ac:dyDescent="0.2">
      <c r="AI374" s="11"/>
    </row>
    <row r="375" spans="35:35" ht="15.75" customHeight="1" x14ac:dyDescent="0.2">
      <c r="AI375" s="11"/>
    </row>
    <row r="376" spans="35:35" ht="15.75" customHeight="1" x14ac:dyDescent="0.2">
      <c r="AI376" s="11"/>
    </row>
    <row r="377" spans="35:35" ht="15.75" customHeight="1" x14ac:dyDescent="0.2">
      <c r="AI377" s="11"/>
    </row>
    <row r="378" spans="35:35" ht="15.75" customHeight="1" x14ac:dyDescent="0.2">
      <c r="AI378" s="11"/>
    </row>
    <row r="379" spans="35:35" ht="15.75" customHeight="1" x14ac:dyDescent="0.2">
      <c r="AI379" s="11"/>
    </row>
    <row r="380" spans="35:35" ht="15.75" customHeight="1" x14ac:dyDescent="0.2">
      <c r="AI380" s="11"/>
    </row>
    <row r="381" spans="35:35" ht="15.75" customHeight="1" x14ac:dyDescent="0.2">
      <c r="AI381" s="11"/>
    </row>
    <row r="382" spans="35:35" ht="15.75" customHeight="1" x14ac:dyDescent="0.2">
      <c r="AI382" s="11"/>
    </row>
    <row r="383" spans="35:35" ht="15.75" customHeight="1" x14ac:dyDescent="0.2">
      <c r="AI383" s="11"/>
    </row>
    <row r="384" spans="35:35" ht="15.75" customHeight="1" x14ac:dyDescent="0.2">
      <c r="AI384" s="11"/>
    </row>
    <row r="385" spans="35:35" ht="15.75" customHeight="1" x14ac:dyDescent="0.2">
      <c r="AI385" s="11"/>
    </row>
    <row r="386" spans="35:35" ht="15.75" customHeight="1" x14ac:dyDescent="0.2">
      <c r="AI386" s="11"/>
    </row>
    <row r="387" spans="35:35" ht="15.75" customHeight="1" x14ac:dyDescent="0.2">
      <c r="AI387" s="11"/>
    </row>
    <row r="388" spans="35:35" ht="15.75" customHeight="1" x14ac:dyDescent="0.2">
      <c r="AI388" s="11"/>
    </row>
    <row r="389" spans="35:35" ht="15.75" customHeight="1" x14ac:dyDescent="0.2">
      <c r="AI389" s="11"/>
    </row>
    <row r="390" spans="35:35" ht="15.75" customHeight="1" x14ac:dyDescent="0.2">
      <c r="AI390" s="11"/>
    </row>
    <row r="391" spans="35:35" ht="15.75" customHeight="1" x14ac:dyDescent="0.2">
      <c r="AI391" s="11"/>
    </row>
    <row r="392" spans="35:35" ht="15.75" customHeight="1" x14ac:dyDescent="0.2">
      <c r="AI392" s="11"/>
    </row>
    <row r="393" spans="35:35" ht="15.75" customHeight="1" x14ac:dyDescent="0.2">
      <c r="AI393" s="11"/>
    </row>
    <row r="394" spans="35:35" ht="15.75" customHeight="1" x14ac:dyDescent="0.2">
      <c r="AI394" s="11"/>
    </row>
    <row r="395" spans="35:35" ht="15.75" customHeight="1" x14ac:dyDescent="0.2">
      <c r="AI395" s="11"/>
    </row>
    <row r="396" spans="35:35" ht="15.75" customHeight="1" x14ac:dyDescent="0.2">
      <c r="AI396" s="11"/>
    </row>
    <row r="397" spans="35:35" ht="15.75" customHeight="1" x14ac:dyDescent="0.2">
      <c r="AI397" s="11"/>
    </row>
    <row r="398" spans="35:35" ht="15.75" customHeight="1" x14ac:dyDescent="0.2">
      <c r="AI398" s="11"/>
    </row>
    <row r="399" spans="35:35" ht="15.75" customHeight="1" x14ac:dyDescent="0.2">
      <c r="AI399" s="11"/>
    </row>
    <row r="400" spans="35:35" ht="15.75" customHeight="1" x14ac:dyDescent="0.2">
      <c r="AI400" s="11"/>
    </row>
    <row r="401" spans="35:35" ht="15.75" customHeight="1" x14ac:dyDescent="0.2">
      <c r="AI401" s="11"/>
    </row>
    <row r="402" spans="35:35" ht="15.75" customHeight="1" x14ac:dyDescent="0.2">
      <c r="AI402" s="11"/>
    </row>
    <row r="403" spans="35:35" ht="15.75" customHeight="1" x14ac:dyDescent="0.2">
      <c r="AI403" s="11"/>
    </row>
    <row r="404" spans="35:35" ht="15.75" customHeight="1" x14ac:dyDescent="0.2">
      <c r="AI404" s="11"/>
    </row>
    <row r="405" spans="35:35" ht="15.75" customHeight="1" x14ac:dyDescent="0.2">
      <c r="AI405" s="11"/>
    </row>
    <row r="406" spans="35:35" ht="15.75" customHeight="1" x14ac:dyDescent="0.2">
      <c r="AI406" s="11"/>
    </row>
    <row r="407" spans="35:35" ht="15.75" customHeight="1" x14ac:dyDescent="0.2">
      <c r="AI407" s="11"/>
    </row>
    <row r="408" spans="35:35" ht="15.75" customHeight="1" x14ac:dyDescent="0.2">
      <c r="AI408" s="11"/>
    </row>
    <row r="409" spans="35:35" ht="15.75" customHeight="1" x14ac:dyDescent="0.2">
      <c r="AI409" s="11"/>
    </row>
    <row r="410" spans="35:35" ht="15.75" customHeight="1" x14ac:dyDescent="0.2">
      <c r="AI410" s="11"/>
    </row>
    <row r="411" spans="35:35" ht="15.75" customHeight="1" x14ac:dyDescent="0.2">
      <c r="AI411" s="11"/>
    </row>
    <row r="412" spans="35:35" ht="15.75" customHeight="1" x14ac:dyDescent="0.2">
      <c r="AI412" s="11"/>
    </row>
    <row r="413" spans="35:35" ht="15.75" customHeight="1" x14ac:dyDescent="0.2">
      <c r="AI413" s="11"/>
    </row>
    <row r="414" spans="35:35" ht="15.75" customHeight="1" x14ac:dyDescent="0.2">
      <c r="AI414" s="11"/>
    </row>
    <row r="415" spans="35:35" ht="15.75" customHeight="1" x14ac:dyDescent="0.2">
      <c r="AI415" s="11"/>
    </row>
    <row r="416" spans="35:35" ht="15.75" customHeight="1" x14ac:dyDescent="0.2">
      <c r="AI416" s="11"/>
    </row>
    <row r="417" spans="35:35" ht="15.75" customHeight="1" x14ac:dyDescent="0.2">
      <c r="AI417" s="11"/>
    </row>
    <row r="418" spans="35:35" ht="15.75" customHeight="1" x14ac:dyDescent="0.2">
      <c r="AI418" s="11"/>
    </row>
    <row r="419" spans="35:35" ht="15.75" customHeight="1" x14ac:dyDescent="0.2">
      <c r="AI419" s="11"/>
    </row>
    <row r="420" spans="35:35" ht="15.75" customHeight="1" x14ac:dyDescent="0.2">
      <c r="AI420" s="11"/>
    </row>
    <row r="421" spans="35:35" ht="15.75" customHeight="1" x14ac:dyDescent="0.2">
      <c r="AI421" s="11"/>
    </row>
    <row r="422" spans="35:35" ht="15.75" customHeight="1" x14ac:dyDescent="0.2">
      <c r="AI422" s="11"/>
    </row>
    <row r="423" spans="35:35" ht="15.75" customHeight="1" x14ac:dyDescent="0.2">
      <c r="AI423" s="11"/>
    </row>
    <row r="424" spans="35:35" ht="15.75" customHeight="1" x14ac:dyDescent="0.2">
      <c r="AI424" s="11"/>
    </row>
    <row r="425" spans="35:35" ht="15.75" customHeight="1" x14ac:dyDescent="0.2">
      <c r="AI425" s="11"/>
    </row>
    <row r="426" spans="35:35" ht="15.75" customHeight="1" x14ac:dyDescent="0.2">
      <c r="AI426" s="11"/>
    </row>
    <row r="427" spans="35:35" ht="15.75" customHeight="1" x14ac:dyDescent="0.2">
      <c r="AI427" s="11"/>
    </row>
    <row r="428" spans="35:35" ht="15.75" customHeight="1" x14ac:dyDescent="0.2">
      <c r="AI428" s="11"/>
    </row>
    <row r="429" spans="35:35" ht="15.75" customHeight="1" x14ac:dyDescent="0.2">
      <c r="AI429" s="11"/>
    </row>
    <row r="430" spans="35:35" ht="15.75" customHeight="1" x14ac:dyDescent="0.2">
      <c r="AI430" s="11"/>
    </row>
    <row r="431" spans="35:35" ht="15.75" customHeight="1" x14ac:dyDescent="0.2">
      <c r="AI431" s="11"/>
    </row>
    <row r="432" spans="35:35" ht="15.75" customHeight="1" x14ac:dyDescent="0.2">
      <c r="AI432" s="11"/>
    </row>
    <row r="433" spans="35:35" ht="15.75" customHeight="1" x14ac:dyDescent="0.2">
      <c r="AI433" s="11"/>
    </row>
    <row r="434" spans="35:35" ht="15.75" customHeight="1" x14ac:dyDescent="0.2">
      <c r="AI434" s="11"/>
    </row>
    <row r="435" spans="35:35" ht="15.75" customHeight="1" x14ac:dyDescent="0.2">
      <c r="AI435" s="11"/>
    </row>
    <row r="436" spans="35:35" ht="15.75" customHeight="1" x14ac:dyDescent="0.2">
      <c r="AI436" s="11"/>
    </row>
    <row r="437" spans="35:35" ht="15.75" customHeight="1" x14ac:dyDescent="0.2">
      <c r="AI437" s="11"/>
    </row>
    <row r="438" spans="35:35" ht="15.75" customHeight="1" x14ac:dyDescent="0.2">
      <c r="AI438" s="11"/>
    </row>
    <row r="439" spans="35:35" ht="15.75" customHeight="1" x14ac:dyDescent="0.2">
      <c r="AI439" s="11"/>
    </row>
    <row r="440" spans="35:35" ht="15.75" customHeight="1" x14ac:dyDescent="0.2">
      <c r="AI440" s="11"/>
    </row>
    <row r="441" spans="35:35" ht="15.75" customHeight="1" x14ac:dyDescent="0.2">
      <c r="AI441" s="11"/>
    </row>
    <row r="442" spans="35:35" ht="15.75" customHeight="1" x14ac:dyDescent="0.2">
      <c r="AI442" s="11"/>
    </row>
    <row r="443" spans="35:35" ht="15.75" customHeight="1" x14ac:dyDescent="0.2">
      <c r="AI443" s="11"/>
    </row>
    <row r="444" spans="35:35" ht="15.75" customHeight="1" x14ac:dyDescent="0.2">
      <c r="AI444" s="11"/>
    </row>
    <row r="445" spans="35:35" ht="15.75" customHeight="1" x14ac:dyDescent="0.2">
      <c r="AI445" s="11"/>
    </row>
    <row r="446" spans="35:35" ht="15.75" customHeight="1" x14ac:dyDescent="0.2">
      <c r="AI446" s="11"/>
    </row>
    <row r="447" spans="35:35" ht="15.75" customHeight="1" x14ac:dyDescent="0.2">
      <c r="AI447" s="11"/>
    </row>
    <row r="448" spans="35:35" ht="15.75" customHeight="1" x14ac:dyDescent="0.2">
      <c r="AI448" s="11"/>
    </row>
    <row r="449" spans="35:35" ht="15.75" customHeight="1" x14ac:dyDescent="0.2">
      <c r="AI449" s="11"/>
    </row>
    <row r="450" spans="35:35" ht="15.75" customHeight="1" x14ac:dyDescent="0.2">
      <c r="AI450" s="11"/>
    </row>
    <row r="451" spans="35:35" ht="15.75" customHeight="1" x14ac:dyDescent="0.2">
      <c r="AI451" s="11"/>
    </row>
    <row r="452" spans="35:35" ht="15.75" customHeight="1" x14ac:dyDescent="0.2">
      <c r="AI452" s="11"/>
    </row>
    <row r="453" spans="35:35" ht="15.75" customHeight="1" x14ac:dyDescent="0.2">
      <c r="AI453" s="11"/>
    </row>
    <row r="454" spans="35:35" ht="15.75" customHeight="1" x14ac:dyDescent="0.2">
      <c r="AI454" s="11"/>
    </row>
    <row r="455" spans="35:35" ht="15.75" customHeight="1" x14ac:dyDescent="0.2">
      <c r="AI455" s="11"/>
    </row>
    <row r="456" spans="35:35" ht="15.75" customHeight="1" x14ac:dyDescent="0.2">
      <c r="AI456" s="11"/>
    </row>
    <row r="457" spans="35:35" ht="15.75" customHeight="1" x14ac:dyDescent="0.2">
      <c r="AI457" s="11"/>
    </row>
    <row r="458" spans="35:35" ht="15.75" customHeight="1" x14ac:dyDescent="0.2">
      <c r="AI458" s="11"/>
    </row>
    <row r="459" spans="35:35" ht="15.75" customHeight="1" x14ac:dyDescent="0.2">
      <c r="AI459" s="11"/>
    </row>
    <row r="460" spans="35:35" ht="15.75" customHeight="1" x14ac:dyDescent="0.2">
      <c r="AI460" s="11"/>
    </row>
    <row r="461" spans="35:35" ht="15.75" customHeight="1" x14ac:dyDescent="0.2">
      <c r="AI461" s="11"/>
    </row>
    <row r="462" spans="35:35" ht="15.75" customHeight="1" x14ac:dyDescent="0.2">
      <c r="AI462" s="11"/>
    </row>
    <row r="463" spans="35:35" ht="15.75" customHeight="1" x14ac:dyDescent="0.2">
      <c r="AI463" s="11"/>
    </row>
    <row r="464" spans="35:35" ht="15.75" customHeight="1" x14ac:dyDescent="0.2">
      <c r="AI464" s="11"/>
    </row>
    <row r="465" spans="35:35" ht="15.75" customHeight="1" x14ac:dyDescent="0.2">
      <c r="AI465" s="11"/>
    </row>
    <row r="466" spans="35:35" ht="15.75" customHeight="1" x14ac:dyDescent="0.2">
      <c r="AI466" s="11"/>
    </row>
    <row r="467" spans="35:35" ht="15.75" customHeight="1" x14ac:dyDescent="0.2">
      <c r="AI467" s="11"/>
    </row>
    <row r="468" spans="35:35" ht="15.75" customHeight="1" x14ac:dyDescent="0.2">
      <c r="AI468" s="11"/>
    </row>
    <row r="469" spans="35:35" ht="15.75" customHeight="1" x14ac:dyDescent="0.2">
      <c r="AI469" s="11"/>
    </row>
    <row r="470" spans="35:35" ht="15.75" customHeight="1" x14ac:dyDescent="0.2">
      <c r="AI470" s="11"/>
    </row>
    <row r="471" spans="35:35" ht="15.75" customHeight="1" x14ac:dyDescent="0.2">
      <c r="AI471" s="11"/>
    </row>
    <row r="472" spans="35:35" ht="15.75" customHeight="1" x14ac:dyDescent="0.2">
      <c r="AI472" s="11"/>
    </row>
    <row r="473" spans="35:35" ht="15.75" customHeight="1" x14ac:dyDescent="0.2">
      <c r="AI473" s="11"/>
    </row>
    <row r="474" spans="35:35" ht="15.75" customHeight="1" x14ac:dyDescent="0.2">
      <c r="AI474" s="11"/>
    </row>
    <row r="475" spans="35:35" ht="15.75" customHeight="1" x14ac:dyDescent="0.2">
      <c r="AI475" s="11"/>
    </row>
    <row r="476" spans="35:35" ht="15.75" customHeight="1" x14ac:dyDescent="0.2">
      <c r="AI476" s="11"/>
    </row>
    <row r="477" spans="35:35" ht="15.75" customHeight="1" x14ac:dyDescent="0.2">
      <c r="AI477" s="11"/>
    </row>
    <row r="478" spans="35:35" ht="15.75" customHeight="1" x14ac:dyDescent="0.2">
      <c r="AI478" s="11"/>
    </row>
    <row r="479" spans="35:35" ht="15.75" customHeight="1" x14ac:dyDescent="0.2">
      <c r="AI479" s="11"/>
    </row>
    <row r="480" spans="35:35" ht="15.75" customHeight="1" x14ac:dyDescent="0.2">
      <c r="AI480" s="11"/>
    </row>
    <row r="481" spans="35:35" ht="15.75" customHeight="1" x14ac:dyDescent="0.2">
      <c r="AI481" s="11"/>
    </row>
    <row r="482" spans="35:35" ht="15.75" customHeight="1" x14ac:dyDescent="0.2">
      <c r="AI482" s="11"/>
    </row>
    <row r="483" spans="35:35" ht="15.75" customHeight="1" x14ac:dyDescent="0.2">
      <c r="AI483" s="11"/>
    </row>
    <row r="484" spans="35:35" ht="15.75" customHeight="1" x14ac:dyDescent="0.2">
      <c r="AI484" s="11"/>
    </row>
    <row r="485" spans="35:35" ht="15.75" customHeight="1" x14ac:dyDescent="0.2">
      <c r="AI485" s="11"/>
    </row>
    <row r="486" spans="35:35" ht="15.75" customHeight="1" x14ac:dyDescent="0.2">
      <c r="AI486" s="11"/>
    </row>
    <row r="487" spans="35:35" ht="15.75" customHeight="1" x14ac:dyDescent="0.2">
      <c r="AI487" s="11"/>
    </row>
    <row r="488" spans="35:35" ht="15.75" customHeight="1" x14ac:dyDescent="0.2">
      <c r="AI488" s="11"/>
    </row>
    <row r="489" spans="35:35" ht="15.75" customHeight="1" x14ac:dyDescent="0.2">
      <c r="AI489" s="11"/>
    </row>
    <row r="490" spans="35:35" ht="15.75" customHeight="1" x14ac:dyDescent="0.2">
      <c r="AI490" s="11"/>
    </row>
    <row r="491" spans="35:35" ht="15.75" customHeight="1" x14ac:dyDescent="0.2">
      <c r="AI491" s="11"/>
    </row>
    <row r="492" spans="35:35" ht="15.75" customHeight="1" x14ac:dyDescent="0.2">
      <c r="AI492" s="11"/>
    </row>
    <row r="493" spans="35:35" ht="15.75" customHeight="1" x14ac:dyDescent="0.2">
      <c r="AI493" s="11"/>
    </row>
    <row r="494" spans="35:35" ht="15.75" customHeight="1" x14ac:dyDescent="0.2">
      <c r="AI494" s="11"/>
    </row>
    <row r="495" spans="35:35" ht="15.75" customHeight="1" x14ac:dyDescent="0.2">
      <c r="AI495" s="11"/>
    </row>
    <row r="496" spans="35:35" ht="15.75" customHeight="1" x14ac:dyDescent="0.2">
      <c r="AI496" s="11"/>
    </row>
    <row r="497" spans="35:35" ht="15.75" customHeight="1" x14ac:dyDescent="0.2">
      <c r="AI497" s="11"/>
    </row>
    <row r="498" spans="35:35" ht="15.75" customHeight="1" x14ac:dyDescent="0.2">
      <c r="AI498" s="11"/>
    </row>
    <row r="499" spans="35:35" ht="15.75" customHeight="1" x14ac:dyDescent="0.2">
      <c r="AI499" s="11"/>
    </row>
    <row r="500" spans="35:35" ht="15.75" customHeight="1" x14ac:dyDescent="0.2">
      <c r="AI500" s="11"/>
    </row>
    <row r="501" spans="35:35" ht="15.75" customHeight="1" x14ac:dyDescent="0.2">
      <c r="AI501" s="11"/>
    </row>
    <row r="502" spans="35:35" ht="15.75" customHeight="1" x14ac:dyDescent="0.2">
      <c r="AI502" s="11"/>
    </row>
    <row r="503" spans="35:35" ht="15.75" customHeight="1" x14ac:dyDescent="0.2">
      <c r="AI503" s="11"/>
    </row>
    <row r="504" spans="35:35" ht="15.75" customHeight="1" x14ac:dyDescent="0.2">
      <c r="AI504" s="11"/>
    </row>
    <row r="505" spans="35:35" ht="15.75" customHeight="1" x14ac:dyDescent="0.2">
      <c r="AI505" s="11"/>
    </row>
    <row r="506" spans="35:35" ht="15.75" customHeight="1" x14ac:dyDescent="0.2">
      <c r="AI506" s="11"/>
    </row>
    <row r="507" spans="35:35" ht="15.75" customHeight="1" x14ac:dyDescent="0.2">
      <c r="AI507" s="11"/>
    </row>
    <row r="508" spans="35:35" ht="15.75" customHeight="1" x14ac:dyDescent="0.2">
      <c r="AI508" s="11"/>
    </row>
    <row r="509" spans="35:35" ht="15.75" customHeight="1" x14ac:dyDescent="0.2">
      <c r="AI509" s="11"/>
    </row>
    <row r="510" spans="35:35" ht="15.75" customHeight="1" x14ac:dyDescent="0.2">
      <c r="AI510" s="11"/>
    </row>
    <row r="511" spans="35:35" ht="15.75" customHeight="1" x14ac:dyDescent="0.2">
      <c r="AI511" s="11"/>
    </row>
    <row r="512" spans="35:35" ht="15.75" customHeight="1" x14ac:dyDescent="0.2">
      <c r="AI512" s="11"/>
    </row>
    <row r="513" spans="35:35" ht="15.75" customHeight="1" x14ac:dyDescent="0.2">
      <c r="AI513" s="11"/>
    </row>
    <row r="514" spans="35:35" ht="15.75" customHeight="1" x14ac:dyDescent="0.2">
      <c r="AI514" s="11"/>
    </row>
    <row r="515" spans="35:35" ht="15.75" customHeight="1" x14ac:dyDescent="0.2">
      <c r="AI515" s="11"/>
    </row>
    <row r="516" spans="35:35" ht="15.75" customHeight="1" x14ac:dyDescent="0.2">
      <c r="AI516" s="11"/>
    </row>
    <row r="517" spans="35:35" ht="15.75" customHeight="1" x14ac:dyDescent="0.2">
      <c r="AI517" s="11"/>
    </row>
    <row r="518" spans="35:35" ht="15.75" customHeight="1" x14ac:dyDescent="0.2">
      <c r="AI518" s="11"/>
    </row>
    <row r="519" spans="35:35" ht="15.75" customHeight="1" x14ac:dyDescent="0.2">
      <c r="AI519" s="11"/>
    </row>
    <row r="520" spans="35:35" ht="15.75" customHeight="1" x14ac:dyDescent="0.2">
      <c r="AI520" s="11"/>
    </row>
    <row r="521" spans="35:35" ht="15.75" customHeight="1" x14ac:dyDescent="0.2">
      <c r="AI521" s="11"/>
    </row>
    <row r="522" spans="35:35" ht="15.75" customHeight="1" x14ac:dyDescent="0.2">
      <c r="AI522" s="11"/>
    </row>
    <row r="523" spans="35:35" ht="15.75" customHeight="1" x14ac:dyDescent="0.2">
      <c r="AI523" s="11"/>
    </row>
    <row r="524" spans="35:35" ht="15.75" customHeight="1" x14ac:dyDescent="0.2">
      <c r="AI524" s="11"/>
    </row>
    <row r="525" spans="35:35" ht="15.75" customHeight="1" x14ac:dyDescent="0.2">
      <c r="AI525" s="11"/>
    </row>
    <row r="526" spans="35:35" ht="15.75" customHeight="1" x14ac:dyDescent="0.2">
      <c r="AI526" s="11"/>
    </row>
    <row r="527" spans="35:35" ht="15.75" customHeight="1" x14ac:dyDescent="0.2">
      <c r="AI527" s="11"/>
    </row>
    <row r="528" spans="35:35" ht="15.75" customHeight="1" x14ac:dyDescent="0.2">
      <c r="AI528" s="11"/>
    </row>
    <row r="529" spans="35:35" ht="15.75" customHeight="1" x14ac:dyDescent="0.2">
      <c r="AI529" s="11"/>
    </row>
    <row r="530" spans="35:35" ht="15.75" customHeight="1" x14ac:dyDescent="0.2">
      <c r="AI530" s="11"/>
    </row>
    <row r="531" spans="35:35" ht="15.75" customHeight="1" x14ac:dyDescent="0.2">
      <c r="AI531" s="11"/>
    </row>
    <row r="532" spans="35:35" ht="15.75" customHeight="1" x14ac:dyDescent="0.2">
      <c r="AI532" s="11"/>
    </row>
    <row r="533" spans="35:35" ht="15.75" customHeight="1" x14ac:dyDescent="0.2">
      <c r="AI533" s="11"/>
    </row>
    <row r="534" spans="35:35" ht="15.75" customHeight="1" x14ac:dyDescent="0.2">
      <c r="AI534" s="11"/>
    </row>
    <row r="535" spans="35:35" ht="15.75" customHeight="1" x14ac:dyDescent="0.2">
      <c r="AI535" s="11"/>
    </row>
    <row r="536" spans="35:35" ht="15.75" customHeight="1" x14ac:dyDescent="0.2">
      <c r="AI536" s="11"/>
    </row>
    <row r="537" spans="35:35" ht="15.75" customHeight="1" x14ac:dyDescent="0.2">
      <c r="AI537" s="11"/>
    </row>
    <row r="538" spans="35:35" ht="15.75" customHeight="1" x14ac:dyDescent="0.2">
      <c r="AI538" s="11"/>
    </row>
    <row r="539" spans="35:35" ht="15.75" customHeight="1" x14ac:dyDescent="0.2">
      <c r="AI539" s="11"/>
    </row>
    <row r="540" spans="35:35" ht="15.75" customHeight="1" x14ac:dyDescent="0.2">
      <c r="AI540" s="11"/>
    </row>
    <row r="541" spans="35:35" ht="15.75" customHeight="1" x14ac:dyDescent="0.2">
      <c r="AI541" s="11"/>
    </row>
    <row r="542" spans="35:35" ht="15.75" customHeight="1" x14ac:dyDescent="0.2">
      <c r="AI542" s="11"/>
    </row>
    <row r="543" spans="35:35" ht="15.75" customHeight="1" x14ac:dyDescent="0.2">
      <c r="AI543" s="11"/>
    </row>
    <row r="544" spans="35:35" ht="15.75" customHeight="1" x14ac:dyDescent="0.2">
      <c r="AI544" s="11"/>
    </row>
    <row r="545" spans="35:35" ht="15.75" customHeight="1" x14ac:dyDescent="0.2">
      <c r="AI545" s="11"/>
    </row>
    <row r="546" spans="35:35" ht="15.75" customHeight="1" x14ac:dyDescent="0.2">
      <c r="AI546" s="11"/>
    </row>
    <row r="547" spans="35:35" ht="15.75" customHeight="1" x14ac:dyDescent="0.2">
      <c r="AI547" s="11"/>
    </row>
    <row r="548" spans="35:35" ht="15.75" customHeight="1" x14ac:dyDescent="0.2">
      <c r="AI548" s="11"/>
    </row>
    <row r="549" spans="35:35" ht="15.75" customHeight="1" x14ac:dyDescent="0.2">
      <c r="AI549" s="11"/>
    </row>
    <row r="550" spans="35:35" ht="15.75" customHeight="1" x14ac:dyDescent="0.2">
      <c r="AI550" s="11"/>
    </row>
    <row r="551" spans="35:35" ht="15.75" customHeight="1" x14ac:dyDescent="0.2">
      <c r="AI551" s="11"/>
    </row>
    <row r="552" spans="35:35" ht="15.75" customHeight="1" x14ac:dyDescent="0.2">
      <c r="AI552" s="11"/>
    </row>
    <row r="553" spans="35:35" ht="15.75" customHeight="1" x14ac:dyDescent="0.2">
      <c r="AI553" s="11"/>
    </row>
    <row r="554" spans="35:35" ht="15.75" customHeight="1" x14ac:dyDescent="0.2">
      <c r="AI554" s="11"/>
    </row>
    <row r="555" spans="35:35" ht="15.75" customHeight="1" x14ac:dyDescent="0.2">
      <c r="AI555" s="11"/>
    </row>
    <row r="556" spans="35:35" ht="15.75" customHeight="1" x14ac:dyDescent="0.2">
      <c r="AI556" s="11"/>
    </row>
    <row r="557" spans="35:35" ht="15.75" customHeight="1" x14ac:dyDescent="0.2">
      <c r="AI557" s="11"/>
    </row>
    <row r="558" spans="35:35" ht="15.75" customHeight="1" x14ac:dyDescent="0.2">
      <c r="AI558" s="11"/>
    </row>
    <row r="559" spans="35:35" ht="15.75" customHeight="1" x14ac:dyDescent="0.2">
      <c r="AI559" s="11"/>
    </row>
    <row r="560" spans="35:35" ht="15.75" customHeight="1" x14ac:dyDescent="0.2">
      <c r="AI560" s="11"/>
    </row>
    <row r="561" spans="35:35" ht="15.75" customHeight="1" x14ac:dyDescent="0.2">
      <c r="AI561" s="11"/>
    </row>
    <row r="562" spans="35:35" ht="15.75" customHeight="1" x14ac:dyDescent="0.2">
      <c r="AI562" s="11"/>
    </row>
    <row r="563" spans="35:35" ht="15.75" customHeight="1" x14ac:dyDescent="0.2">
      <c r="AI563" s="11"/>
    </row>
    <row r="564" spans="35:35" ht="15.75" customHeight="1" x14ac:dyDescent="0.2">
      <c r="AI564" s="11"/>
    </row>
    <row r="565" spans="35:35" ht="15.75" customHeight="1" x14ac:dyDescent="0.2">
      <c r="AI565" s="11"/>
    </row>
    <row r="566" spans="35:35" ht="15.75" customHeight="1" x14ac:dyDescent="0.2">
      <c r="AI566" s="11"/>
    </row>
    <row r="567" spans="35:35" ht="15.75" customHeight="1" x14ac:dyDescent="0.2">
      <c r="AI567" s="11"/>
    </row>
    <row r="568" spans="35:35" ht="15.75" customHeight="1" x14ac:dyDescent="0.2">
      <c r="AI568" s="11"/>
    </row>
    <row r="569" spans="35:35" ht="15.75" customHeight="1" x14ac:dyDescent="0.2">
      <c r="AI569" s="11"/>
    </row>
    <row r="570" spans="35:35" ht="15.75" customHeight="1" x14ac:dyDescent="0.2">
      <c r="AI570" s="11"/>
    </row>
    <row r="571" spans="35:35" ht="15.75" customHeight="1" x14ac:dyDescent="0.2">
      <c r="AI571" s="11"/>
    </row>
    <row r="572" spans="35:35" ht="15.75" customHeight="1" x14ac:dyDescent="0.2">
      <c r="AI572" s="11"/>
    </row>
    <row r="573" spans="35:35" ht="15.75" customHeight="1" x14ac:dyDescent="0.2">
      <c r="AI573" s="11"/>
    </row>
    <row r="574" spans="35:35" ht="15.75" customHeight="1" x14ac:dyDescent="0.2">
      <c r="AI574" s="11"/>
    </row>
    <row r="575" spans="35:35" ht="15.75" customHeight="1" x14ac:dyDescent="0.2">
      <c r="AI575" s="11"/>
    </row>
    <row r="576" spans="35:35" ht="15.75" customHeight="1" x14ac:dyDescent="0.2">
      <c r="AI576" s="11"/>
    </row>
    <row r="577" spans="35:35" ht="15.75" customHeight="1" x14ac:dyDescent="0.2">
      <c r="AI577" s="11"/>
    </row>
    <row r="578" spans="35:35" ht="15.75" customHeight="1" x14ac:dyDescent="0.2">
      <c r="AI578" s="11"/>
    </row>
    <row r="579" spans="35:35" ht="15.75" customHeight="1" x14ac:dyDescent="0.2">
      <c r="AI579" s="11"/>
    </row>
    <row r="580" spans="35:35" ht="15.75" customHeight="1" x14ac:dyDescent="0.2">
      <c r="AI580" s="11"/>
    </row>
    <row r="581" spans="35:35" ht="15.75" customHeight="1" x14ac:dyDescent="0.2">
      <c r="AI581" s="11"/>
    </row>
    <row r="582" spans="35:35" ht="15.75" customHeight="1" x14ac:dyDescent="0.2">
      <c r="AI582" s="11"/>
    </row>
    <row r="583" spans="35:35" ht="15.75" customHeight="1" x14ac:dyDescent="0.2">
      <c r="AI583" s="11"/>
    </row>
    <row r="584" spans="35:35" ht="15.75" customHeight="1" x14ac:dyDescent="0.2">
      <c r="AI584" s="11"/>
    </row>
    <row r="585" spans="35:35" ht="15.75" customHeight="1" x14ac:dyDescent="0.2">
      <c r="AI585" s="11"/>
    </row>
    <row r="586" spans="35:35" ht="15.75" customHeight="1" x14ac:dyDescent="0.2">
      <c r="AI586" s="11"/>
    </row>
    <row r="587" spans="35:35" ht="15.75" customHeight="1" x14ac:dyDescent="0.2">
      <c r="AI587" s="11"/>
    </row>
    <row r="588" spans="35:35" ht="15.75" customHeight="1" x14ac:dyDescent="0.2">
      <c r="AI588" s="11"/>
    </row>
    <row r="589" spans="35:35" ht="15.75" customHeight="1" x14ac:dyDescent="0.2">
      <c r="AI589" s="11"/>
    </row>
    <row r="590" spans="35:35" ht="15.75" customHeight="1" x14ac:dyDescent="0.2">
      <c r="AI590" s="11"/>
    </row>
    <row r="591" spans="35:35" ht="15.75" customHeight="1" x14ac:dyDescent="0.2">
      <c r="AI591" s="11"/>
    </row>
    <row r="592" spans="35:35" ht="15.75" customHeight="1" x14ac:dyDescent="0.2">
      <c r="AI592" s="11"/>
    </row>
    <row r="593" spans="35:35" ht="15.75" customHeight="1" x14ac:dyDescent="0.2">
      <c r="AI593" s="11"/>
    </row>
    <row r="594" spans="35:35" ht="15.75" customHeight="1" x14ac:dyDescent="0.2">
      <c r="AI594" s="11"/>
    </row>
    <row r="595" spans="35:35" ht="15.75" customHeight="1" x14ac:dyDescent="0.2">
      <c r="AI595" s="11"/>
    </row>
    <row r="596" spans="35:35" ht="15.75" customHeight="1" x14ac:dyDescent="0.2">
      <c r="AI596" s="11"/>
    </row>
    <row r="597" spans="35:35" ht="15.75" customHeight="1" x14ac:dyDescent="0.2">
      <c r="AI597" s="11"/>
    </row>
    <row r="598" spans="35:35" ht="15.75" customHeight="1" x14ac:dyDescent="0.2">
      <c r="AI598" s="11"/>
    </row>
    <row r="599" spans="35:35" ht="15.75" customHeight="1" x14ac:dyDescent="0.2">
      <c r="AI599" s="11"/>
    </row>
    <row r="600" spans="35:35" ht="15.75" customHeight="1" x14ac:dyDescent="0.2">
      <c r="AI600" s="11"/>
    </row>
    <row r="601" spans="35:35" ht="15.75" customHeight="1" x14ac:dyDescent="0.2">
      <c r="AI601" s="11"/>
    </row>
    <row r="602" spans="35:35" ht="15.75" customHeight="1" x14ac:dyDescent="0.2">
      <c r="AI602" s="11"/>
    </row>
    <row r="603" spans="35:35" ht="15.75" customHeight="1" x14ac:dyDescent="0.2">
      <c r="AI603" s="11"/>
    </row>
    <row r="604" spans="35:35" ht="15.75" customHeight="1" x14ac:dyDescent="0.2">
      <c r="AI604" s="11"/>
    </row>
    <row r="605" spans="35:35" ht="15.75" customHeight="1" x14ac:dyDescent="0.2">
      <c r="AI605" s="11"/>
    </row>
    <row r="606" spans="35:35" ht="15.75" customHeight="1" x14ac:dyDescent="0.2">
      <c r="AI606" s="11"/>
    </row>
    <row r="607" spans="35:35" ht="15.75" customHeight="1" x14ac:dyDescent="0.2">
      <c r="AI607" s="11"/>
    </row>
    <row r="608" spans="35:35" ht="15.75" customHeight="1" x14ac:dyDescent="0.2">
      <c r="AI608" s="11"/>
    </row>
    <row r="609" spans="35:35" ht="15.75" customHeight="1" x14ac:dyDescent="0.2">
      <c r="AI609" s="11"/>
    </row>
    <row r="610" spans="35:35" ht="15.75" customHeight="1" x14ac:dyDescent="0.2">
      <c r="AI610" s="11"/>
    </row>
    <row r="611" spans="35:35" ht="15.75" customHeight="1" x14ac:dyDescent="0.2">
      <c r="AI611" s="11"/>
    </row>
    <row r="612" spans="35:35" ht="15.75" customHeight="1" x14ac:dyDescent="0.2">
      <c r="AI612" s="11"/>
    </row>
    <row r="613" spans="35:35" ht="15.75" customHeight="1" x14ac:dyDescent="0.2">
      <c r="AI613" s="11"/>
    </row>
    <row r="614" spans="35:35" ht="15.75" customHeight="1" x14ac:dyDescent="0.2">
      <c r="AI614" s="11"/>
    </row>
    <row r="615" spans="35:35" ht="15.75" customHeight="1" x14ac:dyDescent="0.2">
      <c r="AI615" s="11"/>
    </row>
    <row r="616" spans="35:35" ht="15.75" customHeight="1" x14ac:dyDescent="0.2">
      <c r="AI616" s="11"/>
    </row>
    <row r="617" spans="35:35" ht="15.75" customHeight="1" x14ac:dyDescent="0.2">
      <c r="AI617" s="11"/>
    </row>
    <row r="618" spans="35:35" ht="15.75" customHeight="1" x14ac:dyDescent="0.2">
      <c r="AI618" s="11"/>
    </row>
    <row r="619" spans="35:35" ht="15.75" customHeight="1" x14ac:dyDescent="0.2">
      <c r="AI619" s="11"/>
    </row>
    <row r="620" spans="35:35" ht="15.75" customHeight="1" x14ac:dyDescent="0.2">
      <c r="AI620" s="11"/>
    </row>
    <row r="621" spans="35:35" ht="15.75" customHeight="1" x14ac:dyDescent="0.2">
      <c r="AI621" s="11"/>
    </row>
    <row r="622" spans="35:35" ht="15.75" customHeight="1" x14ac:dyDescent="0.2">
      <c r="AI622" s="11"/>
    </row>
    <row r="623" spans="35:35" ht="15.75" customHeight="1" x14ac:dyDescent="0.2">
      <c r="AI623" s="11"/>
    </row>
    <row r="624" spans="35:35" ht="15.75" customHeight="1" x14ac:dyDescent="0.2">
      <c r="AI624" s="11"/>
    </row>
    <row r="625" spans="35:35" ht="15.75" customHeight="1" x14ac:dyDescent="0.2">
      <c r="AI625" s="11"/>
    </row>
    <row r="626" spans="35:35" ht="15.75" customHeight="1" x14ac:dyDescent="0.2">
      <c r="AI626" s="11"/>
    </row>
    <row r="627" spans="35:35" ht="15.75" customHeight="1" x14ac:dyDescent="0.2">
      <c r="AI627" s="11"/>
    </row>
    <row r="628" spans="35:35" ht="15.75" customHeight="1" x14ac:dyDescent="0.2">
      <c r="AI628" s="11"/>
    </row>
    <row r="629" spans="35:35" ht="15.75" customHeight="1" x14ac:dyDescent="0.2">
      <c r="AI629" s="11"/>
    </row>
    <row r="630" spans="35:35" ht="15.75" customHeight="1" x14ac:dyDescent="0.2">
      <c r="AI630" s="11"/>
    </row>
    <row r="631" spans="35:35" ht="15.75" customHeight="1" x14ac:dyDescent="0.2">
      <c r="AI631" s="11"/>
    </row>
    <row r="632" spans="35:35" ht="15.75" customHeight="1" x14ac:dyDescent="0.2">
      <c r="AI632" s="11"/>
    </row>
    <row r="633" spans="35:35" ht="15.75" customHeight="1" x14ac:dyDescent="0.2">
      <c r="AI633" s="11"/>
    </row>
    <row r="634" spans="35:35" ht="15.75" customHeight="1" x14ac:dyDescent="0.2">
      <c r="AI634" s="11"/>
    </row>
    <row r="635" spans="35:35" ht="15.75" customHeight="1" x14ac:dyDescent="0.2">
      <c r="AI635" s="11"/>
    </row>
    <row r="636" spans="35:35" ht="15.75" customHeight="1" x14ac:dyDescent="0.2">
      <c r="AI636" s="11"/>
    </row>
    <row r="637" spans="35:35" ht="15.75" customHeight="1" x14ac:dyDescent="0.2">
      <c r="AI637" s="11"/>
    </row>
    <row r="638" spans="35:35" ht="15.75" customHeight="1" x14ac:dyDescent="0.2">
      <c r="AI638" s="11"/>
    </row>
    <row r="639" spans="35:35" ht="15.75" customHeight="1" x14ac:dyDescent="0.2">
      <c r="AI639" s="11"/>
    </row>
    <row r="640" spans="35:35" ht="15.75" customHeight="1" x14ac:dyDescent="0.2">
      <c r="AI640" s="11"/>
    </row>
    <row r="641" spans="35:35" ht="15.75" customHeight="1" x14ac:dyDescent="0.2">
      <c r="AI641" s="11"/>
    </row>
    <row r="642" spans="35:35" ht="15.75" customHeight="1" x14ac:dyDescent="0.2">
      <c r="AI642" s="11"/>
    </row>
    <row r="643" spans="35:35" ht="15.75" customHeight="1" x14ac:dyDescent="0.2">
      <c r="AI643" s="11"/>
    </row>
    <row r="644" spans="35:35" ht="15.75" customHeight="1" x14ac:dyDescent="0.2">
      <c r="AI644" s="11"/>
    </row>
    <row r="645" spans="35:35" ht="15.75" customHeight="1" x14ac:dyDescent="0.2">
      <c r="AI645" s="11"/>
    </row>
    <row r="646" spans="35:35" ht="15.75" customHeight="1" x14ac:dyDescent="0.2">
      <c r="AI646" s="11"/>
    </row>
    <row r="647" spans="35:35" ht="15.75" customHeight="1" x14ac:dyDescent="0.2">
      <c r="AI647" s="11"/>
    </row>
    <row r="648" spans="35:35" ht="15.75" customHeight="1" x14ac:dyDescent="0.2">
      <c r="AI648" s="11"/>
    </row>
    <row r="649" spans="35:35" ht="15.75" customHeight="1" x14ac:dyDescent="0.2">
      <c r="AI649" s="11"/>
    </row>
    <row r="650" spans="35:35" ht="15.75" customHeight="1" x14ac:dyDescent="0.2">
      <c r="AI650" s="11"/>
    </row>
    <row r="651" spans="35:35" ht="15.75" customHeight="1" x14ac:dyDescent="0.2">
      <c r="AI651" s="11"/>
    </row>
    <row r="652" spans="35:35" ht="15.75" customHeight="1" x14ac:dyDescent="0.2">
      <c r="AI652" s="11"/>
    </row>
    <row r="653" spans="35:35" ht="15.75" customHeight="1" x14ac:dyDescent="0.2">
      <c r="AI653" s="11"/>
    </row>
    <row r="654" spans="35:35" ht="15.75" customHeight="1" x14ac:dyDescent="0.2">
      <c r="AI654" s="11"/>
    </row>
    <row r="655" spans="35:35" ht="15.75" customHeight="1" x14ac:dyDescent="0.2">
      <c r="AI655" s="11"/>
    </row>
    <row r="656" spans="35:35" ht="15.75" customHeight="1" x14ac:dyDescent="0.2">
      <c r="AI656" s="11"/>
    </row>
    <row r="657" spans="35:35" ht="15.75" customHeight="1" x14ac:dyDescent="0.2">
      <c r="AI657" s="11"/>
    </row>
    <row r="658" spans="35:35" ht="15.75" customHeight="1" x14ac:dyDescent="0.2">
      <c r="AI658" s="11"/>
    </row>
    <row r="659" spans="35:35" ht="15.75" customHeight="1" x14ac:dyDescent="0.2">
      <c r="AI659" s="11"/>
    </row>
    <row r="660" spans="35:35" ht="15.75" customHeight="1" x14ac:dyDescent="0.2">
      <c r="AI660" s="11"/>
    </row>
    <row r="661" spans="35:35" ht="15.75" customHeight="1" x14ac:dyDescent="0.2">
      <c r="AI661" s="11"/>
    </row>
    <row r="662" spans="35:35" ht="15.75" customHeight="1" x14ac:dyDescent="0.2">
      <c r="AI662" s="11"/>
    </row>
    <row r="663" spans="35:35" ht="15.75" customHeight="1" x14ac:dyDescent="0.2">
      <c r="AI663" s="11"/>
    </row>
    <row r="664" spans="35:35" ht="15.75" customHeight="1" x14ac:dyDescent="0.2">
      <c r="AI664" s="11"/>
    </row>
    <row r="665" spans="35:35" ht="15.75" customHeight="1" x14ac:dyDescent="0.2">
      <c r="AI665" s="11"/>
    </row>
    <row r="666" spans="35:35" ht="15.75" customHeight="1" x14ac:dyDescent="0.2">
      <c r="AI666" s="11"/>
    </row>
    <row r="667" spans="35:35" ht="15.75" customHeight="1" x14ac:dyDescent="0.2">
      <c r="AI667" s="11"/>
    </row>
    <row r="668" spans="35:35" ht="15.75" customHeight="1" x14ac:dyDescent="0.2">
      <c r="AI668" s="11"/>
    </row>
    <row r="669" spans="35:35" ht="15.75" customHeight="1" x14ac:dyDescent="0.2">
      <c r="AI669" s="11"/>
    </row>
    <row r="670" spans="35:35" ht="15.75" customHeight="1" x14ac:dyDescent="0.2">
      <c r="AI670" s="11"/>
    </row>
    <row r="671" spans="35:35" ht="15.75" customHeight="1" x14ac:dyDescent="0.2">
      <c r="AI671" s="11"/>
    </row>
    <row r="672" spans="35:35" ht="15.75" customHeight="1" x14ac:dyDescent="0.2">
      <c r="AI672" s="11"/>
    </row>
    <row r="673" spans="35:35" ht="15.75" customHeight="1" x14ac:dyDescent="0.2">
      <c r="AI673" s="11"/>
    </row>
    <row r="674" spans="35:35" ht="15.75" customHeight="1" x14ac:dyDescent="0.2">
      <c r="AI674" s="11"/>
    </row>
    <row r="675" spans="35:35" ht="15.75" customHeight="1" x14ac:dyDescent="0.2">
      <c r="AI675" s="11"/>
    </row>
    <row r="676" spans="35:35" ht="15.75" customHeight="1" x14ac:dyDescent="0.2">
      <c r="AI676" s="11"/>
    </row>
    <row r="677" spans="35:35" ht="15.75" customHeight="1" x14ac:dyDescent="0.2">
      <c r="AI677" s="11"/>
    </row>
    <row r="678" spans="35:35" ht="15.75" customHeight="1" x14ac:dyDescent="0.2">
      <c r="AI678" s="11"/>
    </row>
    <row r="679" spans="35:35" ht="15.75" customHeight="1" x14ac:dyDescent="0.2">
      <c r="AI679" s="11"/>
    </row>
    <row r="680" spans="35:35" ht="15.75" customHeight="1" x14ac:dyDescent="0.2">
      <c r="AI680" s="11"/>
    </row>
    <row r="681" spans="35:35" ht="15.75" customHeight="1" x14ac:dyDescent="0.2">
      <c r="AI681" s="11"/>
    </row>
    <row r="682" spans="35:35" ht="15.75" customHeight="1" x14ac:dyDescent="0.2">
      <c r="AI682" s="11"/>
    </row>
    <row r="683" spans="35:35" ht="15.75" customHeight="1" x14ac:dyDescent="0.2">
      <c r="AI683" s="11"/>
    </row>
    <row r="684" spans="35:35" ht="15.75" customHeight="1" x14ac:dyDescent="0.2">
      <c r="AI684" s="11"/>
    </row>
    <row r="685" spans="35:35" ht="15.75" customHeight="1" x14ac:dyDescent="0.2">
      <c r="AI685" s="11"/>
    </row>
    <row r="686" spans="35:35" ht="15.75" customHeight="1" x14ac:dyDescent="0.2">
      <c r="AI686" s="11"/>
    </row>
    <row r="687" spans="35:35" ht="15.75" customHeight="1" x14ac:dyDescent="0.2">
      <c r="AI687" s="11"/>
    </row>
    <row r="688" spans="35:35" ht="15.75" customHeight="1" x14ac:dyDescent="0.2">
      <c r="AI688" s="11"/>
    </row>
    <row r="689" spans="35:35" ht="15.75" customHeight="1" x14ac:dyDescent="0.2">
      <c r="AI689" s="11"/>
    </row>
    <row r="690" spans="35:35" ht="15.75" customHeight="1" x14ac:dyDescent="0.2">
      <c r="AI690" s="11"/>
    </row>
    <row r="691" spans="35:35" ht="15.75" customHeight="1" x14ac:dyDescent="0.2">
      <c r="AI691" s="11"/>
    </row>
    <row r="692" spans="35:35" ht="15.75" customHeight="1" x14ac:dyDescent="0.2">
      <c r="AI692" s="11"/>
    </row>
    <row r="693" spans="35:35" ht="15.75" customHeight="1" x14ac:dyDescent="0.2">
      <c r="AI693" s="11"/>
    </row>
    <row r="694" spans="35:35" ht="15.75" customHeight="1" x14ac:dyDescent="0.2">
      <c r="AI694" s="11"/>
    </row>
    <row r="695" spans="35:35" ht="15.75" customHeight="1" x14ac:dyDescent="0.2">
      <c r="AI695" s="11"/>
    </row>
    <row r="696" spans="35:35" ht="15.75" customHeight="1" x14ac:dyDescent="0.2">
      <c r="AI696" s="11"/>
    </row>
    <row r="697" spans="35:35" ht="15.75" customHeight="1" x14ac:dyDescent="0.2">
      <c r="AI697" s="11"/>
    </row>
    <row r="698" spans="35:35" ht="15.75" customHeight="1" x14ac:dyDescent="0.2">
      <c r="AI698" s="11"/>
    </row>
    <row r="699" spans="35:35" ht="15.75" customHeight="1" x14ac:dyDescent="0.2">
      <c r="AI699" s="11"/>
    </row>
    <row r="700" spans="35:35" ht="15.75" customHeight="1" x14ac:dyDescent="0.2">
      <c r="AI700" s="11"/>
    </row>
    <row r="701" spans="35:35" ht="15.75" customHeight="1" x14ac:dyDescent="0.2">
      <c r="AI701" s="11"/>
    </row>
    <row r="702" spans="35:35" ht="15.75" customHeight="1" x14ac:dyDescent="0.2">
      <c r="AI702" s="11"/>
    </row>
    <row r="703" spans="35:35" ht="15.75" customHeight="1" x14ac:dyDescent="0.2">
      <c r="AI703" s="11"/>
    </row>
    <row r="704" spans="35:35" ht="15.75" customHeight="1" x14ac:dyDescent="0.2">
      <c r="AI704" s="11"/>
    </row>
    <row r="705" spans="35:35" ht="15.75" customHeight="1" x14ac:dyDescent="0.2">
      <c r="AI705" s="11"/>
    </row>
    <row r="706" spans="35:35" ht="15.75" customHeight="1" x14ac:dyDescent="0.2">
      <c r="AI706" s="11"/>
    </row>
    <row r="707" spans="35:35" ht="15.75" customHeight="1" x14ac:dyDescent="0.2">
      <c r="AI707" s="11"/>
    </row>
    <row r="708" spans="35:35" ht="15.75" customHeight="1" x14ac:dyDescent="0.2">
      <c r="AI708" s="11"/>
    </row>
    <row r="709" spans="35:35" ht="15.75" customHeight="1" x14ac:dyDescent="0.2">
      <c r="AI709" s="11"/>
    </row>
    <row r="710" spans="35:35" ht="15.75" customHeight="1" x14ac:dyDescent="0.2">
      <c r="AI710" s="11"/>
    </row>
    <row r="711" spans="35:35" ht="15.75" customHeight="1" x14ac:dyDescent="0.2">
      <c r="AI711" s="11"/>
    </row>
    <row r="712" spans="35:35" ht="15.75" customHeight="1" x14ac:dyDescent="0.2">
      <c r="AI712" s="11"/>
    </row>
    <row r="713" spans="35:35" ht="15.75" customHeight="1" x14ac:dyDescent="0.2">
      <c r="AI713" s="11"/>
    </row>
    <row r="714" spans="35:35" ht="15.75" customHeight="1" x14ac:dyDescent="0.2">
      <c r="AI714" s="11"/>
    </row>
    <row r="715" spans="35:35" ht="15.75" customHeight="1" x14ac:dyDescent="0.2">
      <c r="AI715" s="11"/>
    </row>
    <row r="716" spans="35:35" ht="15.75" customHeight="1" x14ac:dyDescent="0.2">
      <c r="AI716" s="11"/>
    </row>
    <row r="717" spans="35:35" ht="15.75" customHeight="1" x14ac:dyDescent="0.2">
      <c r="AI717" s="11"/>
    </row>
    <row r="718" spans="35:35" ht="15.75" customHeight="1" x14ac:dyDescent="0.2">
      <c r="AI718" s="11"/>
    </row>
    <row r="719" spans="35:35" ht="15.75" customHeight="1" x14ac:dyDescent="0.2">
      <c r="AI719" s="11"/>
    </row>
    <row r="720" spans="35:35" ht="15.75" customHeight="1" x14ac:dyDescent="0.2">
      <c r="AI720" s="11"/>
    </row>
    <row r="721" spans="35:35" ht="15.75" customHeight="1" x14ac:dyDescent="0.2">
      <c r="AI721" s="11"/>
    </row>
    <row r="722" spans="35:35" ht="15.75" customHeight="1" x14ac:dyDescent="0.2">
      <c r="AI722" s="11"/>
    </row>
    <row r="723" spans="35:35" ht="15.75" customHeight="1" x14ac:dyDescent="0.2">
      <c r="AI723" s="11"/>
    </row>
    <row r="724" spans="35:35" ht="15.75" customHeight="1" x14ac:dyDescent="0.2">
      <c r="AI724" s="11"/>
    </row>
    <row r="725" spans="35:35" ht="15.75" customHeight="1" x14ac:dyDescent="0.2">
      <c r="AI725" s="11"/>
    </row>
    <row r="726" spans="35:35" ht="15.75" customHeight="1" x14ac:dyDescent="0.2">
      <c r="AI726" s="11"/>
    </row>
    <row r="727" spans="35:35" ht="15.75" customHeight="1" x14ac:dyDescent="0.2">
      <c r="AI727" s="11"/>
    </row>
    <row r="728" spans="35:35" ht="15.75" customHeight="1" x14ac:dyDescent="0.2">
      <c r="AI728" s="11"/>
    </row>
    <row r="729" spans="35:35" ht="15.75" customHeight="1" x14ac:dyDescent="0.2">
      <c r="AI729" s="11"/>
    </row>
    <row r="730" spans="35:35" ht="15.75" customHeight="1" x14ac:dyDescent="0.2">
      <c r="AI730" s="11"/>
    </row>
    <row r="731" spans="35:35" ht="15.75" customHeight="1" x14ac:dyDescent="0.2">
      <c r="AI731" s="11"/>
    </row>
    <row r="732" spans="35:35" ht="15.75" customHeight="1" x14ac:dyDescent="0.2">
      <c r="AI732" s="11"/>
    </row>
    <row r="733" spans="35:35" ht="15.75" customHeight="1" x14ac:dyDescent="0.2">
      <c r="AI733" s="11"/>
    </row>
    <row r="734" spans="35:35" ht="15.75" customHeight="1" x14ac:dyDescent="0.2">
      <c r="AI734" s="11"/>
    </row>
    <row r="735" spans="35:35" ht="15.75" customHeight="1" x14ac:dyDescent="0.2">
      <c r="AI735" s="11"/>
    </row>
    <row r="736" spans="35:35" ht="15.75" customHeight="1" x14ac:dyDescent="0.2">
      <c r="AI736" s="11"/>
    </row>
    <row r="737" spans="35:35" ht="15.75" customHeight="1" x14ac:dyDescent="0.2">
      <c r="AI737" s="11"/>
    </row>
    <row r="738" spans="35:35" ht="15.75" customHeight="1" x14ac:dyDescent="0.2">
      <c r="AI738" s="11"/>
    </row>
    <row r="739" spans="35:35" ht="15.75" customHeight="1" x14ac:dyDescent="0.2">
      <c r="AI739" s="11"/>
    </row>
    <row r="740" spans="35:35" ht="15.75" customHeight="1" x14ac:dyDescent="0.2">
      <c r="AI740" s="11"/>
    </row>
    <row r="741" spans="35:35" ht="15.75" customHeight="1" x14ac:dyDescent="0.2">
      <c r="AI741" s="11"/>
    </row>
    <row r="742" spans="35:35" ht="15.75" customHeight="1" x14ac:dyDescent="0.2">
      <c r="AI742" s="11"/>
    </row>
    <row r="743" spans="35:35" ht="15.75" customHeight="1" x14ac:dyDescent="0.2">
      <c r="AI743" s="11"/>
    </row>
    <row r="744" spans="35:35" ht="15.75" customHeight="1" x14ac:dyDescent="0.2">
      <c r="AI744" s="11"/>
    </row>
    <row r="745" spans="35:35" ht="15.75" customHeight="1" x14ac:dyDescent="0.2">
      <c r="AI745" s="11"/>
    </row>
    <row r="746" spans="35:35" ht="15.75" customHeight="1" x14ac:dyDescent="0.2">
      <c r="AI746" s="11"/>
    </row>
    <row r="747" spans="35:35" ht="15.75" customHeight="1" x14ac:dyDescent="0.2">
      <c r="AI747" s="11"/>
    </row>
    <row r="748" spans="35:35" ht="15.75" customHeight="1" x14ac:dyDescent="0.2">
      <c r="AI748" s="11"/>
    </row>
    <row r="749" spans="35:35" ht="15.75" customHeight="1" x14ac:dyDescent="0.2">
      <c r="AI749" s="11"/>
    </row>
    <row r="750" spans="35:35" ht="15.75" customHeight="1" x14ac:dyDescent="0.2">
      <c r="AI750" s="11"/>
    </row>
    <row r="751" spans="35:35" ht="15.75" customHeight="1" x14ac:dyDescent="0.2">
      <c r="AI751" s="11"/>
    </row>
    <row r="752" spans="35:35" ht="15.75" customHeight="1" x14ac:dyDescent="0.2">
      <c r="AI752" s="11"/>
    </row>
    <row r="753" spans="35:35" ht="15.75" customHeight="1" x14ac:dyDescent="0.2">
      <c r="AI753" s="11"/>
    </row>
    <row r="754" spans="35:35" ht="15.75" customHeight="1" x14ac:dyDescent="0.2">
      <c r="AI754" s="11"/>
    </row>
    <row r="755" spans="35:35" ht="15.75" customHeight="1" x14ac:dyDescent="0.2">
      <c r="AI755" s="11"/>
    </row>
    <row r="756" spans="35:35" ht="15.75" customHeight="1" x14ac:dyDescent="0.2">
      <c r="AI756" s="11"/>
    </row>
    <row r="757" spans="35:35" ht="15.75" customHeight="1" x14ac:dyDescent="0.2">
      <c r="AI757" s="11"/>
    </row>
    <row r="758" spans="35:35" ht="15.75" customHeight="1" x14ac:dyDescent="0.2">
      <c r="AI758" s="11"/>
    </row>
    <row r="759" spans="35:35" ht="15.75" customHeight="1" x14ac:dyDescent="0.2">
      <c r="AI759" s="11"/>
    </row>
    <row r="760" spans="35:35" ht="15.75" customHeight="1" x14ac:dyDescent="0.2">
      <c r="AI760" s="11"/>
    </row>
    <row r="761" spans="35:35" ht="15.75" customHeight="1" x14ac:dyDescent="0.2">
      <c r="AI761" s="11"/>
    </row>
    <row r="762" spans="35:35" ht="15.75" customHeight="1" x14ac:dyDescent="0.2">
      <c r="AI762" s="11"/>
    </row>
    <row r="763" spans="35:35" ht="15.75" customHeight="1" x14ac:dyDescent="0.2">
      <c r="AI763" s="11"/>
    </row>
    <row r="764" spans="35:35" ht="15.75" customHeight="1" x14ac:dyDescent="0.2">
      <c r="AI764" s="11"/>
    </row>
    <row r="765" spans="35:35" ht="15.75" customHeight="1" x14ac:dyDescent="0.2">
      <c r="AI765" s="11"/>
    </row>
    <row r="766" spans="35:35" ht="15.75" customHeight="1" x14ac:dyDescent="0.2">
      <c r="AI766" s="11"/>
    </row>
    <row r="767" spans="35:35" ht="15.75" customHeight="1" x14ac:dyDescent="0.2">
      <c r="AI767" s="11"/>
    </row>
    <row r="768" spans="35:35" ht="15.75" customHeight="1" x14ac:dyDescent="0.2">
      <c r="AI768" s="11"/>
    </row>
    <row r="769" spans="35:35" ht="15.75" customHeight="1" x14ac:dyDescent="0.2">
      <c r="AI769" s="11"/>
    </row>
    <row r="770" spans="35:35" ht="15.75" customHeight="1" x14ac:dyDescent="0.2">
      <c r="AI770" s="11"/>
    </row>
    <row r="771" spans="35:35" ht="15.75" customHeight="1" x14ac:dyDescent="0.2">
      <c r="AI771" s="11"/>
    </row>
    <row r="772" spans="35:35" ht="15.75" customHeight="1" x14ac:dyDescent="0.2">
      <c r="AI772" s="11"/>
    </row>
    <row r="773" spans="35:35" ht="15.75" customHeight="1" x14ac:dyDescent="0.2">
      <c r="AI773" s="11"/>
    </row>
    <row r="774" spans="35:35" ht="15.75" customHeight="1" x14ac:dyDescent="0.2">
      <c r="AI774" s="11"/>
    </row>
    <row r="775" spans="35:35" ht="15.75" customHeight="1" x14ac:dyDescent="0.2">
      <c r="AI775" s="11"/>
    </row>
    <row r="776" spans="35:35" ht="15.75" customHeight="1" x14ac:dyDescent="0.2">
      <c r="AI776" s="11"/>
    </row>
    <row r="777" spans="35:35" ht="15.75" customHeight="1" x14ac:dyDescent="0.2">
      <c r="AI777" s="11"/>
    </row>
    <row r="778" spans="35:35" ht="15.75" customHeight="1" x14ac:dyDescent="0.2">
      <c r="AI778" s="11"/>
    </row>
    <row r="779" spans="35:35" ht="15.75" customHeight="1" x14ac:dyDescent="0.2">
      <c r="AI779" s="11"/>
    </row>
    <row r="780" spans="35:35" ht="15.75" customHeight="1" x14ac:dyDescent="0.2">
      <c r="AI780" s="11"/>
    </row>
    <row r="781" spans="35:35" ht="15.75" customHeight="1" x14ac:dyDescent="0.2">
      <c r="AI781" s="11"/>
    </row>
    <row r="782" spans="35:35" ht="15.75" customHeight="1" x14ac:dyDescent="0.2">
      <c r="AI782" s="11"/>
    </row>
    <row r="783" spans="35:35" ht="15.75" customHeight="1" x14ac:dyDescent="0.2">
      <c r="AI783" s="11"/>
    </row>
    <row r="784" spans="35:35" ht="15.75" customHeight="1" x14ac:dyDescent="0.2">
      <c r="AI784" s="11"/>
    </row>
    <row r="785" spans="35:35" ht="15.75" customHeight="1" x14ac:dyDescent="0.2">
      <c r="AI785" s="11"/>
    </row>
    <row r="786" spans="35:35" ht="15.75" customHeight="1" x14ac:dyDescent="0.2">
      <c r="AI786" s="11"/>
    </row>
    <row r="787" spans="35:35" ht="15.75" customHeight="1" x14ac:dyDescent="0.2">
      <c r="AI787" s="11"/>
    </row>
    <row r="788" spans="35:35" ht="15.75" customHeight="1" x14ac:dyDescent="0.2">
      <c r="AI788" s="11"/>
    </row>
    <row r="789" spans="35:35" ht="15.75" customHeight="1" x14ac:dyDescent="0.2">
      <c r="AI789" s="11"/>
    </row>
    <row r="790" spans="35:35" ht="15.75" customHeight="1" x14ac:dyDescent="0.2">
      <c r="AI790" s="11"/>
    </row>
    <row r="791" spans="35:35" ht="15.75" customHeight="1" x14ac:dyDescent="0.2">
      <c r="AI791" s="11"/>
    </row>
    <row r="792" spans="35:35" ht="15.75" customHeight="1" x14ac:dyDescent="0.2">
      <c r="AI792" s="11"/>
    </row>
    <row r="793" spans="35:35" ht="15.75" customHeight="1" x14ac:dyDescent="0.2">
      <c r="AI793" s="11"/>
    </row>
    <row r="794" spans="35:35" ht="15.75" customHeight="1" x14ac:dyDescent="0.2">
      <c r="AI794" s="11"/>
    </row>
    <row r="795" spans="35:35" ht="15.75" customHeight="1" x14ac:dyDescent="0.2">
      <c r="AI795" s="11"/>
    </row>
    <row r="796" spans="35:35" ht="15.75" customHeight="1" x14ac:dyDescent="0.2">
      <c r="AI796" s="11"/>
    </row>
    <row r="797" spans="35:35" ht="15.75" customHeight="1" x14ac:dyDescent="0.2">
      <c r="AI797" s="11"/>
    </row>
    <row r="798" spans="35:35" ht="15.75" customHeight="1" x14ac:dyDescent="0.2">
      <c r="AI798" s="11"/>
    </row>
    <row r="799" spans="35:35" ht="15.75" customHeight="1" x14ac:dyDescent="0.2">
      <c r="AI799" s="11"/>
    </row>
    <row r="800" spans="35:35" ht="15.75" customHeight="1" x14ac:dyDescent="0.2">
      <c r="AI800" s="11"/>
    </row>
    <row r="801" spans="35:35" ht="15.75" customHeight="1" x14ac:dyDescent="0.2">
      <c r="AI801" s="11"/>
    </row>
    <row r="802" spans="35:35" ht="15.75" customHeight="1" x14ac:dyDescent="0.2">
      <c r="AI802" s="11"/>
    </row>
    <row r="803" spans="35:35" ht="15.75" customHeight="1" x14ac:dyDescent="0.2">
      <c r="AI803" s="11"/>
    </row>
    <row r="804" spans="35:35" ht="15.75" customHeight="1" x14ac:dyDescent="0.2">
      <c r="AI804" s="11"/>
    </row>
    <row r="805" spans="35:35" ht="15.75" customHeight="1" x14ac:dyDescent="0.2">
      <c r="AI805" s="11"/>
    </row>
    <row r="806" spans="35:35" ht="15.75" customHeight="1" x14ac:dyDescent="0.2">
      <c r="AI806" s="11"/>
    </row>
    <row r="807" spans="35:35" ht="15.75" customHeight="1" x14ac:dyDescent="0.2">
      <c r="AI807" s="11"/>
    </row>
    <row r="808" spans="35:35" ht="15.75" customHeight="1" x14ac:dyDescent="0.2">
      <c r="AI808" s="11"/>
    </row>
    <row r="809" spans="35:35" ht="15.75" customHeight="1" x14ac:dyDescent="0.2">
      <c r="AI809" s="11"/>
    </row>
    <row r="810" spans="35:35" ht="15.75" customHeight="1" x14ac:dyDescent="0.2">
      <c r="AI810" s="11"/>
    </row>
    <row r="811" spans="35:35" ht="15.75" customHeight="1" x14ac:dyDescent="0.2">
      <c r="AI811" s="11"/>
    </row>
    <row r="812" spans="35:35" ht="15.75" customHeight="1" x14ac:dyDescent="0.2">
      <c r="AI812" s="11"/>
    </row>
    <row r="813" spans="35:35" ht="15.75" customHeight="1" x14ac:dyDescent="0.2">
      <c r="AI813" s="11"/>
    </row>
    <row r="814" spans="35:35" ht="15.75" customHeight="1" x14ac:dyDescent="0.2">
      <c r="AI814" s="11"/>
    </row>
    <row r="815" spans="35:35" ht="15.75" customHeight="1" x14ac:dyDescent="0.2">
      <c r="AI815" s="11"/>
    </row>
    <row r="816" spans="35:35" ht="15.75" customHeight="1" x14ac:dyDescent="0.2">
      <c r="AI816" s="11"/>
    </row>
    <row r="817" spans="35:35" ht="15.75" customHeight="1" x14ac:dyDescent="0.2">
      <c r="AI817" s="11"/>
    </row>
    <row r="818" spans="35:35" ht="15.75" customHeight="1" x14ac:dyDescent="0.2">
      <c r="AI818" s="11"/>
    </row>
    <row r="819" spans="35:35" ht="15.75" customHeight="1" x14ac:dyDescent="0.2">
      <c r="AI819" s="11"/>
    </row>
    <row r="820" spans="35:35" ht="15.75" customHeight="1" x14ac:dyDescent="0.2">
      <c r="AI820" s="11"/>
    </row>
    <row r="821" spans="35:35" ht="15.75" customHeight="1" x14ac:dyDescent="0.2">
      <c r="AI821" s="11"/>
    </row>
    <row r="822" spans="35:35" ht="15.75" customHeight="1" x14ac:dyDescent="0.2">
      <c r="AI822" s="11"/>
    </row>
    <row r="823" spans="35:35" ht="15.75" customHeight="1" x14ac:dyDescent="0.2">
      <c r="AI823" s="11"/>
    </row>
    <row r="824" spans="35:35" ht="15.75" customHeight="1" x14ac:dyDescent="0.2">
      <c r="AI824" s="11"/>
    </row>
    <row r="825" spans="35:35" ht="15.75" customHeight="1" x14ac:dyDescent="0.2">
      <c r="AI825" s="11"/>
    </row>
    <row r="826" spans="35:35" ht="15.75" customHeight="1" x14ac:dyDescent="0.2">
      <c r="AI826" s="11"/>
    </row>
    <row r="827" spans="35:35" ht="15.75" customHeight="1" x14ac:dyDescent="0.2">
      <c r="AI827" s="11"/>
    </row>
    <row r="828" spans="35:35" ht="15.75" customHeight="1" x14ac:dyDescent="0.2">
      <c r="AI828" s="11"/>
    </row>
    <row r="829" spans="35:35" ht="15.75" customHeight="1" x14ac:dyDescent="0.2">
      <c r="AI829" s="11"/>
    </row>
    <row r="830" spans="35:35" ht="15.75" customHeight="1" x14ac:dyDescent="0.2">
      <c r="AI830" s="11"/>
    </row>
    <row r="831" spans="35:35" ht="15.75" customHeight="1" x14ac:dyDescent="0.2">
      <c r="AI831" s="11"/>
    </row>
    <row r="832" spans="35:35" ht="15.75" customHeight="1" x14ac:dyDescent="0.2">
      <c r="AI832" s="11"/>
    </row>
    <row r="833" spans="35:35" ht="15.75" customHeight="1" x14ac:dyDescent="0.2">
      <c r="AI833" s="11"/>
    </row>
    <row r="834" spans="35:35" ht="15.75" customHeight="1" x14ac:dyDescent="0.2">
      <c r="AI834" s="11"/>
    </row>
    <row r="835" spans="35:35" ht="15.75" customHeight="1" x14ac:dyDescent="0.2">
      <c r="AI835" s="11"/>
    </row>
    <row r="836" spans="35:35" ht="15.75" customHeight="1" x14ac:dyDescent="0.2">
      <c r="AI836" s="11"/>
    </row>
    <row r="837" spans="35:35" ht="15.75" customHeight="1" x14ac:dyDescent="0.2">
      <c r="AI837" s="11"/>
    </row>
    <row r="838" spans="35:35" ht="15.75" customHeight="1" x14ac:dyDescent="0.2">
      <c r="AI838" s="11"/>
    </row>
    <row r="839" spans="35:35" ht="15.75" customHeight="1" x14ac:dyDescent="0.2">
      <c r="AI839" s="11"/>
    </row>
    <row r="840" spans="35:35" ht="15.75" customHeight="1" x14ac:dyDescent="0.2">
      <c r="AI840" s="11"/>
    </row>
    <row r="841" spans="35:35" ht="15.75" customHeight="1" x14ac:dyDescent="0.2">
      <c r="AI841" s="11"/>
    </row>
    <row r="842" spans="35:35" ht="15.75" customHeight="1" x14ac:dyDescent="0.2">
      <c r="AI842" s="11"/>
    </row>
    <row r="843" spans="35:35" ht="15.75" customHeight="1" x14ac:dyDescent="0.2">
      <c r="AI843" s="11"/>
    </row>
    <row r="844" spans="35:35" ht="15.75" customHeight="1" x14ac:dyDescent="0.2">
      <c r="AI844" s="11"/>
    </row>
    <row r="845" spans="35:35" ht="15.75" customHeight="1" x14ac:dyDescent="0.2">
      <c r="AI845" s="11"/>
    </row>
    <row r="846" spans="35:35" ht="15.75" customHeight="1" x14ac:dyDescent="0.2">
      <c r="AI846" s="11"/>
    </row>
    <row r="847" spans="35:35" ht="15.75" customHeight="1" x14ac:dyDescent="0.2">
      <c r="AI847" s="11"/>
    </row>
    <row r="848" spans="35:35" ht="15.75" customHeight="1" x14ac:dyDescent="0.2">
      <c r="AI848" s="11"/>
    </row>
    <row r="849" spans="35:35" ht="15.75" customHeight="1" x14ac:dyDescent="0.2">
      <c r="AI849" s="11"/>
    </row>
    <row r="850" spans="35:35" ht="15.75" customHeight="1" x14ac:dyDescent="0.2">
      <c r="AI850" s="11"/>
    </row>
    <row r="851" spans="35:35" ht="15.75" customHeight="1" x14ac:dyDescent="0.2">
      <c r="AI851" s="11"/>
    </row>
    <row r="852" spans="35:35" ht="15.75" customHeight="1" x14ac:dyDescent="0.2">
      <c r="AI852" s="11"/>
    </row>
    <row r="853" spans="35:35" ht="15.75" customHeight="1" x14ac:dyDescent="0.2">
      <c r="AI853" s="11"/>
    </row>
    <row r="854" spans="35:35" ht="15.75" customHeight="1" x14ac:dyDescent="0.2">
      <c r="AI854" s="11"/>
    </row>
    <row r="855" spans="35:35" ht="15.75" customHeight="1" x14ac:dyDescent="0.2">
      <c r="AI855" s="11"/>
    </row>
    <row r="856" spans="35:35" ht="15.75" customHeight="1" x14ac:dyDescent="0.2">
      <c r="AI856" s="11"/>
    </row>
    <row r="857" spans="35:35" ht="15.75" customHeight="1" x14ac:dyDescent="0.2">
      <c r="AI857" s="11"/>
    </row>
    <row r="858" spans="35:35" ht="15.75" customHeight="1" x14ac:dyDescent="0.2">
      <c r="AI858" s="11"/>
    </row>
    <row r="859" spans="35:35" ht="15.75" customHeight="1" x14ac:dyDescent="0.2">
      <c r="AI859" s="11"/>
    </row>
    <row r="860" spans="35:35" ht="15.75" customHeight="1" x14ac:dyDescent="0.2">
      <c r="AI860" s="11"/>
    </row>
    <row r="861" spans="35:35" ht="15.75" customHeight="1" x14ac:dyDescent="0.2">
      <c r="AI861" s="11"/>
    </row>
    <row r="862" spans="35:35" ht="15.75" customHeight="1" x14ac:dyDescent="0.2">
      <c r="AI862" s="11"/>
    </row>
    <row r="863" spans="35:35" ht="15.75" customHeight="1" x14ac:dyDescent="0.2">
      <c r="AI863" s="11"/>
    </row>
    <row r="864" spans="35:35" ht="15.75" customHeight="1" x14ac:dyDescent="0.2">
      <c r="AI864" s="11"/>
    </row>
    <row r="865" spans="35:35" ht="15.75" customHeight="1" x14ac:dyDescent="0.2">
      <c r="AI865" s="11"/>
    </row>
    <row r="866" spans="35:35" ht="15.75" customHeight="1" x14ac:dyDescent="0.2">
      <c r="AI866" s="11"/>
    </row>
    <row r="867" spans="35:35" ht="15.75" customHeight="1" x14ac:dyDescent="0.2">
      <c r="AI867" s="11"/>
    </row>
    <row r="868" spans="35:35" ht="15.75" customHeight="1" x14ac:dyDescent="0.2">
      <c r="AI868" s="11"/>
    </row>
    <row r="869" spans="35:35" ht="15.75" customHeight="1" x14ac:dyDescent="0.2">
      <c r="AI869" s="11"/>
    </row>
    <row r="870" spans="35:35" ht="15.75" customHeight="1" x14ac:dyDescent="0.2">
      <c r="AI870" s="11"/>
    </row>
    <row r="871" spans="35:35" ht="15.75" customHeight="1" x14ac:dyDescent="0.2">
      <c r="AI871" s="11"/>
    </row>
    <row r="872" spans="35:35" ht="15.75" customHeight="1" x14ac:dyDescent="0.2">
      <c r="AI872" s="11"/>
    </row>
    <row r="873" spans="35:35" ht="15.75" customHeight="1" x14ac:dyDescent="0.2">
      <c r="AI873" s="11"/>
    </row>
    <row r="874" spans="35:35" ht="15.75" customHeight="1" x14ac:dyDescent="0.2">
      <c r="AI874" s="11"/>
    </row>
    <row r="875" spans="35:35" ht="15.75" customHeight="1" x14ac:dyDescent="0.2">
      <c r="AI875" s="11"/>
    </row>
    <row r="876" spans="35:35" ht="15.75" customHeight="1" x14ac:dyDescent="0.2">
      <c r="AI876" s="11"/>
    </row>
    <row r="877" spans="35:35" ht="15.75" customHeight="1" x14ac:dyDescent="0.2">
      <c r="AI877" s="11"/>
    </row>
    <row r="878" spans="35:35" ht="15.75" customHeight="1" x14ac:dyDescent="0.2">
      <c r="AI878" s="11"/>
    </row>
    <row r="879" spans="35:35" ht="15.75" customHeight="1" x14ac:dyDescent="0.2">
      <c r="AI879" s="11"/>
    </row>
    <row r="880" spans="35:35" ht="15.75" customHeight="1" x14ac:dyDescent="0.2">
      <c r="AI880" s="11"/>
    </row>
    <row r="881" spans="35:35" ht="15.75" customHeight="1" x14ac:dyDescent="0.2">
      <c r="AI881" s="11"/>
    </row>
    <row r="882" spans="35:35" ht="15.75" customHeight="1" x14ac:dyDescent="0.2">
      <c r="AI882" s="11"/>
    </row>
    <row r="883" spans="35:35" ht="15.75" customHeight="1" x14ac:dyDescent="0.2">
      <c r="AI883" s="11"/>
    </row>
    <row r="884" spans="35:35" ht="15.75" customHeight="1" x14ac:dyDescent="0.2">
      <c r="AI884" s="11"/>
    </row>
    <row r="885" spans="35:35" ht="15.75" customHeight="1" x14ac:dyDescent="0.2">
      <c r="AI885" s="11"/>
    </row>
    <row r="886" spans="35:35" ht="15.75" customHeight="1" x14ac:dyDescent="0.2">
      <c r="AI886" s="11"/>
    </row>
    <row r="887" spans="35:35" ht="15.75" customHeight="1" x14ac:dyDescent="0.2">
      <c r="AI887" s="11"/>
    </row>
    <row r="888" spans="35:35" ht="15.75" customHeight="1" x14ac:dyDescent="0.2">
      <c r="AI888" s="11"/>
    </row>
    <row r="889" spans="35:35" ht="15.75" customHeight="1" x14ac:dyDescent="0.2">
      <c r="AI889" s="11"/>
    </row>
    <row r="890" spans="35:35" ht="15.75" customHeight="1" x14ac:dyDescent="0.2">
      <c r="AI890" s="11"/>
    </row>
    <row r="891" spans="35:35" ht="15.75" customHeight="1" x14ac:dyDescent="0.2">
      <c r="AI891" s="11"/>
    </row>
    <row r="892" spans="35:35" ht="15.75" customHeight="1" x14ac:dyDescent="0.2">
      <c r="AI892" s="11"/>
    </row>
    <row r="893" spans="35:35" ht="15.75" customHeight="1" x14ac:dyDescent="0.2">
      <c r="AI893" s="11"/>
    </row>
    <row r="894" spans="35:35" ht="15.75" customHeight="1" x14ac:dyDescent="0.2">
      <c r="AI894" s="11"/>
    </row>
    <row r="895" spans="35:35" ht="15.75" customHeight="1" x14ac:dyDescent="0.2">
      <c r="AI895" s="11"/>
    </row>
    <row r="896" spans="35:35" ht="15.75" customHeight="1" x14ac:dyDescent="0.2">
      <c r="AI896" s="11"/>
    </row>
    <row r="897" spans="35:35" ht="15.75" customHeight="1" x14ac:dyDescent="0.2">
      <c r="AI897" s="11"/>
    </row>
    <row r="898" spans="35:35" ht="15.75" customHeight="1" x14ac:dyDescent="0.2">
      <c r="AI898" s="11"/>
    </row>
    <row r="899" spans="35:35" ht="15.75" customHeight="1" x14ac:dyDescent="0.2">
      <c r="AI899" s="11"/>
    </row>
    <row r="900" spans="35:35" ht="15.75" customHeight="1" x14ac:dyDescent="0.2">
      <c r="AI900" s="11"/>
    </row>
    <row r="901" spans="35:35" ht="15.75" customHeight="1" x14ac:dyDescent="0.2">
      <c r="AI901" s="11"/>
    </row>
    <row r="902" spans="35:35" ht="15.75" customHeight="1" x14ac:dyDescent="0.2">
      <c r="AI902" s="11"/>
    </row>
    <row r="903" spans="35:35" ht="15.75" customHeight="1" x14ac:dyDescent="0.2">
      <c r="AI903" s="11"/>
    </row>
    <row r="904" spans="35:35" ht="15.75" customHeight="1" x14ac:dyDescent="0.2">
      <c r="AI904" s="11"/>
    </row>
    <row r="905" spans="35:35" ht="15.75" customHeight="1" x14ac:dyDescent="0.2">
      <c r="AI905" s="11"/>
    </row>
    <row r="906" spans="35:35" ht="15.75" customHeight="1" x14ac:dyDescent="0.2">
      <c r="AI906" s="11"/>
    </row>
    <row r="907" spans="35:35" ht="15.75" customHeight="1" x14ac:dyDescent="0.2">
      <c r="AI907" s="11"/>
    </row>
    <row r="908" spans="35:35" ht="15.75" customHeight="1" x14ac:dyDescent="0.2">
      <c r="AI908" s="11"/>
    </row>
    <row r="909" spans="35:35" ht="15.75" customHeight="1" x14ac:dyDescent="0.2">
      <c r="AI909" s="11"/>
    </row>
    <row r="910" spans="35:35" ht="15.75" customHeight="1" x14ac:dyDescent="0.2">
      <c r="AI910" s="11"/>
    </row>
    <row r="911" spans="35:35" ht="15.75" customHeight="1" x14ac:dyDescent="0.2">
      <c r="AI911" s="11"/>
    </row>
    <row r="912" spans="35:35" ht="15.75" customHeight="1" x14ac:dyDescent="0.2">
      <c r="AI912" s="11"/>
    </row>
    <row r="913" spans="35:35" ht="15.75" customHeight="1" x14ac:dyDescent="0.2">
      <c r="AI913" s="11"/>
    </row>
    <row r="914" spans="35:35" ht="15.75" customHeight="1" x14ac:dyDescent="0.2">
      <c r="AI914" s="11"/>
    </row>
    <row r="915" spans="35:35" ht="15.75" customHeight="1" x14ac:dyDescent="0.2">
      <c r="AI915" s="11"/>
    </row>
    <row r="916" spans="35:35" ht="15.75" customHeight="1" x14ac:dyDescent="0.2">
      <c r="AI916" s="11"/>
    </row>
    <row r="917" spans="35:35" ht="15.75" customHeight="1" x14ac:dyDescent="0.2">
      <c r="AI917" s="11"/>
    </row>
    <row r="918" spans="35:35" ht="15.75" customHeight="1" x14ac:dyDescent="0.2">
      <c r="AI918" s="11"/>
    </row>
    <row r="919" spans="35:35" ht="15.75" customHeight="1" x14ac:dyDescent="0.2">
      <c r="AI919" s="11"/>
    </row>
    <row r="920" spans="35:35" ht="15.75" customHeight="1" x14ac:dyDescent="0.2">
      <c r="AI920" s="11"/>
    </row>
    <row r="921" spans="35:35" ht="15.75" customHeight="1" x14ac:dyDescent="0.2">
      <c r="AI921" s="11"/>
    </row>
    <row r="922" spans="35:35" ht="15.75" customHeight="1" x14ac:dyDescent="0.2">
      <c r="AI922" s="11"/>
    </row>
    <row r="923" spans="35:35" ht="15.75" customHeight="1" x14ac:dyDescent="0.2">
      <c r="AI923" s="11"/>
    </row>
    <row r="924" spans="35:35" ht="15.75" customHeight="1" x14ac:dyDescent="0.2">
      <c r="AI924" s="11"/>
    </row>
    <row r="925" spans="35:35" ht="15.75" customHeight="1" x14ac:dyDescent="0.2">
      <c r="AI925" s="11"/>
    </row>
    <row r="926" spans="35:35" ht="15.75" customHeight="1" x14ac:dyDescent="0.2">
      <c r="AI926" s="11"/>
    </row>
    <row r="927" spans="35:35" ht="15.75" customHeight="1" x14ac:dyDescent="0.2">
      <c r="AI927" s="11"/>
    </row>
    <row r="928" spans="35:35" ht="15.75" customHeight="1" x14ac:dyDescent="0.2">
      <c r="AI928" s="11"/>
    </row>
    <row r="929" spans="35:35" ht="15.75" customHeight="1" x14ac:dyDescent="0.2">
      <c r="AI929" s="11"/>
    </row>
    <row r="930" spans="35:35" ht="15.75" customHeight="1" x14ac:dyDescent="0.2">
      <c r="AI930" s="11"/>
    </row>
    <row r="931" spans="35:35" ht="15.75" customHeight="1" x14ac:dyDescent="0.2">
      <c r="AI931" s="11"/>
    </row>
    <row r="932" spans="35:35" ht="15.75" customHeight="1" x14ac:dyDescent="0.2">
      <c r="AI932" s="11"/>
    </row>
    <row r="933" spans="35:35" ht="15.75" customHeight="1" x14ac:dyDescent="0.2">
      <c r="AI933" s="11"/>
    </row>
    <row r="934" spans="35:35" ht="15.75" customHeight="1" x14ac:dyDescent="0.2">
      <c r="AI934" s="11"/>
    </row>
    <row r="935" spans="35:35" ht="15.75" customHeight="1" x14ac:dyDescent="0.2">
      <c r="AI935" s="11"/>
    </row>
    <row r="936" spans="35:35" ht="15.75" customHeight="1" x14ac:dyDescent="0.2">
      <c r="AI936" s="11"/>
    </row>
    <row r="937" spans="35:35" ht="15.75" customHeight="1" x14ac:dyDescent="0.2">
      <c r="AI937" s="11"/>
    </row>
    <row r="938" spans="35:35" ht="15.75" customHeight="1" x14ac:dyDescent="0.2">
      <c r="AI938" s="11"/>
    </row>
    <row r="939" spans="35:35" ht="15.75" customHeight="1" x14ac:dyDescent="0.2">
      <c r="AI939" s="11"/>
    </row>
    <row r="940" spans="35:35" ht="15.75" customHeight="1" x14ac:dyDescent="0.2">
      <c r="AI940" s="11"/>
    </row>
    <row r="941" spans="35:35" ht="15.75" customHeight="1" x14ac:dyDescent="0.2">
      <c r="AI941" s="11"/>
    </row>
    <row r="942" spans="35:35" ht="15.75" customHeight="1" x14ac:dyDescent="0.2">
      <c r="AI942" s="11"/>
    </row>
    <row r="943" spans="35:35" ht="15.75" customHeight="1" x14ac:dyDescent="0.2">
      <c r="AI943" s="11"/>
    </row>
    <row r="944" spans="35:35" ht="15.75" customHeight="1" x14ac:dyDescent="0.2">
      <c r="AI944" s="11"/>
    </row>
    <row r="945" spans="35:35" ht="15.75" customHeight="1" x14ac:dyDescent="0.2">
      <c r="AI945" s="11"/>
    </row>
    <row r="946" spans="35:35" ht="15.75" customHeight="1" x14ac:dyDescent="0.2">
      <c r="AI946" s="11"/>
    </row>
    <row r="947" spans="35:35" ht="15.75" customHeight="1" x14ac:dyDescent="0.2">
      <c r="AI947" s="11"/>
    </row>
    <row r="948" spans="35:35" ht="15.75" customHeight="1" x14ac:dyDescent="0.2">
      <c r="AI948" s="11"/>
    </row>
    <row r="949" spans="35:35" ht="15.75" customHeight="1" x14ac:dyDescent="0.2">
      <c r="AI949" s="11"/>
    </row>
    <row r="950" spans="35:35" ht="15.75" customHeight="1" x14ac:dyDescent="0.2">
      <c r="AI950" s="11"/>
    </row>
    <row r="951" spans="35:35" ht="15.75" customHeight="1" x14ac:dyDescent="0.2">
      <c r="AI951" s="11"/>
    </row>
    <row r="952" spans="35:35" ht="15.75" customHeight="1" x14ac:dyDescent="0.2">
      <c r="AI952" s="11"/>
    </row>
    <row r="953" spans="35:35" ht="15.75" customHeight="1" x14ac:dyDescent="0.2">
      <c r="AI953" s="11"/>
    </row>
    <row r="954" spans="35:35" ht="15.75" customHeight="1" x14ac:dyDescent="0.2">
      <c r="AI954" s="11"/>
    </row>
    <row r="955" spans="35:35" ht="15.75" customHeight="1" x14ac:dyDescent="0.2">
      <c r="AI955" s="11"/>
    </row>
    <row r="956" spans="35:35" ht="15.75" customHeight="1" x14ac:dyDescent="0.2">
      <c r="AI956" s="11"/>
    </row>
    <row r="957" spans="35:35" ht="15.75" customHeight="1" x14ac:dyDescent="0.2">
      <c r="AI957" s="11"/>
    </row>
    <row r="958" spans="35:35" ht="15.75" customHeight="1" x14ac:dyDescent="0.2">
      <c r="AI958" s="11"/>
    </row>
    <row r="959" spans="35:35" ht="15.75" customHeight="1" x14ac:dyDescent="0.2">
      <c r="AI959" s="11"/>
    </row>
    <row r="960" spans="35:35" ht="15.75" customHeight="1" x14ac:dyDescent="0.2">
      <c r="AI960" s="11"/>
    </row>
    <row r="961" spans="35:35" ht="15.75" customHeight="1" x14ac:dyDescent="0.2">
      <c r="AI961" s="11"/>
    </row>
    <row r="962" spans="35:35" ht="15.75" customHeight="1" x14ac:dyDescent="0.2">
      <c r="AI962" s="11"/>
    </row>
    <row r="963" spans="35:35" ht="15.75" customHeight="1" x14ac:dyDescent="0.2">
      <c r="AI963" s="11"/>
    </row>
    <row r="964" spans="35:35" ht="15.75" customHeight="1" x14ac:dyDescent="0.2">
      <c r="AI964" s="11"/>
    </row>
    <row r="965" spans="35:35" ht="15.75" customHeight="1" x14ac:dyDescent="0.2">
      <c r="AI965" s="11"/>
    </row>
    <row r="966" spans="35:35" ht="15.75" customHeight="1" x14ac:dyDescent="0.2">
      <c r="AI966" s="11"/>
    </row>
    <row r="967" spans="35:35" ht="15.75" customHeight="1" x14ac:dyDescent="0.2">
      <c r="AI967" s="11"/>
    </row>
    <row r="968" spans="35:35" ht="15.75" customHeight="1" x14ac:dyDescent="0.2">
      <c r="AI968" s="11"/>
    </row>
    <row r="969" spans="35:35" ht="15.75" customHeight="1" x14ac:dyDescent="0.2">
      <c r="AI969" s="11"/>
    </row>
    <row r="970" spans="35:35" ht="15.75" customHeight="1" x14ac:dyDescent="0.2">
      <c r="AI970" s="11"/>
    </row>
    <row r="971" spans="35:35" ht="15.75" customHeight="1" x14ac:dyDescent="0.2">
      <c r="AI971" s="11"/>
    </row>
    <row r="972" spans="35:35" ht="15.75" customHeight="1" x14ac:dyDescent="0.2">
      <c r="AI972" s="11"/>
    </row>
    <row r="973" spans="35:35" ht="15.75" customHeight="1" x14ac:dyDescent="0.2">
      <c r="AI973" s="11"/>
    </row>
    <row r="974" spans="35:35" ht="15.75" customHeight="1" x14ac:dyDescent="0.2">
      <c r="AI974" s="11"/>
    </row>
    <row r="975" spans="35:35" ht="15.75" customHeight="1" x14ac:dyDescent="0.2">
      <c r="AI975" s="11"/>
    </row>
    <row r="976" spans="35:35" ht="15.75" customHeight="1" x14ac:dyDescent="0.2">
      <c r="AI976" s="11"/>
    </row>
    <row r="977" spans="35:35" ht="15.75" customHeight="1" x14ac:dyDescent="0.2">
      <c r="AI977" s="11"/>
    </row>
    <row r="978" spans="35:35" ht="15.75" customHeight="1" x14ac:dyDescent="0.2">
      <c r="AI978" s="11"/>
    </row>
    <row r="979" spans="35:35" ht="15.75" customHeight="1" x14ac:dyDescent="0.2">
      <c r="AI979" s="11"/>
    </row>
    <row r="980" spans="35:35" ht="15.75" customHeight="1" x14ac:dyDescent="0.2">
      <c r="AI980" s="11"/>
    </row>
    <row r="981" spans="35:35" ht="15.75" customHeight="1" x14ac:dyDescent="0.2">
      <c r="AI981" s="11"/>
    </row>
    <row r="982" spans="35:35" ht="15.75" customHeight="1" x14ac:dyDescent="0.2">
      <c r="AI982" s="11"/>
    </row>
    <row r="983" spans="35:35" ht="15.75" customHeight="1" x14ac:dyDescent="0.2">
      <c r="AI983" s="11"/>
    </row>
    <row r="984" spans="35:35" ht="15.75" customHeight="1" x14ac:dyDescent="0.2">
      <c r="AI984" s="11"/>
    </row>
    <row r="985" spans="35:35" ht="15.75" customHeight="1" x14ac:dyDescent="0.2">
      <c r="AI985" s="11"/>
    </row>
    <row r="986" spans="35:35" ht="15.75" customHeight="1" x14ac:dyDescent="0.2">
      <c r="AI986" s="11"/>
    </row>
    <row r="987" spans="35:35" ht="15.75" customHeight="1" x14ac:dyDescent="0.2">
      <c r="AI987" s="11"/>
    </row>
    <row r="988" spans="35:35" ht="15.75" customHeight="1" x14ac:dyDescent="0.2">
      <c r="AI988" s="11"/>
    </row>
    <row r="989" spans="35:35" ht="15.75" customHeight="1" x14ac:dyDescent="0.2">
      <c r="AI989" s="11"/>
    </row>
    <row r="990" spans="35:35" ht="15.75" customHeight="1" x14ac:dyDescent="0.2">
      <c r="AI990" s="11"/>
    </row>
    <row r="991" spans="35:35" ht="15.75" customHeight="1" x14ac:dyDescent="0.2">
      <c r="AI991" s="11"/>
    </row>
    <row r="992" spans="35:35" ht="15.75" customHeight="1" x14ac:dyDescent="0.2">
      <c r="AI992" s="11"/>
    </row>
    <row r="993" spans="35:35" ht="15.75" customHeight="1" x14ac:dyDescent="0.2">
      <c r="AI993" s="11"/>
    </row>
    <row r="994" spans="35:35" ht="15.75" customHeight="1" x14ac:dyDescent="0.2">
      <c r="AI994" s="11"/>
    </row>
    <row r="995" spans="35:35" ht="15.75" customHeight="1" x14ac:dyDescent="0.2">
      <c r="AI995" s="11"/>
    </row>
    <row r="996" spans="35:35" ht="15.75" customHeight="1" x14ac:dyDescent="0.2">
      <c r="AI996" s="11"/>
    </row>
    <row r="997" spans="35:35" ht="15.75" customHeight="1" x14ac:dyDescent="0.2">
      <c r="AI997" s="11"/>
    </row>
    <row r="998" spans="35:35" ht="15.75" customHeight="1" x14ac:dyDescent="0.2">
      <c r="AI998" s="11"/>
    </row>
    <row r="999" spans="35:35" ht="15.75" customHeight="1" x14ac:dyDescent="0.2">
      <c r="AI999" s="11"/>
    </row>
    <row r="1000" spans="35:35" ht="15.75" customHeight="1" x14ac:dyDescent="0.2">
      <c r="AI1000" s="11"/>
    </row>
    <row r="1001" spans="35:35" ht="15.75" customHeight="1" x14ac:dyDescent="0.2">
      <c r="AI1001" s="11"/>
    </row>
    <row r="1002" spans="35:35" ht="15.75" customHeight="1" x14ac:dyDescent="0.2">
      <c r="AI1002" s="11"/>
    </row>
    <row r="1003" spans="35:35" ht="15.75" customHeight="1" x14ac:dyDescent="0.2">
      <c r="AI1003" s="11"/>
    </row>
    <row r="1004" spans="35:35" ht="15.75" customHeight="1" x14ac:dyDescent="0.2">
      <c r="AI1004" s="11"/>
    </row>
  </sheetData>
  <mergeCells count="5">
    <mergeCell ref="A1:AH1"/>
    <mergeCell ref="D2:AG2"/>
    <mergeCell ref="AJ2:AO2"/>
    <mergeCell ref="J99:AG99"/>
    <mergeCell ref="J100:AG100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Gráficos</vt:lpstr>
      </vt:variant>
      <vt:variant>
        <vt:i4>1</vt:i4>
      </vt:variant>
    </vt:vector>
  </HeadingPairs>
  <TitlesOfParts>
    <vt:vector size="6" baseType="lpstr">
      <vt:lpstr>Modelo Financiero</vt:lpstr>
      <vt:lpstr>Equipos y Herramientas</vt:lpstr>
      <vt:lpstr>Datos de Entrada</vt:lpstr>
      <vt:lpstr>Restauracion</vt:lpstr>
      <vt:lpstr>Conservacion</vt:lpstr>
      <vt:lpstr>Punto de EQUILIBRIO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2022-11-14T23:29:02Z</dcterms:created>
  <dcterms:modified xsi:type="dcterms:W3CDTF">2022-11-19T14:09:29Z</dcterms:modified>
</cp:coreProperties>
</file>