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Ex1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pivotTables/pivotTable1.xml" ContentType="application/vnd.openxmlformats-officedocument.spreadsheetml.pivotTab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diana\Documents\ESTUDIO\POSGRADO\TESIS\Tesis\"/>
    </mc:Choice>
  </mc:AlternateContent>
  <xr:revisionPtr revIDLastSave="0" documentId="13_ncr:1_{3EAEF4DB-CCF1-4CD1-9CFF-413F0BA894CF}" xr6:coauthVersionLast="47" xr6:coauthVersionMax="47" xr10:uidLastSave="{00000000-0000-0000-0000-000000000000}"/>
  <bookViews>
    <workbookView xWindow="-120" yWindow="-120" windowWidth="20730" windowHeight="11040" tabRatio="927" activeTab="4" xr2:uid="{FA1C3E18-7784-4C93-98DA-BFBAC9E2F37A}"/>
  </bookViews>
  <sheets>
    <sheet name="Indice" sheetId="15" r:id="rId1"/>
    <sheet name="Situación Financiera" sheetId="1" r:id="rId2"/>
    <sheet name="Estado resultados" sheetId="2" r:id="rId3"/>
    <sheet name="Proyecciones Estados Financiero" sheetId="10" r:id="rId4"/>
    <sheet name="Indicadores Financieros" sheetId="19" r:id="rId5"/>
    <sheet name="Valoración Empresa" sheetId="20" r:id="rId6"/>
    <sheet name="Crecimiento Poblacional" sheetId="13" r:id="rId7"/>
    <sheet name="Crecimiento Estudiantil" sheetId="21" r:id="rId8"/>
  </sheets>
  <definedNames>
    <definedName name="_xlchart.v1.0" hidden="1">'Valoración Empresa'!$G$10:$L$10</definedName>
    <definedName name="_xlchart.v1.1" hidden="1">'Valoración Empresa'!$G$24:$L$24</definedName>
    <definedName name="_xlchart.v1.2" hidden="1">'Valoración Empresa'!$G$10:$L$10</definedName>
    <definedName name="_xlchart.v1.3" hidden="1">'Valoración Empresa'!$G$24:$L$24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4" i="19" l="1"/>
  <c r="E18" i="21"/>
  <c r="F18" i="21" s="1"/>
  <c r="C57" i="21"/>
  <c r="C56" i="21"/>
  <c r="C55" i="21"/>
  <c r="C54" i="21"/>
  <c r="C53" i="21"/>
  <c r="C52" i="21"/>
  <c r="C51" i="21"/>
  <c r="C50" i="21"/>
  <c r="C49" i="21"/>
  <c r="C48" i="21"/>
  <c r="C47" i="21"/>
  <c r="C46" i="21"/>
  <c r="C45" i="21"/>
  <c r="C44" i="21"/>
  <c r="C43" i="21"/>
  <c r="D37" i="21"/>
  <c r="D57" i="21" s="1"/>
  <c r="D36" i="21"/>
  <c r="D56" i="21" s="1"/>
  <c r="D35" i="21"/>
  <c r="E35" i="21" s="1"/>
  <c r="D34" i="21"/>
  <c r="D54" i="21" s="1"/>
  <c r="D33" i="21"/>
  <c r="D53" i="21" s="1"/>
  <c r="D32" i="21"/>
  <c r="D52" i="21" s="1"/>
  <c r="D31" i="21"/>
  <c r="E31" i="21" s="1"/>
  <c r="D30" i="21"/>
  <c r="D50" i="21" s="1"/>
  <c r="D29" i="21"/>
  <c r="E29" i="21" s="1"/>
  <c r="F29" i="21" s="1"/>
  <c r="D28" i="21"/>
  <c r="D48" i="21" s="1"/>
  <c r="D27" i="21"/>
  <c r="E27" i="21" s="1"/>
  <c r="D26" i="21"/>
  <c r="D46" i="21" s="1"/>
  <c r="E25" i="21"/>
  <c r="F25" i="21" s="1"/>
  <c r="D25" i="21"/>
  <c r="D45" i="21" s="1"/>
  <c r="D24" i="21"/>
  <c r="D23" i="21"/>
  <c r="E23" i="21" s="1"/>
  <c r="D19" i="21"/>
  <c r="C19" i="21"/>
  <c r="E33" i="21" l="1"/>
  <c r="F33" i="21" s="1"/>
  <c r="D49" i="21"/>
  <c r="E37" i="21"/>
  <c r="F37" i="21" s="1"/>
  <c r="F57" i="21" s="1"/>
  <c r="G18" i="21"/>
  <c r="H18" i="21" s="1"/>
  <c r="F23" i="21"/>
  <c r="G25" i="21"/>
  <c r="G29" i="21"/>
  <c r="G33" i="21"/>
  <c r="D47" i="21"/>
  <c r="F27" i="21"/>
  <c r="F31" i="21"/>
  <c r="F35" i="21"/>
  <c r="D55" i="21"/>
  <c r="C58" i="21"/>
  <c r="D44" i="21"/>
  <c r="E24" i="21"/>
  <c r="E26" i="21"/>
  <c r="E30" i="21"/>
  <c r="E34" i="21"/>
  <c r="D43" i="21"/>
  <c r="D51" i="21"/>
  <c r="E57" i="21"/>
  <c r="E4" i="21"/>
  <c r="E5" i="21"/>
  <c r="F5" i="21" s="1"/>
  <c r="G5" i="21" s="1"/>
  <c r="H5" i="21" s="1"/>
  <c r="E6" i="21"/>
  <c r="F6" i="21" s="1"/>
  <c r="G6" i="21" s="1"/>
  <c r="H6" i="21" s="1"/>
  <c r="E7" i="21"/>
  <c r="F7" i="21" s="1"/>
  <c r="G7" i="21" s="1"/>
  <c r="H7" i="21" s="1"/>
  <c r="E8" i="21"/>
  <c r="F8" i="21" s="1"/>
  <c r="G8" i="21" s="1"/>
  <c r="H8" i="21" s="1"/>
  <c r="E9" i="21"/>
  <c r="F9" i="21" s="1"/>
  <c r="G9" i="21" s="1"/>
  <c r="H9" i="21" s="1"/>
  <c r="E10" i="21"/>
  <c r="F10" i="21" s="1"/>
  <c r="G10" i="21" s="1"/>
  <c r="H10" i="21" s="1"/>
  <c r="E11" i="21"/>
  <c r="F11" i="21" s="1"/>
  <c r="G11" i="21" s="1"/>
  <c r="H11" i="21" s="1"/>
  <c r="E12" i="21"/>
  <c r="F12" i="21" s="1"/>
  <c r="G12" i="21" s="1"/>
  <c r="H12" i="21" s="1"/>
  <c r="E13" i="21"/>
  <c r="F13" i="21" s="1"/>
  <c r="G13" i="21" s="1"/>
  <c r="H13" i="21" s="1"/>
  <c r="E14" i="21"/>
  <c r="F14" i="21" s="1"/>
  <c r="G14" i="21" s="1"/>
  <c r="H14" i="21" s="1"/>
  <c r="E15" i="21"/>
  <c r="F15" i="21" s="1"/>
  <c r="G15" i="21" s="1"/>
  <c r="H15" i="21" s="1"/>
  <c r="E16" i="21"/>
  <c r="F16" i="21" s="1"/>
  <c r="G16" i="21" s="1"/>
  <c r="H16" i="21" s="1"/>
  <c r="E17" i="21"/>
  <c r="F17" i="21" s="1"/>
  <c r="G17" i="21" s="1"/>
  <c r="H17" i="21" s="1"/>
  <c r="E28" i="21"/>
  <c r="E32" i="21"/>
  <c r="E36" i="21"/>
  <c r="G37" i="21" l="1"/>
  <c r="E49" i="21"/>
  <c r="E45" i="21"/>
  <c r="F45" i="21"/>
  <c r="F53" i="21"/>
  <c r="F55" i="21"/>
  <c r="G35" i="21"/>
  <c r="H33" i="21"/>
  <c r="H53" i="21" s="1"/>
  <c r="G53" i="21"/>
  <c r="H25" i="21"/>
  <c r="H45" i="21" s="1"/>
  <c r="G45" i="21"/>
  <c r="F36" i="21"/>
  <c r="E56" i="21"/>
  <c r="E19" i="21"/>
  <c r="F4" i="21"/>
  <c r="F30" i="21"/>
  <c r="E50" i="21"/>
  <c r="F34" i="21"/>
  <c r="E54" i="21"/>
  <c r="F47" i="21"/>
  <c r="G27" i="21"/>
  <c r="E51" i="21"/>
  <c r="E52" i="21"/>
  <c r="F32" i="21"/>
  <c r="F26" i="21"/>
  <c r="E46" i="21"/>
  <c r="F51" i="21"/>
  <c r="G31" i="21"/>
  <c r="H37" i="21"/>
  <c r="H57" i="21" s="1"/>
  <c r="G57" i="21"/>
  <c r="H29" i="21"/>
  <c r="H49" i="21" s="1"/>
  <c r="G49" i="21"/>
  <c r="E43" i="21"/>
  <c r="E48" i="21"/>
  <c r="F28" i="21"/>
  <c r="E53" i="21"/>
  <c r="D58" i="21"/>
  <c r="F24" i="21"/>
  <c r="E44" i="21"/>
  <c r="E55" i="21"/>
  <c r="E47" i="21"/>
  <c r="F49" i="21"/>
  <c r="F43" i="21"/>
  <c r="G23" i="21"/>
  <c r="E58" i="21" l="1"/>
  <c r="G26" i="21"/>
  <c r="F46" i="21"/>
  <c r="H27" i="21"/>
  <c r="H47" i="21" s="1"/>
  <c r="G47" i="21"/>
  <c r="H23" i="21"/>
  <c r="G51" i="21"/>
  <c r="H31" i="21"/>
  <c r="H51" i="21" s="1"/>
  <c r="F52" i="21"/>
  <c r="G32" i="21"/>
  <c r="G30" i="21"/>
  <c r="F50" i="21"/>
  <c r="F56" i="21"/>
  <c r="G36" i="21"/>
  <c r="F48" i="21"/>
  <c r="G28" i="21"/>
  <c r="F19" i="21"/>
  <c r="G4" i="21"/>
  <c r="H35" i="21"/>
  <c r="H55" i="21" s="1"/>
  <c r="G55" i="21"/>
  <c r="F44" i="21"/>
  <c r="G24" i="21"/>
  <c r="G34" i="21"/>
  <c r="F54" i="21"/>
  <c r="F58" i="21" l="1"/>
  <c r="G44" i="21"/>
  <c r="H24" i="21"/>
  <c r="H44" i="21" s="1"/>
  <c r="G19" i="21"/>
  <c r="H4" i="21"/>
  <c r="H19" i="21" s="1"/>
  <c r="G50" i="21"/>
  <c r="H30" i="21"/>
  <c r="H50" i="21" s="1"/>
  <c r="G56" i="21"/>
  <c r="H36" i="21"/>
  <c r="H56" i="21" s="1"/>
  <c r="G52" i="21"/>
  <c r="H32" i="21"/>
  <c r="H52" i="21" s="1"/>
  <c r="G48" i="21"/>
  <c r="H28" i="21"/>
  <c r="H48" i="21" s="1"/>
  <c r="G43" i="21"/>
  <c r="G46" i="21"/>
  <c r="H26" i="21"/>
  <c r="H46" i="21" s="1"/>
  <c r="G54" i="21"/>
  <c r="H34" i="21"/>
  <c r="H54" i="21" s="1"/>
  <c r="H43" i="21" l="1"/>
  <c r="H58" i="21" s="1"/>
  <c r="G58" i="21"/>
  <c r="D39" i="20" l="1"/>
  <c r="D40" i="20"/>
  <c r="D37" i="19"/>
  <c r="E37" i="19"/>
  <c r="F37" i="19"/>
  <c r="G37" i="19"/>
  <c r="C37" i="19"/>
  <c r="D61" i="20"/>
  <c r="F61" i="20" s="1"/>
  <c r="E18" i="20"/>
  <c r="F18" i="20"/>
  <c r="G18" i="20"/>
  <c r="H18" i="20"/>
  <c r="I18" i="20"/>
  <c r="J18" i="20"/>
  <c r="K18" i="20"/>
  <c r="L18" i="20"/>
  <c r="D18" i="20"/>
  <c r="H84" i="20"/>
  <c r="H83" i="20"/>
  <c r="H82" i="20"/>
  <c r="D37" i="20"/>
  <c r="E37" i="20"/>
  <c r="F37" i="20"/>
  <c r="G37" i="20"/>
  <c r="D38" i="20"/>
  <c r="D42" i="20" s="1"/>
  <c r="E38" i="20"/>
  <c r="F38" i="20"/>
  <c r="G38" i="20"/>
  <c r="G43" i="20" s="1"/>
  <c r="E39" i="20"/>
  <c r="F39" i="20"/>
  <c r="G39" i="20"/>
  <c r="E40" i="20"/>
  <c r="F40" i="20"/>
  <c r="G40" i="20"/>
  <c r="D43" i="20"/>
  <c r="E43" i="20"/>
  <c r="D46" i="20"/>
  <c r="E46" i="20"/>
  <c r="F46" i="20"/>
  <c r="G46" i="20"/>
  <c r="I46" i="20"/>
  <c r="J46" i="20"/>
  <c r="K46" i="20"/>
  <c r="L46" i="20"/>
  <c r="H46" i="20"/>
  <c r="H40" i="20"/>
  <c r="I40" i="20"/>
  <c r="J40" i="20"/>
  <c r="K40" i="20"/>
  <c r="L40" i="20"/>
  <c r="H39" i="20"/>
  <c r="I39" i="20"/>
  <c r="J39" i="20"/>
  <c r="K39" i="20"/>
  <c r="L39" i="20"/>
  <c r="H38" i="20"/>
  <c r="I38" i="20"/>
  <c r="J38" i="20"/>
  <c r="K38" i="20"/>
  <c r="L38" i="20"/>
  <c r="H37" i="20"/>
  <c r="I37" i="20"/>
  <c r="J37" i="20"/>
  <c r="K37" i="20"/>
  <c r="L37" i="20"/>
  <c r="E48" i="20" l="1"/>
  <c r="D48" i="20"/>
  <c r="I42" i="20"/>
  <c r="H43" i="20"/>
  <c r="H48" i="20" s="1"/>
  <c r="G42" i="20"/>
  <c r="G44" i="20" s="1"/>
  <c r="E42" i="20"/>
  <c r="E44" i="20" s="1"/>
  <c r="G48" i="20"/>
  <c r="F43" i="20"/>
  <c r="F48" i="20" s="1"/>
  <c r="L42" i="20"/>
  <c r="L47" i="20" s="1"/>
  <c r="H42" i="20"/>
  <c r="H47" i="20" s="1"/>
  <c r="F42" i="20"/>
  <c r="F47" i="20" s="1"/>
  <c r="D47" i="20"/>
  <c r="D44" i="20"/>
  <c r="L43" i="20"/>
  <c r="L48" i="20" s="1"/>
  <c r="I43" i="20"/>
  <c r="I44" i="20" s="1"/>
  <c r="J42" i="20"/>
  <c r="J47" i="20" s="1"/>
  <c r="K42" i="20"/>
  <c r="K47" i="20" s="1"/>
  <c r="J43" i="20"/>
  <c r="J48" i="20" s="1"/>
  <c r="K43" i="20"/>
  <c r="K48" i="20" s="1"/>
  <c r="I47" i="20"/>
  <c r="F44" i="20" l="1"/>
  <c r="D50" i="20"/>
  <c r="G47" i="20"/>
  <c r="G50" i="20" s="1"/>
  <c r="L50" i="20"/>
  <c r="F60" i="20" s="1"/>
  <c r="E47" i="20"/>
  <c r="E50" i="20" s="1"/>
  <c r="H44" i="20"/>
  <c r="F50" i="20"/>
  <c r="L44" i="20"/>
  <c r="I48" i="20"/>
  <c r="I50" i="20" s="1"/>
  <c r="I68" i="20" s="1"/>
  <c r="K50" i="20"/>
  <c r="K68" i="20" s="1"/>
  <c r="K44" i="20"/>
  <c r="H50" i="20"/>
  <c r="H68" i="20" s="1"/>
  <c r="J50" i="20"/>
  <c r="J68" i="20" s="1"/>
  <c r="J44" i="20"/>
  <c r="L68" i="20" l="1"/>
  <c r="H69" i="20"/>
  <c r="I69" i="20" s="1"/>
  <c r="J69" i="20" s="1"/>
  <c r="K69" i="20" s="1"/>
  <c r="L69" i="20" l="1"/>
  <c r="E11" i="20" l="1"/>
  <c r="F11" i="20"/>
  <c r="G11" i="20"/>
  <c r="H11" i="20"/>
  <c r="I11" i="20"/>
  <c r="J11" i="20"/>
  <c r="K11" i="20"/>
  <c r="L11" i="20"/>
  <c r="L14" i="20" s="1"/>
  <c r="E12" i="20"/>
  <c r="F12" i="20"/>
  <c r="G12" i="20"/>
  <c r="H12" i="20"/>
  <c r="I12" i="20"/>
  <c r="J12" i="20"/>
  <c r="K12" i="20"/>
  <c r="L12" i="20"/>
  <c r="E13" i="20"/>
  <c r="F13" i="20"/>
  <c r="G13" i="20"/>
  <c r="H13" i="20"/>
  <c r="I13" i="20"/>
  <c r="J13" i="20"/>
  <c r="K13" i="20"/>
  <c r="L13" i="20"/>
  <c r="E14" i="20"/>
  <c r="I14" i="20"/>
  <c r="E15" i="20"/>
  <c r="F15" i="20"/>
  <c r="G15" i="20"/>
  <c r="H15" i="20"/>
  <c r="I15" i="20"/>
  <c r="J15" i="20"/>
  <c r="K15" i="20"/>
  <c r="L15" i="20"/>
  <c r="E16" i="20"/>
  <c r="E17" i="20"/>
  <c r="F17" i="20"/>
  <c r="G17" i="20"/>
  <c r="H17" i="20"/>
  <c r="I17" i="20"/>
  <c r="J17" i="20"/>
  <c r="K17" i="20"/>
  <c r="L17" i="20"/>
  <c r="E21" i="20"/>
  <c r="F21" i="20"/>
  <c r="G21" i="20"/>
  <c r="H21" i="20"/>
  <c r="I21" i="20"/>
  <c r="J21" i="20"/>
  <c r="K21" i="20"/>
  <c r="L21" i="20"/>
  <c r="D21" i="20"/>
  <c r="D11" i="20"/>
  <c r="D12" i="20"/>
  <c r="D13" i="20"/>
  <c r="D15" i="20"/>
  <c r="D17" i="20"/>
  <c r="D28" i="20"/>
  <c r="E28" i="20"/>
  <c r="F28" i="20"/>
  <c r="G28" i="20"/>
  <c r="H28" i="20"/>
  <c r="I28" i="20"/>
  <c r="J28" i="20"/>
  <c r="K28" i="20"/>
  <c r="L28" i="20"/>
  <c r="D29" i="20"/>
  <c r="E29" i="20"/>
  <c r="F29" i="20"/>
  <c r="G29" i="20"/>
  <c r="H29" i="20"/>
  <c r="I29" i="20"/>
  <c r="J29" i="20"/>
  <c r="K29" i="20"/>
  <c r="L29" i="20"/>
  <c r="D30" i="20"/>
  <c r="E30" i="20"/>
  <c r="F30" i="20"/>
  <c r="G30" i="20"/>
  <c r="H30" i="20"/>
  <c r="I30" i="20"/>
  <c r="J30" i="20"/>
  <c r="K30" i="20"/>
  <c r="L30" i="20"/>
  <c r="C30" i="20"/>
  <c r="C29" i="20"/>
  <c r="C28" i="20"/>
  <c r="D93" i="19"/>
  <c r="E93" i="19"/>
  <c r="F93" i="19"/>
  <c r="G93" i="19"/>
  <c r="G95" i="19" s="1"/>
  <c r="H93" i="19"/>
  <c r="I93" i="19"/>
  <c r="J93" i="19"/>
  <c r="K93" i="19"/>
  <c r="K95" i="19" s="1"/>
  <c r="L93" i="19"/>
  <c r="D94" i="19"/>
  <c r="D95" i="19" s="1"/>
  <c r="E94" i="19"/>
  <c r="F94" i="19"/>
  <c r="F95" i="19" s="1"/>
  <c r="G94" i="19"/>
  <c r="H94" i="19"/>
  <c r="H95" i="19" s="1"/>
  <c r="I94" i="19"/>
  <c r="J94" i="19"/>
  <c r="J95" i="19" s="1"/>
  <c r="K94" i="19"/>
  <c r="L94" i="19"/>
  <c r="L95" i="19" s="1"/>
  <c r="C94" i="19"/>
  <c r="C93" i="19"/>
  <c r="I95" i="19"/>
  <c r="E95" i="19"/>
  <c r="C95" i="19"/>
  <c r="D86" i="19"/>
  <c r="E86" i="19"/>
  <c r="F86" i="19"/>
  <c r="G86" i="19"/>
  <c r="G88" i="19" s="1"/>
  <c r="H86" i="19"/>
  <c r="I86" i="19"/>
  <c r="J86" i="19"/>
  <c r="K86" i="19"/>
  <c r="K88" i="19" s="1"/>
  <c r="L86" i="19"/>
  <c r="D87" i="19"/>
  <c r="E87" i="19"/>
  <c r="F87" i="19"/>
  <c r="F88" i="19" s="1"/>
  <c r="G87" i="19"/>
  <c r="H87" i="19"/>
  <c r="H88" i="19" s="1"/>
  <c r="I87" i="19"/>
  <c r="J87" i="19"/>
  <c r="J88" i="19" s="1"/>
  <c r="K87" i="19"/>
  <c r="L87" i="19"/>
  <c r="L88" i="19" s="1"/>
  <c r="C87" i="19"/>
  <c r="C86" i="19"/>
  <c r="I88" i="19"/>
  <c r="E88" i="19"/>
  <c r="D88" i="19"/>
  <c r="C88" i="19"/>
  <c r="D78" i="19"/>
  <c r="E78" i="19"/>
  <c r="F78" i="19"/>
  <c r="G78" i="19"/>
  <c r="G80" i="19" s="1"/>
  <c r="G81" i="19" s="1"/>
  <c r="H78" i="19"/>
  <c r="I78" i="19"/>
  <c r="J78" i="19"/>
  <c r="K78" i="19"/>
  <c r="K80" i="19" s="1"/>
  <c r="K81" i="19" s="1"/>
  <c r="L78" i="19"/>
  <c r="D79" i="19"/>
  <c r="E79" i="19"/>
  <c r="F79" i="19"/>
  <c r="F80" i="19" s="1"/>
  <c r="F81" i="19" s="1"/>
  <c r="G79" i="19"/>
  <c r="H79" i="19"/>
  <c r="I79" i="19"/>
  <c r="J79" i="19"/>
  <c r="J80" i="19" s="1"/>
  <c r="J81" i="19" s="1"/>
  <c r="K79" i="19"/>
  <c r="L79" i="19"/>
  <c r="C79" i="19"/>
  <c r="C78" i="19"/>
  <c r="L80" i="19"/>
  <c r="L81" i="19" s="1"/>
  <c r="I80" i="19"/>
  <c r="I81" i="19" s="1"/>
  <c r="H80" i="19"/>
  <c r="H81" i="19" s="1"/>
  <c r="E80" i="19"/>
  <c r="E81" i="19" s="1"/>
  <c r="D80" i="19"/>
  <c r="D81" i="19" s="1"/>
  <c r="C80" i="19"/>
  <c r="D72" i="19"/>
  <c r="D74" i="19" s="1"/>
  <c r="E72" i="19"/>
  <c r="F72" i="19"/>
  <c r="G72" i="19"/>
  <c r="G74" i="19" s="1"/>
  <c r="G75" i="19" s="1"/>
  <c r="H72" i="19"/>
  <c r="I72" i="19"/>
  <c r="J72" i="19"/>
  <c r="K72" i="19"/>
  <c r="K74" i="19" s="1"/>
  <c r="K75" i="19" s="1"/>
  <c r="L72" i="19"/>
  <c r="D73" i="19"/>
  <c r="E73" i="19"/>
  <c r="F73" i="19"/>
  <c r="F74" i="19" s="1"/>
  <c r="G73" i="19"/>
  <c r="H73" i="19"/>
  <c r="I73" i="19"/>
  <c r="J73" i="19"/>
  <c r="J74" i="19" s="1"/>
  <c r="K73" i="19"/>
  <c r="L73" i="19"/>
  <c r="C73" i="19"/>
  <c r="C72" i="19"/>
  <c r="L74" i="19"/>
  <c r="I74" i="19"/>
  <c r="H74" i="19"/>
  <c r="E74" i="19"/>
  <c r="C74" i="19"/>
  <c r="D63" i="19"/>
  <c r="E66" i="19" s="1"/>
  <c r="E63" i="19"/>
  <c r="F63" i="19"/>
  <c r="G63" i="19"/>
  <c r="G66" i="19" s="1"/>
  <c r="H63" i="19"/>
  <c r="H66" i="19" s="1"/>
  <c r="I63" i="19"/>
  <c r="J63" i="19"/>
  <c r="K63" i="19"/>
  <c r="L63" i="19"/>
  <c r="L66" i="19" s="1"/>
  <c r="C63" i="19"/>
  <c r="L67" i="19"/>
  <c r="J67" i="19"/>
  <c r="H67" i="19"/>
  <c r="D67" i="19"/>
  <c r="L64" i="19"/>
  <c r="K64" i="19"/>
  <c r="K67" i="19" s="1"/>
  <c r="J64" i="19"/>
  <c r="J65" i="19" s="1"/>
  <c r="I64" i="19"/>
  <c r="I65" i="19" s="1"/>
  <c r="H64" i="19"/>
  <c r="G64" i="19"/>
  <c r="G67" i="19" s="1"/>
  <c r="F64" i="19"/>
  <c r="F65" i="19" s="1"/>
  <c r="E64" i="19"/>
  <c r="F67" i="19" s="1"/>
  <c r="D64" i="19"/>
  <c r="C64" i="19"/>
  <c r="K66" i="19"/>
  <c r="J66" i="19"/>
  <c r="F66" i="19"/>
  <c r="C65" i="19"/>
  <c r="D56" i="19"/>
  <c r="E56" i="19"/>
  <c r="F56" i="19"/>
  <c r="G56" i="19"/>
  <c r="G59" i="19" s="1"/>
  <c r="H56" i="19"/>
  <c r="H59" i="19" s="1"/>
  <c r="I56" i="19"/>
  <c r="J56" i="19"/>
  <c r="K56" i="19"/>
  <c r="L56" i="19"/>
  <c r="C56" i="19"/>
  <c r="L58" i="19"/>
  <c r="K58" i="19"/>
  <c r="J58" i="19"/>
  <c r="I58" i="19"/>
  <c r="H58" i="19"/>
  <c r="G58" i="19"/>
  <c r="F58" i="19"/>
  <c r="E58" i="19"/>
  <c r="D58" i="19"/>
  <c r="C58" i="19"/>
  <c r="L57" i="19"/>
  <c r="K57" i="19"/>
  <c r="J57" i="19"/>
  <c r="J59" i="19" s="1"/>
  <c r="I57" i="19"/>
  <c r="H57" i="19"/>
  <c r="G57" i="19"/>
  <c r="F57" i="19"/>
  <c r="F59" i="19" s="1"/>
  <c r="E57" i="19"/>
  <c r="D57" i="19"/>
  <c r="C57" i="19"/>
  <c r="L59" i="19"/>
  <c r="K59" i="19"/>
  <c r="I59" i="19"/>
  <c r="E59" i="19"/>
  <c r="D59" i="19"/>
  <c r="C59" i="19"/>
  <c r="D46" i="19"/>
  <c r="E46" i="19"/>
  <c r="F46" i="19"/>
  <c r="F49" i="19" s="1"/>
  <c r="F52" i="19" s="1"/>
  <c r="G46" i="19"/>
  <c r="G49" i="19" s="1"/>
  <c r="G52" i="19" s="1"/>
  <c r="H46" i="19"/>
  <c r="I46" i="19"/>
  <c r="J46" i="19"/>
  <c r="K46" i="19"/>
  <c r="L46" i="19"/>
  <c r="D47" i="19"/>
  <c r="E47" i="19"/>
  <c r="E49" i="19" s="1"/>
  <c r="E52" i="19" s="1"/>
  <c r="F47" i="19"/>
  <c r="G47" i="19"/>
  <c r="H47" i="19"/>
  <c r="I47" i="19"/>
  <c r="J47" i="19"/>
  <c r="K47" i="19"/>
  <c r="L47" i="19"/>
  <c r="D48" i="19"/>
  <c r="E48" i="19"/>
  <c r="F48" i="19"/>
  <c r="G48" i="19"/>
  <c r="H48" i="19"/>
  <c r="I48" i="19"/>
  <c r="J48" i="19"/>
  <c r="K48" i="19"/>
  <c r="L48" i="19"/>
  <c r="D49" i="19"/>
  <c r="H49" i="19"/>
  <c r="I49" i="19"/>
  <c r="I52" i="19" s="1"/>
  <c r="J49" i="19"/>
  <c r="K49" i="19"/>
  <c r="K52" i="19" s="1"/>
  <c r="L49" i="19"/>
  <c r="D50" i="19"/>
  <c r="D52" i="19" s="1"/>
  <c r="E50" i="19"/>
  <c r="F50" i="19"/>
  <c r="G50" i="19"/>
  <c r="H50" i="19"/>
  <c r="H52" i="19" s="1"/>
  <c r="I50" i="19"/>
  <c r="J50" i="19"/>
  <c r="K50" i="19"/>
  <c r="L50" i="19"/>
  <c r="L52" i="19" s="1"/>
  <c r="D51" i="19"/>
  <c r="E51" i="19"/>
  <c r="F51" i="19"/>
  <c r="G51" i="19"/>
  <c r="H51" i="19"/>
  <c r="I51" i="19"/>
  <c r="J51" i="19"/>
  <c r="K51" i="19"/>
  <c r="L51" i="19"/>
  <c r="J52" i="19"/>
  <c r="C51" i="19"/>
  <c r="C50" i="19"/>
  <c r="C48" i="19"/>
  <c r="C47" i="19"/>
  <c r="C46" i="19"/>
  <c r="C49" i="19"/>
  <c r="C52" i="19" s="1"/>
  <c r="D33" i="19"/>
  <c r="E33" i="19"/>
  <c r="F33" i="19"/>
  <c r="G33" i="19"/>
  <c r="H33" i="19"/>
  <c r="I33" i="19"/>
  <c r="J33" i="19"/>
  <c r="K33" i="19"/>
  <c r="L33" i="19"/>
  <c r="D34" i="19"/>
  <c r="E34" i="19"/>
  <c r="F34" i="19"/>
  <c r="G34" i="19"/>
  <c r="H34" i="19"/>
  <c r="I34" i="19"/>
  <c r="J34" i="19"/>
  <c r="K34" i="19"/>
  <c r="L34" i="19"/>
  <c r="C34" i="19"/>
  <c r="C33" i="19"/>
  <c r="D38" i="19"/>
  <c r="E38" i="19"/>
  <c r="F38" i="19"/>
  <c r="G38" i="19"/>
  <c r="H38" i="19"/>
  <c r="I38" i="19"/>
  <c r="J38" i="19"/>
  <c r="K38" i="19"/>
  <c r="L38" i="19"/>
  <c r="D39" i="19"/>
  <c r="E39" i="19"/>
  <c r="F39" i="19"/>
  <c r="G39" i="19"/>
  <c r="H39" i="19"/>
  <c r="I39" i="19"/>
  <c r="J39" i="19"/>
  <c r="K39" i="19"/>
  <c r="L39" i="19"/>
  <c r="D40" i="19"/>
  <c r="E40" i="19"/>
  <c r="F40" i="19"/>
  <c r="G40" i="19"/>
  <c r="H40" i="19"/>
  <c r="I40" i="19"/>
  <c r="J40" i="19"/>
  <c r="K40" i="19"/>
  <c r="L40" i="19"/>
  <c r="C40" i="19"/>
  <c r="C39" i="19"/>
  <c r="C38" i="19"/>
  <c r="D27" i="19"/>
  <c r="E27" i="19"/>
  <c r="F27" i="19"/>
  <c r="G27" i="19"/>
  <c r="H27" i="19"/>
  <c r="I27" i="19"/>
  <c r="J27" i="19"/>
  <c r="K27" i="19"/>
  <c r="L27" i="19"/>
  <c r="D28" i="19"/>
  <c r="E28" i="19"/>
  <c r="F28" i="19"/>
  <c r="G28" i="19"/>
  <c r="H28" i="19"/>
  <c r="I28" i="19"/>
  <c r="J28" i="19"/>
  <c r="K28" i="19"/>
  <c r="L28" i="19"/>
  <c r="D29" i="19"/>
  <c r="E29" i="19"/>
  <c r="F29" i="19"/>
  <c r="G29" i="19"/>
  <c r="H29" i="19"/>
  <c r="I29" i="19"/>
  <c r="J29" i="19"/>
  <c r="K29" i="19"/>
  <c r="L29" i="19"/>
  <c r="D30" i="19"/>
  <c r="E30" i="19"/>
  <c r="F30" i="19"/>
  <c r="G30" i="19"/>
  <c r="H30" i="19"/>
  <c r="I30" i="19"/>
  <c r="J30" i="19"/>
  <c r="K30" i="19"/>
  <c r="L30" i="19"/>
  <c r="C30" i="19"/>
  <c r="C29" i="19"/>
  <c r="C28" i="19"/>
  <c r="C27" i="19"/>
  <c r="D23" i="19"/>
  <c r="E23" i="19"/>
  <c r="F23" i="19"/>
  <c r="G23" i="19"/>
  <c r="H23" i="19"/>
  <c r="I23" i="19"/>
  <c r="J23" i="19"/>
  <c r="K23" i="19"/>
  <c r="L23" i="19"/>
  <c r="C23" i="19"/>
  <c r="D22" i="19"/>
  <c r="E22" i="19"/>
  <c r="F22" i="19"/>
  <c r="G22" i="19"/>
  <c r="H22" i="19"/>
  <c r="I22" i="19"/>
  <c r="J22" i="19"/>
  <c r="K22" i="19"/>
  <c r="L22" i="19"/>
  <c r="C22" i="19"/>
  <c r="H44" i="10"/>
  <c r="I56" i="10"/>
  <c r="J56" i="10"/>
  <c r="K56" i="10" s="1"/>
  <c r="L56" i="10" s="1"/>
  <c r="H56" i="10"/>
  <c r="I44" i="10"/>
  <c r="J44" i="10" s="1"/>
  <c r="K44" i="10" s="1"/>
  <c r="L44" i="10" s="1"/>
  <c r="H37" i="10"/>
  <c r="H35" i="10"/>
  <c r="I35" i="10"/>
  <c r="J35" i="10"/>
  <c r="K35" i="10"/>
  <c r="L35" i="10" s="1"/>
  <c r="H24" i="10"/>
  <c r="I18" i="10"/>
  <c r="J18" i="10" s="1"/>
  <c r="H18" i="10"/>
  <c r="H16" i="19"/>
  <c r="J43" i="10"/>
  <c r="K43" i="10"/>
  <c r="L43" i="10"/>
  <c r="I43" i="10"/>
  <c r="I52" i="10"/>
  <c r="J52" i="10"/>
  <c r="K52" i="10"/>
  <c r="L52" i="10"/>
  <c r="H52" i="10"/>
  <c r="D16" i="19"/>
  <c r="E16" i="19"/>
  <c r="F16" i="19"/>
  <c r="G16" i="19"/>
  <c r="D17" i="19"/>
  <c r="E17" i="19"/>
  <c r="F17" i="19"/>
  <c r="G17" i="19"/>
  <c r="D18" i="19"/>
  <c r="E18" i="19"/>
  <c r="F18" i="19"/>
  <c r="G18" i="19"/>
  <c r="H18" i="19"/>
  <c r="C17" i="19"/>
  <c r="C18" i="19"/>
  <c r="C16" i="19"/>
  <c r="D14" i="19"/>
  <c r="E14" i="19"/>
  <c r="F14" i="19"/>
  <c r="D15" i="19"/>
  <c r="E15" i="19"/>
  <c r="F15" i="19"/>
  <c r="G15" i="19"/>
  <c r="C15" i="19"/>
  <c r="C14" i="19"/>
  <c r="D10" i="19"/>
  <c r="E10" i="19"/>
  <c r="F10" i="19"/>
  <c r="G10" i="19"/>
  <c r="D11" i="19"/>
  <c r="E11" i="19"/>
  <c r="F11" i="19"/>
  <c r="G11" i="19"/>
  <c r="C11" i="19"/>
  <c r="C10" i="19"/>
  <c r="D9" i="19"/>
  <c r="E9" i="19"/>
  <c r="F9" i="19"/>
  <c r="G9" i="19"/>
  <c r="C9" i="19"/>
  <c r="D6" i="19"/>
  <c r="E6" i="19"/>
  <c r="F6" i="19"/>
  <c r="G6" i="19"/>
  <c r="C6" i="19"/>
  <c r="D5" i="19"/>
  <c r="E5" i="19"/>
  <c r="F5" i="19"/>
  <c r="G5" i="19"/>
  <c r="C5" i="19"/>
  <c r="D4" i="19"/>
  <c r="E4" i="19"/>
  <c r="F4" i="19"/>
  <c r="G4" i="19"/>
  <c r="H39" i="10"/>
  <c r="H57" i="10"/>
  <c r="H14" i="19" s="1"/>
  <c r="G53" i="10"/>
  <c r="H42" i="10"/>
  <c r="G43" i="1"/>
  <c r="H54" i="10"/>
  <c r="I11" i="10"/>
  <c r="J11" i="10"/>
  <c r="K11" i="10"/>
  <c r="L11" i="10"/>
  <c r="H11" i="10"/>
  <c r="H12" i="10" s="1"/>
  <c r="H14" i="20" l="1"/>
  <c r="E19" i="20"/>
  <c r="L31" i="20"/>
  <c r="L32" i="20" s="1"/>
  <c r="H16" i="20"/>
  <c r="H19" i="20" s="1"/>
  <c r="G14" i="20"/>
  <c r="G16" i="20" s="1"/>
  <c r="G19" i="20" s="1"/>
  <c r="I16" i="20"/>
  <c r="I19" i="20" s="1"/>
  <c r="J14" i="20"/>
  <c r="J16" i="20" s="1"/>
  <c r="J19" i="20" s="1"/>
  <c r="F31" i="20"/>
  <c r="F32" i="20" s="1"/>
  <c r="L16" i="20"/>
  <c r="L19" i="20" s="1"/>
  <c r="F14" i="20"/>
  <c r="F16" i="20" s="1"/>
  <c r="F19" i="20" s="1"/>
  <c r="K14" i="20"/>
  <c r="K16" i="20" s="1"/>
  <c r="K19" i="20" s="1"/>
  <c r="K31" i="20"/>
  <c r="K32" i="20" s="1"/>
  <c r="J31" i="20"/>
  <c r="J32" i="20" s="1"/>
  <c r="C31" i="20"/>
  <c r="C32" i="20" s="1"/>
  <c r="D14" i="20"/>
  <c r="D16" i="20" s="1"/>
  <c r="D19" i="20" s="1"/>
  <c r="I31" i="20"/>
  <c r="I32" i="20" s="1"/>
  <c r="E31" i="20"/>
  <c r="E32" i="20" s="1"/>
  <c r="H31" i="20"/>
  <c r="H32" i="20" s="1"/>
  <c r="D31" i="20"/>
  <c r="D32" i="20" s="1"/>
  <c r="G31" i="20"/>
  <c r="G32" i="20" s="1"/>
  <c r="M95" i="19"/>
  <c r="M88" i="19"/>
  <c r="C81" i="19"/>
  <c r="M81" i="19" s="1"/>
  <c r="M80" i="19"/>
  <c r="H75" i="19"/>
  <c r="M74" i="19"/>
  <c r="L75" i="19"/>
  <c r="D75" i="19"/>
  <c r="E75" i="19"/>
  <c r="I75" i="19"/>
  <c r="F75" i="19"/>
  <c r="J75" i="19"/>
  <c r="I66" i="19"/>
  <c r="D66" i="19"/>
  <c r="D65" i="19"/>
  <c r="M65" i="19" s="1"/>
  <c r="H65" i="19"/>
  <c r="L65" i="19"/>
  <c r="E67" i="19"/>
  <c r="I67" i="19"/>
  <c r="G65" i="19"/>
  <c r="K65" i="19"/>
  <c r="E65" i="19"/>
  <c r="M59" i="19"/>
  <c r="M52" i="19"/>
  <c r="C35" i="19"/>
  <c r="H45" i="10"/>
  <c r="K18" i="10"/>
  <c r="L18" i="10" s="1"/>
  <c r="H17" i="19"/>
  <c r="H47" i="10"/>
  <c r="H59" i="10" s="1"/>
  <c r="K33" i="20" l="1"/>
  <c r="K20" i="20" s="1"/>
  <c r="K22" i="20" s="1"/>
  <c r="K24" i="20" s="1"/>
  <c r="L33" i="20"/>
  <c r="L20" i="20" s="1"/>
  <c r="L22" i="20" s="1"/>
  <c r="L24" i="20" s="1"/>
  <c r="F59" i="20" s="1"/>
  <c r="F62" i="20" s="1"/>
  <c r="L75" i="20" s="1"/>
  <c r="J33" i="20"/>
  <c r="J20" i="20" s="1"/>
  <c r="J22" i="20" s="1"/>
  <c r="J24" i="20" s="1"/>
  <c r="G33" i="20"/>
  <c r="G20" i="20" s="1"/>
  <c r="G22" i="20" s="1"/>
  <c r="G24" i="20" s="1"/>
  <c r="E33" i="20"/>
  <c r="E20" i="20" s="1"/>
  <c r="E22" i="20" s="1"/>
  <c r="E24" i="20" s="1"/>
  <c r="F33" i="20"/>
  <c r="F20" i="20" s="1"/>
  <c r="F22" i="20" s="1"/>
  <c r="F24" i="20" s="1"/>
  <c r="I33" i="20"/>
  <c r="I20" i="20" s="1"/>
  <c r="I22" i="20" s="1"/>
  <c r="I24" i="20" s="1"/>
  <c r="D33" i="20"/>
  <c r="D20" i="20" s="1"/>
  <c r="D22" i="20" s="1"/>
  <c r="H33" i="20"/>
  <c r="H20" i="20" s="1"/>
  <c r="H22" i="20" s="1"/>
  <c r="H24" i="20" s="1"/>
  <c r="I16" i="19"/>
  <c r="J16" i="19"/>
  <c r="I17" i="19"/>
  <c r="J17" i="19"/>
  <c r="K16" i="19"/>
  <c r="K17" i="19"/>
  <c r="H10" i="19"/>
  <c r="H11" i="19"/>
  <c r="J71" i="20" l="1"/>
  <c r="J74" i="20" s="1"/>
  <c r="K71" i="20"/>
  <c r="K74" i="20" s="1"/>
  <c r="I71" i="20"/>
  <c r="I74" i="20" s="1"/>
  <c r="D24" i="20"/>
  <c r="H71" i="20"/>
  <c r="H74" i="20" s="1"/>
  <c r="L16" i="19"/>
  <c r="L17" i="19"/>
  <c r="L71" i="20" l="1"/>
  <c r="L74" i="20" s="1"/>
  <c r="H77" i="20" s="1"/>
  <c r="H78" i="20"/>
  <c r="L72" i="20"/>
  <c r="H79" i="20" l="1"/>
  <c r="H81" i="20" s="1"/>
  <c r="H85" i="20" s="1"/>
  <c r="I25" i="10" l="1"/>
  <c r="J25" i="10" s="1"/>
  <c r="K25" i="10" s="1"/>
  <c r="L25" i="10" s="1"/>
  <c r="H25" i="10"/>
  <c r="B68" i="10"/>
  <c r="C68" i="10"/>
  <c r="D68" i="10"/>
  <c r="E68" i="10"/>
  <c r="F68" i="10"/>
  <c r="G68" i="10"/>
  <c r="B69" i="10"/>
  <c r="C69" i="10"/>
  <c r="D69" i="10"/>
  <c r="E69" i="10"/>
  <c r="F69" i="10"/>
  <c r="G69" i="10"/>
  <c r="B70" i="10"/>
  <c r="C70" i="10"/>
  <c r="D70" i="10"/>
  <c r="E70" i="10"/>
  <c r="F70" i="10"/>
  <c r="G70" i="10"/>
  <c r="B71" i="10"/>
  <c r="C71" i="10"/>
  <c r="D71" i="10"/>
  <c r="E71" i="10"/>
  <c r="F71" i="10"/>
  <c r="G71" i="10"/>
  <c r="B72" i="10"/>
  <c r="C72" i="10"/>
  <c r="D72" i="10"/>
  <c r="E72" i="10"/>
  <c r="F72" i="10"/>
  <c r="G72" i="10"/>
  <c r="B73" i="10"/>
  <c r="C73" i="10"/>
  <c r="D73" i="10"/>
  <c r="E73" i="10"/>
  <c r="F73" i="10"/>
  <c r="G73" i="10"/>
  <c r="B74" i="10"/>
  <c r="C74" i="10"/>
  <c r="D74" i="10"/>
  <c r="E74" i="10"/>
  <c r="F74" i="10"/>
  <c r="G74" i="10"/>
  <c r="B75" i="10"/>
  <c r="C75" i="10"/>
  <c r="D75" i="10"/>
  <c r="E75" i="10"/>
  <c r="F75" i="10"/>
  <c r="G75" i="10"/>
  <c r="B76" i="10"/>
  <c r="C76" i="10"/>
  <c r="D76" i="10"/>
  <c r="E76" i="10"/>
  <c r="F76" i="10"/>
  <c r="G76" i="10"/>
  <c r="B77" i="10"/>
  <c r="C77" i="10"/>
  <c r="D77" i="10"/>
  <c r="E77" i="10"/>
  <c r="F77" i="10"/>
  <c r="G77" i="10"/>
  <c r="B78" i="10"/>
  <c r="C78" i="10"/>
  <c r="D78" i="10"/>
  <c r="E78" i="10"/>
  <c r="F78" i="10"/>
  <c r="G78" i="10"/>
  <c r="B79" i="10"/>
  <c r="C79" i="10"/>
  <c r="D79" i="10"/>
  <c r="E79" i="10"/>
  <c r="F79" i="10"/>
  <c r="G79" i="10"/>
  <c r="B80" i="10"/>
  <c r="C80" i="10"/>
  <c r="D80" i="10"/>
  <c r="E80" i="10"/>
  <c r="F80" i="10"/>
  <c r="G80" i="10"/>
  <c r="B81" i="10"/>
  <c r="C81" i="10"/>
  <c r="D81" i="10"/>
  <c r="E81" i="10"/>
  <c r="F81" i="10"/>
  <c r="G81" i="10"/>
  <c r="C82" i="10"/>
  <c r="D82" i="10"/>
  <c r="E82" i="10"/>
  <c r="F82" i="10"/>
  <c r="G82" i="10"/>
  <c r="B67" i="10"/>
  <c r="F59" i="10"/>
  <c r="E59" i="10"/>
  <c r="D59" i="10"/>
  <c r="C59" i="10"/>
  <c r="G57" i="10"/>
  <c r="G14" i="19" s="1"/>
  <c r="F57" i="10"/>
  <c r="E57" i="10"/>
  <c r="D57" i="10"/>
  <c r="C57" i="10"/>
  <c r="H55" i="10"/>
  <c r="I53" i="10"/>
  <c r="J53" i="10" s="1"/>
  <c r="K53" i="10" s="1"/>
  <c r="L53" i="10" s="1"/>
  <c r="H53" i="10"/>
  <c r="I51" i="10"/>
  <c r="J51" i="10" s="1"/>
  <c r="K51" i="10" s="1"/>
  <c r="L51" i="10" s="1"/>
  <c r="H51" i="10"/>
  <c r="G50" i="10"/>
  <c r="F50" i="10"/>
  <c r="E50" i="10"/>
  <c r="D50" i="10"/>
  <c r="C50" i="10"/>
  <c r="G21" i="10"/>
  <c r="F21" i="10"/>
  <c r="E21" i="10"/>
  <c r="E29" i="10" s="1"/>
  <c r="E60" i="10" s="1"/>
  <c r="D21" i="10"/>
  <c r="C21" i="10"/>
  <c r="G27" i="10"/>
  <c r="F27" i="10"/>
  <c r="F29" i="10" s="1"/>
  <c r="F60" i="10" s="1"/>
  <c r="E27" i="10"/>
  <c r="D27" i="10"/>
  <c r="C27" i="10"/>
  <c r="G29" i="10"/>
  <c r="C29" i="10"/>
  <c r="C60" i="10" s="1"/>
  <c r="E39" i="10"/>
  <c r="G33" i="10"/>
  <c r="F33" i="10"/>
  <c r="E33" i="10"/>
  <c r="D33" i="10"/>
  <c r="C33" i="10"/>
  <c r="H5" i="10"/>
  <c r="B17" i="10"/>
  <c r="C17" i="10"/>
  <c r="D17" i="10"/>
  <c r="E17" i="10"/>
  <c r="F17" i="10"/>
  <c r="G17" i="10"/>
  <c r="B18" i="10"/>
  <c r="C18" i="10"/>
  <c r="D18" i="10"/>
  <c r="E18" i="10"/>
  <c r="F18" i="10"/>
  <c r="G18" i="10"/>
  <c r="B19" i="10"/>
  <c r="C19" i="10"/>
  <c r="D19" i="10"/>
  <c r="E19" i="10"/>
  <c r="F19" i="10"/>
  <c r="G19" i="10"/>
  <c r="B20" i="10"/>
  <c r="C20" i="10"/>
  <c r="D20" i="10"/>
  <c r="E20" i="10"/>
  <c r="F20" i="10"/>
  <c r="G20" i="10"/>
  <c r="B21" i="10"/>
  <c r="B23" i="10"/>
  <c r="B24" i="10"/>
  <c r="C24" i="10"/>
  <c r="D24" i="10"/>
  <c r="E24" i="10"/>
  <c r="F24" i="10"/>
  <c r="G24" i="10"/>
  <c r="B25" i="10"/>
  <c r="C25" i="10"/>
  <c r="D25" i="10"/>
  <c r="E25" i="10"/>
  <c r="F25" i="10"/>
  <c r="G25" i="10"/>
  <c r="B27" i="10"/>
  <c r="B29" i="10"/>
  <c r="B32" i="10"/>
  <c r="B33" i="10"/>
  <c r="B34" i="10"/>
  <c r="C34" i="10"/>
  <c r="C39" i="10" s="1"/>
  <c r="D34" i="10"/>
  <c r="D39" i="10" s="1"/>
  <c r="D47" i="10" s="1"/>
  <c r="E34" i="10"/>
  <c r="F34" i="10"/>
  <c r="F39" i="10" s="1"/>
  <c r="F47" i="10" s="1"/>
  <c r="G34" i="10"/>
  <c r="G39" i="10" s="1"/>
  <c r="B35" i="10"/>
  <c r="C35" i="10"/>
  <c r="D35" i="10"/>
  <c r="E35" i="10"/>
  <c r="F35" i="10"/>
  <c r="G35" i="10"/>
  <c r="B36" i="10"/>
  <c r="C36" i="10"/>
  <c r="D36" i="10"/>
  <c r="E36" i="10"/>
  <c r="F36" i="10"/>
  <c r="G36" i="10"/>
  <c r="B37" i="10"/>
  <c r="C37" i="10"/>
  <c r="D37" i="10"/>
  <c r="E37" i="10"/>
  <c r="F37" i="10"/>
  <c r="G37" i="10"/>
  <c r="B38" i="10"/>
  <c r="C38" i="10"/>
  <c r="D38" i="10"/>
  <c r="E38" i="10"/>
  <c r="F38" i="10"/>
  <c r="G38" i="10"/>
  <c r="B39" i="10"/>
  <c r="B41" i="10"/>
  <c r="B42" i="10"/>
  <c r="C42" i="10"/>
  <c r="D42" i="10"/>
  <c r="E42" i="10"/>
  <c r="F42" i="10"/>
  <c r="G42" i="10"/>
  <c r="B43" i="10"/>
  <c r="C43" i="10"/>
  <c r="D43" i="10"/>
  <c r="E43" i="10"/>
  <c r="F43" i="10"/>
  <c r="G43" i="10"/>
  <c r="B44" i="10"/>
  <c r="C44" i="10"/>
  <c r="D44" i="10"/>
  <c r="E44" i="10"/>
  <c r="F44" i="10"/>
  <c r="G44" i="10"/>
  <c r="B45" i="10"/>
  <c r="C45" i="10"/>
  <c r="D45" i="10"/>
  <c r="E45" i="10"/>
  <c r="E47" i="10" s="1"/>
  <c r="F45" i="10"/>
  <c r="G45" i="10"/>
  <c r="B47" i="10"/>
  <c r="B49" i="10"/>
  <c r="B50" i="10"/>
  <c r="B51" i="10"/>
  <c r="C51" i="10"/>
  <c r="D51" i="10"/>
  <c r="E51" i="10"/>
  <c r="F51" i="10"/>
  <c r="G51" i="10"/>
  <c r="B52" i="10"/>
  <c r="C52" i="10"/>
  <c r="D52" i="10"/>
  <c r="E52" i="10"/>
  <c r="F52" i="10"/>
  <c r="B53" i="10"/>
  <c r="C53" i="10"/>
  <c r="D53" i="10"/>
  <c r="E53" i="10"/>
  <c r="F53" i="10"/>
  <c r="B54" i="10"/>
  <c r="C54" i="10"/>
  <c r="D54" i="10"/>
  <c r="E54" i="10"/>
  <c r="F54" i="10"/>
  <c r="G54" i="10"/>
  <c r="B55" i="10"/>
  <c r="C55" i="10"/>
  <c r="D55" i="10"/>
  <c r="E55" i="10"/>
  <c r="F55" i="10"/>
  <c r="B56" i="10"/>
  <c r="C56" i="10"/>
  <c r="D56" i="10"/>
  <c r="E56" i="10"/>
  <c r="F56" i="10"/>
  <c r="G56" i="10"/>
  <c r="B57" i="10"/>
  <c r="B59" i="10"/>
  <c r="D16" i="10"/>
  <c r="E16" i="10"/>
  <c r="F16" i="10"/>
  <c r="G16" i="10"/>
  <c r="C16" i="10"/>
  <c r="B16" i="10"/>
  <c r="B15" i="10"/>
  <c r="G59" i="10" l="1"/>
  <c r="G60" i="10"/>
  <c r="D29" i="10"/>
  <c r="D60" i="10" s="1"/>
  <c r="G47" i="10"/>
  <c r="C47" i="10"/>
  <c r="F43" i="1" l="1"/>
  <c r="E43" i="1"/>
  <c r="F42" i="1"/>
  <c r="E42" i="1"/>
  <c r="D42" i="1"/>
  <c r="D43" i="1"/>
  <c r="C42" i="1"/>
  <c r="G42" i="1"/>
  <c r="H20" i="2"/>
  <c r="H18" i="2"/>
  <c r="I18" i="2"/>
  <c r="J18" i="2"/>
  <c r="K18" i="2"/>
  <c r="L18" i="2"/>
  <c r="H19" i="2"/>
  <c r="I19" i="2"/>
  <c r="J19" i="2"/>
  <c r="K19" i="2"/>
  <c r="L19" i="2"/>
  <c r="D20" i="2"/>
  <c r="D12" i="2"/>
  <c r="E12" i="2"/>
  <c r="F12" i="2"/>
  <c r="G12" i="2"/>
  <c r="D17" i="2"/>
  <c r="E17" i="2"/>
  <c r="F17" i="2"/>
  <c r="G17" i="2"/>
  <c r="D8" i="2"/>
  <c r="E8" i="2"/>
  <c r="F8" i="2"/>
  <c r="G8" i="2"/>
  <c r="G10" i="2" s="1"/>
  <c r="D10" i="2"/>
  <c r="E10" i="2"/>
  <c r="F10" i="2"/>
  <c r="C10" i="2"/>
  <c r="C8" i="2"/>
  <c r="C13" i="2"/>
  <c r="G16" i="2"/>
  <c r="F16" i="2"/>
  <c r="E35" i="19" l="1"/>
  <c r="F35" i="19"/>
  <c r="G35" i="19"/>
  <c r="D35" i="19"/>
  <c r="C32" i="19"/>
  <c r="D32" i="19" s="1"/>
  <c r="E32" i="19" s="1"/>
  <c r="F32" i="19" s="1"/>
  <c r="G32" i="19" s="1"/>
  <c r="J5" i="10" l="1"/>
  <c r="I5" i="10"/>
  <c r="K5" i="10" l="1"/>
  <c r="L5" i="10" s="1"/>
  <c r="D11" i="10" l="1"/>
  <c r="E11" i="10"/>
  <c r="F11" i="10"/>
  <c r="G11" i="10"/>
  <c r="C11" i="10"/>
  <c r="H64" i="10"/>
  <c r="H63" i="10"/>
  <c r="L10" i="10"/>
  <c r="K10" i="10"/>
  <c r="J10" i="10"/>
  <c r="I10" i="10"/>
  <c r="H10" i="10"/>
  <c r="D45" i="1" l="1"/>
  <c r="G45" i="1"/>
  <c r="F45" i="1"/>
  <c r="E45" i="1"/>
  <c r="J40" i="1" s="1"/>
  <c r="K12" i="10"/>
  <c r="I64" i="10"/>
  <c r="J64" i="10" s="1"/>
  <c r="K64" i="10" s="1"/>
  <c r="I12" i="10"/>
  <c r="L12" i="10"/>
  <c r="J12" i="10"/>
  <c r="I63" i="10"/>
  <c r="C15" i="1"/>
  <c r="E27" i="1"/>
  <c r="D15" i="1"/>
  <c r="F15" i="1"/>
  <c r="E15" i="1"/>
  <c r="F9" i="1"/>
  <c r="G9" i="1"/>
  <c r="E9" i="1"/>
  <c r="H81" i="10" l="1"/>
  <c r="I81" i="10" s="1"/>
  <c r="J81" i="10" s="1"/>
  <c r="K81" i="10" s="1"/>
  <c r="L81" i="10" s="1"/>
  <c r="H76" i="10"/>
  <c r="I76" i="10" s="1"/>
  <c r="J76" i="10" s="1"/>
  <c r="K76" i="10" s="1"/>
  <c r="L76" i="10" s="1"/>
  <c r="H69" i="10"/>
  <c r="H73" i="10"/>
  <c r="I73" i="10" s="1"/>
  <c r="J73" i="10" s="1"/>
  <c r="K73" i="10" s="1"/>
  <c r="L73" i="10" s="1"/>
  <c r="H71" i="10"/>
  <c r="I71" i="10" s="1"/>
  <c r="J71" i="10" s="1"/>
  <c r="K71" i="10" s="1"/>
  <c r="L71" i="10" s="1"/>
  <c r="H75" i="10"/>
  <c r="I75" i="10" s="1"/>
  <c r="J75" i="10" s="1"/>
  <c r="K75" i="10" s="1"/>
  <c r="L75" i="10" s="1"/>
  <c r="H68" i="10"/>
  <c r="I68" i="10" s="1"/>
  <c r="H78" i="10"/>
  <c r="I78" i="10" s="1"/>
  <c r="J78" i="10" s="1"/>
  <c r="K78" i="10" s="1"/>
  <c r="L78" i="10" s="1"/>
  <c r="H77" i="10"/>
  <c r="I77" i="10" s="1"/>
  <c r="J77" i="10" s="1"/>
  <c r="K77" i="10" s="1"/>
  <c r="L77" i="10" s="1"/>
  <c r="H34" i="10"/>
  <c r="H38" i="10"/>
  <c r="I38" i="10" s="1"/>
  <c r="J38" i="10" s="1"/>
  <c r="K38" i="10" s="1"/>
  <c r="L38" i="10" s="1"/>
  <c r="H20" i="10"/>
  <c r="I20" i="10" s="1"/>
  <c r="J20" i="10" s="1"/>
  <c r="K20" i="10" s="1"/>
  <c r="L20" i="10" s="1"/>
  <c r="H36" i="10"/>
  <c r="I36" i="10" s="1"/>
  <c r="J36" i="10" s="1"/>
  <c r="K36" i="10" s="1"/>
  <c r="L36" i="10" s="1"/>
  <c r="H19" i="10"/>
  <c r="I19" i="10" s="1"/>
  <c r="J19" i="10" s="1"/>
  <c r="K19" i="10" s="1"/>
  <c r="L19" i="10" s="1"/>
  <c r="I37" i="10"/>
  <c r="J37" i="10" s="1"/>
  <c r="K37" i="10" s="1"/>
  <c r="L37" i="10" s="1"/>
  <c r="I40" i="1"/>
  <c r="K40" i="1"/>
  <c r="L40" i="1"/>
  <c r="D27" i="1"/>
  <c r="J39" i="1"/>
  <c r="J63" i="10"/>
  <c r="L64" i="10"/>
  <c r="J41" i="1"/>
  <c r="K42" i="1"/>
  <c r="K43" i="1"/>
  <c r="L43" i="1"/>
  <c r="L42" i="1"/>
  <c r="L41" i="1"/>
  <c r="L39" i="1"/>
  <c r="J43" i="1"/>
  <c r="J42" i="1"/>
  <c r="K41" i="1"/>
  <c r="K39" i="1"/>
  <c r="D9" i="1"/>
  <c r="G15" i="1"/>
  <c r="I18" i="19" l="1"/>
  <c r="J68" i="10"/>
  <c r="H70" i="10"/>
  <c r="H72" i="10" s="1"/>
  <c r="H74" i="10" s="1"/>
  <c r="H79" i="10" s="1"/>
  <c r="I69" i="10"/>
  <c r="J69" i="10" s="1"/>
  <c r="K69" i="10" s="1"/>
  <c r="H27" i="10"/>
  <c r="I24" i="10"/>
  <c r="H21" i="10"/>
  <c r="I34" i="10"/>
  <c r="I42" i="10"/>
  <c r="J45" i="1"/>
  <c r="K45" i="1"/>
  <c r="L45" i="1"/>
  <c r="F41" i="19"/>
  <c r="E41" i="19"/>
  <c r="G41" i="19"/>
  <c r="E24" i="19"/>
  <c r="D24" i="19"/>
  <c r="F24" i="19"/>
  <c r="K63" i="10"/>
  <c r="J18" i="19" l="1"/>
  <c r="H6" i="19"/>
  <c r="H4" i="19"/>
  <c r="L69" i="10"/>
  <c r="H80" i="10"/>
  <c r="H82" i="10" s="1"/>
  <c r="K68" i="10"/>
  <c r="L68" i="10" s="1"/>
  <c r="J70" i="10"/>
  <c r="J72" i="10" s="1"/>
  <c r="J74" i="10" s="1"/>
  <c r="J79" i="10" s="1"/>
  <c r="I70" i="10"/>
  <c r="I72" i="10" s="1"/>
  <c r="I74" i="10" s="1"/>
  <c r="I79" i="10" s="1"/>
  <c r="I21" i="10"/>
  <c r="J42" i="10"/>
  <c r="I45" i="10"/>
  <c r="I27" i="10"/>
  <c r="J24" i="10"/>
  <c r="J34" i="10"/>
  <c r="I39" i="10"/>
  <c r="H29" i="10"/>
  <c r="D41" i="19"/>
  <c r="C24" i="19"/>
  <c r="I41" i="19"/>
  <c r="H41" i="19"/>
  <c r="G24" i="19"/>
  <c r="L63" i="10"/>
  <c r="L18" i="19" l="1"/>
  <c r="K18" i="19"/>
  <c r="I4" i="19"/>
  <c r="I6" i="19"/>
  <c r="H15" i="19"/>
  <c r="H9" i="19"/>
  <c r="H5" i="19"/>
  <c r="H60" i="10"/>
  <c r="I55" i="10"/>
  <c r="I82" i="10"/>
  <c r="I54" i="10" s="1"/>
  <c r="I57" i="10" s="1"/>
  <c r="I80" i="10"/>
  <c r="J80" i="10"/>
  <c r="J82" i="10"/>
  <c r="J54" i="10" s="1"/>
  <c r="I29" i="10"/>
  <c r="I15" i="19" s="1"/>
  <c r="L70" i="10"/>
  <c r="L72" i="10" s="1"/>
  <c r="L74" i="10" s="1"/>
  <c r="L79" i="10" s="1"/>
  <c r="K70" i="10"/>
  <c r="K72" i="10" s="1"/>
  <c r="K74" i="10" s="1"/>
  <c r="K79" i="10" s="1"/>
  <c r="I47" i="10"/>
  <c r="K34" i="10"/>
  <c r="J39" i="10"/>
  <c r="J45" i="10"/>
  <c r="K42" i="10"/>
  <c r="J27" i="10"/>
  <c r="K24" i="10"/>
  <c r="J21" i="10"/>
  <c r="J6" i="19" l="1"/>
  <c r="J4" i="19"/>
  <c r="I10" i="19"/>
  <c r="I9" i="19"/>
  <c r="I5" i="19"/>
  <c r="J47" i="10"/>
  <c r="I11" i="19"/>
  <c r="I59" i="10"/>
  <c r="I60" i="10" s="1"/>
  <c r="I14" i="19"/>
  <c r="K80" i="10"/>
  <c r="K82" i="10" s="1"/>
  <c r="K54" i="10" s="1"/>
  <c r="J55" i="10"/>
  <c r="K55" i="10" s="1"/>
  <c r="L80" i="10"/>
  <c r="L82" i="10" s="1"/>
  <c r="L54" i="10" s="1"/>
  <c r="L21" i="10"/>
  <c r="K21" i="10"/>
  <c r="L24" i="10"/>
  <c r="L27" i="10" s="1"/>
  <c r="K27" i="10"/>
  <c r="L34" i="10"/>
  <c r="L39" i="10" s="1"/>
  <c r="K39" i="10"/>
  <c r="J29" i="10"/>
  <c r="J15" i="19" s="1"/>
  <c r="K45" i="10"/>
  <c r="L42" i="10"/>
  <c r="L45" i="10" s="1"/>
  <c r="J41" i="19"/>
  <c r="H35" i="19"/>
  <c r="K4" i="19" l="1"/>
  <c r="K6" i="19"/>
  <c r="L6" i="19"/>
  <c r="L4" i="19"/>
  <c r="J10" i="19"/>
  <c r="J9" i="19"/>
  <c r="J5" i="19"/>
  <c r="K11" i="19"/>
  <c r="L47" i="10"/>
  <c r="L11" i="19" s="1"/>
  <c r="J11" i="19"/>
  <c r="K57" i="10"/>
  <c r="K14" i="19" s="1"/>
  <c r="L55" i="10"/>
  <c r="L57" i="10" s="1"/>
  <c r="K47" i="10"/>
  <c r="J57" i="10"/>
  <c r="K29" i="10"/>
  <c r="K15" i="19" s="1"/>
  <c r="L29" i="10"/>
  <c r="L15" i="19" s="1"/>
  <c r="K41" i="19"/>
  <c r="I35" i="19"/>
  <c r="K59" i="10" l="1"/>
  <c r="K60" i="10" s="1"/>
  <c r="K10" i="19"/>
  <c r="K9" i="19"/>
  <c r="K5" i="19"/>
  <c r="L10" i="19"/>
  <c r="L9" i="19"/>
  <c r="L5" i="19"/>
  <c r="J59" i="10"/>
  <c r="J60" i="10" s="1"/>
  <c r="J14" i="19"/>
  <c r="L59" i="10"/>
  <c r="L60" i="10" s="1"/>
  <c r="L14" i="19"/>
  <c r="L41" i="19"/>
  <c r="H24" i="19"/>
  <c r="J35" i="19"/>
  <c r="I24" i="19" l="1"/>
  <c r="K35" i="19"/>
  <c r="J24" i="19" l="1"/>
  <c r="L35" i="19"/>
  <c r="K8" i="13"/>
  <c r="L8" i="13" s="1"/>
  <c r="K9" i="13"/>
  <c r="L9" i="13" s="1"/>
  <c r="K10" i="13"/>
  <c r="L10" i="13"/>
  <c r="K11" i="13"/>
  <c r="L11" i="13"/>
  <c r="K12" i="13"/>
  <c r="L12" i="13"/>
  <c r="K13" i="13"/>
  <c r="L13" i="13"/>
  <c r="K14" i="13"/>
  <c r="L14" i="13"/>
  <c r="K15" i="13"/>
  <c r="L15" i="13"/>
  <c r="K16" i="13"/>
  <c r="L16" i="13"/>
  <c r="K17" i="13"/>
  <c r="L17" i="13"/>
  <c r="K18" i="13"/>
  <c r="L18" i="13"/>
  <c r="K24" i="19" l="1"/>
  <c r="L24" i="19" l="1"/>
  <c r="M24" i="19" s="1"/>
  <c r="J16" i="2" l="1"/>
  <c r="J9" i="2"/>
  <c r="J15" i="2"/>
  <c r="J13" i="2"/>
  <c r="J7" i="2"/>
  <c r="J6" i="2"/>
  <c r="J11" i="2"/>
  <c r="J14" i="2"/>
  <c r="J8" i="2"/>
  <c r="F13" i="2"/>
  <c r="G13" i="2"/>
  <c r="H6" i="2" l="1"/>
  <c r="L11" i="2"/>
  <c r="L15" i="2"/>
  <c r="L7" i="2"/>
  <c r="L14" i="2"/>
  <c r="L9" i="2"/>
  <c r="L6" i="2"/>
  <c r="H13" i="2"/>
  <c r="K15" i="2"/>
  <c r="K7" i="2"/>
  <c r="K11" i="2"/>
  <c r="K14" i="2"/>
  <c r="K6" i="2"/>
  <c r="K9" i="2"/>
  <c r="I14" i="2"/>
  <c r="I6" i="2"/>
  <c r="I15" i="2"/>
  <c r="I13" i="2"/>
  <c r="I7" i="2"/>
  <c r="I16" i="2"/>
  <c r="I9" i="2"/>
  <c r="I11" i="2"/>
  <c r="L13" i="2"/>
  <c r="K13" i="2"/>
  <c r="L16" i="2"/>
  <c r="K16" i="2"/>
  <c r="H11" i="2"/>
  <c r="H14" i="2"/>
  <c r="H16" i="2"/>
  <c r="H9" i="2"/>
  <c r="H15" i="2"/>
  <c r="H7" i="2"/>
  <c r="L8" i="2"/>
  <c r="K8" i="2"/>
  <c r="D33" i="1"/>
  <c r="D17" i="1"/>
  <c r="I8" i="2"/>
  <c r="E20" i="2" l="1"/>
  <c r="J20" i="2" s="1"/>
  <c r="J17" i="2"/>
  <c r="C27" i="1"/>
  <c r="C33" i="1"/>
  <c r="C41" i="19"/>
  <c r="C12" i="2"/>
  <c r="C17" i="2" s="1"/>
  <c r="H8" i="2"/>
  <c r="J10" i="2"/>
  <c r="J12" i="2"/>
  <c r="G20" i="2"/>
  <c r="I42" i="1"/>
  <c r="I39" i="1"/>
  <c r="I41" i="1"/>
  <c r="I43" i="1"/>
  <c r="C9" i="1"/>
  <c r="D35" i="1"/>
  <c r="I5" i="1"/>
  <c r="I13" i="1"/>
  <c r="I12" i="1"/>
  <c r="I7" i="1"/>
  <c r="I15" i="1"/>
  <c r="I6" i="1"/>
  <c r="I9" i="1"/>
  <c r="I45" i="1" l="1"/>
  <c r="I12" i="2"/>
  <c r="F20" i="2"/>
  <c r="H10" i="2"/>
  <c r="C20" i="2"/>
  <c r="C35" i="1"/>
  <c r="H30" i="1" s="1"/>
  <c r="D12" i="10"/>
  <c r="E12" i="10"/>
  <c r="C45" i="1"/>
  <c r="K10" i="2"/>
  <c r="F12" i="10"/>
  <c r="G12" i="10"/>
  <c r="I10" i="2"/>
  <c r="L12" i="2"/>
  <c r="L10" i="2"/>
  <c r="K12" i="2"/>
  <c r="H12" i="2"/>
  <c r="I17" i="2"/>
  <c r="D47" i="1"/>
  <c r="I23" i="1"/>
  <c r="I30" i="1"/>
  <c r="I31" i="1"/>
  <c r="I22" i="1"/>
  <c r="I26" i="1"/>
  <c r="I27" i="1"/>
  <c r="I25" i="1"/>
  <c r="I24" i="1"/>
  <c r="I32" i="1"/>
  <c r="I33" i="1"/>
  <c r="I17" i="1"/>
  <c r="C17" i="1"/>
  <c r="H40" i="1" l="1"/>
  <c r="H25" i="1"/>
  <c r="H22" i="1"/>
  <c r="H24" i="1"/>
  <c r="I35" i="1"/>
  <c r="H32" i="1"/>
  <c r="H33" i="1"/>
  <c r="H31" i="1"/>
  <c r="H27" i="1"/>
  <c r="H26" i="1"/>
  <c r="H23" i="1"/>
  <c r="H43" i="1"/>
  <c r="H9" i="1"/>
  <c r="L17" i="2"/>
  <c r="K17" i="2"/>
  <c r="H17" i="2"/>
  <c r="I20" i="2"/>
  <c r="H39" i="1"/>
  <c r="H42" i="1"/>
  <c r="H41" i="1"/>
  <c r="H13" i="1"/>
  <c r="H12" i="1"/>
  <c r="H7" i="1"/>
  <c r="H15" i="1"/>
  <c r="H5" i="1"/>
  <c r="H6" i="1"/>
  <c r="E17" i="1"/>
  <c r="F22" i="1"/>
  <c r="G22" i="1"/>
  <c r="H45" i="1" l="1"/>
  <c r="H35" i="1"/>
  <c r="E33" i="1"/>
  <c r="E35" i="1"/>
  <c r="J32" i="1" s="1"/>
  <c r="H17" i="1"/>
  <c r="K20" i="2"/>
  <c r="L20" i="2"/>
  <c r="F27" i="1"/>
  <c r="E47" i="1"/>
  <c r="G27" i="1"/>
  <c r="J12" i="1"/>
  <c r="J5" i="1"/>
  <c r="J6" i="1"/>
  <c r="J13" i="1"/>
  <c r="J7" i="1"/>
  <c r="J15" i="1"/>
  <c r="J9" i="1"/>
  <c r="G17" i="1"/>
  <c r="F17" i="1"/>
  <c r="F33" i="1" l="1"/>
  <c r="J27" i="1"/>
  <c r="J25" i="1"/>
  <c r="J26" i="1"/>
  <c r="J33" i="1"/>
  <c r="J35" i="1" s="1"/>
  <c r="J22" i="1"/>
  <c r="J31" i="1"/>
  <c r="J24" i="1"/>
  <c r="G33" i="1"/>
  <c r="J23" i="1"/>
  <c r="J30" i="1"/>
  <c r="J17" i="1"/>
  <c r="K5" i="1"/>
  <c r="K13" i="1"/>
  <c r="K6" i="1"/>
  <c r="K12" i="1"/>
  <c r="K7" i="1"/>
  <c r="K15" i="1"/>
  <c r="K9" i="1"/>
  <c r="L6" i="1"/>
  <c r="L5" i="1"/>
  <c r="L7" i="1"/>
  <c r="L13" i="1"/>
  <c r="L9" i="1"/>
  <c r="L12" i="1"/>
  <c r="L15" i="1"/>
  <c r="F35" i="1" l="1"/>
  <c r="K27" i="1" s="1"/>
  <c r="G35" i="1"/>
  <c r="L27" i="1" s="1"/>
  <c r="L17" i="1"/>
  <c r="K17" i="1"/>
  <c r="F47" i="1"/>
  <c r="K31" i="1"/>
  <c r="K23" i="1"/>
  <c r="K26" i="1"/>
  <c r="K25" i="1"/>
  <c r="K30" i="1"/>
  <c r="K24" i="1"/>
  <c r="K22" i="1"/>
  <c r="K32" i="1"/>
  <c r="G47" i="1"/>
  <c r="L30" i="1"/>
  <c r="K33" i="1"/>
  <c r="K35" i="1" s="1"/>
  <c r="L32" i="1" l="1"/>
  <c r="L25" i="1"/>
  <c r="L26" i="1"/>
  <c r="L33" i="1"/>
  <c r="L35" i="1" s="1"/>
  <c r="L22" i="1"/>
  <c r="L31" i="1"/>
  <c r="L24" i="1"/>
  <c r="L23" i="1"/>
  <c r="C47" i="1" l="1"/>
</calcChain>
</file>

<file path=xl/sharedStrings.xml><?xml version="1.0" encoding="utf-8"?>
<sst xmlns="http://schemas.openxmlformats.org/spreadsheetml/2006/main" count="925" uniqueCount="287">
  <si>
    <t>ACTIVOS</t>
  </si>
  <si>
    <t>Efectivo y Equivalentes de Efectivo</t>
  </si>
  <si>
    <t>Clientes y otras cuentas comerciales por cobrar</t>
  </si>
  <si>
    <t>Activos por Impuestos  corrientes</t>
  </si>
  <si>
    <t>Impuesto Diferido Renta</t>
  </si>
  <si>
    <t>TOTAL ACTIVOS CORRIENTES</t>
  </si>
  <si>
    <t xml:space="preserve">ACTIVOS NO CORRIENTES </t>
  </si>
  <si>
    <t>Propiedad Planta Y Equipo</t>
  </si>
  <si>
    <t>Intangibles</t>
  </si>
  <si>
    <t>TOTAL ACTIVOS NO CORRIENTES</t>
  </si>
  <si>
    <t>TOTAL ACTIVOS</t>
  </si>
  <si>
    <t>Préstamos Corto Plazo</t>
  </si>
  <si>
    <t xml:space="preserve">Proveedores </t>
  </si>
  <si>
    <t>Cuentas Por Pagar</t>
  </si>
  <si>
    <t xml:space="preserve">Impuestos Por Pagar </t>
  </si>
  <si>
    <t xml:space="preserve">Beneficios A Empleados </t>
  </si>
  <si>
    <t>TOTAL PASIVOS CORRIENTES</t>
  </si>
  <si>
    <t>PASIVOS NO CORRIENTES</t>
  </si>
  <si>
    <t>Préstamos Largo Plazo</t>
  </si>
  <si>
    <t>Pasivo Por Impuesto Diferido</t>
  </si>
  <si>
    <t>Otros Pasivos</t>
  </si>
  <si>
    <t>TOTAL PASIVOS NO CORRIENTES</t>
  </si>
  <si>
    <t xml:space="preserve">TOTAL PASIVOS </t>
  </si>
  <si>
    <t>PATRIMONIO</t>
  </si>
  <si>
    <t>Capital Suscrito y Pagado</t>
  </si>
  <si>
    <t>Reserva Legal</t>
  </si>
  <si>
    <t>Reservas Ocasionales</t>
  </si>
  <si>
    <t>Utilidad Y/O Pérdida del Ejercicio</t>
  </si>
  <si>
    <t xml:space="preserve">Utilidades / Pérdidas Acumuladas </t>
  </si>
  <si>
    <t>Utilidades acumuladas por operaciones NIIF</t>
  </si>
  <si>
    <t>TOTAL PATRIMONIO</t>
  </si>
  <si>
    <t>TOTAL PASIVO + PATRIMONIO</t>
  </si>
  <si>
    <t>INGRESOS POR SERVICIOS</t>
  </si>
  <si>
    <t>INGRESOS BRUTOS OPERACIONALES</t>
  </si>
  <si>
    <t xml:space="preserve">DEVOLUCIONES Y DESCUENTOS EN SERVICIOS </t>
  </si>
  <si>
    <t xml:space="preserve">INGRESOS NETOS </t>
  </si>
  <si>
    <t xml:space="preserve">COSTO DE VENTAS </t>
  </si>
  <si>
    <t>UTILIDAD BRUTA</t>
  </si>
  <si>
    <t xml:space="preserve">GASTOS DE ADMINISTRACION </t>
  </si>
  <si>
    <t>OTROS INGRESOS</t>
  </si>
  <si>
    <t>OTROS GASTOS</t>
  </si>
  <si>
    <t>UTILIDAD OPERACIONAL</t>
  </si>
  <si>
    <t xml:space="preserve">INGRESOS FINANCIEROS </t>
  </si>
  <si>
    <t xml:space="preserve">GASTOS FINANCIEROS </t>
  </si>
  <si>
    <t xml:space="preserve">UTILIDAD ANTES DE IMPUESTOS </t>
  </si>
  <si>
    <t>Gasto por Impuesto Sobre laRenta</t>
  </si>
  <si>
    <t>Gasto por Impuesto Diferido Sobre la Renta</t>
  </si>
  <si>
    <t>RESULTADO DEL PERIODO</t>
  </si>
  <si>
    <t>AÑO</t>
  </si>
  <si>
    <t>EBITDA</t>
  </si>
  <si>
    <t>Área</t>
  </si>
  <si>
    <t>Total</t>
  </si>
  <si>
    <t>Año</t>
  </si>
  <si>
    <t>Suma de Población</t>
  </si>
  <si>
    <t>Suma de 
Población</t>
  </si>
  <si>
    <t>Crecimiento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</si>
  <si>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</si>
  <si>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</si>
  <si>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</si>
  <si>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</si>
  <si>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</si>
  <si>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</si>
  <si>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</si>
  <si>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</si>
  <si>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</si>
  <si>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</si>
  <si>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</si>
  <si>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</si>
  <si>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Total general</t>
  </si>
  <si>
    <t>2070</t>
  </si>
  <si>
    <t>Total Nacional</t>
  </si>
  <si>
    <t>00</t>
  </si>
  <si>
    <t>Centros Poblados y Rural Disperso</t>
  </si>
  <si>
    <t>Cabecera Municipal</t>
  </si>
  <si>
    <t>2069</t>
  </si>
  <si>
    <t>2068</t>
  </si>
  <si>
    <t>2067</t>
  </si>
  <si>
    <t>2066</t>
  </si>
  <si>
    <t>2065</t>
  </si>
  <si>
    <t>2064</t>
  </si>
  <si>
    <t>2063</t>
  </si>
  <si>
    <t>2062</t>
  </si>
  <si>
    <t>2061</t>
  </si>
  <si>
    <t>2060</t>
  </si>
  <si>
    <t>2059</t>
  </si>
  <si>
    <t>2058</t>
  </si>
  <si>
    <t>2057</t>
  </si>
  <si>
    <t>2056</t>
  </si>
  <si>
    <t>2055</t>
  </si>
  <si>
    <t>2054</t>
  </si>
  <si>
    <t>2053</t>
  </si>
  <si>
    <t>2052</t>
  </si>
  <si>
    <t>2051</t>
  </si>
  <si>
    <t>2050</t>
  </si>
  <si>
    <t>2049</t>
  </si>
  <si>
    <t>2048</t>
  </si>
  <si>
    <t>2047</t>
  </si>
  <si>
    <t>2046</t>
  </si>
  <si>
    <t>2045</t>
  </si>
  <si>
    <t>2044</t>
  </si>
  <si>
    <t>2043</t>
  </si>
  <si>
    <t>2042</t>
  </si>
  <si>
    <t>2041</t>
  </si>
  <si>
    <t>2040</t>
  </si>
  <si>
    <t>2039</t>
  </si>
  <si>
    <t>2038</t>
  </si>
  <si>
    <t>2037</t>
  </si>
  <si>
    <t>2036</t>
  </si>
  <si>
    <t>2035</t>
  </si>
  <si>
    <t>2034</t>
  </si>
  <si>
    <t>2033</t>
  </si>
  <si>
    <t>Población</t>
  </si>
  <si>
    <t>Nombre</t>
  </si>
  <si>
    <t>Código</t>
  </si>
  <si>
    <t>PROYECCIONES DE POBLACIÓN A NIVEL NACIONAL. PERIODO 2018 - 2070.</t>
  </si>
  <si>
    <t>PROYECCIONES DE POBLACIÓN NACIONAL, POR ÁREA.</t>
  </si>
  <si>
    <t>PASIVOS</t>
  </si>
  <si>
    <t>ESTADOS FINANCIEROS CIFRAS HISTORICAS</t>
  </si>
  <si>
    <t>ANALISIS VERTICAL</t>
  </si>
  <si>
    <t>ESTADO RESULTADOS CIFRAS HISTORICAS</t>
  </si>
  <si>
    <t>Detalles de Depreciación y Amortización</t>
  </si>
  <si>
    <t>Depreciaciones</t>
  </si>
  <si>
    <t>Amortizaciones</t>
  </si>
  <si>
    <t>INFLACION</t>
  </si>
  <si>
    <t>CRECIMIENTO POBLACIONAL</t>
  </si>
  <si>
    <t xml:space="preserve">Crecimiento en ventas </t>
  </si>
  <si>
    <t>HISTORICAS</t>
  </si>
  <si>
    <t>PROYECTADAS</t>
  </si>
  <si>
    <t>Crecimiento Nominal</t>
  </si>
  <si>
    <t>VARIABLES MACRONECONOMICAS</t>
  </si>
  <si>
    <t>PIB</t>
  </si>
  <si>
    <t>Razon Corriente</t>
  </si>
  <si>
    <t>Activos Totales</t>
  </si>
  <si>
    <t>Utilidad Neta</t>
  </si>
  <si>
    <t>PROMEDIO</t>
  </si>
  <si>
    <t>ROA</t>
  </si>
  <si>
    <t>Utilidad Operacional</t>
  </si>
  <si>
    <t xml:space="preserve"> Imp. Real Pagado</t>
  </si>
  <si>
    <t>UODI (Con impuesto real pagado)</t>
  </si>
  <si>
    <t>Activos Corrientes</t>
  </si>
  <si>
    <t>Activos Fijos (Propiedad Planta y Equipo)</t>
  </si>
  <si>
    <t>Cuentas por pagar proveedores</t>
  </si>
  <si>
    <t>Activos Netos de Operación</t>
  </si>
  <si>
    <t>MODELO GENERAL</t>
  </si>
  <si>
    <t>UTILIDAD NETA</t>
  </si>
  <si>
    <t>IMPUESTOS</t>
  </si>
  <si>
    <t>GASTOS FINANCIEROS</t>
  </si>
  <si>
    <t>EBIT</t>
  </si>
  <si>
    <t xml:space="preserve">EBITDA </t>
  </si>
  <si>
    <t>MODELO OPERATIVO</t>
  </si>
  <si>
    <t>Ventas</t>
  </si>
  <si>
    <t>Margen EBITDA</t>
  </si>
  <si>
    <t>EVOLUCION VENTAS</t>
  </si>
  <si>
    <t>EVOLUCION DEL EBITDA</t>
  </si>
  <si>
    <t>Productividad de Capital de Trabajo (PKT)</t>
  </si>
  <si>
    <t xml:space="preserve">Cuentas por cobrar </t>
  </si>
  <si>
    <t>Cuentas por pagar Proveedores</t>
  </si>
  <si>
    <t>KTNO</t>
  </si>
  <si>
    <t>VARIACION KTNO</t>
  </si>
  <si>
    <t>Promedio</t>
  </si>
  <si>
    <t>PKT Centavos</t>
  </si>
  <si>
    <t>PKT %</t>
  </si>
  <si>
    <t>Productividad del Activo Fijo (PAF) Rotacion anual</t>
  </si>
  <si>
    <t>Activos Fijos</t>
  </si>
  <si>
    <t>PAF</t>
  </si>
  <si>
    <t>Palanca de Crecimiento (PDC)</t>
  </si>
  <si>
    <t>PKT</t>
  </si>
  <si>
    <t>PDC</t>
  </si>
  <si>
    <t>Rentabilidad Bruta</t>
  </si>
  <si>
    <t>Rentabilidad Operacional</t>
  </si>
  <si>
    <t>Rentabilidad Neta</t>
  </si>
  <si>
    <t>ROE</t>
  </si>
  <si>
    <t>Liquidez</t>
  </si>
  <si>
    <t>Capital de Trabajo</t>
  </si>
  <si>
    <t>Endeudamiento</t>
  </si>
  <si>
    <t>Nivel de Endeudamiento</t>
  </si>
  <si>
    <t>Concentracion de Endeudamiento a Corto Plazo</t>
  </si>
  <si>
    <t>Concentracion de Endeudamiento a Largo Plazo</t>
  </si>
  <si>
    <t>Actividad</t>
  </si>
  <si>
    <t>Rotacion del Patrimonio</t>
  </si>
  <si>
    <t>Rotacion del Activo</t>
  </si>
  <si>
    <t>Rotacion de Cartera</t>
  </si>
  <si>
    <t>Periodo de Cobro</t>
  </si>
  <si>
    <t>Periodo de Pago a Proveedores</t>
  </si>
  <si>
    <t>(+) Impuestos CAUSADOS</t>
  </si>
  <si>
    <t>(+) Gastos financiero</t>
  </si>
  <si>
    <t>(+) Depreciación</t>
  </si>
  <si>
    <t>VARIABLES</t>
  </si>
  <si>
    <t xml:space="preserve">Tasa Libre de Riesgo </t>
  </si>
  <si>
    <t xml:space="preserve">Beta del sector </t>
  </si>
  <si>
    <t xml:space="preserve">Riesgo País </t>
  </si>
  <si>
    <t>COSTO DE CAPITAL - WACC</t>
  </si>
  <si>
    <t xml:space="preserve">Deuda  </t>
  </si>
  <si>
    <t xml:space="preserve">Patrimonio  </t>
  </si>
  <si>
    <t>Beta Apalancada</t>
  </si>
  <si>
    <t>'Costo del Patrimonio</t>
  </si>
  <si>
    <t xml:space="preserve">Estructura Deuda </t>
  </si>
  <si>
    <t>Estructura Patrimonio</t>
  </si>
  <si>
    <t xml:space="preserve">Total Estructura de Capital </t>
  </si>
  <si>
    <t>Costo Despues de Impuestos</t>
  </si>
  <si>
    <t>Aporte Costo de la Deuda</t>
  </si>
  <si>
    <t>Aporte Costo Patrimonio</t>
  </si>
  <si>
    <t>Rentabilidad el Mercado</t>
  </si>
  <si>
    <t xml:space="preserve">DTF EA </t>
  </si>
  <si>
    <t>SPREAD DE TASA (COLOCACIÓN)</t>
  </si>
  <si>
    <t>COSTO DEL DINERO, TASA DE COLOCACIÓN</t>
  </si>
  <si>
    <t>FCLO (último valor conocido)</t>
  </si>
  <si>
    <t>WACC (último valor conocido)</t>
  </si>
  <si>
    <t>Tasa de crecimiento - perpetuidad  g</t>
  </si>
  <si>
    <t>VALOR TERMINAL                                  FCLO*(1+g) / (WAAC - g)</t>
  </si>
  <si>
    <t>Solvencia</t>
  </si>
  <si>
    <t>Pormedio Ultimos 3 años</t>
  </si>
  <si>
    <t>1  Flujo operativo o flujo bruto</t>
  </si>
  <si>
    <t>(-) Inversión en capital de trabajo</t>
  </si>
  <si>
    <t>(-) Inversión en activos no corrientes (1)</t>
  </si>
  <si>
    <t>2  Financiación de inversiones</t>
  </si>
  <si>
    <t>(1 - 2) FCL</t>
  </si>
  <si>
    <t>WACC</t>
  </si>
  <si>
    <t>Rentabilidad del Patrimonio</t>
  </si>
  <si>
    <t>Rentabilidad del Activo</t>
  </si>
  <si>
    <t>Revision</t>
  </si>
  <si>
    <t>50% del Capital suscrito</t>
  </si>
  <si>
    <t>Promedio 2 año anterior</t>
  </si>
  <si>
    <t>UTLIDAD NETA</t>
  </si>
  <si>
    <t>INDICADORES DE RENTABILIDAD</t>
  </si>
  <si>
    <t>RAZONES FINANCIERAS</t>
  </si>
  <si>
    <t>INDICADORES OPERATIVOS Y FINANCIEROS</t>
  </si>
  <si>
    <t>FLUJO DE CAJA LIBRE MÉTODO TRADICIONAL</t>
  </si>
  <si>
    <t>VARIACIÓN DEL CAPITAL DE TRABAJO</t>
  </si>
  <si>
    <t>Activo Corriente</t>
  </si>
  <si>
    <t>Pasivo Corriente</t>
  </si>
  <si>
    <t>(-) Obligaciones Financieras Cp</t>
  </si>
  <si>
    <t xml:space="preserve">Deuda Operacional </t>
  </si>
  <si>
    <t>Capital De Trabajo Operativo (1 - 2)</t>
  </si>
  <si>
    <t>VARIACIÓN DEL CAPITAL DE 
TRABAJO OPERATIVO</t>
  </si>
  <si>
    <t>(-) Impuestos Ajustados</t>
  </si>
  <si>
    <t>Utilidad Neta Del Ejercicio</t>
  </si>
  <si>
    <t>EBIT (1 - tx)UODI/RODI/NOPAT/NOPLAT</t>
  </si>
  <si>
    <t>VALORIZACIÓN DEL PATRIMONIO</t>
  </si>
  <si>
    <t>VME y VMK EN LOS PRÓXIMOS AÑOS</t>
  </si>
  <si>
    <t>VALOR DE MERCADO DEL PATRIMONIO</t>
  </si>
  <si>
    <t>Costo de Capital</t>
  </si>
  <si>
    <t>Tasa Acumulada</t>
  </si>
  <si>
    <t>FCL</t>
  </si>
  <si>
    <t>Valor Terminal</t>
  </si>
  <si>
    <t>Valor presente Flujos de caja Proyectados</t>
  </si>
  <si>
    <t>(+) VALOR PRESENTE DE LOS FLUJOS</t>
  </si>
  <si>
    <t>(+) VALOR PRESENTE DEL VALOR TERMINAL</t>
  </si>
  <si>
    <t>(=)VALOR DE LAS OPERACIONES O DE MERCADO</t>
  </si>
  <si>
    <t>Valor de mercado de la empresa</t>
  </si>
  <si>
    <t>(Menos) Deuda operacional (Pasivo Corriente - Oblig.Finan CP)</t>
  </si>
  <si>
    <t>(Más) Activo corriente (Disp. Inver, Clientes, Invet.)</t>
  </si>
  <si>
    <t>(Menos) Deuda financiera CP + LP</t>
  </si>
  <si>
    <t>(+) Amortización</t>
  </si>
  <si>
    <t xml:space="preserve">Prima por el Riesgo del Mercado </t>
  </si>
  <si>
    <t>https://datosmacro.expansion.com/prima-riesgo/colombia</t>
  </si>
  <si>
    <t>https://pages.stern.nyu.edu/~adamodar/New_Home_Page/datafile/Betas.html</t>
  </si>
  <si>
    <t>Proyecciones inicio de año 2022, https://www.portafolio.co/economia/finanzas/pib-de-2022-mercado-eleva-proyecciones-de-crecimiento-563538</t>
  </si>
  <si>
    <t>https://datosmacro.expansion.com/bono/colombia</t>
  </si>
  <si>
    <t>CURSO</t>
  </si>
  <si>
    <t>PREJARDIN</t>
  </si>
  <si>
    <t>KINDER</t>
  </si>
  <si>
    <t>TRANSICIÓN</t>
  </si>
  <si>
    <t xml:space="preserve">PRIMERO </t>
  </si>
  <si>
    <t>SEGUNDO</t>
  </si>
  <si>
    <t>TERCERO</t>
  </si>
  <si>
    <t>CUARTO</t>
  </si>
  <si>
    <t>QUINTO</t>
  </si>
  <si>
    <t>SEXTO</t>
  </si>
  <si>
    <t>SEPTIMO</t>
  </si>
  <si>
    <t>OCTAVO</t>
  </si>
  <si>
    <t>NOVENO</t>
  </si>
  <si>
    <t>DÉCIMO</t>
  </si>
  <si>
    <t>ONCE</t>
  </si>
  <si>
    <t>TOTAL</t>
  </si>
  <si>
    <t>Crecimiento 
Poblacional</t>
  </si>
  <si>
    <t>Inflación</t>
  </si>
  <si>
    <t>inflacion</t>
  </si>
  <si>
    <t>PREJARDIN (Nursery)</t>
  </si>
  <si>
    <t>SITUACIÓN FINANCIERA CIFRAS HISTORICAS</t>
  </si>
  <si>
    <t>Presentado por:</t>
  </si>
  <si>
    <t>José Gonzalo Alfonso Zambrano</t>
  </si>
  <si>
    <t>Diana Katherine Barrera Obando</t>
  </si>
  <si>
    <t xml:space="preserve">Christian Steven Cepeda Rodríguez </t>
  </si>
  <si>
    <t>Especialización en Gerencia y Administración Financiera</t>
  </si>
  <si>
    <t>Programa de Ingeniería Financiera</t>
  </si>
  <si>
    <t>GAF85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</si>
</sst>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6" formatCode="&quot;$&quot;\ #,##0;[Red]\-&quot;$&quot;\ #,##0"/>
    <numFmt numFmtId="8" formatCode="&quot;$&quot;\ #,##0.00;[Red]\-&quot;$&quot;\ #,##0.00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0.000"/>
    <numFmt numFmtId="166" formatCode="0.0%"/>
    <numFmt numFmtId="167" formatCode="#,##0.00%_ ;\(#,##0.00%\)"/>
    <numFmt numFmtId="168" formatCode="_(* #,##0_);_(* \(#,##0\);_(* &quot;-&quot;_);_(@_)"/>
    <numFmt numFmtId="169" formatCode="_-&quot;$&quot;* #,##0_-;\-&quot;$&quot;* #,##0_-;_-&quot;$&quot;* &quot;-&quot;_-;_-@_-"/>
    <numFmt numFmtId="170" formatCode="_ &quot;$&quot;\ * #,##0.00_ ;_ &quot;$&quot;\ * \-#,##0.00_ ;_ &quot;$&quot;\ * &quot;-&quot;??_ ;_ @_ "/>
    <numFmt numFmtId="171" formatCode="_ * #,##0_ ;_ * \-#,##0_ ;_ * &quot;-&quot;_ ;_ @_ "/>
    <numFmt numFmtId="172" formatCode="&quot;$&quot;\ #,##0.00;[Red]&quot;$&quot;\ \-#,##0.00"/>
    <numFmt numFmtId="173" formatCode="_-* #,##0\ _€_-;\-* #,##0\ _€_-;_-* &quot;-&quot;??\ _€_-;_-@_-"/>
    <numFmt numFmtId="174" formatCode="_-* #,##0.00\ _€_-;\-* #,##0.00\ _€_-;_-* &quot;-&quot;??\ _€_-;_-@_-"/>
    <numFmt numFmtId="175" formatCode="#,##0.00_ ;[Red]\-#,##0.00\ "/>
    <numFmt numFmtId="176" formatCode="_(&quot;$&quot;* #,##0_);_(&quot;$&quot;* \(#,##0\);_(&quot;$&quot;* &quot;-&quot;??_);_(@_)"/>
    <numFmt numFmtId="177" formatCode="&quot;$&quot;\ #,##0.00"/>
    <numFmt numFmtId="178" formatCode="&quot;$&quot;\ #,##0"/>
    <numFmt numFmtId="179" formatCode="0.0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name val="Times New Roman"/>
      <family val="1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u val="singleAccounting"/>
      <sz val="12"/>
      <name val="Times New Roman"/>
      <family val="1"/>
    </font>
    <font>
      <u val="singleAccounting"/>
      <sz val="11"/>
      <name val="Times New Roman"/>
      <family val="1"/>
    </font>
    <font>
      <sz val="11"/>
      <color rgb="FF9C6500"/>
      <name val="Calibri"/>
      <family val="2"/>
      <scheme val="minor"/>
    </font>
    <font>
      <i/>
      <sz val="12"/>
      <color theme="1"/>
      <name val="Times New Roman"/>
      <family val="1"/>
    </font>
    <font>
      <b/>
      <i/>
      <sz val="12"/>
      <name val="Times New Roman"/>
      <family val="1"/>
    </font>
    <font>
      <b/>
      <i/>
      <sz val="12"/>
      <color theme="1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8" borderId="8" applyNumberFormat="0" applyAlignment="0" applyProtection="0"/>
    <xf numFmtId="0" fontId="14" fillId="9" borderId="9" applyNumberFormat="0" applyAlignment="0" applyProtection="0"/>
    <xf numFmtId="0" fontId="15" fillId="9" borderId="8" applyNumberFormat="0" applyAlignment="0" applyProtection="0"/>
    <xf numFmtId="0" fontId="16" fillId="0" borderId="10" applyNumberFormat="0" applyFill="0" applyAlignment="0" applyProtection="0"/>
    <xf numFmtId="0" fontId="17" fillId="10" borderId="11" applyNumberFormat="0" applyAlignment="0" applyProtection="0"/>
    <xf numFmtId="0" fontId="18" fillId="0" borderId="0" applyNumberFormat="0" applyFill="0" applyBorder="0" applyAlignment="0" applyProtection="0"/>
    <xf numFmtId="0" fontId="1" fillId="11" borderId="12" applyNumberFormat="0" applyFont="0" applyAlignment="0" applyProtection="0"/>
    <xf numFmtId="0" fontId="19" fillId="0" borderId="0" applyNumberFormat="0" applyFill="0" applyBorder="0" applyAlignment="0" applyProtection="0"/>
    <xf numFmtId="0" fontId="5" fillId="0" borderId="13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43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24" fillId="0" borderId="0" applyFill="0" applyBorder="0" applyAlignment="0" applyProtection="0"/>
    <xf numFmtId="171" fontId="25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26" fillId="7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6" fillId="0" borderId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0">
    <xf numFmtId="0" fontId="0" fillId="0" borderId="0" xfId="0"/>
    <xf numFmtId="0" fontId="3" fillId="0" borderId="0" xfId="0" applyFont="1"/>
    <xf numFmtId="164" fontId="3" fillId="0" borderId="1" xfId="1" applyNumberFormat="1" applyFont="1" applyBorder="1"/>
    <xf numFmtId="3" fontId="3" fillId="0" borderId="0" xfId="0" applyNumberFormat="1" applyFont="1"/>
    <xf numFmtId="40" fontId="4" fillId="0" borderId="0" xfId="0" applyNumberFormat="1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8" fontId="4" fillId="0" borderId="14" xfId="0" applyNumberFormat="1" applyFont="1" applyBorder="1"/>
    <xf numFmtId="8" fontId="3" fillId="0" borderId="0" xfId="0" applyNumberFormat="1" applyFont="1" applyBorder="1" applyAlignment="1"/>
    <xf numFmtId="8" fontId="3" fillId="0" borderId="21" xfId="0" applyNumberFormat="1" applyFont="1" applyBorder="1"/>
    <xf numFmtId="9" fontId="3" fillId="0" borderId="21" xfId="2" applyFont="1" applyBorder="1"/>
    <xf numFmtId="8" fontId="28" fillId="2" borderId="0" xfId="0" applyNumberFormat="1" applyFont="1" applyFill="1" applyBorder="1"/>
    <xf numFmtId="8" fontId="29" fillId="0" borderId="0" xfId="0" applyNumberFormat="1" applyFont="1" applyBorder="1"/>
    <xf numFmtId="8" fontId="3" fillId="0" borderId="0" xfId="0" applyNumberFormat="1" applyFont="1" applyBorder="1"/>
    <xf numFmtId="8" fontId="3" fillId="0" borderId="14" xfId="0" applyNumberFormat="1" applyFont="1" applyBorder="1"/>
    <xf numFmtId="8" fontId="27" fillId="0" borderId="0" xfId="0" applyNumberFormat="1" applyFont="1" applyBorder="1"/>
    <xf numFmtId="9" fontId="3" fillId="0" borderId="14" xfId="2" applyFont="1" applyBorder="1"/>
    <xf numFmtId="9" fontId="3" fillId="0" borderId="22" xfId="2" applyFont="1" applyBorder="1"/>
    <xf numFmtId="9" fontId="2" fillId="0" borderId="24" xfId="2" applyFont="1" applyBorder="1"/>
    <xf numFmtId="9" fontId="3" fillId="0" borderId="0" xfId="2" applyFont="1" applyBorder="1"/>
    <xf numFmtId="8" fontId="3" fillId="0" borderId="20" xfId="0" applyNumberFormat="1" applyFont="1" applyBorder="1"/>
    <xf numFmtId="9" fontId="2" fillId="0" borderId="23" xfId="2" applyFont="1" applyBorder="1"/>
    <xf numFmtId="8" fontId="3" fillId="0" borderId="19" xfId="0" applyNumberFormat="1" applyFont="1" applyBorder="1"/>
    <xf numFmtId="8" fontId="3" fillId="0" borderId="22" xfId="0" applyNumberFormat="1" applyFont="1" applyBorder="1"/>
    <xf numFmtId="8" fontId="4" fillId="2" borderId="14" xfId="0" applyNumberFormat="1" applyFont="1" applyFill="1" applyBorder="1"/>
    <xf numFmtId="8" fontId="27" fillId="0" borderId="14" xfId="0" applyNumberFormat="1" applyFont="1" applyBorder="1" applyAlignment="1">
      <alignment vertical="center"/>
    </xf>
    <xf numFmtId="9" fontId="2" fillId="0" borderId="25" xfId="2" applyFont="1" applyBorder="1"/>
    <xf numFmtId="8" fontId="3" fillId="0" borderId="20" xfId="0" applyNumberFormat="1" applyFont="1" applyBorder="1" applyAlignment="1"/>
    <xf numFmtId="8" fontId="27" fillId="0" borderId="14" xfId="0" applyNumberFormat="1" applyFont="1" applyBorder="1"/>
    <xf numFmtId="8" fontId="28" fillId="2" borderId="19" xfId="0" applyNumberFormat="1" applyFont="1" applyFill="1" applyBorder="1"/>
    <xf numFmtId="8" fontId="28" fillId="2" borderId="23" xfId="0" applyNumberFormat="1" applyFont="1" applyFill="1" applyBorder="1"/>
    <xf numFmtId="9" fontId="3" fillId="0" borderId="20" xfId="2" applyFont="1" applyBorder="1"/>
    <xf numFmtId="0" fontId="2" fillId="0" borderId="0" xfId="1" applyNumberFormat="1" applyFont="1" applyBorder="1" applyAlignment="1"/>
    <xf numFmtId="9" fontId="3" fillId="0" borderId="19" xfId="2" applyFont="1" applyBorder="1"/>
    <xf numFmtId="8" fontId="4" fillId="2" borderId="19" xfId="0" applyNumberFormat="1" applyFont="1" applyFill="1" applyBorder="1"/>
    <xf numFmtId="9" fontId="2" fillId="0" borderId="0" xfId="0" applyNumberFormat="1" applyFont="1" applyBorder="1"/>
    <xf numFmtId="8" fontId="27" fillId="0" borderId="19" xfId="0" applyNumberFormat="1" applyFont="1" applyBorder="1"/>
    <xf numFmtId="8" fontId="28" fillId="0" borderId="23" xfId="0" applyNumberFormat="1" applyFont="1" applyBorder="1" applyAlignment="1">
      <alignment vertical="center"/>
    </xf>
    <xf numFmtId="8" fontId="28" fillId="0" borderId="0" xfId="0" applyNumberFormat="1" applyFont="1" applyBorder="1" applyAlignment="1">
      <alignment vertical="center"/>
    </xf>
    <xf numFmtId="8" fontId="28" fillId="0" borderId="19" xfId="0" applyNumberFormat="1" applyFont="1" applyBorder="1"/>
    <xf numFmtId="9" fontId="2" fillId="0" borderId="0" xfId="2" applyFont="1" applyBorder="1"/>
    <xf numFmtId="8" fontId="3" fillId="0" borderId="16" xfId="0" applyNumberFormat="1" applyFont="1" applyBorder="1"/>
    <xf numFmtId="8" fontId="3" fillId="0" borderId="17" xfId="0" applyNumberFormat="1" applyFont="1" applyBorder="1"/>
    <xf numFmtId="8" fontId="3" fillId="0" borderId="18" xfId="0" applyNumberFormat="1" applyFont="1" applyBorder="1"/>
    <xf numFmtId="8" fontId="28" fillId="0" borderId="23" xfId="0" applyNumberFormat="1" applyFont="1" applyFill="1" applyBorder="1" applyAlignment="1">
      <alignment vertical="center"/>
    </xf>
    <xf numFmtId="8" fontId="28" fillId="0" borderId="0" xfId="0" applyNumberFormat="1" applyFont="1" applyFill="1" applyBorder="1"/>
    <xf numFmtId="40" fontId="3" fillId="0" borderId="0" xfId="0" applyNumberFormat="1" applyFont="1" applyBorder="1"/>
    <xf numFmtId="40" fontId="28" fillId="0" borderId="0" xfId="0" applyNumberFormat="1" applyFont="1" applyBorder="1" applyAlignment="1">
      <alignment horizontal="right"/>
    </xf>
    <xf numFmtId="40" fontId="22" fillId="2" borderId="0" xfId="0" applyNumberFormat="1" applyFont="1" applyFill="1" applyBorder="1" applyAlignment="1">
      <alignment horizontal="right" vertical="center"/>
    </xf>
    <xf numFmtId="40" fontId="4" fillId="0" borderId="0" xfId="0" applyNumberFormat="1" applyFont="1" applyBorder="1" applyAlignment="1">
      <alignment horizontal="right" vertical="center"/>
    </xf>
    <xf numFmtId="40" fontId="4" fillId="2" borderId="0" xfId="0" applyNumberFormat="1" applyFont="1" applyFill="1" applyBorder="1" applyAlignment="1">
      <alignment horizontal="right" vertical="center"/>
    </xf>
    <xf numFmtId="0" fontId="2" fillId="0" borderId="0" xfId="1" applyNumberFormat="1" applyFont="1" applyBorder="1" applyAlignment="1">
      <alignment horizontal="center"/>
    </xf>
    <xf numFmtId="40" fontId="3" fillId="0" borderId="20" xfId="0" applyNumberFormat="1" applyFont="1" applyBorder="1"/>
    <xf numFmtId="40" fontId="3" fillId="0" borderId="21" xfId="0" applyNumberFormat="1" applyFont="1" applyBorder="1"/>
    <xf numFmtId="40" fontId="4" fillId="0" borderId="22" xfId="0" applyNumberFormat="1" applyFont="1" applyBorder="1" applyAlignment="1">
      <alignment horizontal="right"/>
    </xf>
    <xf numFmtId="40" fontId="28" fillId="0" borderId="22" xfId="0" applyNumberFormat="1" applyFont="1" applyBorder="1" applyAlignment="1">
      <alignment horizontal="right"/>
    </xf>
    <xf numFmtId="40" fontId="22" fillId="2" borderId="22" xfId="0" applyNumberFormat="1" applyFont="1" applyFill="1" applyBorder="1" applyAlignment="1">
      <alignment horizontal="right" vertical="center"/>
    </xf>
    <xf numFmtId="40" fontId="4" fillId="2" borderId="22" xfId="0" applyNumberFormat="1" applyFont="1" applyFill="1" applyBorder="1" applyAlignment="1">
      <alignment horizontal="right" vertical="center"/>
    </xf>
    <xf numFmtId="40" fontId="28" fillId="0" borderId="24" xfId="0" applyNumberFormat="1" applyFont="1" applyBorder="1" applyAlignment="1">
      <alignment horizontal="right"/>
    </xf>
    <xf numFmtId="40" fontId="28" fillId="0" borderId="25" xfId="0" applyNumberFormat="1" applyFont="1" applyBorder="1" applyAlignment="1">
      <alignment horizontal="right"/>
    </xf>
    <xf numFmtId="0" fontId="23" fillId="0" borderId="0" xfId="0" applyFont="1" applyFill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/>
    </xf>
    <xf numFmtId="0" fontId="2" fillId="0" borderId="17" xfId="1" applyNumberFormat="1" applyFont="1" applyBorder="1" applyAlignment="1"/>
    <xf numFmtId="0" fontId="2" fillId="0" borderId="17" xfId="1" applyNumberFormat="1" applyFont="1" applyBorder="1" applyAlignment="1">
      <alignment horizontal="center"/>
    </xf>
    <xf numFmtId="0" fontId="2" fillId="0" borderId="18" xfId="1" applyNumberFormat="1" applyFont="1" applyBorder="1" applyAlignment="1">
      <alignment horizontal="center"/>
    </xf>
    <xf numFmtId="0" fontId="2" fillId="0" borderId="19" xfId="1" applyNumberFormat="1" applyFont="1" applyBorder="1" applyAlignment="1">
      <alignment horizontal="center"/>
    </xf>
    <xf numFmtId="0" fontId="2" fillId="0" borderId="20" xfId="1" applyNumberFormat="1" applyFont="1" applyBorder="1" applyAlignment="1">
      <alignment horizontal="center"/>
    </xf>
    <xf numFmtId="0" fontId="2" fillId="0" borderId="21" xfId="1" applyNumberFormat="1" applyFont="1" applyBorder="1" applyAlignment="1">
      <alignment horizontal="center"/>
    </xf>
    <xf numFmtId="40" fontId="2" fillId="0" borderId="15" xfId="0" applyNumberFormat="1" applyFont="1" applyBorder="1" applyAlignment="1">
      <alignment horizontal="right"/>
    </xf>
    <xf numFmtId="10" fontId="3" fillId="0" borderId="14" xfId="2" applyNumberFormat="1" applyFont="1" applyBorder="1"/>
    <xf numFmtId="10" fontId="3" fillId="0" borderId="0" xfId="2" applyNumberFormat="1" applyFont="1" applyBorder="1"/>
    <xf numFmtId="10" fontId="3" fillId="0" borderId="22" xfId="2" applyNumberFormat="1" applyFont="1" applyBorder="1"/>
    <xf numFmtId="40" fontId="2" fillId="0" borderId="27" xfId="0" applyNumberFormat="1" applyFont="1" applyBorder="1"/>
    <xf numFmtId="40" fontId="3" fillId="0" borderId="19" xfId="0" applyNumberFormat="1" applyFont="1" applyBorder="1"/>
    <xf numFmtId="40" fontId="22" fillId="2" borderId="14" xfId="0" applyNumberFormat="1" applyFont="1" applyFill="1" applyBorder="1" applyAlignment="1">
      <alignment horizontal="left"/>
    </xf>
    <xf numFmtId="40" fontId="23" fillId="2" borderId="14" xfId="0" applyNumberFormat="1" applyFont="1" applyFill="1" applyBorder="1" applyAlignment="1">
      <alignment horizontal="left"/>
    </xf>
    <xf numFmtId="40" fontId="23" fillId="2" borderId="14" xfId="0" applyNumberFormat="1" applyFont="1" applyFill="1" applyBorder="1" applyAlignment="1">
      <alignment horizontal="left" wrapText="1"/>
    </xf>
    <xf numFmtId="40" fontId="22" fillId="0" borderId="14" xfId="0" applyNumberFormat="1" applyFont="1" applyBorder="1" applyAlignment="1">
      <alignment horizontal="left"/>
    </xf>
    <xf numFmtId="40" fontId="22" fillId="0" borderId="14" xfId="0" applyNumberFormat="1" applyFont="1" applyBorder="1"/>
    <xf numFmtId="40" fontId="23" fillId="2" borderId="14" xfId="0" applyNumberFormat="1" applyFont="1" applyFill="1" applyBorder="1"/>
    <xf numFmtId="40" fontId="22" fillId="2" borderId="14" xfId="0" applyNumberFormat="1" applyFont="1" applyFill="1" applyBorder="1" applyAlignment="1">
      <alignment vertical="center"/>
    </xf>
    <xf numFmtId="40" fontId="23" fillId="2" borderId="23" xfId="0" applyNumberFormat="1" applyFont="1" applyFill="1" applyBorder="1" applyAlignment="1">
      <alignment horizontal="left"/>
    </xf>
    <xf numFmtId="40" fontId="2" fillId="0" borderId="0" xfId="0" applyNumberFormat="1" applyFont="1" applyBorder="1"/>
    <xf numFmtId="40" fontId="3" fillId="0" borderId="23" xfId="0" applyNumberFormat="1" applyFont="1" applyBorder="1"/>
    <xf numFmtId="40" fontId="3" fillId="0" borderId="24" xfId="0" applyNumberFormat="1" applyFont="1" applyBorder="1"/>
    <xf numFmtId="40" fontId="3" fillId="0" borderId="25" xfId="0" applyNumberFormat="1" applyFont="1" applyBorder="1"/>
    <xf numFmtId="0" fontId="2" fillId="0" borderId="16" xfId="1" applyNumberFormat="1" applyFont="1" applyBorder="1" applyAlignment="1"/>
    <xf numFmtId="0" fontId="2" fillId="0" borderId="18" xfId="1" applyNumberFormat="1" applyFont="1" applyBorder="1" applyAlignment="1"/>
    <xf numFmtId="3" fontId="3" fillId="0" borderId="19" xfId="0" applyNumberFormat="1" applyFont="1" applyBorder="1"/>
    <xf numFmtId="3" fontId="3" fillId="0" borderId="20" xfId="0" applyNumberFormat="1" applyFont="1" applyBorder="1"/>
    <xf numFmtId="3" fontId="3" fillId="0" borderId="21" xfId="0" applyNumberFormat="1" applyFont="1" applyBorder="1"/>
    <xf numFmtId="8" fontId="3" fillId="0" borderId="23" xfId="0" applyNumberFormat="1" applyFont="1" applyBorder="1" applyAlignment="1"/>
    <xf numFmtId="3" fontId="3" fillId="0" borderId="24" xfId="0" applyNumberFormat="1" applyFont="1" applyBorder="1"/>
    <xf numFmtId="8" fontId="3" fillId="0" borderId="24" xfId="0" applyNumberFormat="1" applyFont="1" applyBorder="1" applyAlignment="1"/>
    <xf numFmtId="3" fontId="3" fillId="0" borderId="25" xfId="0" applyNumberFormat="1" applyFont="1" applyBorder="1"/>
    <xf numFmtId="8" fontId="27" fillId="0" borderId="15" xfId="0" applyNumberFormat="1" applyFont="1" applyBorder="1"/>
    <xf numFmtId="8" fontId="27" fillId="0" borderId="26" xfId="0" applyNumberFormat="1" applyFont="1" applyBorder="1"/>
    <xf numFmtId="8" fontId="27" fillId="0" borderId="27" xfId="0" applyNumberFormat="1" applyFont="1" applyBorder="1"/>
    <xf numFmtId="40" fontId="2" fillId="0" borderId="28" xfId="0" applyNumberFormat="1" applyFont="1" applyBorder="1"/>
    <xf numFmtId="10" fontId="3" fillId="0" borderId="24" xfId="2" applyNumberFormat="1" applyFont="1" applyBorder="1"/>
    <xf numFmtId="10" fontId="3" fillId="0" borderId="25" xfId="2" applyNumberFormat="1" applyFont="1" applyBorder="1"/>
    <xf numFmtId="10" fontId="3" fillId="0" borderId="23" xfId="2" applyNumberFormat="1" applyFont="1" applyBorder="1"/>
    <xf numFmtId="40" fontId="2" fillId="0" borderId="16" xfId="0" applyNumberFormat="1" applyFont="1" applyBorder="1"/>
    <xf numFmtId="40" fontId="3" fillId="36" borderId="23" xfId="0" applyNumberFormat="1" applyFont="1" applyFill="1" applyBorder="1"/>
    <xf numFmtId="10" fontId="3" fillId="0" borderId="19" xfId="2" applyNumberFormat="1" applyFont="1" applyBorder="1"/>
    <xf numFmtId="10" fontId="3" fillId="0" borderId="20" xfId="2" applyNumberFormat="1" applyFont="1" applyBorder="1"/>
    <xf numFmtId="10" fontId="3" fillId="0" borderId="21" xfId="2" applyNumberFormat="1" applyFont="1" applyBorder="1"/>
    <xf numFmtId="0" fontId="3" fillId="0" borderId="0" xfId="0" applyFont="1" applyFill="1"/>
    <xf numFmtId="10" fontId="3" fillId="0" borderId="0" xfId="0" applyNumberFormat="1" applyFont="1"/>
    <xf numFmtId="10" fontId="3" fillId="0" borderId="0" xfId="2" applyNumberFormat="1" applyFont="1"/>
    <xf numFmtId="0" fontId="2" fillId="0" borderId="0" xfId="0" applyFont="1"/>
    <xf numFmtId="40" fontId="3" fillId="0" borderId="0" xfId="0" applyNumberFormat="1" applyFont="1"/>
    <xf numFmtId="0" fontId="2" fillId="0" borderId="14" xfId="1" applyNumberFormat="1" applyFont="1" applyBorder="1" applyAlignment="1">
      <alignment horizontal="left"/>
    </xf>
    <xf numFmtId="40" fontId="2" fillId="0" borderId="26" xfId="0" applyNumberFormat="1" applyFont="1" applyBorder="1" applyAlignment="1">
      <alignment horizontal="left"/>
    </xf>
    <xf numFmtId="10" fontId="3" fillId="0" borderId="14" xfId="2" applyNumberFormat="1" applyFont="1" applyBorder="1" applyAlignment="1">
      <alignment horizontal="right"/>
    </xf>
    <xf numFmtId="10" fontId="3" fillId="0" borderId="0" xfId="2" applyNumberFormat="1" applyFont="1" applyBorder="1" applyAlignment="1">
      <alignment horizontal="right"/>
    </xf>
    <xf numFmtId="10" fontId="3" fillId="0" borderId="22" xfId="2" applyNumberFormat="1" applyFont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3" fontId="3" fillId="0" borderId="0" xfId="0" applyNumberFormat="1" applyFont="1" applyFill="1" applyBorder="1" applyAlignment="1">
      <alignment horizontal="center" vertical="center"/>
    </xf>
    <xf numFmtId="2" fontId="3" fillId="0" borderId="0" xfId="2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0" fontId="3" fillId="0" borderId="0" xfId="2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165" fontId="3" fillId="0" borderId="0" xfId="0" applyNumberFormat="1" applyFont="1" applyFill="1" applyBorder="1" applyAlignment="1">
      <alignment horizontal="center" vertical="center"/>
    </xf>
    <xf numFmtId="175" fontId="3" fillId="0" borderId="0" xfId="0" applyNumberFormat="1" applyFont="1"/>
    <xf numFmtId="0" fontId="23" fillId="0" borderId="14" xfId="0" applyFont="1" applyFill="1" applyBorder="1" applyAlignment="1">
      <alignment vertical="center"/>
    </xf>
    <xf numFmtId="8" fontId="27" fillId="0" borderId="23" xfId="0" applyNumberFormat="1" applyFont="1" applyBorder="1"/>
    <xf numFmtId="0" fontId="3" fillId="0" borderId="0" xfId="0" applyFont="1" applyAlignment="1">
      <alignment horizontal="center"/>
    </xf>
    <xf numFmtId="10" fontId="3" fillId="0" borderId="0" xfId="2" applyNumberFormat="1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2" fillId="38" borderId="0" xfId="0" applyFont="1" applyFill="1" applyBorder="1" applyAlignment="1">
      <alignment horizontal="center" vertical="center"/>
    </xf>
    <xf numFmtId="0" fontId="2" fillId="37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/>
    <xf numFmtId="164" fontId="3" fillId="0" borderId="0" xfId="1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/>
    </xf>
    <xf numFmtId="10" fontId="22" fillId="0" borderId="0" xfId="2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6" fontId="2" fillId="0" borderId="24" xfId="0" applyNumberFormat="1" applyFont="1" applyBorder="1" applyAlignment="1"/>
    <xf numFmtId="6" fontId="2" fillId="0" borderId="0" xfId="0" applyNumberFormat="1" applyFont="1" applyBorder="1" applyAlignment="1"/>
    <xf numFmtId="166" fontId="3" fillId="0" borderId="14" xfId="2" applyNumberFormat="1" applyFont="1" applyBorder="1"/>
    <xf numFmtId="166" fontId="3" fillId="0" borderId="19" xfId="2" applyNumberFormat="1" applyFont="1" applyBorder="1"/>
    <xf numFmtId="166" fontId="3" fillId="0" borderId="20" xfId="2" applyNumberFormat="1" applyFont="1" applyBorder="1"/>
    <xf numFmtId="166" fontId="3" fillId="0" borderId="21" xfId="2" applyNumberFormat="1" applyFont="1" applyBorder="1"/>
    <xf numFmtId="166" fontId="3" fillId="0" borderId="0" xfId="2" applyNumberFormat="1" applyFont="1" applyBorder="1"/>
    <xf numFmtId="166" fontId="3" fillId="0" borderId="22" xfId="2" applyNumberFormat="1" applyFont="1" applyBorder="1"/>
    <xf numFmtId="6" fontId="3" fillId="0" borderId="0" xfId="0" applyNumberFormat="1" applyFont="1" applyBorder="1" applyAlignment="1"/>
    <xf numFmtId="6" fontId="2" fillId="0" borderId="0" xfId="1" applyNumberFormat="1" applyFont="1" applyBorder="1" applyAlignment="1"/>
    <xf numFmtId="6" fontId="27" fillId="0" borderId="20" xfId="0" applyNumberFormat="1" applyFont="1" applyBorder="1" applyAlignment="1"/>
    <xf numFmtId="6" fontId="27" fillId="0" borderId="21" xfId="0" applyNumberFormat="1" applyFont="1" applyBorder="1" applyAlignment="1"/>
    <xf numFmtId="6" fontId="27" fillId="0" borderId="0" xfId="0" applyNumberFormat="1" applyFont="1" applyBorder="1" applyAlignment="1"/>
    <xf numFmtId="6" fontId="27" fillId="0" borderId="22" xfId="0" applyNumberFormat="1" applyFont="1" applyBorder="1" applyAlignment="1"/>
    <xf numFmtId="6" fontId="4" fillId="2" borderId="0" xfId="0" applyNumberFormat="1" applyFont="1" applyFill="1" applyBorder="1" applyAlignment="1"/>
    <xf numFmtId="6" fontId="3" fillId="0" borderId="22" xfId="0" applyNumberFormat="1" applyFont="1" applyBorder="1" applyAlignment="1"/>
    <xf numFmtId="6" fontId="2" fillId="0" borderId="25" xfId="0" applyNumberFormat="1" applyFont="1" applyBorder="1" applyAlignment="1"/>
    <xf numFmtId="6" fontId="3" fillId="0" borderId="20" xfId="0" applyNumberFormat="1" applyFont="1" applyBorder="1" applyAlignment="1"/>
    <xf numFmtId="6" fontId="3" fillId="0" borderId="21" xfId="0" applyNumberFormat="1" applyFont="1" applyBorder="1" applyAlignment="1"/>
    <xf numFmtId="6" fontId="4" fillId="2" borderId="20" xfId="0" applyNumberFormat="1" applyFont="1" applyFill="1" applyBorder="1" applyAlignment="1"/>
    <xf numFmtId="6" fontId="4" fillId="2" borderId="21" xfId="0" applyNumberFormat="1" applyFont="1" applyFill="1" applyBorder="1" applyAlignment="1"/>
    <xf numFmtId="6" fontId="4" fillId="0" borderId="0" xfId="0" applyNumberFormat="1" applyFont="1" applyBorder="1" applyAlignment="1"/>
    <xf numFmtId="6" fontId="4" fillId="0" borderId="22" xfId="0" applyNumberFormat="1" applyFont="1" applyBorder="1" applyAlignment="1"/>
    <xf numFmtId="6" fontId="4" fillId="2" borderId="22" xfId="0" applyNumberFormat="1" applyFont="1" applyFill="1" applyBorder="1" applyAlignment="1"/>
    <xf numFmtId="6" fontId="3" fillId="0" borderId="20" xfId="2" applyNumberFormat="1" applyFont="1" applyBorder="1" applyAlignment="1"/>
    <xf numFmtId="6" fontId="3" fillId="0" borderId="21" xfId="2" applyNumberFormat="1" applyFont="1" applyBorder="1" applyAlignment="1"/>
    <xf numFmtId="6" fontId="3" fillId="0" borderId="0" xfId="0" applyNumberFormat="1" applyFont="1" applyBorder="1"/>
    <xf numFmtId="6" fontId="3" fillId="0" borderId="22" xfId="0" applyNumberFormat="1" applyFont="1" applyBorder="1"/>
    <xf numFmtId="6" fontId="3" fillId="0" borderId="24" xfId="0" applyNumberFormat="1" applyFont="1" applyBorder="1" applyAlignment="1"/>
    <xf numFmtId="6" fontId="3" fillId="0" borderId="25" xfId="0" applyNumberFormat="1" applyFont="1" applyBorder="1" applyAlignment="1"/>
    <xf numFmtId="10" fontId="2" fillId="0" borderId="20" xfId="2" applyNumberFormat="1" applyFont="1" applyBorder="1"/>
    <xf numFmtId="10" fontId="2" fillId="0" borderId="21" xfId="2" applyNumberFormat="1" applyFont="1" applyBorder="1"/>
    <xf numFmtId="10" fontId="2" fillId="0" borderId="0" xfId="2" applyNumberFormat="1" applyFont="1" applyBorder="1"/>
    <xf numFmtId="10" fontId="2" fillId="0" borderId="22" xfId="2" applyNumberFormat="1" applyFont="1" applyBorder="1"/>
    <xf numFmtId="40" fontId="3" fillId="39" borderId="0" xfId="0" applyNumberFormat="1" applyFont="1" applyFill="1" applyBorder="1"/>
    <xf numFmtId="10" fontId="2" fillId="0" borderId="0" xfId="2" applyNumberFormat="1" applyFont="1" applyFill="1" applyBorder="1"/>
    <xf numFmtId="0" fontId="3" fillId="0" borderId="0" xfId="0" applyFont="1" applyBorder="1"/>
    <xf numFmtId="0" fontId="2" fillId="37" borderId="0" xfId="0" applyFont="1" applyFill="1" applyBorder="1" applyAlignment="1">
      <alignment horizontal="center"/>
    </xf>
    <xf numFmtId="10" fontId="3" fillId="0" borderId="0" xfId="0" applyNumberFormat="1" applyFont="1" applyBorder="1"/>
    <xf numFmtId="3" fontId="22" fillId="0" borderId="0" xfId="0" applyNumberFormat="1" applyFont="1" applyFill="1" applyBorder="1" applyAlignment="1">
      <alignment horizontal="center" vertical="center"/>
    </xf>
    <xf numFmtId="43" fontId="3" fillId="0" borderId="0" xfId="1" applyFont="1" applyFill="1" applyBorder="1"/>
    <xf numFmtId="0" fontId="2" fillId="0" borderId="0" xfId="0" applyFont="1" applyFill="1" applyBorder="1" applyAlignment="1">
      <alignment horizontal="center"/>
    </xf>
    <xf numFmtId="10" fontId="2" fillId="0" borderId="0" xfId="2" applyNumberFormat="1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left"/>
    </xf>
    <xf numFmtId="9" fontId="3" fillId="36" borderId="0" xfId="0" applyNumberFormat="1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center" vertical="center"/>
    </xf>
    <xf numFmtId="9" fontId="3" fillId="0" borderId="0" xfId="0" applyNumberFormat="1" applyFont="1" applyFill="1" applyBorder="1"/>
    <xf numFmtId="0" fontId="2" fillId="0" borderId="0" xfId="0" applyFont="1" applyFill="1" applyBorder="1"/>
    <xf numFmtId="166" fontId="3" fillId="0" borderId="0" xfId="0" applyNumberFormat="1" applyFont="1" applyFill="1" applyBorder="1" applyAlignment="1">
      <alignment horizontal="center" vertical="center"/>
    </xf>
    <xf numFmtId="0" fontId="3" fillId="36" borderId="0" xfId="0" applyFont="1" applyFill="1" applyBorder="1" applyAlignment="1">
      <alignment horizontal="center" vertical="center"/>
    </xf>
    <xf numFmtId="173" fontId="3" fillId="0" borderId="0" xfId="2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/>
    <xf numFmtId="166" fontId="2" fillId="0" borderId="0" xfId="2" applyNumberFormat="1" applyFont="1" applyFill="1" applyBorder="1" applyAlignment="1">
      <alignment horizontal="center" vertical="center"/>
    </xf>
    <xf numFmtId="43" fontId="2" fillId="0" borderId="0" xfId="1" applyFont="1" applyFill="1" applyBorder="1" applyAlignment="1">
      <alignment horizontal="center" vertical="center"/>
    </xf>
    <xf numFmtId="174" fontId="2" fillId="0" borderId="0" xfId="0" applyNumberFormat="1" applyFont="1" applyFill="1" applyBorder="1"/>
    <xf numFmtId="0" fontId="2" fillId="0" borderId="0" xfId="0" applyFont="1" applyAlignment="1">
      <alignment wrapText="1"/>
    </xf>
    <xf numFmtId="10" fontId="2" fillId="0" borderId="0" xfId="0" applyNumberFormat="1" applyFont="1"/>
    <xf numFmtId="175" fontId="3" fillId="40" borderId="0" xfId="0" applyNumberFormat="1" applyFont="1" applyFill="1"/>
    <xf numFmtId="40" fontId="3" fillId="40" borderId="0" xfId="0" applyNumberFormat="1" applyFont="1" applyFill="1"/>
    <xf numFmtId="10" fontId="3" fillId="40" borderId="0" xfId="0" applyNumberFormat="1" applyFont="1" applyFill="1"/>
    <xf numFmtId="0" fontId="3" fillId="40" borderId="0" xfId="0" applyFont="1" applyFill="1"/>
    <xf numFmtId="166" fontId="3" fillId="40" borderId="0" xfId="2" applyNumberFormat="1" applyFont="1" applyFill="1" applyBorder="1"/>
    <xf numFmtId="10" fontId="3" fillId="40" borderId="0" xfId="2" applyNumberFormat="1" applyFont="1" applyFill="1"/>
    <xf numFmtId="10" fontId="2" fillId="40" borderId="0" xfId="0" applyNumberFormat="1" applyFont="1" applyFill="1"/>
    <xf numFmtId="10" fontId="2" fillId="0" borderId="0" xfId="0" applyNumberFormat="1" applyFont="1" applyFill="1"/>
    <xf numFmtId="175" fontId="3" fillId="0" borderId="0" xfId="0" applyNumberFormat="1" applyFont="1" applyBorder="1"/>
    <xf numFmtId="4" fontId="3" fillId="0" borderId="0" xfId="0" applyNumberFormat="1" applyFont="1" applyBorder="1"/>
    <xf numFmtId="0" fontId="3" fillId="0" borderId="0" xfId="0" applyFont="1" applyFill="1" applyBorder="1" applyAlignment="1">
      <alignment vertical="center"/>
    </xf>
    <xf numFmtId="0" fontId="3" fillId="0" borderId="0" xfId="0" quotePrefix="1" applyFont="1" applyFill="1" applyBorder="1" applyAlignment="1">
      <alignment vertical="center"/>
    </xf>
    <xf numFmtId="176" fontId="3" fillId="0" borderId="0" xfId="3" applyNumberFormat="1" applyFont="1" applyFill="1" applyBorder="1" applyAlignment="1">
      <alignment vertical="center"/>
    </xf>
    <xf numFmtId="167" fontId="3" fillId="0" borderId="0" xfId="0" applyNumberFormat="1" applyFont="1" applyFill="1" applyBorder="1" applyAlignment="1">
      <alignment vertical="center"/>
    </xf>
    <xf numFmtId="0" fontId="2" fillId="0" borderId="0" xfId="0" quotePrefix="1" applyFont="1" applyFill="1" applyBorder="1" applyAlignment="1">
      <alignment vertical="center"/>
    </xf>
    <xf numFmtId="176" fontId="2" fillId="0" borderId="0" xfId="3" applyNumberFormat="1" applyFont="1" applyFill="1" applyBorder="1" applyAlignment="1">
      <alignment vertical="center"/>
    </xf>
    <xf numFmtId="10" fontId="3" fillId="0" borderId="0" xfId="0" quotePrefix="1" applyNumberFormat="1" applyFont="1" applyFill="1" applyBorder="1" applyAlignment="1">
      <alignment horizontal="center" vertical="center"/>
    </xf>
    <xf numFmtId="9" fontId="3" fillId="0" borderId="0" xfId="0" quotePrefix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178" fontId="3" fillId="0" borderId="0" xfId="0" applyNumberFormat="1" applyFont="1" applyBorder="1"/>
    <xf numFmtId="178" fontId="3" fillId="0" borderId="0" xfId="0" applyNumberFormat="1" applyFont="1"/>
    <xf numFmtId="177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43" fontId="3" fillId="0" borderId="0" xfId="0" applyNumberFormat="1" applyFont="1"/>
    <xf numFmtId="9" fontId="3" fillId="0" borderId="1" xfId="2" applyFont="1" applyBorder="1"/>
    <xf numFmtId="10" fontId="3" fillId="0" borderId="1" xfId="2" applyNumberFormat="1" applyFont="1" applyBorder="1"/>
    <xf numFmtId="0" fontId="23" fillId="0" borderId="0" xfId="0" applyFont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3" fillId="0" borderId="2" xfId="0" applyFont="1" applyBorder="1"/>
    <xf numFmtId="3" fontId="3" fillId="0" borderId="2" xfId="0" applyNumberFormat="1" applyFont="1" applyBorder="1"/>
    <xf numFmtId="40" fontId="23" fillId="2" borderId="16" xfId="0" applyNumberFormat="1" applyFont="1" applyFill="1" applyBorder="1" applyAlignment="1">
      <alignment horizontal="left"/>
    </xf>
    <xf numFmtId="10" fontId="3" fillId="40" borderId="0" xfId="2" applyNumberFormat="1" applyFont="1" applyFill="1" applyBorder="1"/>
    <xf numFmtId="10" fontId="3" fillId="2" borderId="0" xfId="2" applyNumberFormat="1" applyFont="1" applyFill="1" applyBorder="1"/>
    <xf numFmtId="10" fontId="3" fillId="2" borderId="0" xfId="0" applyNumberFormat="1" applyFont="1" applyFill="1" applyBorder="1"/>
    <xf numFmtId="3" fontId="23" fillId="0" borderId="0" xfId="0" applyNumberFormat="1" applyFont="1" applyBorder="1"/>
    <xf numFmtId="164" fontId="3" fillId="0" borderId="0" xfId="1" applyNumberFormat="1" applyFont="1" applyFill="1"/>
    <xf numFmtId="0" fontId="2" fillId="0" borderId="1" xfId="0" applyFont="1" applyFill="1" applyBorder="1"/>
    <xf numFmtId="0" fontId="2" fillId="0" borderId="1" xfId="1" applyNumberFormat="1" applyFont="1" applyFill="1" applyBorder="1"/>
    <xf numFmtId="0" fontId="2" fillId="0" borderId="1" xfId="0" applyFont="1" applyFill="1" applyBorder="1" applyAlignment="1">
      <alignment wrapText="1"/>
    </xf>
    <xf numFmtId="164" fontId="2" fillId="0" borderId="1" xfId="1" applyNumberFormat="1" applyFont="1" applyFill="1" applyBorder="1"/>
    <xf numFmtId="179" fontId="3" fillId="0" borderId="1" xfId="0" applyNumberFormat="1" applyFont="1" applyFill="1" applyBorder="1"/>
    <xf numFmtId="0" fontId="3" fillId="0" borderId="1" xfId="0" applyFont="1" applyFill="1" applyBorder="1"/>
    <xf numFmtId="164" fontId="3" fillId="0" borderId="1" xfId="1" applyNumberFormat="1" applyFont="1" applyFill="1" applyBorder="1"/>
    <xf numFmtId="43" fontId="2" fillId="0" borderId="1" xfId="1" applyFont="1" applyFill="1" applyBorder="1"/>
    <xf numFmtId="6" fontId="3" fillId="0" borderId="1" xfId="0" applyNumberFormat="1" applyFont="1" applyFill="1" applyBorder="1"/>
    <xf numFmtId="8" fontId="3" fillId="0" borderId="0" xfId="0" applyNumberFormat="1" applyFont="1" applyFill="1"/>
    <xf numFmtId="6" fontId="3" fillId="0" borderId="0" xfId="0" applyNumberFormat="1" applyFont="1" applyFill="1"/>
    <xf numFmtId="44" fontId="3" fillId="0" borderId="0" xfId="3" applyFont="1" applyFill="1"/>
    <xf numFmtId="3" fontId="3" fillId="0" borderId="0" xfId="0" applyNumberFormat="1" applyFont="1" applyFill="1"/>
    <xf numFmtId="40" fontId="4" fillId="0" borderId="0" xfId="0" applyNumberFormat="1" applyFont="1" applyFill="1" applyAlignment="1">
      <alignment horizontal="right"/>
    </xf>
    <xf numFmtId="6" fontId="2" fillId="0" borderId="1" xfId="0" applyNumberFormat="1" applyFont="1" applyFill="1" applyBorder="1"/>
    <xf numFmtId="1" fontId="2" fillId="0" borderId="1" xfId="1" applyNumberFormat="1" applyFont="1" applyFill="1" applyBorder="1" applyAlignment="1">
      <alignment horizontal="center"/>
    </xf>
    <xf numFmtId="8" fontId="3" fillId="0" borderId="0" xfId="0" applyNumberFormat="1" applyFont="1" applyAlignment="1">
      <alignment horizontal="right"/>
    </xf>
    <xf numFmtId="8" fontId="3" fillId="0" borderId="0" xfId="3" applyNumberFormat="1" applyFont="1"/>
    <xf numFmtId="0" fontId="3" fillId="0" borderId="0" xfId="0" applyFont="1" applyAlignment="1">
      <alignment horizontal="left" vertical="center"/>
    </xf>
    <xf numFmtId="0" fontId="23" fillId="0" borderId="16" xfId="0" applyFont="1" applyFill="1" applyBorder="1" applyAlignment="1">
      <alignment horizontal="center" vertical="center"/>
    </xf>
    <xf numFmtId="0" fontId="23" fillId="0" borderId="17" xfId="0" applyFont="1" applyFill="1" applyBorder="1" applyAlignment="1">
      <alignment horizontal="center" vertical="center"/>
    </xf>
    <xf numFmtId="0" fontId="23" fillId="0" borderId="18" xfId="0" applyFont="1" applyFill="1" applyBorder="1" applyAlignment="1">
      <alignment horizontal="center" vertical="center"/>
    </xf>
    <xf numFmtId="8" fontId="28" fillId="0" borderId="16" xfId="0" applyNumberFormat="1" applyFont="1" applyBorder="1" applyAlignment="1">
      <alignment horizontal="center"/>
    </xf>
    <xf numFmtId="8" fontId="28" fillId="0" borderId="17" xfId="0" applyNumberFormat="1" applyFont="1" applyBorder="1" applyAlignment="1">
      <alignment horizontal="center"/>
    </xf>
    <xf numFmtId="8" fontId="28" fillId="0" borderId="18" xfId="0" applyNumberFormat="1" applyFont="1" applyBorder="1" applyAlignment="1">
      <alignment horizontal="center"/>
    </xf>
    <xf numFmtId="8" fontId="28" fillId="2" borderId="16" xfId="0" applyNumberFormat="1" applyFont="1" applyFill="1" applyBorder="1" applyAlignment="1">
      <alignment horizontal="center"/>
    </xf>
    <xf numFmtId="8" fontId="28" fillId="2" borderId="17" xfId="0" applyNumberFormat="1" applyFont="1" applyFill="1" applyBorder="1" applyAlignment="1">
      <alignment horizontal="center"/>
    </xf>
    <xf numFmtId="8" fontId="28" fillId="2" borderId="18" xfId="0" applyNumberFormat="1" applyFont="1" applyFill="1" applyBorder="1" applyAlignment="1">
      <alignment horizontal="center"/>
    </xf>
    <xf numFmtId="8" fontId="2" fillId="0" borderId="16" xfId="0" applyNumberFormat="1" applyFont="1" applyBorder="1" applyAlignment="1">
      <alignment horizontal="center"/>
    </xf>
    <xf numFmtId="8" fontId="2" fillId="0" borderId="17" xfId="0" applyNumberFormat="1" applyFont="1" applyBorder="1" applyAlignment="1">
      <alignment horizontal="center"/>
    </xf>
    <xf numFmtId="8" fontId="2" fillId="0" borderId="18" xfId="0" applyNumberFormat="1" applyFont="1" applyBorder="1" applyAlignment="1">
      <alignment horizontal="center"/>
    </xf>
    <xf numFmtId="0" fontId="23" fillId="0" borderId="14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40" fontId="2" fillId="0" borderId="0" xfId="0" applyNumberFormat="1" applyFont="1" applyBorder="1" applyAlignment="1">
      <alignment horizontal="center"/>
    </xf>
    <xf numFmtId="40" fontId="2" fillId="0" borderId="16" xfId="0" applyNumberFormat="1" applyFont="1" applyBorder="1" applyAlignment="1">
      <alignment horizontal="center"/>
    </xf>
    <xf numFmtId="40" fontId="2" fillId="0" borderId="17" xfId="0" applyNumberFormat="1" applyFont="1" applyBorder="1" applyAlignment="1">
      <alignment horizontal="center"/>
    </xf>
    <xf numFmtId="40" fontId="2" fillId="0" borderId="18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1" fillId="0" borderId="0" xfId="0" quotePrefix="1" applyFont="1" applyFill="1" applyBorder="1" applyAlignment="1">
      <alignment horizontal="center" vertical="center"/>
    </xf>
    <xf numFmtId="0" fontId="21" fillId="4" borderId="4" xfId="4" applyFont="1" applyFill="1" applyBorder="1" applyAlignment="1">
      <alignment horizontal="center" vertical="center" wrapText="1"/>
    </xf>
    <xf numFmtId="0" fontId="21" fillId="4" borderId="0" xfId="4" applyFont="1" applyFill="1" applyAlignment="1">
      <alignment horizontal="center" vertical="center" wrapText="1"/>
    </xf>
    <xf numFmtId="0" fontId="23" fillId="3" borderId="0" xfId="0" applyFont="1" applyFill="1" applyAlignment="1">
      <alignment horizontal="center"/>
    </xf>
  </cellXfs>
  <cellStyles count="56">
    <cellStyle name="20% - Énfasis1" xfId="22" builtinId="30" customBuiltin="1"/>
    <cellStyle name="20% - Énfasis2" xfId="25" builtinId="34" customBuiltin="1"/>
    <cellStyle name="20% - Énfasis3" xfId="28" builtinId="38" customBuiltin="1"/>
    <cellStyle name="20% - Énfasis4" xfId="31" builtinId="42" customBuiltin="1"/>
    <cellStyle name="20% - Énfasis5" xfId="34" builtinId="46" customBuiltin="1"/>
    <cellStyle name="20% - Énfasis6" xfId="37" builtinId="50" customBuiltin="1"/>
    <cellStyle name="40% - Énfasis1" xfId="23" builtinId="31" customBuiltin="1"/>
    <cellStyle name="40% - Énfasis2" xfId="26" builtinId="35" customBuiltin="1"/>
    <cellStyle name="40% - Énfasis3" xfId="29" builtinId="39" customBuiltin="1"/>
    <cellStyle name="40% - Énfasis4" xfId="32" builtinId="43" customBuiltin="1"/>
    <cellStyle name="40% - Énfasis5" xfId="35" builtinId="47" customBuiltin="1"/>
    <cellStyle name="40% - Énfasis6" xfId="38" builtinId="51" customBuiltin="1"/>
    <cellStyle name="60% - Énfasis1 2" xfId="45" xr:uid="{0B222EB4-B012-4395-8129-D214CD2F8F32}"/>
    <cellStyle name="60% - Énfasis2 2" xfId="46" xr:uid="{CC930A5D-63C9-4BA3-9000-644C1C3A333F}"/>
    <cellStyle name="60% - Énfasis3 2" xfId="47" xr:uid="{355ED6D6-6E71-49AE-9C2B-6F793C3C25D0}"/>
    <cellStyle name="60% - Énfasis4 2" xfId="48" xr:uid="{72A7176B-9E71-4FAD-8A02-B025282311D0}"/>
    <cellStyle name="60% - Énfasis5 2" xfId="49" xr:uid="{4D4B0C47-0A46-4B21-9CC7-1F68EA6B49FF}"/>
    <cellStyle name="60% - Énfasis6 2" xfId="50" xr:uid="{9DD1617B-922E-4FBD-8C43-AD98CE8D4F60}"/>
    <cellStyle name="Bueno" xfId="10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Comma_Worksheet in J: MARKETING Templates D&amp;T Templates Noviembre 2002 Informe Modelo 3" xfId="42" xr:uid="{480AD1B9-25C6-4DAE-8552-5783390B74BC}"/>
    <cellStyle name="Currency_inicial 3" xfId="41" xr:uid="{E238719C-E3E5-469E-B71B-8FDA5926BD34}"/>
    <cellStyle name="Encabezado 1" xfId="6" builtinId="16" customBuiltin="1"/>
    <cellStyle name="Encabezado 4" xfId="9" builtinId="19" customBuiltin="1"/>
    <cellStyle name="Énfasis1" xfId="21" builtinId="29" customBuiltin="1"/>
    <cellStyle name="Énfasis2" xfId="24" builtinId="33" customBuiltin="1"/>
    <cellStyle name="Énfasis3" xfId="27" builtinId="37" customBuiltin="1"/>
    <cellStyle name="Énfasis4" xfId="30" builtinId="41" customBuiltin="1"/>
    <cellStyle name="Énfasis5" xfId="33" builtinId="45" customBuiltin="1"/>
    <cellStyle name="Énfasis6" xfId="36" builtinId="49" customBuiltin="1"/>
    <cellStyle name="Entrada" xfId="12" builtinId="20" customBuiltin="1"/>
    <cellStyle name="Incorrecto" xfId="11" builtinId="27" customBuiltin="1"/>
    <cellStyle name="Millares" xfId="1" builtinId="3"/>
    <cellStyle name="Millares [0] 2" xfId="54" xr:uid="{0792DC3A-9E76-4D52-A9A7-5561CE061CDC}"/>
    <cellStyle name="Millares [0] 2 2" xfId="40" xr:uid="{14805CDB-1AB2-40F8-9E6E-9774943E3E0C}"/>
    <cellStyle name="Millares 2" xfId="39" xr:uid="{AC1DCCA3-F8B0-4695-BB4D-424242931D50}"/>
    <cellStyle name="Millares 2 2" xfId="43" xr:uid="{4B4EDB89-165F-4AE7-9E15-22EC9F3E95C0}"/>
    <cellStyle name="Millares 3" xfId="53" xr:uid="{1ABA104A-2553-460A-8359-ABEC704613A1}"/>
    <cellStyle name="Millares 3 2" xfId="55" xr:uid="{1461DEC6-487E-4295-87B0-C90D79ACDF62}"/>
    <cellStyle name="Moneda" xfId="3" builtinId="4"/>
    <cellStyle name="Moneda [0] 2" xfId="52" xr:uid="{3573D043-3FE8-4FD6-A1D8-6DB2AC2D129F}"/>
    <cellStyle name="Neutral 2" xfId="44" xr:uid="{E76BB3D4-E759-4586-8BD3-8FAA564A3701}"/>
    <cellStyle name="Normal" xfId="0" builtinId="0"/>
    <cellStyle name="Normal 2" xfId="51" xr:uid="{F2F56ED5-CF5A-42DD-B375-11741D4A29EE}"/>
    <cellStyle name="Normal 2 2" xfId="4" xr:uid="{F595B966-A595-42C0-A881-57D0036C6993}"/>
    <cellStyle name="Notas" xfId="18" builtinId="10" customBuiltin="1"/>
    <cellStyle name="Porcentaje" xfId="2" builtinId="5"/>
    <cellStyle name="Salida" xfId="13" builtinId="21" customBuiltin="1"/>
    <cellStyle name="Texto de advertencia" xfId="17" builtinId="11" customBuiltin="1"/>
    <cellStyle name="Texto explicativo" xfId="19" builtinId="53" customBuiltin="1"/>
    <cellStyle name="Título" xfId="5" builtinId="15" customBuiltin="1"/>
    <cellStyle name="Título 2" xfId="7" builtinId="17" customBuiltin="1"/>
    <cellStyle name="Título 3" xfId="8" builtinId="18" customBuiltin="1"/>
    <cellStyle name="Total" xfId="20" builtinId="25" customBuiltin="1"/>
  </cellStyles>
  <dxfs count="13"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numFmt numFmtId="35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'Indicadores Financieros'!$G$3:$L$3</c:f>
              <c:numCache>
                <c:formatCode>General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36-497D-BBBD-21191555F04E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'Indicadores Financieros'!$G$4:$L$4</c:f>
              <c:numCache>
                <c:formatCode>0.00</c:formatCode>
                <c:ptCount val="6"/>
                <c:pt idx="0">
                  <c:v>0.47204187190165664</c:v>
                </c:pt>
                <c:pt idx="1">
                  <c:v>0.75675822198784504</c:v>
                </c:pt>
                <c:pt idx="2">
                  <c:v>0.81668052245431644</c:v>
                </c:pt>
                <c:pt idx="3">
                  <c:v>0.84638785402612859</c:v>
                </c:pt>
                <c:pt idx="4">
                  <c:v>0.87789969789641487</c:v>
                </c:pt>
                <c:pt idx="5">
                  <c:v>0.91002480129372276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36-497D-BBBD-21191555F0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2875728"/>
        <c:axId val="422894448"/>
      </c:barChart>
      <c:catAx>
        <c:axId val="422875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22894448"/>
        <c:crosses val="autoZero"/>
        <c:auto val="1"/>
        <c:lblAlgn val="ctr"/>
        <c:lblOffset val="100"/>
        <c:noMultiLvlLbl val="0"/>
      </c:catAx>
      <c:valAx>
        <c:axId val="422894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22875728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Endeudamieto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'Indicadores Financieros'!$H$8:$L$8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'Indicadores Financieros'!$H$9:$L$9</c:f>
              <c:numCache>
                <c:formatCode>0.00%</c:formatCode>
                <c:ptCount val="5"/>
                <c:pt idx="0">
                  <c:v>0.30800257402384268</c:v>
                </c:pt>
                <c:pt idx="1">
                  <c:v>0.30961514957721059</c:v>
                </c:pt>
                <c:pt idx="2">
                  <c:v>0.30947201435553573</c:v>
                </c:pt>
                <c:pt idx="3">
                  <c:v>0.30947909309788857</c:v>
                </c:pt>
                <c:pt idx="4">
                  <c:v>0.3095867376949209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17-417D-863D-E2EAC7112EAF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'Indicadores Financieros'!$H$8:$L$8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'Indicadores Financieros'!$H$10:$L$10</c:f>
              <c:numCache>
                <c:formatCode>0.00%</c:formatCode>
                <c:ptCount val="5"/>
                <c:pt idx="0">
                  <c:v>0.36585255433265568</c:v>
                </c:pt>
                <c:pt idx="1">
                  <c:v>0.36497093633384931</c:v>
                </c:pt>
                <c:pt idx="2">
                  <c:v>0.36492786001183897</c:v>
                </c:pt>
                <c:pt idx="3">
                  <c:v>0.36493413757763249</c:v>
                </c:pt>
                <c:pt idx="4">
                  <c:v>0.36493768429297296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17-417D-863D-E2EAC7112EAF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'Indicadores Financieros'!$H$8:$L$8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'Indicadores Financieros'!$H$11:$L$11</c:f>
              <c:numCache>
                <c:formatCode>0.00%</c:formatCode>
                <c:ptCount val="5"/>
                <c:pt idx="0">
                  <c:v>0.63414744566734438</c:v>
                </c:pt>
                <c:pt idx="1">
                  <c:v>0.63502906366615075</c:v>
                </c:pt>
                <c:pt idx="2">
                  <c:v>0.63507213998816103</c:v>
                </c:pt>
                <c:pt idx="3">
                  <c:v>0.63506586242236751</c:v>
                </c:pt>
                <c:pt idx="4">
                  <c:v>0.63506231570702698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17-417D-863D-E2EAC7112E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8117824"/>
        <c:axId val="568139456"/>
      </c:barChart>
      <c:catAx>
        <c:axId val="56811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68139456"/>
        <c:crosses val="autoZero"/>
        <c:auto val="1"/>
        <c:lblAlgn val="ctr"/>
        <c:lblOffset val="100"/>
        <c:noMultiLvlLbl val="0"/>
      </c:catAx>
      <c:valAx>
        <c:axId val="568139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68117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Crecimiento Pobacional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'Crecimiento Poblacional'!$L$6:$L$7</c:f>
              <c:strCache>
                <c:ptCount val="2"/>
                <c:pt idx="0">
                  <c:v>Crecimiento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'Crecimiento Poblacional'!$I$8:$I$18</c:f>
              <c:strCache>
                <c:ptCount val="11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</c:strCache>
            </c:strRef>
          </c:cat>
          <c:val>
            <c:numRef>
              <c:f>'Crecimiento Poblacional'!$L$8:$L$18</c:f>
              <c:numCache>
                <c:formatCode>0.00%</c:formatCode>
                <c:ptCount val="11"/>
                <c:pt idx="0">
                  <c:v>1.0969275349191485E-2</c:v>
                </c:pt>
                <c:pt idx="1">
                  <c:v>1.0594566416235903E-2</c:v>
                </c:pt>
                <c:pt idx="2">
                  <c:v>1.0261204725324024E-2</c:v>
                </c:pt>
                <c:pt idx="3">
                  <c:v>9.9665524419146646E-3</c:v>
                </c:pt>
                <c:pt idx="4">
                  <c:v>9.6928980345077336E-3</c:v>
                </c:pt>
                <c:pt idx="5">
                  <c:v>9.4047326925469476E-3</c:v>
                </c:pt>
                <c:pt idx="6">
                  <c:v>9.097574357522252E-3</c:v>
                </c:pt>
                <c:pt idx="7">
                  <c:v>8.7714525316516991E-3</c:v>
                </c:pt>
                <c:pt idx="8">
                  <c:v>8.4552501955307731E-3</c:v>
                </c:pt>
                <c:pt idx="9">
                  <c:v>8.149687912207753E-3</c:v>
                </c:pt>
                <c:pt idx="10">
                  <c:v>7.836104861835818E-3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70-4142-8C16-E538E2D2F1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2882560"/>
        <c:axId val="102867584"/>
      </c:barChart>
      <c:catAx>
        <c:axId val="102882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2867584"/>
        <c:crosses val="autoZero"/>
        <c:auto val="1"/>
        <c:lblAlgn val="ctr"/>
        <c:lblOffset val="100"/>
        <c:noMultiLvlLbl val="0"/>
      </c:catAx>
      <c:valAx>
        <c:axId val="102867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2882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 dir="row">_xlchart.v1.2</cx:f>
      </cx:strDim>
      <cx:numDim type="val">
        <cx:f dir="row">_xlchart.v1.3</cx:f>
      </cx:numDim>
    </cx:data>
  </cx:chartData>
  <cx:chart>
    <cx:title pos="t" align="ctr" overlay="0">
      <cx:tx>
        <cx:txData>
          <cx:v>Flujo de caja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s-E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Flujo de caja</a:t>
          </a:r>
        </a:p>
      </cx:txPr>
    </cx:title>
    <cx:plotArea>
      <cx:plotAreaRegion>
        <cx:series layoutId="waterfall" uniqueId="{065F645C-EAA6-40EF-B8E0-5CF7E95D857D}">
          <cx:dataLabels pos="outEnd">
            <cx:visibility seriesName="0" categoryName="0" value="1"/>
          </cx:dataLabels>
          <cx:dataId val="0"/>
          <cx:layoutPr>
            <cx:subtotals/>
          </cx:layoutPr>
        </cx:series>
      </cx:plotAreaRegion>
      <cx:axis id="0">
        <cx:catScaling gapWidth="0.5"/>
        <cx:tickLabels/>
      </cx:axis>
      <cx:axis id="1">
        <cx:valScaling/>
        <cx:majorGridlines/>
        <cx:tickLabels/>
      </cx:axis>
    </cx:plotArea>
    <cx:legend pos="t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Estado resultados'!A1"/><Relationship Id="rId7" Type="http://schemas.openxmlformats.org/officeDocument/2006/relationships/hyperlink" Target="#'Crecimiento Poblacional'!A1"/><Relationship Id="rId2" Type="http://schemas.openxmlformats.org/officeDocument/2006/relationships/hyperlink" Target="#'Crecimiento Estudiantil'!A1"/><Relationship Id="rId1" Type="http://schemas.openxmlformats.org/officeDocument/2006/relationships/hyperlink" Target="#'Situaci&#243;n Financiera'!A1"/><Relationship Id="rId6" Type="http://schemas.openxmlformats.org/officeDocument/2006/relationships/hyperlink" Target="#'Valoraci&#243;n Empresa'!A1"/><Relationship Id="rId5" Type="http://schemas.openxmlformats.org/officeDocument/2006/relationships/hyperlink" Target="#'Indicadores Financieros'!A1"/><Relationship Id="rId4" Type="http://schemas.openxmlformats.org/officeDocument/2006/relationships/hyperlink" Target="#'Proyecciones Estados Financiero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</xdr:row>
      <xdr:rowOff>171450</xdr:rowOff>
    </xdr:from>
    <xdr:to>
      <xdr:col>6</xdr:col>
      <xdr:colOff>28575</xdr:colOff>
      <xdr:row>3</xdr:row>
      <xdr:rowOff>171450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656366-23B0-A99C-57C9-7CFFE12D9336}"/>
            </a:ext>
          </a:extLst>
        </xdr:cNvPr>
        <xdr:cNvSpPr/>
      </xdr:nvSpPr>
      <xdr:spPr>
        <a:xfrm>
          <a:off x="1533525" y="361950"/>
          <a:ext cx="3067050" cy="381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SITUACIÓN</a:t>
          </a:r>
          <a:r>
            <a:rPr lang="es-CO" sz="1100" baseline="0"/>
            <a:t> FINANCIERA</a:t>
          </a:r>
          <a:endParaRPr lang="es-CO" sz="1100"/>
        </a:p>
      </xdr:txBody>
    </xdr:sp>
    <xdr:clientData/>
  </xdr:twoCellAnchor>
  <xdr:twoCellAnchor>
    <xdr:from>
      <xdr:col>1</xdr:col>
      <xdr:colOff>742950</xdr:colOff>
      <xdr:row>16</xdr:row>
      <xdr:rowOff>133350</xdr:rowOff>
    </xdr:from>
    <xdr:to>
      <xdr:col>6</xdr:col>
      <xdr:colOff>0</xdr:colOff>
      <xdr:row>18</xdr:row>
      <xdr:rowOff>133350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121766-BD25-4B64-A0CD-EB1F75E12FBD}"/>
            </a:ext>
          </a:extLst>
        </xdr:cNvPr>
        <xdr:cNvSpPr/>
      </xdr:nvSpPr>
      <xdr:spPr>
        <a:xfrm>
          <a:off x="1504950" y="3181350"/>
          <a:ext cx="3067050" cy="381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CRECIMIENTO ESTUDIANTIL</a:t>
          </a:r>
        </a:p>
      </xdr:txBody>
    </xdr:sp>
    <xdr:clientData/>
  </xdr:twoCellAnchor>
  <xdr:twoCellAnchor>
    <xdr:from>
      <xdr:col>2</xdr:col>
      <xdr:colOff>9525</xdr:colOff>
      <xdr:row>4</xdr:row>
      <xdr:rowOff>38100</xdr:rowOff>
    </xdr:from>
    <xdr:to>
      <xdr:col>6</xdr:col>
      <xdr:colOff>28575</xdr:colOff>
      <xdr:row>6</xdr:row>
      <xdr:rowOff>38100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DAA96A-3ACE-43CA-872A-1C586A0332B4}"/>
            </a:ext>
          </a:extLst>
        </xdr:cNvPr>
        <xdr:cNvSpPr/>
      </xdr:nvSpPr>
      <xdr:spPr>
        <a:xfrm>
          <a:off x="1533525" y="800100"/>
          <a:ext cx="3067050" cy="381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ESTADO</a:t>
          </a:r>
          <a:r>
            <a:rPr lang="es-CO" sz="1100" baseline="0"/>
            <a:t> RESULTADOS</a:t>
          </a:r>
          <a:endParaRPr lang="es-CO" sz="1100"/>
        </a:p>
      </xdr:txBody>
    </xdr:sp>
    <xdr:clientData/>
  </xdr:twoCellAnchor>
  <xdr:twoCellAnchor>
    <xdr:from>
      <xdr:col>2</xdr:col>
      <xdr:colOff>0</xdr:colOff>
      <xdr:row>6</xdr:row>
      <xdr:rowOff>95250</xdr:rowOff>
    </xdr:from>
    <xdr:to>
      <xdr:col>6</xdr:col>
      <xdr:colOff>19050</xdr:colOff>
      <xdr:row>8</xdr:row>
      <xdr:rowOff>95250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734C616-4D77-4B4C-B24E-7A23E2F14614}"/>
            </a:ext>
          </a:extLst>
        </xdr:cNvPr>
        <xdr:cNvSpPr/>
      </xdr:nvSpPr>
      <xdr:spPr>
        <a:xfrm>
          <a:off x="1524000" y="1238250"/>
          <a:ext cx="3067050" cy="381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PROYECCION ESTADOS</a:t>
          </a:r>
          <a:r>
            <a:rPr lang="es-CO" sz="1100" baseline="0"/>
            <a:t> FINANCIEROS</a:t>
          </a:r>
          <a:endParaRPr lang="es-CO" sz="1100"/>
        </a:p>
      </xdr:txBody>
    </xdr:sp>
    <xdr:clientData/>
  </xdr:twoCellAnchor>
  <xdr:twoCellAnchor>
    <xdr:from>
      <xdr:col>2</xdr:col>
      <xdr:colOff>0</xdr:colOff>
      <xdr:row>8</xdr:row>
      <xdr:rowOff>180975</xdr:rowOff>
    </xdr:from>
    <xdr:to>
      <xdr:col>6</xdr:col>
      <xdr:colOff>19050</xdr:colOff>
      <xdr:row>10</xdr:row>
      <xdr:rowOff>180975</xdr:rowOff>
    </xdr:to>
    <xdr:sp macro="" textlink="">
      <xdr:nvSpPr>
        <xdr:cNvPr id="6" name="Rectángulo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51CA491-933A-46E5-826F-7436DF88BD91}"/>
            </a:ext>
          </a:extLst>
        </xdr:cNvPr>
        <xdr:cNvSpPr/>
      </xdr:nvSpPr>
      <xdr:spPr>
        <a:xfrm>
          <a:off x="1524000" y="1704975"/>
          <a:ext cx="3067050" cy="381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INDICADORES FINANCIEROS</a:t>
          </a:r>
        </a:p>
      </xdr:txBody>
    </xdr:sp>
    <xdr:clientData/>
  </xdr:twoCellAnchor>
  <xdr:twoCellAnchor>
    <xdr:from>
      <xdr:col>2</xdr:col>
      <xdr:colOff>0</xdr:colOff>
      <xdr:row>11</xdr:row>
      <xdr:rowOff>85725</xdr:rowOff>
    </xdr:from>
    <xdr:to>
      <xdr:col>6</xdr:col>
      <xdr:colOff>19050</xdr:colOff>
      <xdr:row>13</xdr:row>
      <xdr:rowOff>85725</xdr:rowOff>
    </xdr:to>
    <xdr:sp macro="" textlink="">
      <xdr:nvSpPr>
        <xdr:cNvPr id="7" name="Rectángulo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1890716-A1C2-49DA-8BB9-256E5CAEA938}"/>
            </a:ext>
          </a:extLst>
        </xdr:cNvPr>
        <xdr:cNvSpPr/>
      </xdr:nvSpPr>
      <xdr:spPr>
        <a:xfrm>
          <a:off x="1524000" y="2181225"/>
          <a:ext cx="3067050" cy="381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VALORACIÓN</a:t>
          </a:r>
          <a:r>
            <a:rPr lang="es-CO" sz="1100" baseline="0"/>
            <a:t> EMPRESA</a:t>
          </a:r>
          <a:endParaRPr lang="es-CO" sz="1100"/>
        </a:p>
      </xdr:txBody>
    </xdr:sp>
    <xdr:clientData/>
  </xdr:twoCellAnchor>
  <xdr:twoCellAnchor>
    <xdr:from>
      <xdr:col>1</xdr:col>
      <xdr:colOff>752475</xdr:colOff>
      <xdr:row>14</xdr:row>
      <xdr:rowOff>9525</xdr:rowOff>
    </xdr:from>
    <xdr:to>
      <xdr:col>6</xdr:col>
      <xdr:colOff>9525</xdr:colOff>
      <xdr:row>16</xdr:row>
      <xdr:rowOff>9525</xdr:rowOff>
    </xdr:to>
    <xdr:sp macro="" textlink="">
      <xdr:nvSpPr>
        <xdr:cNvPr id="8" name="Rectángulo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CDEC887-9CB1-45C6-8B78-9A33A4466A4D}"/>
            </a:ext>
          </a:extLst>
        </xdr:cNvPr>
        <xdr:cNvSpPr/>
      </xdr:nvSpPr>
      <xdr:spPr>
        <a:xfrm>
          <a:off x="1514475" y="2676525"/>
          <a:ext cx="3067050" cy="381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CRECIMIENTO</a:t>
          </a:r>
          <a:r>
            <a:rPr lang="es-CO" sz="1100" baseline="0"/>
            <a:t> POBLACIONAL</a:t>
          </a:r>
          <a:endParaRPr lang="es-C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292552</xdr:colOff>
      <xdr:row>1</xdr:row>
      <xdr:rowOff>145595</xdr:rowOff>
    </xdr:from>
    <xdr:to>
      <xdr:col>14</xdr:col>
      <xdr:colOff>707572</xdr:colOff>
      <xdr:row>9</xdr:row>
      <xdr:rowOff>231321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AA64B32-C5B9-0E9B-CE9E-4775293DD3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578303</xdr:colOff>
      <xdr:row>10</xdr:row>
      <xdr:rowOff>145596</xdr:rowOff>
    </xdr:from>
    <xdr:to>
      <xdr:col>15</xdr:col>
      <xdr:colOff>530680</xdr:colOff>
      <xdr:row>19</xdr:row>
      <xdr:rowOff>81644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36D7AC6-244D-11EB-79F9-7DBC7FD792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306160</xdr:colOff>
      <xdr:row>0</xdr:row>
      <xdr:rowOff>23132</xdr:rowOff>
    </xdr:from>
    <xdr:to>
      <xdr:col>6</xdr:col>
      <xdr:colOff>877660</xdr:colOff>
      <xdr:row>12</xdr:row>
      <xdr:rowOff>31296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83B90DF2-7A71-A33C-D598-A7EBE7BCAB7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36053" y="23132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76200</xdr:rowOff>
    </xdr:from>
    <xdr:to>
      <xdr:col>1</xdr:col>
      <xdr:colOff>600075</xdr:colOff>
      <xdr:row>3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33AFCB-1988-4DF9-88E8-34340893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76200"/>
          <a:ext cx="11906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228600</xdr:colOff>
      <xdr:row>0</xdr:row>
      <xdr:rowOff>47625</xdr:rowOff>
    </xdr:from>
    <xdr:ext cx="2981325" cy="571500"/>
    <xdr:pic>
      <xdr:nvPicPr>
        <xdr:cNvPr id="3" name="Imagen 4">
          <a:extLst>
            <a:ext uri="{FF2B5EF4-FFF2-40B4-BE49-F238E27FC236}">
              <a16:creationId xmlns:a16="http://schemas.microsoft.com/office/drawing/2014/main" id="{B265175B-7F5A-4C6C-9E68-DEE6EA98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47625"/>
          <a:ext cx="29813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1</xdr:colOff>
      <xdr:row>3</xdr:row>
      <xdr:rowOff>123825</xdr:rowOff>
    </xdr:from>
    <xdr:to>
      <xdr:col>5</xdr:col>
      <xdr:colOff>190501</xdr:colOff>
      <xdr:row>4</xdr:row>
      <xdr:rowOff>0</xdr:rowOff>
    </xdr:to>
    <xdr:pic>
      <xdr:nvPicPr>
        <xdr:cNvPr id="4" name="Imagen 2" descr="linea">
          <a:extLst>
            <a:ext uri="{FF2B5EF4-FFF2-40B4-BE49-F238E27FC236}">
              <a16:creationId xmlns:a16="http://schemas.microsoft.com/office/drawing/2014/main" id="{306D1A9E-D07F-438E-91EC-9C55572818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1" y="695325"/>
          <a:ext cx="40005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166687</xdr:colOff>
      <xdr:row>20</xdr:row>
      <xdr:rowOff>161925</xdr:rowOff>
    </xdr:from>
    <xdr:to>
      <xdr:col>11</xdr:col>
      <xdr:colOff>690562</xdr:colOff>
      <xdr:row>34</xdr:row>
      <xdr:rowOff>47625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D0A22ED-D34A-4205-B7F9-57BBF4178A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ESTADOS%20FINANCIEROS%202017-2021%20CJML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iana Barrera Obando" refreshedDate="44868.961565740741" createdVersion="8" refreshedVersion="8" minRefreshableVersion="3" recordCount="36" xr:uid="{1E94CFAA-0299-4532-B928-A06ED5783567}">
  <cacheSource type="worksheet">
    <worksheetSource ref="C11:E47" sheet="Nacional_Área" r:id="rId2"/>
  </cacheSource>
  <cacheFields count="3">
    <cacheField name="Año" numFmtId="0">
      <sharedItems count="12">
        <s v="2021"/>
        <s v="2022"/>
        <s v="2023"/>
        <s v="2024"/>
        <s v="2025"/>
        <s v="2026"/>
        <s v="2027"/>
        <s v="2028"/>
        <s v="2029"/>
        <s v="2030"/>
        <s v="2031"/>
        <s v="2032"/>
      </sharedItems>
    </cacheField>
    <cacheField name="Área" numFmtId="0">
      <sharedItems count="3">
        <s v="Cabecera Municipal"/>
        <s v="Centros Poblados y Rural Disperso"/>
        <s v="Total"/>
      </sharedItems>
    </cacheField>
    <cacheField name="Población" numFmtId="3">
      <sharedItems containsSemiMixedTypes="0" containsString="0" containsNumber="1" containsInteger="1" minValue="12150647" maxValue="565716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  <x v="0"/>
    <n v="38898851"/>
  </r>
  <r>
    <x v="0"/>
    <x v="1"/>
    <n v="12150647"/>
  </r>
  <r>
    <x v="0"/>
    <x v="2"/>
    <n v="51049498"/>
  </r>
  <r>
    <x v="1"/>
    <x v="0"/>
    <n v="39388690"/>
  </r>
  <r>
    <x v="1"/>
    <x v="1"/>
    <n v="12220784"/>
  </r>
  <r>
    <x v="1"/>
    <x v="2"/>
    <n v="51609474"/>
  </r>
  <r>
    <x v="2"/>
    <x v="0"/>
    <n v="39862623"/>
  </r>
  <r>
    <x v="2"/>
    <x v="1"/>
    <n v="12293631"/>
  </r>
  <r>
    <x v="2"/>
    <x v="2"/>
    <n v="52156254"/>
  </r>
  <r>
    <x v="3"/>
    <x v="0"/>
    <n v="40321112"/>
  </r>
  <r>
    <x v="3"/>
    <x v="1"/>
    <n v="12370328"/>
  </r>
  <r>
    <x v="3"/>
    <x v="2"/>
    <n v="52691440"/>
  </r>
  <r>
    <x v="4"/>
    <x v="0"/>
    <n v="40764914"/>
  </r>
  <r>
    <x v="4"/>
    <x v="1"/>
    <n v="12451678"/>
  </r>
  <r>
    <x v="4"/>
    <x v="2"/>
    <n v="53216592"/>
  </r>
  <r>
    <x v="5"/>
    <x v="0"/>
    <n v="41194081"/>
  </r>
  <r>
    <x v="5"/>
    <x v="1"/>
    <n v="12538334"/>
  </r>
  <r>
    <x v="5"/>
    <x v="2"/>
    <n v="53732415"/>
  </r>
  <r>
    <x v="6"/>
    <x v="0"/>
    <n v="41607327"/>
  </r>
  <r>
    <x v="6"/>
    <x v="1"/>
    <n v="12630427"/>
  </r>
  <r>
    <x v="6"/>
    <x v="2"/>
    <n v="54237754"/>
  </r>
  <r>
    <x v="7"/>
    <x v="0"/>
    <n v="42003061"/>
  </r>
  <r>
    <x v="7"/>
    <x v="1"/>
    <n v="12728125"/>
  </r>
  <r>
    <x v="7"/>
    <x v="2"/>
    <n v="54731186"/>
  </r>
  <r>
    <x v="8"/>
    <x v="0"/>
    <n v="42379593"/>
  </r>
  <r>
    <x v="8"/>
    <x v="1"/>
    <n v="12831665"/>
  </r>
  <r>
    <x v="8"/>
    <x v="2"/>
    <n v="55211258"/>
  </r>
  <r>
    <x v="9"/>
    <x v="0"/>
    <n v="42736325"/>
  </r>
  <r>
    <x v="9"/>
    <x v="1"/>
    <n v="12941758"/>
  </r>
  <r>
    <x v="9"/>
    <x v="2"/>
    <n v="55678083"/>
  </r>
  <r>
    <x v="10"/>
    <x v="0"/>
    <n v="43077006"/>
  </r>
  <r>
    <x v="10"/>
    <x v="1"/>
    <n v="13054836"/>
  </r>
  <r>
    <x v="10"/>
    <x v="2"/>
    <n v="56131842"/>
  </r>
  <r>
    <x v="11"/>
    <x v="0"/>
    <n v="43405082"/>
  </r>
  <r>
    <x v="11"/>
    <x v="1"/>
    <n v="13166615"/>
  </r>
  <r>
    <x v="11"/>
    <x v="2"/>
    <n v="5657169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FD4C068-8C25-485B-BEC3-08F68F348DCB}" name="TablaDinámica3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rowHeaderCaption="Año">
  <location ref="G6:H19" firstHeaderRow="1" firstDataRow="1" firstDataCol="1" rowPageCount="1" colPageCount="1"/>
  <pivotFields count="3"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Page" showAll="0">
      <items count="4">
        <item x="0"/>
        <item x="1"/>
        <item x="2"/>
        <item t="default"/>
      </items>
    </pivotField>
    <pivotField dataField="1" numFmtId="3" showAll="0"/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pageFields count="1">
    <pageField fld="1" item="2" hier="-1"/>
  </pageFields>
  <dataFields count="1">
    <dataField name="Suma de Población" fld="2" baseField="0" baseItem="0"/>
  </dataFields>
  <formats count="13">
    <format dxfId="12">
      <pivotArea collapsedLevelsAreSubtotals="1" fieldPosition="0">
        <references count="1">
          <reference field="0" count="0"/>
        </references>
      </pivotArea>
    </format>
    <format dxfId="11">
      <pivotArea type="all" dataOnly="0" outline="0" fieldPosition="0"/>
    </format>
    <format dxfId="10">
      <pivotArea outline="0" collapsedLevelsAreSubtotals="1" fieldPosition="0"/>
    </format>
    <format dxfId="9">
      <pivotArea field="0" type="button" dataOnly="0" labelOnly="1" outline="0" axis="axisRow" fieldPosition="0"/>
    </format>
    <format dxfId="8">
      <pivotArea dataOnly="0" labelOnly="1" fieldPosition="0">
        <references count="1">
          <reference field="0" count="0"/>
        </references>
      </pivotArea>
    </format>
    <format dxfId="7">
      <pivotArea dataOnly="0" labelOnly="1" grandRow="1" outline="0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outline="0" collapsedLevelsAreSubtotals="1" fieldPosition="0"/>
    </format>
    <format dxfId="3">
      <pivotArea field="0" type="button" dataOnly="0" labelOnly="1" outline="0" axis="axisRow" fieldPosition="0"/>
    </format>
    <format dxfId="2">
      <pivotArea dataOnly="0" labelOnly="1" fieldPosition="0">
        <references count="1">
          <reference field="0" count="0"/>
        </references>
      </pivotArea>
    </format>
    <format dxfId="1">
      <pivotArea dataOnly="0" labelOnly="1" grandRow="1" outline="0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04B55-A0E3-45A6-AAA4-41D28CE4B58C}">
  <dimension ref="H3:H14"/>
  <sheetViews>
    <sheetView showGridLines="0" workbookViewId="0">
      <selection activeCell="H14" sqref="H14"/>
    </sheetView>
  </sheetViews>
  <sheetFormatPr baseColWidth="10" defaultRowHeight="15" x14ac:dyDescent="0.25"/>
  <sheetData>
    <row r="3" spans="8:8" ht="15.75" x14ac:dyDescent="0.25">
      <c r="H3" s="110" t="s">
        <v>280</v>
      </c>
    </row>
    <row r="5" spans="8:8" ht="15.75" x14ac:dyDescent="0.25">
      <c r="H5" s="254" t="s">
        <v>281</v>
      </c>
    </row>
    <row r="6" spans="8:8" ht="15.75" x14ac:dyDescent="0.25">
      <c r="H6" s="254" t="s">
        <v>282</v>
      </c>
    </row>
    <row r="7" spans="8:8" ht="15.75" x14ac:dyDescent="0.25">
      <c r="H7" s="254" t="s">
        <v>283</v>
      </c>
    </row>
    <row r="10" spans="8:8" ht="15.75" x14ac:dyDescent="0.25">
      <c r="H10" s="254" t="s">
        <v>284</v>
      </c>
    </row>
    <row r="11" spans="8:8" ht="15.75" x14ac:dyDescent="0.25">
      <c r="H11" s="254" t="s">
        <v>285</v>
      </c>
    </row>
    <row r="12" spans="8:8" ht="15.75" x14ac:dyDescent="0.25">
      <c r="H12" s="254">
        <v>2022</v>
      </c>
    </row>
    <row r="14" spans="8:8" ht="15.75" x14ac:dyDescent="0.25">
      <c r="H14" s="1" t="s">
        <v>286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BC87F-DEAD-42B4-BA6B-4B7109FF3F0C}">
  <dimension ref="A1:L52"/>
  <sheetViews>
    <sheetView showGridLines="0" topLeftCell="A52" zoomScale="70" zoomScaleNormal="70" workbookViewId="0"/>
  </sheetViews>
  <sheetFormatPr baseColWidth="10" defaultRowHeight="15.75" x14ac:dyDescent="0.25"/>
  <cols>
    <col min="1" max="1" width="6.140625" style="13" customWidth="1"/>
    <col min="2" max="2" width="47.28515625" style="15" bestFit="1" customWidth="1"/>
    <col min="3" max="4" width="22.5703125" style="147" customWidth="1"/>
    <col min="5" max="5" width="23.28515625" style="147" customWidth="1"/>
    <col min="6" max="6" width="23.140625" style="147" customWidth="1"/>
    <col min="7" max="7" width="23.28515625" style="147" customWidth="1"/>
    <col min="8" max="8" width="11.5703125" style="13" bestFit="1" customWidth="1"/>
    <col min="9" max="12" width="7.140625" style="13" bestFit="1" customWidth="1"/>
    <col min="13" max="16384" width="11.42578125" style="13"/>
  </cols>
  <sheetData>
    <row r="1" spans="1:12" ht="16.5" thickBot="1" x14ac:dyDescent="0.3"/>
    <row r="2" spans="1:12" ht="42.75" customHeight="1" thickBot="1" x14ac:dyDescent="0.3">
      <c r="A2" s="127" t="s">
        <v>117</v>
      </c>
      <c r="B2" s="255" t="s">
        <v>279</v>
      </c>
      <c r="C2" s="256"/>
      <c r="D2" s="256"/>
      <c r="E2" s="256"/>
      <c r="F2" s="256"/>
      <c r="G2" s="256"/>
      <c r="H2" s="256"/>
      <c r="I2" s="256"/>
      <c r="J2" s="256"/>
      <c r="K2" s="256"/>
      <c r="L2" s="257"/>
    </row>
    <row r="3" spans="1:12" ht="32.25" customHeight="1" thickBot="1" x14ac:dyDescent="0.3">
      <c r="B3" s="258" t="s">
        <v>0</v>
      </c>
      <c r="C3" s="259"/>
      <c r="D3" s="259"/>
      <c r="E3" s="259"/>
      <c r="F3" s="259"/>
      <c r="G3" s="260"/>
      <c r="H3" s="264" t="s">
        <v>118</v>
      </c>
      <c r="I3" s="265"/>
      <c r="J3" s="265"/>
      <c r="K3" s="265"/>
      <c r="L3" s="266"/>
    </row>
    <row r="4" spans="1:12" ht="16.5" thickBot="1" x14ac:dyDescent="0.3">
      <c r="B4" s="11" t="s">
        <v>48</v>
      </c>
      <c r="C4" s="61">
        <v>2017</v>
      </c>
      <c r="D4" s="51">
        <v>2018</v>
      </c>
      <c r="E4" s="51">
        <v>2019</v>
      </c>
      <c r="F4" s="51">
        <v>2020</v>
      </c>
      <c r="G4" s="51">
        <v>2021</v>
      </c>
      <c r="H4" s="32">
        <v>2017</v>
      </c>
      <c r="I4" s="32">
        <v>2018</v>
      </c>
      <c r="J4" s="32">
        <v>2019</v>
      </c>
      <c r="K4" s="32">
        <v>2020</v>
      </c>
      <c r="L4" s="32">
        <v>2021</v>
      </c>
    </row>
    <row r="5" spans="1:12" x14ac:dyDescent="0.25">
      <c r="B5" s="34" t="s">
        <v>1</v>
      </c>
      <c r="C5" s="149">
        <v>154968628</v>
      </c>
      <c r="D5" s="149">
        <v>43688957</v>
      </c>
      <c r="E5" s="149">
        <v>88283543</v>
      </c>
      <c r="F5" s="149">
        <v>68971655</v>
      </c>
      <c r="G5" s="150">
        <v>1015572</v>
      </c>
      <c r="H5" s="33">
        <f t="shared" ref="H5:L7" si="0">C5/C$17</f>
        <v>7.740589364406531E-3</v>
      </c>
      <c r="I5" s="31">
        <f t="shared" si="0"/>
        <v>2.1250023630332614E-3</v>
      </c>
      <c r="J5" s="31">
        <f t="shared" si="0"/>
        <v>4.2325381742278683E-3</v>
      </c>
      <c r="K5" s="31">
        <f t="shared" si="0"/>
        <v>3.3627388009672514E-3</v>
      </c>
      <c r="L5" s="10">
        <f t="shared" si="0"/>
        <v>4.7878296060893654E-5</v>
      </c>
    </row>
    <row r="6" spans="1:12" x14ac:dyDescent="0.25">
      <c r="B6" s="24" t="s">
        <v>2</v>
      </c>
      <c r="C6" s="151">
        <v>581219338</v>
      </c>
      <c r="D6" s="151">
        <v>402692804</v>
      </c>
      <c r="E6" s="151">
        <v>577633014</v>
      </c>
      <c r="F6" s="151">
        <v>452430357</v>
      </c>
      <c r="G6" s="152">
        <v>905410373</v>
      </c>
      <c r="H6" s="16">
        <f t="shared" si="0"/>
        <v>2.9031554864834996E-2</v>
      </c>
      <c r="I6" s="19">
        <f t="shared" si="0"/>
        <v>1.9586715244231855E-2</v>
      </c>
      <c r="J6" s="19">
        <f t="shared" si="0"/>
        <v>2.7693199653861883E-2</v>
      </c>
      <c r="K6" s="19">
        <f t="shared" si="0"/>
        <v>2.2058411041744112E-2</v>
      </c>
      <c r="L6" s="17">
        <f t="shared" si="0"/>
        <v>4.2684817910594378E-2</v>
      </c>
    </row>
    <row r="7" spans="1:12" x14ac:dyDescent="0.25">
      <c r="B7" s="24" t="s">
        <v>3</v>
      </c>
      <c r="C7" s="151">
        <v>187450360</v>
      </c>
      <c r="D7" s="151">
        <v>444942198</v>
      </c>
      <c r="E7" s="151">
        <v>556149913</v>
      </c>
      <c r="F7" s="151">
        <v>146026623</v>
      </c>
      <c r="G7" s="152">
        <v>240956500</v>
      </c>
      <c r="H7" s="16">
        <f t="shared" si="0"/>
        <v>9.3630322581818009E-3</v>
      </c>
      <c r="I7" s="19">
        <f t="shared" si="0"/>
        <v>2.1641698202207328E-2</v>
      </c>
      <c r="J7" s="19">
        <f t="shared" si="0"/>
        <v>2.666324501006952E-2</v>
      </c>
      <c r="K7" s="19">
        <f t="shared" si="0"/>
        <v>7.1195825464289179E-3</v>
      </c>
      <c r="L7" s="17">
        <f t="shared" si="0"/>
        <v>1.1359693497651296E-2</v>
      </c>
    </row>
    <row r="8" spans="1:12" x14ac:dyDescent="0.25">
      <c r="B8" s="24" t="s">
        <v>4</v>
      </c>
      <c r="C8" s="153">
        <v>1124410</v>
      </c>
      <c r="D8" s="153">
        <v>10403223</v>
      </c>
      <c r="E8" s="153">
        <v>9337546</v>
      </c>
      <c r="G8" s="154"/>
      <c r="H8" s="14"/>
      <c r="L8" s="23"/>
    </row>
    <row r="9" spans="1:12" ht="16.5" thickBot="1" x14ac:dyDescent="0.3">
      <c r="B9" s="30" t="s">
        <v>5</v>
      </c>
      <c r="C9" s="139">
        <f>C5+C6+C7+C8</f>
        <v>924762736</v>
      </c>
      <c r="D9" s="139">
        <f>D5+D6+D7+D8</f>
        <v>901727182</v>
      </c>
      <c r="E9" s="139">
        <f>E5+E6+E7+E8</f>
        <v>1231404016</v>
      </c>
      <c r="F9" s="139">
        <f>F5+F6+F7+F8</f>
        <v>667428635</v>
      </c>
      <c r="G9" s="155">
        <f>G5+G6+G7+G8</f>
        <v>1147382445</v>
      </c>
      <c r="H9" s="21">
        <f>C9/C$17</f>
        <v>4.6191340087756889E-2</v>
      </c>
      <c r="I9" s="18">
        <f>D9/D$17</f>
        <v>4.3859421788469882E-2</v>
      </c>
      <c r="J9" s="18">
        <f>E9/E$17</f>
        <v>5.9036648604117586E-2</v>
      </c>
      <c r="K9" s="18">
        <f>F9/F$17</f>
        <v>3.2540732389140278E-2</v>
      </c>
      <c r="L9" s="26">
        <f>G9/G$17</f>
        <v>5.4092389704306569E-2</v>
      </c>
    </row>
    <row r="10" spans="1:12" ht="16.5" thickBot="1" x14ac:dyDescent="0.3"/>
    <row r="11" spans="1:12" x14ac:dyDescent="0.25">
      <c r="B11" s="29" t="s">
        <v>6</v>
      </c>
      <c r="C11" s="156"/>
      <c r="D11" s="156"/>
      <c r="E11" s="156"/>
      <c r="F11" s="156"/>
      <c r="G11" s="157"/>
      <c r="H11" s="22"/>
      <c r="I11" s="20"/>
      <c r="J11" s="20"/>
      <c r="K11" s="20"/>
      <c r="L11" s="9"/>
    </row>
    <row r="12" spans="1:12" x14ac:dyDescent="0.25">
      <c r="B12" s="28" t="s">
        <v>7</v>
      </c>
      <c r="C12" s="151">
        <v>15686654738</v>
      </c>
      <c r="D12" s="151">
        <v>16217918992</v>
      </c>
      <c r="E12" s="151">
        <v>16199920443</v>
      </c>
      <c r="F12" s="151">
        <v>16393861749</v>
      </c>
      <c r="G12" s="152">
        <v>16621721425</v>
      </c>
      <c r="H12" s="16">
        <f t="shared" ref="H12:L13" si="1">C12/C$17</f>
        <v>0.78353892910557432</v>
      </c>
      <c r="I12" s="19">
        <f t="shared" si="1"/>
        <v>0.78882899817182661</v>
      </c>
      <c r="J12" s="19">
        <f t="shared" si="1"/>
        <v>0.77666549579293553</v>
      </c>
      <c r="K12" s="19">
        <f t="shared" si="1"/>
        <v>0.79928885280562201</v>
      </c>
      <c r="L12" s="17">
        <f t="shared" si="1"/>
        <v>0.78361721219947889</v>
      </c>
    </row>
    <row r="13" spans="1:12" x14ac:dyDescent="0.25">
      <c r="B13" s="25" t="s">
        <v>8</v>
      </c>
      <c r="C13" s="151">
        <v>3408844641</v>
      </c>
      <c r="D13" s="151">
        <v>3439840140</v>
      </c>
      <c r="E13" s="151">
        <v>3426973651</v>
      </c>
      <c r="F13" s="151">
        <v>3449269336</v>
      </c>
      <c r="G13" s="152">
        <v>3442427942</v>
      </c>
      <c r="H13" s="16">
        <f t="shared" si="1"/>
        <v>0.17026973080666882</v>
      </c>
      <c r="I13" s="19">
        <f t="shared" si="1"/>
        <v>0.16731158003970351</v>
      </c>
      <c r="J13" s="19">
        <f t="shared" si="1"/>
        <v>0.16429785560294688</v>
      </c>
      <c r="K13" s="19">
        <f t="shared" si="1"/>
        <v>0.1681704148052377</v>
      </c>
      <c r="L13" s="17">
        <f t="shared" si="1"/>
        <v>0.16229039809621459</v>
      </c>
    </row>
    <row r="14" spans="1:12" x14ac:dyDescent="0.25">
      <c r="B14" s="7"/>
      <c r="G14" s="154"/>
      <c r="H14" s="14"/>
      <c r="L14" s="23"/>
    </row>
    <row r="15" spans="1:12" ht="16.5" thickBot="1" x14ac:dyDescent="0.3">
      <c r="B15" s="30" t="s">
        <v>9</v>
      </c>
      <c r="C15" s="139">
        <f>C13+C12</f>
        <v>19095499379</v>
      </c>
      <c r="D15" s="139">
        <f>D13+D12</f>
        <v>19657759132</v>
      </c>
      <c r="E15" s="139">
        <f>E13+E12</f>
        <v>19626894094</v>
      </c>
      <c r="F15" s="139">
        <f>F13+F12</f>
        <v>19843131085</v>
      </c>
      <c r="G15" s="155">
        <f>G13+G12</f>
        <v>20064149367</v>
      </c>
      <c r="H15" s="21">
        <f>C15/C$17</f>
        <v>0.95380865991224306</v>
      </c>
      <c r="I15" s="18">
        <f t="shared" ref="I15" si="2">D15/D$17</f>
        <v>0.95614057821153009</v>
      </c>
      <c r="J15" s="18">
        <f t="shared" ref="J15" si="3">E15/E$17</f>
        <v>0.94096335139588239</v>
      </c>
      <c r="K15" s="18">
        <f t="shared" ref="K15" si="4">F15/F$17</f>
        <v>0.96745926761085976</v>
      </c>
      <c r="L15" s="26">
        <f t="shared" ref="L15" si="5">G15/G$17</f>
        <v>0.94590761029569348</v>
      </c>
    </row>
    <row r="17" spans="2:12" x14ac:dyDescent="0.25">
      <c r="B17" s="12" t="s">
        <v>10</v>
      </c>
      <c r="C17" s="140">
        <f t="shared" ref="C17:L17" si="6">C15+C9</f>
        <v>20020262115</v>
      </c>
      <c r="D17" s="140">
        <f t="shared" si="6"/>
        <v>20559486314</v>
      </c>
      <c r="E17" s="140">
        <f t="shared" si="6"/>
        <v>20858298110</v>
      </c>
      <c r="F17" s="140">
        <f t="shared" si="6"/>
        <v>20510559720</v>
      </c>
      <c r="G17" s="140">
        <f t="shared" si="6"/>
        <v>21211531812</v>
      </c>
      <c r="H17" s="35">
        <f t="shared" si="6"/>
        <v>1</v>
      </c>
      <c r="I17" s="35">
        <f t="shared" si="6"/>
        <v>1</v>
      </c>
      <c r="J17" s="35">
        <f t="shared" si="6"/>
        <v>1</v>
      </c>
      <c r="K17" s="35">
        <f t="shared" si="6"/>
        <v>1</v>
      </c>
      <c r="L17" s="35">
        <f t="shared" si="6"/>
        <v>1</v>
      </c>
    </row>
    <row r="19" spans="2:12" ht="16.5" thickBot="1" x14ac:dyDescent="0.3">
      <c r="B19" s="11"/>
    </row>
    <row r="20" spans="2:12" ht="36.75" customHeight="1" thickBot="1" x14ac:dyDescent="0.3">
      <c r="B20" s="261" t="s">
        <v>116</v>
      </c>
      <c r="C20" s="262"/>
      <c r="D20" s="262"/>
      <c r="E20" s="262"/>
      <c r="F20" s="262"/>
      <c r="G20" s="263"/>
      <c r="H20" s="264" t="s">
        <v>118</v>
      </c>
      <c r="I20" s="265"/>
      <c r="J20" s="265"/>
      <c r="K20" s="265"/>
      <c r="L20" s="266"/>
    </row>
    <row r="21" spans="2:12" ht="16.5" thickBot="1" x14ac:dyDescent="0.3">
      <c r="B21" s="11" t="s">
        <v>48</v>
      </c>
      <c r="C21" s="148">
        <v>2017</v>
      </c>
      <c r="D21" s="148">
        <v>2018</v>
      </c>
      <c r="E21" s="148">
        <v>2019</v>
      </c>
      <c r="F21" s="148">
        <v>2020</v>
      </c>
      <c r="G21" s="148">
        <v>2021</v>
      </c>
      <c r="H21" s="32">
        <v>2017</v>
      </c>
      <c r="I21" s="32">
        <v>2018</v>
      </c>
      <c r="J21" s="32">
        <v>2019</v>
      </c>
      <c r="K21" s="32">
        <v>2020</v>
      </c>
      <c r="L21" s="32">
        <v>2021</v>
      </c>
    </row>
    <row r="22" spans="2:12" x14ac:dyDescent="0.25">
      <c r="B22" s="36" t="s">
        <v>11</v>
      </c>
      <c r="C22" s="156"/>
      <c r="D22" s="156"/>
      <c r="E22" s="158">
        <v>300000000</v>
      </c>
      <c r="F22" s="158">
        <f>681291656</f>
        <v>681291656</v>
      </c>
      <c r="G22" s="159">
        <f>500062109+22813056</f>
        <v>522875165</v>
      </c>
      <c r="H22" s="33">
        <f t="shared" ref="H22:L27" si="7">C22/C$35</f>
        <v>0</v>
      </c>
      <c r="I22" s="31">
        <f t="shared" si="7"/>
        <v>0</v>
      </c>
      <c r="J22" s="31">
        <f t="shared" si="7"/>
        <v>4.3978200070140215E-2</v>
      </c>
      <c r="K22" s="31">
        <f t="shared" si="7"/>
        <v>0.11462984159682434</v>
      </c>
      <c r="L22" s="10">
        <f t="shared" si="7"/>
        <v>7.8532221650133349E-2</v>
      </c>
    </row>
    <row r="23" spans="2:12" x14ac:dyDescent="0.25">
      <c r="B23" s="28" t="s">
        <v>12</v>
      </c>
      <c r="E23" s="160">
        <v>0</v>
      </c>
      <c r="F23" s="160">
        <v>367514252</v>
      </c>
      <c r="G23" s="161">
        <v>598388103</v>
      </c>
      <c r="H23" s="16">
        <f t="shared" si="7"/>
        <v>0</v>
      </c>
      <c r="I23" s="19">
        <f t="shared" si="7"/>
        <v>0</v>
      </c>
      <c r="J23" s="19">
        <f t="shared" si="7"/>
        <v>0</v>
      </c>
      <c r="K23" s="19">
        <f t="shared" si="7"/>
        <v>6.1835632537580031E-2</v>
      </c>
      <c r="L23" s="17">
        <f t="shared" si="7"/>
        <v>8.9873740967595622E-2</v>
      </c>
    </row>
    <row r="24" spans="2:12" x14ac:dyDescent="0.25">
      <c r="B24" s="28" t="s">
        <v>13</v>
      </c>
      <c r="C24" s="151">
        <v>379797029</v>
      </c>
      <c r="D24" s="151">
        <v>462881103</v>
      </c>
      <c r="E24" s="151">
        <v>818168718</v>
      </c>
      <c r="F24" s="151">
        <v>198741700</v>
      </c>
      <c r="G24" s="152">
        <v>506149781</v>
      </c>
      <c r="H24" s="16">
        <f t="shared" si="7"/>
        <v>6.1319837013420447E-2</v>
      </c>
      <c r="I24" s="19">
        <f t="shared" si="7"/>
        <v>6.9514548340364121E-2</v>
      </c>
      <c r="J24" s="19">
        <f t="shared" si="7"/>
        <v>0.11993862523778043</v>
      </c>
      <c r="K24" s="19">
        <f t="shared" si="7"/>
        <v>3.3439026280520867E-2</v>
      </c>
      <c r="L24" s="17">
        <f t="shared" si="7"/>
        <v>7.6020185027641254E-2</v>
      </c>
    </row>
    <row r="25" spans="2:12" x14ac:dyDescent="0.25">
      <c r="B25" s="28" t="s">
        <v>14</v>
      </c>
      <c r="C25" s="151">
        <v>133036821</v>
      </c>
      <c r="D25" s="151">
        <v>289514417</v>
      </c>
      <c r="E25" s="151">
        <v>471703018</v>
      </c>
      <c r="F25" s="151">
        <v>254286286</v>
      </c>
      <c r="G25" s="152">
        <v>207739200</v>
      </c>
      <c r="H25" s="16">
        <f t="shared" si="7"/>
        <v>2.1479357545220793E-2</v>
      </c>
      <c r="I25" s="19">
        <f t="shared" si="7"/>
        <v>4.3478689895402441E-2</v>
      </c>
      <c r="J25" s="19">
        <f t="shared" si="7"/>
        <v>6.9148832330976504E-2</v>
      </c>
      <c r="K25" s="19">
        <f t="shared" si="7"/>
        <v>4.2784608365179756E-2</v>
      </c>
      <c r="L25" s="17">
        <f t="shared" si="7"/>
        <v>3.1200986376588344E-2</v>
      </c>
    </row>
    <row r="26" spans="2:12" x14ac:dyDescent="0.25">
      <c r="B26" s="25" t="s">
        <v>15</v>
      </c>
      <c r="C26" s="151">
        <v>338874397</v>
      </c>
      <c r="D26" s="151">
        <v>424880926</v>
      </c>
      <c r="E26" s="151">
        <v>465038033</v>
      </c>
      <c r="F26" s="151">
        <v>454079916</v>
      </c>
      <c r="G26" s="152">
        <v>595527132</v>
      </c>
      <c r="H26" s="16">
        <f t="shared" si="7"/>
        <v>5.4712704959208977E-2</v>
      </c>
      <c r="I26" s="19">
        <f t="shared" si="7"/>
        <v>6.3807758575371507E-2</v>
      </c>
      <c r="J26" s="19">
        <f t="shared" si="7"/>
        <v>6.8171785518328226E-2</v>
      </c>
      <c r="K26" s="19">
        <f t="shared" si="7"/>
        <v>7.6400625759871776E-2</v>
      </c>
      <c r="L26" s="17">
        <f t="shared" si="7"/>
        <v>8.9444042975137708E-2</v>
      </c>
    </row>
    <row r="27" spans="2:12" ht="16.5" thickBot="1" x14ac:dyDescent="0.3">
      <c r="B27" s="37" t="s">
        <v>16</v>
      </c>
      <c r="C27" s="139">
        <f>C22+C23+C25+C26+C24</f>
        <v>851708247</v>
      </c>
      <c r="D27" s="139">
        <f>D22+D23+D25+D26+D24</f>
        <v>1177276446</v>
      </c>
      <c r="E27" s="139">
        <f>E22+E23+E25+E26+E24</f>
        <v>2054909769</v>
      </c>
      <c r="F27" s="139">
        <f>F22+F23+F25+F26+F24</f>
        <v>1955913810</v>
      </c>
      <c r="G27" s="155">
        <f>G22+G23+G25+G26+G24</f>
        <v>2430679381</v>
      </c>
      <c r="H27" s="21">
        <f t="shared" si="7"/>
        <v>0.13751189951785023</v>
      </c>
      <c r="I27" s="18">
        <f t="shared" si="7"/>
        <v>0.17680099681113806</v>
      </c>
      <c r="J27" s="18">
        <f t="shared" si="7"/>
        <v>0.30123744315722539</v>
      </c>
      <c r="K27" s="18">
        <f t="shared" si="7"/>
        <v>0.32908973453997675</v>
      </c>
      <c r="L27" s="26">
        <f t="shared" si="7"/>
        <v>0.36507117699709629</v>
      </c>
    </row>
    <row r="28" spans="2:12" ht="16.5" thickBot="1" x14ac:dyDescent="0.3">
      <c r="B28" s="38"/>
    </row>
    <row r="29" spans="2:12" x14ac:dyDescent="0.25">
      <c r="B29" s="39" t="s">
        <v>17</v>
      </c>
      <c r="C29" s="156"/>
      <c r="D29" s="156"/>
      <c r="E29" s="156"/>
      <c r="F29" s="156"/>
      <c r="G29" s="157"/>
      <c r="H29" s="22"/>
      <c r="I29" s="20"/>
      <c r="J29" s="20"/>
      <c r="K29" s="20"/>
      <c r="L29" s="9"/>
    </row>
    <row r="30" spans="2:12" x14ac:dyDescent="0.25">
      <c r="B30" s="28" t="s">
        <v>18</v>
      </c>
      <c r="C30" s="151">
        <v>3006370494</v>
      </c>
      <c r="D30" s="151">
        <v>2992927779</v>
      </c>
      <c r="E30" s="151">
        <v>2587635103</v>
      </c>
      <c r="F30" s="151">
        <v>2767874701</v>
      </c>
      <c r="G30" s="152">
        <v>3015176623</v>
      </c>
      <c r="H30" s="16">
        <f t="shared" ref="H30:L32" si="8">C30/C$35</f>
        <v>0.48539123431119918</v>
      </c>
      <c r="I30" s="19">
        <f t="shared" si="8"/>
        <v>0.44947184368534082</v>
      </c>
      <c r="J30" s="19">
        <f t="shared" si="8"/>
        <v>0.37933178089417297</v>
      </c>
      <c r="K30" s="19">
        <f t="shared" si="8"/>
        <v>0.46570515834335641</v>
      </c>
      <c r="L30" s="17">
        <f t="shared" si="8"/>
        <v>0.45285860702857544</v>
      </c>
    </row>
    <row r="31" spans="2:12" x14ac:dyDescent="0.25">
      <c r="B31" s="7" t="s">
        <v>19</v>
      </c>
      <c r="F31" s="160">
        <v>10049892</v>
      </c>
      <c r="G31" s="162">
        <v>14220172</v>
      </c>
      <c r="H31" s="16">
        <f t="shared" si="8"/>
        <v>0</v>
      </c>
      <c r="I31" s="19">
        <f t="shared" si="8"/>
        <v>0</v>
      </c>
      <c r="J31" s="19">
        <f t="shared" si="8"/>
        <v>0</v>
      </c>
      <c r="K31" s="19">
        <f t="shared" si="8"/>
        <v>1.6909315091115575E-3</v>
      </c>
      <c r="L31" s="17">
        <f t="shared" si="8"/>
        <v>2.1357711632890809E-3</v>
      </c>
    </row>
    <row r="32" spans="2:12" x14ac:dyDescent="0.25">
      <c r="B32" s="24" t="s">
        <v>20</v>
      </c>
      <c r="C32" s="151">
        <v>2335627040</v>
      </c>
      <c r="D32" s="151">
        <v>2488561660</v>
      </c>
      <c r="E32" s="151">
        <v>2179016709</v>
      </c>
      <c r="F32" s="151">
        <v>1209567315</v>
      </c>
      <c r="G32" s="152">
        <v>1198021023</v>
      </c>
      <c r="H32" s="16">
        <f t="shared" si="8"/>
        <v>0.37709686617095056</v>
      </c>
      <c r="I32" s="19">
        <f t="shared" si="8"/>
        <v>0.37372715950352114</v>
      </c>
      <c r="J32" s="19">
        <f t="shared" si="8"/>
        <v>0.3194307759486017</v>
      </c>
      <c r="K32" s="19">
        <f t="shared" si="8"/>
        <v>0.20351417560755525</v>
      </c>
      <c r="L32" s="17">
        <f t="shared" si="8"/>
        <v>0.17993444481103918</v>
      </c>
    </row>
    <row r="33" spans="2:12" ht="16.5" thickBot="1" x14ac:dyDescent="0.3">
      <c r="B33" s="37" t="s">
        <v>21</v>
      </c>
      <c r="C33" s="139">
        <f>C30+C31+C32</f>
        <v>5341997534</v>
      </c>
      <c r="D33" s="139">
        <f>D30+D31+D32</f>
        <v>5481489439</v>
      </c>
      <c r="E33" s="139">
        <f>E30+E31+E32</f>
        <v>4766651812</v>
      </c>
      <c r="F33" s="139">
        <f>F30+F31+F32</f>
        <v>3987491908</v>
      </c>
      <c r="G33" s="155">
        <f>G30+G31+G32</f>
        <v>4227417818</v>
      </c>
      <c r="H33" s="21">
        <f>C33/C$35</f>
        <v>0.86248810048214974</v>
      </c>
      <c r="I33" s="18">
        <f t="shared" ref="I33" si="9">D33/D$35</f>
        <v>0.82319900318886197</v>
      </c>
      <c r="J33" s="18">
        <f t="shared" ref="J33" si="10">E33/E$35</f>
        <v>0.69876255684277466</v>
      </c>
      <c r="K33" s="18">
        <f t="shared" ref="K33" si="11">F33/F$35</f>
        <v>0.67091026546002319</v>
      </c>
      <c r="L33" s="26">
        <f t="shared" ref="L33" si="12">G33/G$35</f>
        <v>0.63492882300290376</v>
      </c>
    </row>
    <row r="35" spans="2:12" x14ac:dyDescent="0.25">
      <c r="B35" s="38" t="s">
        <v>22</v>
      </c>
      <c r="C35" s="140">
        <f t="shared" ref="C35:L35" si="13">C33+C27</f>
        <v>6193705781</v>
      </c>
      <c r="D35" s="140">
        <f t="shared" si="13"/>
        <v>6658765885</v>
      </c>
      <c r="E35" s="140">
        <f t="shared" si="13"/>
        <v>6821561581</v>
      </c>
      <c r="F35" s="140">
        <f t="shared" si="13"/>
        <v>5943405718</v>
      </c>
      <c r="G35" s="140">
        <f t="shared" si="13"/>
        <v>6658097199</v>
      </c>
      <c r="H35" s="40">
        <f t="shared" si="13"/>
        <v>1</v>
      </c>
      <c r="I35" s="40">
        <f t="shared" si="13"/>
        <v>1</v>
      </c>
      <c r="J35" s="40">
        <f t="shared" si="13"/>
        <v>1</v>
      </c>
      <c r="K35" s="40">
        <f t="shared" si="13"/>
        <v>1</v>
      </c>
      <c r="L35" s="40">
        <f t="shared" si="13"/>
        <v>1</v>
      </c>
    </row>
    <row r="36" spans="2:12" ht="16.5" thickBot="1" x14ac:dyDescent="0.3"/>
    <row r="37" spans="2:12" ht="32.25" customHeight="1" thickBot="1" x14ac:dyDescent="0.3">
      <c r="B37" s="261" t="s">
        <v>23</v>
      </c>
      <c r="C37" s="262"/>
      <c r="D37" s="262"/>
      <c r="E37" s="262"/>
      <c r="F37" s="262"/>
      <c r="G37" s="263"/>
      <c r="H37" s="41"/>
      <c r="I37" s="42"/>
      <c r="J37" s="42"/>
      <c r="K37" s="42"/>
      <c r="L37" s="43"/>
    </row>
    <row r="38" spans="2:12" ht="16.5" thickBot="1" x14ac:dyDescent="0.3">
      <c r="B38" s="11" t="s">
        <v>48</v>
      </c>
      <c r="C38" s="148">
        <v>2017</v>
      </c>
      <c r="D38" s="148">
        <v>2018</v>
      </c>
      <c r="E38" s="148">
        <v>2019</v>
      </c>
      <c r="F38" s="148">
        <v>2020</v>
      </c>
      <c r="G38" s="148">
        <v>2021</v>
      </c>
      <c r="H38" s="32">
        <v>2017</v>
      </c>
      <c r="I38" s="32">
        <v>2018</v>
      </c>
      <c r="J38" s="32">
        <v>2019</v>
      </c>
      <c r="K38" s="32">
        <v>2020</v>
      </c>
      <c r="L38" s="32">
        <v>2021</v>
      </c>
    </row>
    <row r="39" spans="2:12" x14ac:dyDescent="0.25">
      <c r="B39" s="34" t="s">
        <v>24</v>
      </c>
      <c r="C39" s="149">
        <v>1044000000</v>
      </c>
      <c r="D39" s="149">
        <v>1044000000</v>
      </c>
      <c r="E39" s="149">
        <v>1044000000</v>
      </c>
      <c r="F39" s="149">
        <v>1044000000</v>
      </c>
      <c r="G39" s="149">
        <v>1044000000</v>
      </c>
      <c r="H39" s="142">
        <f>C39/C$45</f>
        <v>7.5506870603258336E-2</v>
      </c>
      <c r="I39" s="143">
        <f>D39/D$45</f>
        <v>7.5104021076280864E-2</v>
      </c>
      <c r="J39" s="143">
        <f>E39/E$45</f>
        <v>7.4376262453702449E-2</v>
      </c>
      <c r="K39" s="143">
        <f>F39/F$45</f>
        <v>7.1668082861506915E-2</v>
      </c>
      <c r="L39" s="144">
        <f>G39/G$45</f>
        <v>7.1364247711144191E-2</v>
      </c>
    </row>
    <row r="40" spans="2:12" x14ac:dyDescent="0.25">
      <c r="B40" s="7" t="s">
        <v>25</v>
      </c>
      <c r="C40" s="147">
        <v>49085878</v>
      </c>
      <c r="D40" s="147">
        <v>49085878</v>
      </c>
      <c r="E40" s="147">
        <v>49085878</v>
      </c>
      <c r="F40" s="147">
        <v>49085878</v>
      </c>
      <c r="G40" s="147">
        <v>0</v>
      </c>
      <c r="H40" s="141">
        <f>C40/C45</f>
        <v>3.5501159373499285E-3</v>
      </c>
      <c r="I40" s="145">
        <f t="shared" ref="I40:L40" si="14">D40/D45</f>
        <v>3.5311751109767735E-3</v>
      </c>
      <c r="J40" s="145">
        <f t="shared" si="14"/>
        <v>3.4969579931977191E-3</v>
      </c>
      <c r="K40" s="145">
        <f t="shared" si="14"/>
        <v>3.3696271760860338E-3</v>
      </c>
      <c r="L40" s="146">
        <f t="shared" si="14"/>
        <v>0</v>
      </c>
    </row>
    <row r="41" spans="2:12" x14ac:dyDescent="0.25">
      <c r="B41" s="7" t="s">
        <v>26</v>
      </c>
      <c r="C41" s="147">
        <v>367028046</v>
      </c>
      <c r="D41" s="147">
        <v>367028046</v>
      </c>
      <c r="E41" s="147">
        <v>367028046</v>
      </c>
      <c r="F41" s="147">
        <v>367028046</v>
      </c>
      <c r="G41" s="147">
        <v>491853352</v>
      </c>
      <c r="H41" s="141">
        <f t="shared" ref="H41:L43" si="15">C41/C$45</f>
        <v>2.6545152468475813E-2</v>
      </c>
      <c r="I41" s="145">
        <f t="shared" si="15"/>
        <v>2.6403526917979103E-2</v>
      </c>
      <c r="J41" s="145">
        <f t="shared" si="15"/>
        <v>2.6147676510694995E-2</v>
      </c>
      <c r="K41" s="145">
        <f t="shared" si="15"/>
        <v>2.5195590434123536E-2</v>
      </c>
      <c r="L41" s="146">
        <f t="shared" si="15"/>
        <v>3.3621402729582951E-2</v>
      </c>
    </row>
    <row r="42" spans="2:12" x14ac:dyDescent="0.25">
      <c r="B42" s="7" t="s">
        <v>27</v>
      </c>
      <c r="C42" s="160">
        <f>'Estado resultados'!C20</f>
        <v>-12579439</v>
      </c>
      <c r="D42" s="160">
        <f>'Estado resultados'!D20</f>
        <v>86425549</v>
      </c>
      <c r="E42" s="160">
        <f>'Estado resultados'!E20</f>
        <v>136016100</v>
      </c>
      <c r="F42" s="160">
        <f>'Estado resultados'!F20</f>
        <v>530417473</v>
      </c>
      <c r="G42" s="160">
        <f>'Estado resultados'!G20</f>
        <v>-13719389</v>
      </c>
      <c r="H42" s="141">
        <f t="shared" si="15"/>
        <v>-9.0980275175726194E-4</v>
      </c>
      <c r="I42" s="145">
        <f t="shared" si="15"/>
        <v>6.2173431548133568E-3</v>
      </c>
      <c r="J42" s="145">
        <f t="shared" si="15"/>
        <v>9.6900087658324113E-3</v>
      </c>
      <c r="K42" s="145">
        <f t="shared" si="15"/>
        <v>3.6411880657236696E-2</v>
      </c>
      <c r="L42" s="146">
        <f t="shared" si="15"/>
        <v>-9.3781022513558115E-4</v>
      </c>
    </row>
    <row r="43" spans="2:12" x14ac:dyDescent="0.25">
      <c r="B43" s="7" t="s">
        <v>28</v>
      </c>
      <c r="C43" s="153">
        <v>-664540256</v>
      </c>
      <c r="D43" s="153">
        <f>C43+C42</f>
        <v>-677119695</v>
      </c>
      <c r="E43" s="153">
        <f>D43+D42</f>
        <v>-590694146</v>
      </c>
      <c r="F43" s="153">
        <f>E43+E42</f>
        <v>-454678046</v>
      </c>
      <c r="G43" s="153">
        <f>F43+F42</f>
        <v>75739427</v>
      </c>
      <c r="H43" s="141">
        <f t="shared" si="15"/>
        <v>-4.8062600690084459E-2</v>
      </c>
      <c r="I43" s="145">
        <f t="shared" si="15"/>
        <v>-4.8711122456364823E-2</v>
      </c>
      <c r="J43" s="145">
        <f t="shared" si="15"/>
        <v>-4.2082014207626084E-2</v>
      </c>
      <c r="K43" s="145">
        <f t="shared" si="15"/>
        <v>-3.1212551605398518E-2</v>
      </c>
      <c r="L43" s="146">
        <f t="shared" si="15"/>
        <v>5.1772866187050981E-3</v>
      </c>
    </row>
    <row r="44" spans="2:12" x14ac:dyDescent="0.25">
      <c r="B44" s="7" t="s">
        <v>29</v>
      </c>
      <c r="C44" s="147">
        <v>13043562105</v>
      </c>
      <c r="D44" s="147">
        <v>13031300650</v>
      </c>
      <c r="E44" s="147">
        <v>13031300650</v>
      </c>
      <c r="F44" s="147">
        <v>13031300650</v>
      </c>
      <c r="G44" s="147">
        <v>13031300650</v>
      </c>
      <c r="H44" s="141">
        <v>0.94337026443275762</v>
      </c>
      <c r="I44" s="145">
        <v>0.93745505619631475</v>
      </c>
      <c r="J44" s="145">
        <v>0.92837110848419846</v>
      </c>
      <c r="K44" s="145">
        <v>0.8945673704764453</v>
      </c>
      <c r="L44" s="146">
        <v>0.89541067085014159</v>
      </c>
    </row>
    <row r="45" spans="2:12" ht="16.5" thickBot="1" x14ac:dyDescent="0.3">
      <c r="B45" s="44" t="s">
        <v>30</v>
      </c>
      <c r="C45" s="139">
        <f>C39+C41+C42+C44+C43+C40</f>
        <v>13826556334</v>
      </c>
      <c r="D45" s="139">
        <f>D39+D41+D42+D44+D43+D40</f>
        <v>13900720428</v>
      </c>
      <c r="E45" s="139">
        <f>E39+E41+E42+E44+E43+E40</f>
        <v>14036736528</v>
      </c>
      <c r="F45" s="139">
        <f>F39+F41+F42+F44+F43+F40</f>
        <v>14567154001</v>
      </c>
      <c r="G45" s="139">
        <f>G39+G41+G42+G44+G43+G40</f>
        <v>14629174040</v>
      </c>
      <c r="H45" s="21">
        <f>SUM(H39:H44)</f>
        <v>1</v>
      </c>
      <c r="I45" s="18">
        <f t="shared" ref="I45:L45" si="16">SUM(I39:I44)</f>
        <v>1</v>
      </c>
      <c r="J45" s="18">
        <f t="shared" si="16"/>
        <v>1</v>
      </c>
      <c r="K45" s="18">
        <f t="shared" si="16"/>
        <v>1</v>
      </c>
      <c r="L45" s="26">
        <f t="shared" si="16"/>
        <v>1.0046357976844382</v>
      </c>
    </row>
    <row r="47" spans="2:12" x14ac:dyDescent="0.25">
      <c r="B47" s="45" t="s">
        <v>31</v>
      </c>
      <c r="C47" s="140">
        <f>C45+C35</f>
        <v>20020262115</v>
      </c>
      <c r="D47" s="140">
        <f>D45+D35</f>
        <v>20559486313</v>
      </c>
      <c r="E47" s="140">
        <f>E45+E35</f>
        <v>20858298109</v>
      </c>
      <c r="F47" s="140">
        <f>F45+F35</f>
        <v>20510559719</v>
      </c>
      <c r="G47" s="140">
        <f>G45+G35</f>
        <v>21287271239</v>
      </c>
    </row>
    <row r="48" spans="2:12" ht="16.5" thickBot="1" x14ac:dyDescent="0.3">
      <c r="C48" s="140"/>
      <c r="D48" s="140"/>
      <c r="E48" s="140"/>
      <c r="F48" s="140"/>
      <c r="G48" s="140"/>
    </row>
    <row r="49" spans="2:7" x14ac:dyDescent="0.25">
      <c r="B49" s="36" t="s">
        <v>120</v>
      </c>
      <c r="C49" s="163"/>
      <c r="D49" s="163"/>
      <c r="E49" s="163"/>
      <c r="F49" s="163"/>
      <c r="G49" s="164"/>
    </row>
    <row r="50" spans="2:7" x14ac:dyDescent="0.25">
      <c r="B50" s="28" t="s">
        <v>121</v>
      </c>
      <c r="C50" s="165">
        <v>172454112</v>
      </c>
      <c r="D50" s="165">
        <v>271645297</v>
      </c>
      <c r="E50" s="147">
        <v>196588192</v>
      </c>
      <c r="F50" s="165">
        <v>199060704</v>
      </c>
      <c r="G50" s="166">
        <v>217471629</v>
      </c>
    </row>
    <row r="51" spans="2:7" x14ac:dyDescent="0.25">
      <c r="B51" s="28" t="s">
        <v>122</v>
      </c>
      <c r="C51" s="147">
        <v>0</v>
      </c>
      <c r="D51" s="165">
        <v>138553887</v>
      </c>
      <c r="E51" s="147">
        <v>177021270</v>
      </c>
      <c r="F51" s="165">
        <v>122753607</v>
      </c>
      <c r="G51" s="166">
        <v>148636088</v>
      </c>
    </row>
    <row r="52" spans="2:7" ht="16.5" thickBot="1" x14ac:dyDescent="0.3">
      <c r="B52" s="128"/>
      <c r="C52" s="167"/>
      <c r="D52" s="167"/>
      <c r="E52" s="167"/>
      <c r="F52" s="167"/>
      <c r="G52" s="168"/>
    </row>
  </sheetData>
  <mergeCells count="6">
    <mergeCell ref="B2:L2"/>
    <mergeCell ref="B3:G3"/>
    <mergeCell ref="B20:G20"/>
    <mergeCell ref="B37:G37"/>
    <mergeCell ref="H3:L3"/>
    <mergeCell ref="H20:L20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5BAD0-1AC7-4277-A63D-F61DD1E55A22}">
  <dimension ref="A1:L20"/>
  <sheetViews>
    <sheetView showGridLines="0" zoomScale="70" zoomScaleNormal="70" workbookViewId="0">
      <selection activeCell="B27" sqref="B27"/>
    </sheetView>
  </sheetViews>
  <sheetFormatPr baseColWidth="10" defaultRowHeight="15.75" x14ac:dyDescent="0.25"/>
  <cols>
    <col min="1" max="1" width="11.42578125" style="46"/>
    <col min="2" max="2" width="53.85546875" style="46" bestFit="1" customWidth="1"/>
    <col min="3" max="4" width="20.7109375" style="46" customWidth="1"/>
    <col min="5" max="5" width="21.42578125" style="46" customWidth="1"/>
    <col min="6" max="7" width="20.7109375" style="46" customWidth="1"/>
    <col min="8" max="8" width="18.5703125" style="46" bestFit="1" customWidth="1"/>
    <col min="9" max="11" width="11.42578125" style="46"/>
    <col min="12" max="12" width="11.42578125" style="46" customWidth="1"/>
    <col min="13" max="16384" width="11.42578125" style="46"/>
  </cols>
  <sheetData>
    <row r="1" spans="1:12" s="13" customFormat="1" x14ac:dyDescent="0.25">
      <c r="B1" s="15"/>
      <c r="C1" s="8"/>
      <c r="D1" s="8"/>
      <c r="E1" s="8"/>
      <c r="F1" s="8"/>
      <c r="G1" s="8"/>
    </row>
    <row r="2" spans="1:12" s="13" customFormat="1" ht="42.75" customHeight="1" x14ac:dyDescent="0.25">
      <c r="A2" s="267" t="s">
        <v>119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</row>
    <row r="3" spans="1:12" s="13" customFormat="1" ht="16.5" thickBot="1" x14ac:dyDescent="0.3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2" ht="16.5" thickBot="1" x14ac:dyDescent="0.3">
      <c r="C4" s="51"/>
      <c r="D4" s="51"/>
      <c r="E4" s="51"/>
      <c r="F4" s="51"/>
      <c r="G4" s="51"/>
      <c r="H4" s="264" t="s">
        <v>118</v>
      </c>
      <c r="I4" s="265"/>
      <c r="J4" s="265"/>
      <c r="K4" s="265"/>
      <c r="L4" s="266"/>
    </row>
    <row r="5" spans="1:12" ht="16.5" thickBot="1" x14ac:dyDescent="0.3">
      <c r="B5" s="230" t="s">
        <v>32</v>
      </c>
      <c r="C5" s="63">
        <v>2017</v>
      </c>
      <c r="D5" s="63">
        <v>2018</v>
      </c>
      <c r="E5" s="63">
        <v>2019</v>
      </c>
      <c r="F5" s="63">
        <v>2020</v>
      </c>
      <c r="G5" s="64">
        <v>2021</v>
      </c>
      <c r="H5" s="86">
        <v>2017</v>
      </c>
      <c r="I5" s="62">
        <v>2018</v>
      </c>
      <c r="J5" s="62">
        <v>2019</v>
      </c>
      <c r="K5" s="62">
        <v>2020</v>
      </c>
      <c r="L5" s="87">
        <v>2021</v>
      </c>
    </row>
    <row r="6" spans="1:12" x14ac:dyDescent="0.25">
      <c r="B6" s="75" t="s">
        <v>33</v>
      </c>
      <c r="C6" s="47">
        <v>11677869922</v>
      </c>
      <c r="D6" s="47">
        <v>13922708568</v>
      </c>
      <c r="E6" s="47">
        <v>18162369966</v>
      </c>
      <c r="F6" s="47">
        <v>14195917839</v>
      </c>
      <c r="G6" s="55">
        <v>16192756548</v>
      </c>
      <c r="H6" s="169">
        <f t="shared" ref="H6:H11" si="0">C6/C$6</f>
        <v>1</v>
      </c>
      <c r="I6" s="169">
        <f t="shared" ref="I6:L6" si="1">D6/D$6</f>
        <v>1</v>
      </c>
      <c r="J6" s="169">
        <f t="shared" si="1"/>
        <v>1</v>
      </c>
      <c r="K6" s="169">
        <f t="shared" si="1"/>
        <v>1</v>
      </c>
      <c r="L6" s="170">
        <f t="shared" si="1"/>
        <v>1</v>
      </c>
    </row>
    <row r="7" spans="1:12" x14ac:dyDescent="0.25">
      <c r="B7" s="74" t="s">
        <v>34</v>
      </c>
      <c r="C7" s="4">
        <v>495946942</v>
      </c>
      <c r="D7" s="4">
        <v>505537124</v>
      </c>
      <c r="E7" s="48">
        <v>741621727</v>
      </c>
      <c r="F7" s="48">
        <v>1597379970</v>
      </c>
      <c r="G7" s="56">
        <v>809190070</v>
      </c>
      <c r="H7" s="70">
        <f t="shared" si="0"/>
        <v>4.2468955838057675E-2</v>
      </c>
      <c r="I7" s="70">
        <f t="shared" ref="I7" si="2">D7/D$6</f>
        <v>3.6310256839098692E-2</v>
      </c>
      <c r="J7" s="70">
        <f t="shared" ref="J7" si="3">E7/E$6</f>
        <v>4.0832871942831118E-2</v>
      </c>
      <c r="K7" s="70">
        <f t="shared" ref="K7" si="4">F7/F$6</f>
        <v>0.11252389511663473</v>
      </c>
      <c r="L7" s="71">
        <f t="shared" ref="L7" si="5">G7/G$6</f>
        <v>4.9972348290504294E-2</v>
      </c>
    </row>
    <row r="8" spans="1:12" x14ac:dyDescent="0.25">
      <c r="B8" s="75" t="s">
        <v>35</v>
      </c>
      <c r="C8" s="47">
        <f>C6-C7</f>
        <v>11181922980</v>
      </c>
      <c r="D8" s="47">
        <f t="shared" ref="D8:G8" si="6">D6-D7</f>
        <v>13417171444</v>
      </c>
      <c r="E8" s="47">
        <f t="shared" si="6"/>
        <v>17420748239</v>
      </c>
      <c r="F8" s="47">
        <f t="shared" si="6"/>
        <v>12598537869</v>
      </c>
      <c r="G8" s="55">
        <f t="shared" si="6"/>
        <v>15383566478</v>
      </c>
      <c r="H8" s="70">
        <f t="shared" si="0"/>
        <v>0.95753104416194235</v>
      </c>
      <c r="I8" s="70">
        <f t="shared" ref="I8" si="7">D8/D$6</f>
        <v>0.96368974316090128</v>
      </c>
      <c r="J8" s="70">
        <f t="shared" ref="J8" si="8">E8/E$6</f>
        <v>0.95916712805716886</v>
      </c>
      <c r="K8" s="70">
        <f t="shared" ref="K8" si="9">F8/F$6</f>
        <v>0.88747610488336526</v>
      </c>
      <c r="L8" s="71">
        <f t="shared" ref="L8" si="10">G8/G$6</f>
        <v>0.95002765170949566</v>
      </c>
    </row>
    <row r="9" spans="1:12" x14ac:dyDescent="0.25">
      <c r="B9" s="74" t="s">
        <v>36</v>
      </c>
      <c r="C9" s="4">
        <v>2687265148</v>
      </c>
      <c r="D9" s="4">
        <v>3420537716</v>
      </c>
      <c r="E9" s="49">
        <v>11747570453</v>
      </c>
      <c r="F9" s="50">
        <v>7057159585</v>
      </c>
      <c r="G9" s="57">
        <v>9267765228</v>
      </c>
      <c r="H9" s="70">
        <f t="shared" si="0"/>
        <v>0.23011603708116726</v>
      </c>
      <c r="I9" s="70">
        <f t="shared" ref="I9:I11" si="11">D9/D$6</f>
        <v>0.24568047943356189</v>
      </c>
      <c r="J9" s="70">
        <f t="shared" ref="J9:J11" si="12">E9/E$6</f>
        <v>0.6468082345526206</v>
      </c>
      <c r="K9" s="70">
        <f t="shared" ref="K9:K11" si="13">F9/F$6</f>
        <v>0.49712598121778973</v>
      </c>
      <c r="L9" s="71">
        <f t="shared" ref="L9:L11" si="14">G9/G$6</f>
        <v>0.57234018189106173</v>
      </c>
    </row>
    <row r="10" spans="1:12" x14ac:dyDescent="0.25">
      <c r="B10" s="76" t="s">
        <v>37</v>
      </c>
      <c r="C10" s="47">
        <f>C8-C9</f>
        <v>8494657832</v>
      </c>
      <c r="D10" s="47">
        <f t="shared" ref="D10:G10" si="15">D8-D9</f>
        <v>9996633728</v>
      </c>
      <c r="E10" s="47">
        <f t="shared" si="15"/>
        <v>5673177786</v>
      </c>
      <c r="F10" s="47">
        <f t="shared" si="15"/>
        <v>5541378284</v>
      </c>
      <c r="G10" s="55">
        <f t="shared" si="15"/>
        <v>6115801250</v>
      </c>
      <c r="H10" s="171">
        <f t="shared" si="0"/>
        <v>0.727415007080775</v>
      </c>
      <c r="I10" s="171">
        <f t="shared" si="11"/>
        <v>0.71800926372733942</v>
      </c>
      <c r="J10" s="171">
        <f t="shared" si="12"/>
        <v>0.31235889350454826</v>
      </c>
      <c r="K10" s="171">
        <f t="shared" si="13"/>
        <v>0.39035012366557553</v>
      </c>
      <c r="L10" s="172">
        <f t="shared" si="14"/>
        <v>0.37768746981843404</v>
      </c>
    </row>
    <row r="11" spans="1:12" ht="15" customHeight="1" x14ac:dyDescent="0.25">
      <c r="B11" s="77" t="s">
        <v>38</v>
      </c>
      <c r="C11" s="4">
        <v>7762469014</v>
      </c>
      <c r="D11" s="4">
        <v>9254341177</v>
      </c>
      <c r="E11" s="4">
        <v>4690234293</v>
      </c>
      <c r="F11" s="4">
        <v>4468022799</v>
      </c>
      <c r="G11" s="54">
        <v>5721338018</v>
      </c>
      <c r="H11" s="70">
        <f t="shared" si="0"/>
        <v>0.66471617391252524</v>
      </c>
      <c r="I11" s="70">
        <f t="shared" si="11"/>
        <v>0.66469402356594665</v>
      </c>
      <c r="J11" s="70">
        <f t="shared" si="12"/>
        <v>0.25823911206412653</v>
      </c>
      <c r="K11" s="70">
        <f t="shared" si="13"/>
        <v>0.31473997311573199</v>
      </c>
      <c r="L11" s="71">
        <f t="shared" si="14"/>
        <v>0.35332699537847706</v>
      </c>
    </row>
    <row r="12" spans="1:12" x14ac:dyDescent="0.25">
      <c r="B12" s="76" t="s">
        <v>41</v>
      </c>
      <c r="C12" s="47">
        <f>C10-C11</f>
        <v>732188818</v>
      </c>
      <c r="D12" s="47">
        <f t="shared" ref="D12:G12" si="16">D10-D11</f>
        <v>742292551</v>
      </c>
      <c r="E12" s="47">
        <f t="shared" si="16"/>
        <v>982943493</v>
      </c>
      <c r="F12" s="47">
        <f t="shared" si="16"/>
        <v>1073355485</v>
      </c>
      <c r="G12" s="55">
        <f t="shared" si="16"/>
        <v>394463232</v>
      </c>
      <c r="H12" s="171">
        <f t="shared" ref="H12:H17" si="17">C12/C$6</f>
        <v>6.2698833168249771E-2</v>
      </c>
      <c r="I12" s="171">
        <f t="shared" ref="I12" si="18">D12/D$6</f>
        <v>5.3315240161392712E-2</v>
      </c>
      <c r="J12" s="171">
        <f t="shared" ref="J12" si="19">E12/E$6</f>
        <v>5.4119781440421739E-2</v>
      </c>
      <c r="K12" s="171">
        <f t="shared" ref="K12" si="20">F12/F$6</f>
        <v>7.5610150549843574E-2</v>
      </c>
      <c r="L12" s="172">
        <f t="shared" ref="L12" si="21">G12/G$6</f>
        <v>2.4360474439956977E-2</v>
      </c>
    </row>
    <row r="13" spans="1:12" x14ac:dyDescent="0.25">
      <c r="B13" s="78" t="s">
        <v>39</v>
      </c>
      <c r="C13" s="4">
        <f>197050826-109949368-500000+500000</f>
        <v>87101458</v>
      </c>
      <c r="D13" s="4">
        <v>182086655</v>
      </c>
      <c r="E13" s="4">
        <v>156130353</v>
      </c>
      <c r="F13" s="4">
        <f>448569868-75810570</f>
        <v>372759298</v>
      </c>
      <c r="G13" s="54">
        <f>309011613+28514376</f>
        <v>337525989</v>
      </c>
      <c r="H13" s="70">
        <f t="shared" si="17"/>
        <v>7.4586768461865731E-3</v>
      </c>
      <c r="I13" s="70">
        <f>D13/D$6</f>
        <v>1.3078393051945983E-2</v>
      </c>
      <c r="J13" s="70">
        <f>E13/E$6</f>
        <v>8.5963645323972812E-3</v>
      </c>
      <c r="K13" s="70">
        <f>F13/F$6</f>
        <v>2.6258203395340178E-2</v>
      </c>
      <c r="L13" s="71">
        <f>G13/G$6</f>
        <v>2.0844257616019584E-2</v>
      </c>
    </row>
    <row r="14" spans="1:12" x14ac:dyDescent="0.25">
      <c r="B14" s="74" t="s">
        <v>42</v>
      </c>
      <c r="C14" s="4">
        <v>109949368</v>
      </c>
      <c r="D14" s="4">
        <v>98981717</v>
      </c>
      <c r="E14" s="48">
        <v>95529740</v>
      </c>
      <c r="F14" s="48">
        <v>75810570</v>
      </c>
      <c r="G14" s="56">
        <v>57246659</v>
      </c>
      <c r="H14" s="70">
        <f t="shared" si="17"/>
        <v>9.4151903330303259E-3</v>
      </c>
      <c r="I14" s="70">
        <f t="shared" ref="I14:I15" si="22">D14/D$6</f>
        <v>7.1093721826153795E-3</v>
      </c>
      <c r="J14" s="70">
        <f t="shared" ref="J14:J15" si="23">E14/E$6</f>
        <v>5.2597618140601638E-3</v>
      </c>
      <c r="K14" s="70">
        <f t="shared" ref="K14:K15" si="24">F14/F$6</f>
        <v>5.3403077461978542E-3</v>
      </c>
      <c r="L14" s="71">
        <f t="shared" ref="L14:L15" si="25">G14/G$6</f>
        <v>3.5353251208529194E-3</v>
      </c>
    </row>
    <row r="15" spans="1:12" x14ac:dyDescent="0.25">
      <c r="B15" s="74" t="s">
        <v>43</v>
      </c>
      <c r="C15" s="4">
        <v>632245234</v>
      </c>
      <c r="D15" s="4">
        <v>638332036</v>
      </c>
      <c r="E15" s="48">
        <v>615387646</v>
      </c>
      <c r="F15" s="48">
        <v>366727292</v>
      </c>
      <c r="G15" s="56">
        <v>514683196</v>
      </c>
      <c r="H15" s="70">
        <f t="shared" si="17"/>
        <v>5.4140458681502343E-2</v>
      </c>
      <c r="I15" s="70">
        <f t="shared" si="22"/>
        <v>4.5848265291363238E-2</v>
      </c>
      <c r="J15" s="70">
        <f t="shared" si="23"/>
        <v>3.3882563076955662E-2</v>
      </c>
      <c r="K15" s="70">
        <f t="shared" si="24"/>
        <v>2.5833292088553908E-2</v>
      </c>
      <c r="L15" s="71">
        <f t="shared" si="25"/>
        <v>3.1784779476819194E-2</v>
      </c>
    </row>
    <row r="16" spans="1:12" ht="15" customHeight="1" x14ac:dyDescent="0.25">
      <c r="B16" s="78" t="s">
        <v>40</v>
      </c>
      <c r="C16" s="4">
        <v>137798585</v>
      </c>
      <c r="D16" s="4">
        <v>176725576</v>
      </c>
      <c r="E16" s="4">
        <v>231349745</v>
      </c>
      <c r="F16" s="4">
        <f>(574957907-366727292)</f>
        <v>208230615</v>
      </c>
      <c r="G16" s="54">
        <f>(128909724+76491780)</f>
        <v>205401504</v>
      </c>
      <c r="H16" s="70">
        <f t="shared" si="17"/>
        <v>1.1799976016208275E-2</v>
      </c>
      <c r="I16" s="70">
        <f>D16/D$6</f>
        <v>1.2693332991698659E-2</v>
      </c>
      <c r="J16" s="70">
        <f>E16/E$6</f>
        <v>1.2737861051893959E-2</v>
      </c>
      <c r="K16" s="70">
        <f>F16/F$6</f>
        <v>1.4668344615797546E-2</v>
      </c>
      <c r="L16" s="71">
        <f>G16/G$6</f>
        <v>1.2684776887192165E-2</v>
      </c>
    </row>
    <row r="17" spans="2:12" x14ac:dyDescent="0.25">
      <c r="B17" s="79" t="s">
        <v>44</v>
      </c>
      <c r="C17" s="47">
        <f>C12+C13+C14-C15-C16</f>
        <v>159195825</v>
      </c>
      <c r="D17" s="47">
        <f t="shared" ref="D17:G17" si="26">D12+D13+D14-D15-D16</f>
        <v>208303311</v>
      </c>
      <c r="E17" s="47">
        <f t="shared" si="26"/>
        <v>387866195</v>
      </c>
      <c r="F17" s="47">
        <f t="shared" si="26"/>
        <v>946967446</v>
      </c>
      <c r="G17" s="55">
        <f t="shared" si="26"/>
        <v>69151180</v>
      </c>
      <c r="H17" s="70">
        <f t="shared" si="17"/>
        <v>1.3632265649756054E-2</v>
      </c>
      <c r="I17" s="70">
        <f t="shared" ref="I17" si="27">D17/D$6</f>
        <v>1.4961407112892173E-2</v>
      </c>
      <c r="J17" s="70">
        <f t="shared" ref="J17" si="28">E17/E$6</f>
        <v>2.1355483658029566E-2</v>
      </c>
      <c r="K17" s="70">
        <f t="shared" ref="K17" si="29">F17/F$6</f>
        <v>6.6707024987030142E-2</v>
      </c>
      <c r="L17" s="71">
        <f t="shared" ref="L17" si="30">G17/G$6</f>
        <v>4.2705008128181244E-3</v>
      </c>
    </row>
    <row r="18" spans="2:12" x14ac:dyDescent="0.25">
      <c r="B18" s="80" t="s">
        <v>45</v>
      </c>
      <c r="C18" s="4">
        <v>171775264</v>
      </c>
      <c r="D18" s="4">
        <v>131156575</v>
      </c>
      <c r="E18" s="4">
        <v>250784418</v>
      </c>
      <c r="F18" s="4">
        <v>397162535</v>
      </c>
      <c r="G18" s="54">
        <v>78700289</v>
      </c>
      <c r="H18" s="70">
        <f t="shared" ref="H18:H19" si="31">C18/C$6</f>
        <v>1.4709468862672609E-2</v>
      </c>
      <c r="I18" s="70">
        <f t="shared" ref="I18:I19" si="32">D18/D$6</f>
        <v>9.4203347257767588E-3</v>
      </c>
      <c r="J18" s="70">
        <f t="shared" ref="J18:J19" si="33">E18/E$6</f>
        <v>1.3807912649586427E-2</v>
      </c>
      <c r="K18" s="70">
        <f t="shared" ref="K18:K19" si="34">F18/F$6</f>
        <v>2.7977235392902023E-2</v>
      </c>
      <c r="L18" s="71">
        <f t="shared" ref="L18:L19" si="35">G18/G$6</f>
        <v>4.8602156628928276E-3</v>
      </c>
    </row>
    <row r="19" spans="2:12" x14ac:dyDescent="0.25">
      <c r="B19" s="80" t="s">
        <v>46</v>
      </c>
      <c r="C19" s="4">
        <v>0</v>
      </c>
      <c r="D19" s="4">
        <v>9278813</v>
      </c>
      <c r="E19" s="4">
        <v>1065677</v>
      </c>
      <c r="F19" s="4">
        <v>19387438</v>
      </c>
      <c r="G19" s="54">
        <v>4170280</v>
      </c>
      <c r="H19" s="70">
        <f t="shared" si="31"/>
        <v>0</v>
      </c>
      <c r="I19" s="70">
        <f t="shared" si="32"/>
        <v>6.6645171481405959E-4</v>
      </c>
      <c r="J19" s="70">
        <f t="shared" si="33"/>
        <v>5.867499682007083E-5</v>
      </c>
      <c r="K19" s="70">
        <f t="shared" si="34"/>
        <v>1.3657051428360271E-3</v>
      </c>
      <c r="L19" s="71">
        <f t="shared" si="35"/>
        <v>2.57539844290136E-4</v>
      </c>
    </row>
    <row r="20" spans="2:12" ht="16.5" thickBot="1" x14ac:dyDescent="0.3">
      <c r="B20" s="81" t="s">
        <v>47</v>
      </c>
      <c r="C20" s="58">
        <f>C17-C18-C19</f>
        <v>-12579439</v>
      </c>
      <c r="D20" s="58">
        <f>D17-D18+D19</f>
        <v>86425549</v>
      </c>
      <c r="E20" s="58">
        <f t="shared" ref="E20:G20" si="36">E17-E18-E19</f>
        <v>136016100</v>
      </c>
      <c r="F20" s="58">
        <f t="shared" si="36"/>
        <v>530417473</v>
      </c>
      <c r="G20" s="59">
        <f t="shared" si="36"/>
        <v>-13719389</v>
      </c>
      <c r="H20" s="99">
        <f>C20/C$6</f>
        <v>-1.0772032129165551E-3</v>
      </c>
      <c r="I20" s="99">
        <f t="shared" ref="I20" si="37">D20/D$6</f>
        <v>6.2075241019294743E-3</v>
      </c>
      <c r="J20" s="99">
        <f t="shared" ref="J20" si="38">E20/E$6</f>
        <v>7.4888960116230681E-3</v>
      </c>
      <c r="K20" s="99">
        <f t="shared" ref="K20" si="39">F20/F$6</f>
        <v>3.73640844512921E-2</v>
      </c>
      <c r="L20" s="100">
        <f t="shared" ref="L20" si="40">G20/G$6</f>
        <v>-8.4725469436483991E-4</v>
      </c>
    </row>
  </sheetData>
  <mergeCells count="2">
    <mergeCell ref="A2:L2"/>
    <mergeCell ref="H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4E3DE-EF5D-4177-9314-A38D58D1793E}">
  <dimension ref="B2:M82"/>
  <sheetViews>
    <sheetView showGridLines="0" topLeftCell="C1" zoomScale="70" zoomScaleNormal="70" workbookViewId="0">
      <selection activeCell="H10" sqref="H10:L10"/>
    </sheetView>
  </sheetViews>
  <sheetFormatPr baseColWidth="10" defaultRowHeight="15.75" x14ac:dyDescent="0.25"/>
  <cols>
    <col min="1" max="1" width="5.28515625" style="46" customWidth="1"/>
    <col min="2" max="2" width="53.5703125" style="46" bestFit="1" customWidth="1"/>
    <col min="3" max="7" width="22.5703125" style="46" bestFit="1" customWidth="1"/>
    <col min="8" max="12" width="21.7109375" style="46" bestFit="1" customWidth="1"/>
    <col min="13" max="13" width="18.5703125" style="46" bestFit="1" customWidth="1"/>
    <col min="14" max="16384" width="11.42578125" style="46"/>
  </cols>
  <sheetData>
    <row r="2" spans="2:13" ht="16.5" thickBot="1" x14ac:dyDescent="0.3">
      <c r="B2" s="269" t="s">
        <v>129</v>
      </c>
      <c r="C2" s="269"/>
      <c r="D2" s="269"/>
      <c r="E2" s="269"/>
      <c r="F2" s="269"/>
      <c r="G2" s="269"/>
      <c r="H2" s="269"/>
      <c r="I2" s="269"/>
      <c r="J2" s="269"/>
      <c r="K2" s="269"/>
      <c r="L2" s="269"/>
    </row>
    <row r="3" spans="2:13" ht="16.5" thickBot="1" x14ac:dyDescent="0.3">
      <c r="C3" s="270" t="s">
        <v>126</v>
      </c>
      <c r="D3" s="271"/>
      <c r="E3" s="271"/>
      <c r="F3" s="271"/>
      <c r="G3" s="272"/>
      <c r="H3" s="270" t="s">
        <v>127</v>
      </c>
      <c r="I3" s="271"/>
      <c r="J3" s="271"/>
      <c r="K3" s="271"/>
      <c r="L3" s="272"/>
    </row>
    <row r="4" spans="2:13" ht="16.5" thickBot="1" x14ac:dyDescent="0.3">
      <c r="B4" s="68" t="s">
        <v>48</v>
      </c>
      <c r="C4" s="65">
        <v>2017</v>
      </c>
      <c r="D4" s="66">
        <v>2018</v>
      </c>
      <c r="E4" s="66">
        <v>2019</v>
      </c>
      <c r="F4" s="66">
        <v>2020</v>
      </c>
      <c r="G4" s="67">
        <v>2021</v>
      </c>
      <c r="H4" s="65">
        <v>2022</v>
      </c>
      <c r="I4" s="66">
        <v>2023</v>
      </c>
      <c r="J4" s="66">
        <v>2024</v>
      </c>
      <c r="K4" s="66">
        <v>2025</v>
      </c>
      <c r="L4" s="67">
        <v>2026</v>
      </c>
    </row>
    <row r="5" spans="2:13" x14ac:dyDescent="0.25">
      <c r="B5" s="113" t="s">
        <v>203</v>
      </c>
      <c r="C5" s="114">
        <v>6.8599999999999994E-2</v>
      </c>
      <c r="D5" s="115">
        <v>5.2900000000000003E-2</v>
      </c>
      <c r="E5" s="115">
        <v>4.5600000000000002E-2</v>
      </c>
      <c r="F5" s="115">
        <v>4.4900000000000002E-2</v>
      </c>
      <c r="G5" s="116">
        <v>1.9300000000000001E-2</v>
      </c>
      <c r="H5" s="114">
        <f>AVERAGE(E5:G5)</f>
        <v>3.6600000000000001E-2</v>
      </c>
      <c r="I5" s="115">
        <f>AVERAGE(F5:H5)</f>
        <v>3.3599999999999998E-2</v>
      </c>
      <c r="J5" s="115">
        <f>AVERAGE(G5:I5)</f>
        <v>2.9833333333333333E-2</v>
      </c>
      <c r="K5" s="115">
        <f>AVERAGE(H5:J5)</f>
        <v>3.3344444444444447E-2</v>
      </c>
      <c r="L5" s="116">
        <f>AVERAGE(I5:K5)</f>
        <v>3.2259259259259258E-2</v>
      </c>
      <c r="M5" s="19" t="s">
        <v>211</v>
      </c>
    </row>
    <row r="6" spans="2:13" x14ac:dyDescent="0.25">
      <c r="B6" s="112" t="s">
        <v>204</v>
      </c>
      <c r="C6" s="114">
        <v>7.1014434344113919E-2</v>
      </c>
      <c r="D6" s="115">
        <v>6.0528585010277469E-2</v>
      </c>
      <c r="E6" s="115">
        <v>6.2848858726122669E-2</v>
      </c>
      <c r="F6" s="115">
        <v>5.9515533625327022E-2</v>
      </c>
      <c r="G6" s="116">
        <v>6.4006937046780399E-2</v>
      </c>
      <c r="H6" s="114">
        <v>6.3582869750524296E-2</v>
      </c>
      <c r="I6" s="115">
        <v>6.2096556831806371E-2</v>
      </c>
      <c r="J6" s="115">
        <v>6.2410151196112151E-2</v>
      </c>
      <c r="K6" s="115">
        <v>6.2322409690110048E-2</v>
      </c>
      <c r="L6" s="116">
        <v>6.2883784903066647E-2</v>
      </c>
    </row>
    <row r="7" spans="2:13" x14ac:dyDescent="0.25">
      <c r="B7" s="112" t="s">
        <v>205</v>
      </c>
      <c r="C7" s="114">
        <v>0.14448602454011999</v>
      </c>
      <c r="D7" s="115">
        <v>0.116630547157321</v>
      </c>
      <c r="E7" s="115">
        <v>0.11131476668403399</v>
      </c>
      <c r="F7" s="115">
        <v>0.107087781085104</v>
      </c>
      <c r="G7" s="116">
        <v>8.4116668156964489E-2</v>
      </c>
      <c r="H7" s="114">
        <v>8.9002500337561852E-2</v>
      </c>
      <c r="I7" s="115">
        <v>9.2918598911065464E-2</v>
      </c>
      <c r="J7" s="115">
        <v>0.10067816484219594</v>
      </c>
      <c r="K7" s="115">
        <v>0.10483655252590829</v>
      </c>
      <c r="L7" s="116">
        <v>0.10967192911449941</v>
      </c>
    </row>
    <row r="8" spans="2:13" x14ac:dyDescent="0.25">
      <c r="B8" s="112" t="s">
        <v>123</v>
      </c>
      <c r="C8" s="69">
        <v>4.3099999999999999E-2</v>
      </c>
      <c r="D8" s="70">
        <v>3.2399999999999998E-2</v>
      </c>
      <c r="E8" s="70">
        <v>3.5299999999999998E-2</v>
      </c>
      <c r="F8" s="70">
        <v>2.52E-2</v>
      </c>
      <c r="G8" s="71">
        <v>3.5000000000000003E-2</v>
      </c>
      <c r="H8" s="69">
        <v>0.12</v>
      </c>
      <c r="I8" s="70">
        <v>7.0000000000000007E-2</v>
      </c>
      <c r="J8" s="70">
        <v>3.7900000000000003E-2</v>
      </c>
      <c r="K8" s="70">
        <v>3.7900000000000003E-2</v>
      </c>
      <c r="L8" s="71">
        <v>3.7900000000000003E-2</v>
      </c>
    </row>
    <row r="9" spans="2:13" x14ac:dyDescent="0.25">
      <c r="B9" s="98" t="s">
        <v>130</v>
      </c>
      <c r="C9" s="69">
        <v>0.02</v>
      </c>
      <c r="D9" s="70">
        <v>1.7999999999999999E-2</v>
      </c>
      <c r="E9" s="70">
        <v>2.8000000000000001E-2</v>
      </c>
      <c r="F9" s="70">
        <v>3.3000000000000002E-2</v>
      </c>
      <c r="G9" s="71">
        <v>-7.5999999999999998E-2</v>
      </c>
      <c r="H9" s="69">
        <v>0.107</v>
      </c>
      <c r="I9" s="70">
        <v>7.0999999999999994E-2</v>
      </c>
      <c r="J9" s="70">
        <v>2.1000000000000001E-2</v>
      </c>
      <c r="K9" s="70">
        <v>2.8000000000000001E-2</v>
      </c>
      <c r="L9" s="71">
        <v>3.2000000000000001E-2</v>
      </c>
    </row>
    <row r="10" spans="2:13" ht="16.5" thickBot="1" x14ac:dyDescent="0.3">
      <c r="B10" s="72" t="s">
        <v>124</v>
      </c>
      <c r="C10" s="101">
        <v>1.5299999999999999E-2</v>
      </c>
      <c r="D10" s="99">
        <v>1.54E-2</v>
      </c>
      <c r="E10" s="99">
        <v>1.37E-2</v>
      </c>
      <c r="F10" s="99">
        <v>1.0800000000000001E-2</v>
      </c>
      <c r="G10" s="100">
        <v>7.4999999999999997E-3</v>
      </c>
      <c r="H10" s="101">
        <f>'Crecimiento Poblacional'!L8</f>
        <v>1.0969275349191485E-2</v>
      </c>
      <c r="I10" s="99">
        <f>'Crecimiento Poblacional'!L9</f>
        <v>1.0594566416235903E-2</v>
      </c>
      <c r="J10" s="99">
        <f>'Crecimiento Poblacional'!L10</f>
        <v>1.0261204725324024E-2</v>
      </c>
      <c r="K10" s="99">
        <f>'Crecimiento Poblacional'!L11</f>
        <v>9.9665524419146646E-3</v>
      </c>
      <c r="L10" s="100">
        <f>'Crecimiento Poblacional'!L12</f>
        <v>9.6928980345077336E-3</v>
      </c>
    </row>
    <row r="11" spans="2:13" ht="16.5" thickBot="1" x14ac:dyDescent="0.3">
      <c r="B11" s="102" t="s">
        <v>128</v>
      </c>
      <c r="C11" s="104">
        <f>(1+C8)*(1+C10)*(1+C9)-1</f>
        <v>8.024061859999998E-2</v>
      </c>
      <c r="D11" s="105">
        <f t="shared" ref="D11:G11" si="0">(1+D8)*(1+D10)*(1+D9)-1</f>
        <v>6.7168341280000154E-2</v>
      </c>
      <c r="E11" s="105">
        <f t="shared" si="0"/>
        <v>7.8869151080000144E-2</v>
      </c>
      <c r="F11" s="105">
        <f t="shared" si="0"/>
        <v>7.0469141279999592E-2</v>
      </c>
      <c r="G11" s="106">
        <f t="shared" si="0"/>
        <v>-3.6487449999999866E-2</v>
      </c>
      <c r="H11" s="104">
        <f>(1+H8)*(1+H9)-1</f>
        <v>0.23984000000000005</v>
      </c>
      <c r="I11" s="105">
        <f t="shared" ref="I11:L11" si="1">(1+I8)*(1+I9)-1</f>
        <v>0.14596999999999993</v>
      </c>
      <c r="J11" s="105">
        <f t="shared" si="1"/>
        <v>5.9695899999999913E-2</v>
      </c>
      <c r="K11" s="105">
        <f t="shared" si="1"/>
        <v>6.6961200000000165E-2</v>
      </c>
      <c r="L11" s="106">
        <f t="shared" si="1"/>
        <v>7.1112800000000087E-2</v>
      </c>
    </row>
    <row r="12" spans="2:13" ht="16.5" thickBot="1" x14ac:dyDescent="0.3">
      <c r="B12" s="102" t="s">
        <v>125</v>
      </c>
      <c r="C12" s="103"/>
      <c r="D12" s="99">
        <f>((1+('Estado resultados'!D10/'Estado resultados'!C10)-1)+'Proyecciones Estados Financiero'!D8-1)</f>
        <v>0.20921417258997144</v>
      </c>
      <c r="E12" s="99">
        <f>((1+('Estado resultados'!E10/'Estado resultados'!D10)-1)+'Proyecciones Estados Financiero'!E8-1)</f>
        <v>-0.39719118249578822</v>
      </c>
      <c r="F12" s="99">
        <f>((1+('Estado resultados'!F10/'Estado resultados'!E10)-1)+'Proyecciones Estados Financiero'!F8-1)</f>
        <v>1.9679584579126441E-3</v>
      </c>
      <c r="G12" s="100">
        <f>((1+('Estado resultados'!G10/'Estado resultados'!F10)-1)+'Proyecciones Estados Financiero'!G8-1)</f>
        <v>0.13866066645523367</v>
      </c>
      <c r="H12" s="101">
        <f>(1+H11)/(1+H8)-1</f>
        <v>0.10699999999999998</v>
      </c>
      <c r="I12" s="99">
        <f>(1+I11)/(1+I8)-1</f>
        <v>7.0999999999999952E-2</v>
      </c>
      <c r="J12" s="99">
        <f>(1+J11)/(1+J8)-1</f>
        <v>2.0999999999999908E-2</v>
      </c>
      <c r="K12" s="99">
        <f>(1+K11)/(1+K8)-1</f>
        <v>2.8000000000000025E-2</v>
      </c>
      <c r="L12" s="100">
        <f>(1+L11)/(1+L8)-1</f>
        <v>3.2000000000000028E-2</v>
      </c>
    </row>
    <row r="15" spans="2:13" x14ac:dyDescent="0.25">
      <c r="B15" s="46" t="str">
        <f>'Situación Financiera'!B3</f>
        <v>ACTIVOS</v>
      </c>
    </row>
    <row r="16" spans="2:13" s="51" customFormat="1" x14ac:dyDescent="0.25">
      <c r="B16" s="51" t="str">
        <f>'Situación Financiera'!B4</f>
        <v>AÑO</v>
      </c>
      <c r="C16" s="51">
        <f>'Situación Financiera'!C4</f>
        <v>2017</v>
      </c>
      <c r="D16" s="51">
        <f>'Situación Financiera'!D4</f>
        <v>2018</v>
      </c>
      <c r="E16" s="51">
        <f>'Situación Financiera'!E4</f>
        <v>2019</v>
      </c>
      <c r="F16" s="51">
        <f>'Situación Financiera'!F4</f>
        <v>2020</v>
      </c>
      <c r="G16" s="51">
        <f>'Situación Financiera'!G4</f>
        <v>2021</v>
      </c>
      <c r="H16" s="51">
        <v>2022</v>
      </c>
      <c r="I16" s="51">
        <v>2023</v>
      </c>
      <c r="J16" s="51">
        <v>2024</v>
      </c>
      <c r="K16" s="51">
        <v>2025</v>
      </c>
      <c r="L16" s="51">
        <v>2026</v>
      </c>
    </row>
    <row r="17" spans="2:13" x14ac:dyDescent="0.25">
      <c r="B17" s="46" t="str">
        <f>'Situación Financiera'!B5</f>
        <v>Efectivo y Equivalentes de Efectivo</v>
      </c>
      <c r="C17" s="46">
        <f>'Situación Financiera'!C5</f>
        <v>154968628</v>
      </c>
      <c r="D17" s="46">
        <f>'Situación Financiera'!D5</f>
        <v>43688957</v>
      </c>
      <c r="E17" s="46">
        <f>'Situación Financiera'!E5</f>
        <v>88283543</v>
      </c>
      <c r="F17" s="46">
        <f>'Situación Financiera'!F5</f>
        <v>68971655</v>
      </c>
      <c r="G17" s="46">
        <f>'Situación Financiera'!G5</f>
        <v>1015572</v>
      </c>
      <c r="H17" s="46">
        <v>1090597112.993</v>
      </c>
      <c r="I17" s="46">
        <v>1275673958.00366</v>
      </c>
      <c r="J17" s="46">
        <v>1463129710.10394</v>
      </c>
      <c r="K17" s="46">
        <v>1591695471.60901</v>
      </c>
      <c r="L17" s="46">
        <v>1781507199.4843199</v>
      </c>
    </row>
    <row r="18" spans="2:13" x14ac:dyDescent="0.25">
      <c r="B18" s="46" t="str">
        <f>'Situación Financiera'!B6</f>
        <v>Clientes y otras cuentas comerciales por cobrar</v>
      </c>
      <c r="C18" s="46">
        <f>'Situación Financiera'!C6</f>
        <v>581219338</v>
      </c>
      <c r="D18" s="46">
        <f>'Situación Financiera'!D6</f>
        <v>402692804</v>
      </c>
      <c r="E18" s="46">
        <f>'Situación Financiera'!E6</f>
        <v>577633014</v>
      </c>
      <c r="F18" s="46">
        <f>'Situación Financiera'!F6</f>
        <v>452430357</v>
      </c>
      <c r="G18" s="46">
        <f>'Situación Financiera'!G6</f>
        <v>905410373</v>
      </c>
      <c r="H18" s="46">
        <f>AVERAGE(F18:G18)</f>
        <v>678920365</v>
      </c>
      <c r="I18" s="46">
        <f t="shared" ref="I18:L18" si="2">AVERAGE(G18:H18)</f>
        <v>792165369</v>
      </c>
      <c r="J18" s="46">
        <f t="shared" si="2"/>
        <v>735542867</v>
      </c>
      <c r="K18" s="46">
        <f t="shared" si="2"/>
        <v>763854118</v>
      </c>
      <c r="L18" s="46">
        <f t="shared" si="2"/>
        <v>749698492.5</v>
      </c>
      <c r="M18" s="46" t="s">
        <v>222</v>
      </c>
    </row>
    <row r="19" spans="2:13" x14ac:dyDescent="0.25">
      <c r="B19" s="46" t="str">
        <f>'Situación Financiera'!B7</f>
        <v>Activos por Impuestos  corrientes</v>
      </c>
      <c r="C19" s="46">
        <f>'Situación Financiera'!C7</f>
        <v>187450360</v>
      </c>
      <c r="D19" s="46">
        <f>'Situación Financiera'!D7</f>
        <v>444942198</v>
      </c>
      <c r="E19" s="46">
        <f>'Situación Financiera'!E7</f>
        <v>556149913</v>
      </c>
      <c r="F19" s="46">
        <f>'Situación Financiera'!F7</f>
        <v>146026623</v>
      </c>
      <c r="G19" s="46">
        <f>'Situación Financiera'!G7</f>
        <v>240956500</v>
      </c>
      <c r="H19" s="46">
        <f t="shared" ref="H19:L20" si="3">G19*(1+H$12)</f>
        <v>266738845.5</v>
      </c>
      <c r="I19" s="46">
        <f t="shared" si="3"/>
        <v>285677303.53049999</v>
      </c>
      <c r="J19" s="46">
        <f t="shared" si="3"/>
        <v>291676526.9046405</v>
      </c>
      <c r="K19" s="46">
        <f t="shared" si="3"/>
        <v>299843469.65797043</v>
      </c>
      <c r="L19" s="46">
        <f t="shared" si="3"/>
        <v>309438460.68702549</v>
      </c>
    </row>
    <row r="20" spans="2:13" x14ac:dyDescent="0.25">
      <c r="B20" s="46" t="str">
        <f>'Situación Financiera'!B8</f>
        <v>Impuesto Diferido Renta</v>
      </c>
      <c r="C20" s="46">
        <f>'Situación Financiera'!C8</f>
        <v>1124410</v>
      </c>
      <c r="D20" s="46">
        <f>'Situación Financiera'!D8</f>
        <v>10403223</v>
      </c>
      <c r="E20" s="46">
        <f>'Situación Financiera'!E8</f>
        <v>9337546</v>
      </c>
      <c r="F20" s="46">
        <f>'Situación Financiera'!F8</f>
        <v>0</v>
      </c>
      <c r="G20" s="46">
        <f>'Situación Financiera'!G8</f>
        <v>0</v>
      </c>
      <c r="H20" s="46">
        <f t="shared" si="3"/>
        <v>0</v>
      </c>
      <c r="I20" s="46">
        <f t="shared" si="3"/>
        <v>0</v>
      </c>
      <c r="J20" s="46">
        <f t="shared" si="3"/>
        <v>0</v>
      </c>
      <c r="K20" s="46">
        <f t="shared" si="3"/>
        <v>0</v>
      </c>
      <c r="L20" s="46">
        <f t="shared" si="3"/>
        <v>0</v>
      </c>
    </row>
    <row r="21" spans="2:13" x14ac:dyDescent="0.25">
      <c r="B21" s="82" t="str">
        <f>'Situación Financiera'!B9</f>
        <v>TOTAL ACTIVOS CORRIENTES</v>
      </c>
      <c r="C21" s="82">
        <f t="shared" ref="C21:G21" si="4">SUM(C17:C20)</f>
        <v>924762736</v>
      </c>
      <c r="D21" s="82">
        <f t="shared" si="4"/>
        <v>901727182</v>
      </c>
      <c r="E21" s="82">
        <f t="shared" si="4"/>
        <v>1231404016</v>
      </c>
      <c r="F21" s="82">
        <f t="shared" si="4"/>
        <v>667428635</v>
      </c>
      <c r="G21" s="82">
        <f t="shared" si="4"/>
        <v>1147382445</v>
      </c>
      <c r="H21" s="82">
        <f>SUM(H17:H20)</f>
        <v>2036256323.493</v>
      </c>
      <c r="I21" s="82">
        <f t="shared" ref="I21:L21" si="5">SUM(I17:I20)</f>
        <v>2353516630.5341601</v>
      </c>
      <c r="J21" s="82">
        <f t="shared" si="5"/>
        <v>2490349104.0085807</v>
      </c>
      <c r="K21" s="82">
        <f t="shared" si="5"/>
        <v>2655393059.2669802</v>
      </c>
      <c r="L21" s="82">
        <f t="shared" si="5"/>
        <v>2840644152.6713452</v>
      </c>
    </row>
    <row r="23" spans="2:13" x14ac:dyDescent="0.25">
      <c r="B23" s="82" t="str">
        <f>'Situación Financiera'!B11</f>
        <v xml:space="preserve">ACTIVOS NO CORRIENTES </v>
      </c>
    </row>
    <row r="24" spans="2:13" x14ac:dyDescent="0.25">
      <c r="B24" s="46" t="str">
        <f>'Situación Financiera'!B12</f>
        <v>Propiedad Planta Y Equipo</v>
      </c>
      <c r="C24" s="46">
        <f>'Situación Financiera'!C12</f>
        <v>15686654738</v>
      </c>
      <c r="D24" s="46">
        <f>'Situación Financiera'!D12</f>
        <v>16217918992</v>
      </c>
      <c r="E24" s="46">
        <f>'Situación Financiera'!E12</f>
        <v>16199920443</v>
      </c>
      <c r="F24" s="46">
        <f>'Situación Financiera'!F12</f>
        <v>16393861749</v>
      </c>
      <c r="G24" s="46">
        <f>'Situación Financiera'!G12</f>
        <v>16621721425</v>
      </c>
      <c r="H24" s="46">
        <f t="shared" ref="H24:L24" si="6">G24*(1+H$12)</f>
        <v>18400245617.474998</v>
      </c>
      <c r="I24" s="46">
        <f t="shared" si="6"/>
        <v>19706663056.315723</v>
      </c>
      <c r="J24" s="46">
        <f t="shared" si="6"/>
        <v>20120502980.498352</v>
      </c>
      <c r="K24" s="46">
        <f t="shared" si="6"/>
        <v>20683877063.952305</v>
      </c>
      <c r="L24" s="46">
        <f t="shared" si="6"/>
        <v>21345761129.998779</v>
      </c>
    </row>
    <row r="25" spans="2:13" x14ac:dyDescent="0.25">
      <c r="B25" s="46" t="str">
        <f>'Situación Financiera'!B13</f>
        <v>Intangibles</v>
      </c>
      <c r="C25" s="46">
        <f>'Situación Financiera'!C13</f>
        <v>3408844641</v>
      </c>
      <c r="D25" s="46">
        <f>'Situación Financiera'!D13</f>
        <v>3439840140</v>
      </c>
      <c r="E25" s="46">
        <f>'Situación Financiera'!E13</f>
        <v>3426973651</v>
      </c>
      <c r="F25" s="46">
        <f>'Situación Financiera'!F13</f>
        <v>3449269336</v>
      </c>
      <c r="G25" s="46">
        <f>'Situación Financiera'!G13</f>
        <v>3442427942</v>
      </c>
      <c r="H25" s="46">
        <f>G25</f>
        <v>3442427942</v>
      </c>
      <c r="I25" s="46">
        <f t="shared" ref="I25:L25" si="7">H25</f>
        <v>3442427942</v>
      </c>
      <c r="J25" s="46">
        <f t="shared" si="7"/>
        <v>3442427942</v>
      </c>
      <c r="K25" s="46">
        <f t="shared" si="7"/>
        <v>3442427942</v>
      </c>
      <c r="L25" s="46">
        <f t="shared" si="7"/>
        <v>3442427942</v>
      </c>
    </row>
    <row r="27" spans="2:13" x14ac:dyDescent="0.25">
      <c r="B27" s="82" t="str">
        <f>'Situación Financiera'!B15</f>
        <v>TOTAL ACTIVOS NO CORRIENTES</v>
      </c>
      <c r="C27" s="82">
        <f t="shared" ref="C27:G27" si="8">SUM(C23:C26)</f>
        <v>19095499379</v>
      </c>
      <c r="D27" s="82">
        <f t="shared" si="8"/>
        <v>19657759132</v>
      </c>
      <c r="E27" s="82">
        <f t="shared" si="8"/>
        <v>19626894094</v>
      </c>
      <c r="F27" s="82">
        <f t="shared" si="8"/>
        <v>19843131085</v>
      </c>
      <c r="G27" s="82">
        <f t="shared" si="8"/>
        <v>20064149367</v>
      </c>
      <c r="H27" s="82">
        <f>SUM(H23:H26)</f>
        <v>21842673559.474998</v>
      </c>
      <c r="I27" s="82">
        <f t="shared" ref="I27:L27" si="9">SUM(I23:I26)</f>
        <v>23149090998.315723</v>
      </c>
      <c r="J27" s="82">
        <f t="shared" si="9"/>
        <v>23562930922.498352</v>
      </c>
      <c r="K27" s="82">
        <f t="shared" si="9"/>
        <v>24126305005.952305</v>
      </c>
      <c r="L27" s="82">
        <f t="shared" si="9"/>
        <v>24788189071.998779</v>
      </c>
    </row>
    <row r="28" spans="2:13" x14ac:dyDescent="0.25">
      <c r="H28" s="82"/>
      <c r="I28" s="82"/>
      <c r="J28" s="82"/>
      <c r="K28" s="82"/>
      <c r="L28" s="82"/>
    </row>
    <row r="29" spans="2:13" x14ac:dyDescent="0.25">
      <c r="B29" s="82" t="str">
        <f>'Situación Financiera'!B17</f>
        <v>TOTAL ACTIVOS</v>
      </c>
      <c r="C29" s="82">
        <f t="shared" ref="C29:G29" si="10">C27+C21</f>
        <v>20020262115</v>
      </c>
      <c r="D29" s="82">
        <f t="shared" si="10"/>
        <v>20559486314</v>
      </c>
      <c r="E29" s="82">
        <f t="shared" si="10"/>
        <v>20858298110</v>
      </c>
      <c r="F29" s="82">
        <f t="shared" si="10"/>
        <v>20510559720</v>
      </c>
      <c r="G29" s="82">
        <f t="shared" si="10"/>
        <v>21211531812</v>
      </c>
      <c r="H29" s="82">
        <f>H27+H21</f>
        <v>23878929882.967999</v>
      </c>
      <c r="I29" s="82">
        <f t="shared" ref="I29:L29" si="11">I27+I21</f>
        <v>25502607628.849884</v>
      </c>
      <c r="J29" s="82">
        <f t="shared" si="11"/>
        <v>26053280026.506931</v>
      </c>
      <c r="K29" s="82">
        <f t="shared" si="11"/>
        <v>26781698065.219284</v>
      </c>
      <c r="L29" s="82">
        <f t="shared" si="11"/>
        <v>27628833224.670124</v>
      </c>
    </row>
    <row r="32" spans="2:13" x14ac:dyDescent="0.25">
      <c r="B32" s="82" t="str">
        <f>'Situación Financiera'!B20</f>
        <v>PASIVOS</v>
      </c>
    </row>
    <row r="33" spans="2:12" x14ac:dyDescent="0.25">
      <c r="B33" s="46" t="str">
        <f>'Situación Financiera'!B21</f>
        <v>AÑO</v>
      </c>
      <c r="C33" s="51">
        <f>'Situación Financiera'!C21</f>
        <v>2017</v>
      </c>
      <c r="D33" s="51">
        <f>'Situación Financiera'!D21</f>
        <v>2018</v>
      </c>
      <c r="E33" s="51">
        <f>'Situación Financiera'!E21</f>
        <v>2019</v>
      </c>
      <c r="F33" s="51">
        <f>'Situación Financiera'!F21</f>
        <v>2020</v>
      </c>
      <c r="G33" s="51">
        <f>'Situación Financiera'!G21</f>
        <v>2021</v>
      </c>
      <c r="H33" s="51">
        <v>2022</v>
      </c>
      <c r="I33" s="51">
        <v>2023</v>
      </c>
      <c r="J33" s="51">
        <v>2024</v>
      </c>
      <c r="K33" s="51">
        <v>2025</v>
      </c>
      <c r="L33" s="51">
        <v>2026</v>
      </c>
    </row>
    <row r="34" spans="2:12" x14ac:dyDescent="0.25">
      <c r="B34" s="46" t="str">
        <f>'Situación Financiera'!B22</f>
        <v>Préstamos Corto Plazo</v>
      </c>
      <c r="C34" s="46">
        <f>'Situación Financiera'!C22</f>
        <v>0</v>
      </c>
      <c r="D34" s="46">
        <f>'Situación Financiera'!D22</f>
        <v>0</v>
      </c>
      <c r="E34" s="46">
        <f>'Situación Financiera'!E22</f>
        <v>300000000</v>
      </c>
      <c r="F34" s="46">
        <f>'Situación Financiera'!F22</f>
        <v>681291656</v>
      </c>
      <c r="G34" s="46">
        <f>'Situación Financiera'!G22</f>
        <v>522875165</v>
      </c>
      <c r="H34" s="46">
        <f t="shared" ref="H34:L34" si="12">G34*(1+H$12)</f>
        <v>578822807.65499997</v>
      </c>
      <c r="I34" s="46">
        <f t="shared" si="12"/>
        <v>619919226.998505</v>
      </c>
      <c r="J34" s="46">
        <f t="shared" si="12"/>
        <v>632937530.76547348</v>
      </c>
      <c r="K34" s="46">
        <f t="shared" si="12"/>
        <v>650659781.62690675</v>
      </c>
      <c r="L34" s="46">
        <f t="shared" si="12"/>
        <v>671480894.63896775</v>
      </c>
    </row>
    <row r="35" spans="2:12" x14ac:dyDescent="0.25">
      <c r="B35" s="46" t="str">
        <f>'Situación Financiera'!B23</f>
        <v xml:space="preserve">Proveedores </v>
      </c>
      <c r="C35" s="46">
        <f>'Situación Financiera'!C23</f>
        <v>0</v>
      </c>
      <c r="D35" s="46">
        <f>'Situación Financiera'!D23</f>
        <v>0</v>
      </c>
      <c r="E35" s="46">
        <f>'Situación Financiera'!E23</f>
        <v>0</v>
      </c>
      <c r="F35" s="46">
        <f>'Situación Financiera'!F23</f>
        <v>367514252</v>
      </c>
      <c r="G35" s="46">
        <f>'Situación Financiera'!G23</f>
        <v>598388103</v>
      </c>
      <c r="H35" s="46">
        <f t="shared" ref="H35:L35" si="13">G35*(1+H$12)</f>
        <v>662415630.02100003</v>
      </c>
      <c r="I35" s="46">
        <f t="shared" si="13"/>
        <v>709447139.752491</v>
      </c>
      <c r="J35" s="46">
        <f t="shared" si="13"/>
        <v>724345529.68729329</v>
      </c>
      <c r="K35" s="46">
        <f t="shared" si="13"/>
        <v>744627204.51853752</v>
      </c>
      <c r="L35" s="46">
        <f t="shared" si="13"/>
        <v>768455275.06313074</v>
      </c>
    </row>
    <row r="36" spans="2:12" x14ac:dyDescent="0.25">
      <c r="B36" s="46" t="str">
        <f>'Situación Financiera'!B24</f>
        <v>Cuentas Por Pagar</v>
      </c>
      <c r="C36" s="46">
        <f>'Situación Financiera'!C24</f>
        <v>379797029</v>
      </c>
      <c r="D36" s="46">
        <f>'Situación Financiera'!D24</f>
        <v>462881103</v>
      </c>
      <c r="E36" s="46">
        <f>'Situación Financiera'!E24</f>
        <v>818168718</v>
      </c>
      <c r="F36" s="46">
        <f>'Situación Financiera'!F24</f>
        <v>198741700</v>
      </c>
      <c r="G36" s="46">
        <f>'Situación Financiera'!G24</f>
        <v>506149781</v>
      </c>
      <c r="H36" s="46">
        <f t="shared" ref="H36:L36" si="14">G36*(1+H$12)</f>
        <v>560307807.56700003</v>
      </c>
      <c r="I36" s="46">
        <f t="shared" si="14"/>
        <v>600089661.90425706</v>
      </c>
      <c r="J36" s="46">
        <f t="shared" si="14"/>
        <v>612691544.80424643</v>
      </c>
      <c r="K36" s="46">
        <f t="shared" si="14"/>
        <v>629846908.05876529</v>
      </c>
      <c r="L36" s="46">
        <f t="shared" si="14"/>
        <v>650002009.11664581</v>
      </c>
    </row>
    <row r="37" spans="2:12" x14ac:dyDescent="0.25">
      <c r="B37" s="46" t="str">
        <f>'Situación Financiera'!B25</f>
        <v xml:space="preserve">Impuestos Por Pagar </v>
      </c>
      <c r="C37" s="46">
        <f>'Situación Financiera'!C25</f>
        <v>133036821</v>
      </c>
      <c r="D37" s="46">
        <f>'Situación Financiera'!D25</f>
        <v>289514417</v>
      </c>
      <c r="E37" s="46">
        <f>'Situación Financiera'!E25</f>
        <v>471703018</v>
      </c>
      <c r="F37" s="46">
        <f>'Situación Financiera'!F25</f>
        <v>254286286</v>
      </c>
      <c r="G37" s="46">
        <f>'Situación Financiera'!G25</f>
        <v>207739200</v>
      </c>
      <c r="H37" s="46">
        <f t="shared" ref="H37:L37" si="15">G37*(1+H$12)</f>
        <v>229967294.40000001</v>
      </c>
      <c r="I37" s="46">
        <f t="shared" si="15"/>
        <v>246294972.30239999</v>
      </c>
      <c r="J37" s="46">
        <f t="shared" si="15"/>
        <v>251467166.72075036</v>
      </c>
      <c r="K37" s="46">
        <f t="shared" si="15"/>
        <v>258508247.38893136</v>
      </c>
      <c r="L37" s="46">
        <f t="shared" si="15"/>
        <v>266780511.30537719</v>
      </c>
    </row>
    <row r="38" spans="2:12" x14ac:dyDescent="0.25">
      <c r="B38" s="46" t="str">
        <f>'Situación Financiera'!B26</f>
        <v xml:space="preserve">Beneficios A Empleados </v>
      </c>
      <c r="C38" s="46">
        <f>'Situación Financiera'!C26</f>
        <v>338874397</v>
      </c>
      <c r="D38" s="46">
        <f>'Situación Financiera'!D26</f>
        <v>424880926</v>
      </c>
      <c r="E38" s="46">
        <f>'Situación Financiera'!E26</f>
        <v>465038033</v>
      </c>
      <c r="F38" s="46">
        <f>'Situación Financiera'!F26</f>
        <v>454079916</v>
      </c>
      <c r="G38" s="46">
        <f>'Situación Financiera'!G26</f>
        <v>595527132</v>
      </c>
      <c r="H38" s="46">
        <f t="shared" ref="H38:L38" si="16">G38*(1+H$12)</f>
        <v>659248535.12399995</v>
      </c>
      <c r="I38" s="46">
        <f t="shared" si="16"/>
        <v>706055181.11780393</v>
      </c>
      <c r="J38" s="46">
        <f t="shared" si="16"/>
        <v>720882339.92127776</v>
      </c>
      <c r="K38" s="46">
        <f t="shared" si="16"/>
        <v>741067045.43907356</v>
      </c>
      <c r="L38" s="46">
        <f t="shared" si="16"/>
        <v>764781190.89312398</v>
      </c>
    </row>
    <row r="39" spans="2:12" x14ac:dyDescent="0.25">
      <c r="B39" s="82" t="str">
        <f>'Situación Financiera'!B27</f>
        <v>TOTAL PASIVOS CORRIENTES</v>
      </c>
      <c r="C39" s="82">
        <f t="shared" ref="C39:G39" si="17">SUM(C34:C38)</f>
        <v>851708247</v>
      </c>
      <c r="D39" s="82">
        <f t="shared" si="17"/>
        <v>1177276446</v>
      </c>
      <c r="E39" s="82">
        <f t="shared" si="17"/>
        <v>2054909769</v>
      </c>
      <c r="F39" s="82">
        <f t="shared" si="17"/>
        <v>1955913810</v>
      </c>
      <c r="G39" s="82">
        <f t="shared" si="17"/>
        <v>2430679381</v>
      </c>
      <c r="H39" s="82">
        <f>SUM(H34:H38)</f>
        <v>2690762074.7670002</v>
      </c>
      <c r="I39" s="82">
        <f t="shared" ref="I39:L39" si="18">SUM(I33:I38)</f>
        <v>2881808205.0754571</v>
      </c>
      <c r="J39" s="82">
        <f t="shared" si="18"/>
        <v>2942326135.8990412</v>
      </c>
      <c r="K39" s="82">
        <f t="shared" si="18"/>
        <v>3024711212.0322146</v>
      </c>
      <c r="L39" s="82">
        <f t="shared" si="18"/>
        <v>3121501907.0172453</v>
      </c>
    </row>
    <row r="41" spans="2:12" x14ac:dyDescent="0.25">
      <c r="B41" s="82" t="str">
        <f>'Situación Financiera'!B29</f>
        <v>PASIVOS NO CORRIENTES</v>
      </c>
    </row>
    <row r="42" spans="2:12" x14ac:dyDescent="0.25">
      <c r="B42" s="46" t="str">
        <f>'Situación Financiera'!B30</f>
        <v>Préstamos Largo Plazo</v>
      </c>
      <c r="C42" s="46">
        <f>'Situación Financiera'!C30</f>
        <v>3006370494</v>
      </c>
      <c r="D42" s="46">
        <f>'Situación Financiera'!D30</f>
        <v>2992927779</v>
      </c>
      <c r="E42" s="46">
        <f>'Situación Financiera'!E30</f>
        <v>2587635103</v>
      </c>
      <c r="F42" s="46">
        <f>'Situación Financiera'!F30</f>
        <v>2767874701</v>
      </c>
      <c r="G42" s="46">
        <f>'Situación Financiera'!G30</f>
        <v>3015176623</v>
      </c>
      <c r="H42" s="46">
        <f>G42*(1+H$12)</f>
        <v>3337800521.6609998</v>
      </c>
      <c r="I42" s="46">
        <f t="shared" ref="I42:L42" si="19">H42*(1+I$12)</f>
        <v>3574784358.6989307</v>
      </c>
      <c r="J42" s="46">
        <f t="shared" si="19"/>
        <v>3649854830.2316079</v>
      </c>
      <c r="K42" s="46">
        <f t="shared" si="19"/>
        <v>3752050765.4780931</v>
      </c>
      <c r="L42" s="46">
        <f t="shared" si="19"/>
        <v>3872116389.973392</v>
      </c>
    </row>
    <row r="43" spans="2:12" x14ac:dyDescent="0.25">
      <c r="B43" s="46" t="str">
        <f>'Situación Financiera'!B31</f>
        <v>Pasivo Por Impuesto Diferido</v>
      </c>
      <c r="C43" s="46">
        <f>'Situación Financiera'!C31</f>
        <v>0</v>
      </c>
      <c r="D43" s="46">
        <f>'Situación Financiera'!D31</f>
        <v>0</v>
      </c>
      <c r="E43" s="46">
        <f>'Situación Financiera'!E31</f>
        <v>0</v>
      </c>
      <c r="F43" s="46">
        <f>'Situación Financiera'!F31</f>
        <v>10049892</v>
      </c>
      <c r="G43" s="46">
        <f>'Situación Financiera'!G31</f>
        <v>14220172</v>
      </c>
      <c r="H43" s="46">
        <v>0</v>
      </c>
      <c r="I43" s="46">
        <f>H82*35%</f>
        <v>19030981.035150506</v>
      </c>
      <c r="J43" s="46">
        <f t="shared" ref="J43:L43" si="20">I82*35%</f>
        <v>20382180.688645966</v>
      </c>
      <c r="K43" s="46">
        <f t="shared" si="20"/>
        <v>20810206.48310791</v>
      </c>
      <c r="L43" s="46">
        <f t="shared" si="20"/>
        <v>21392892.264634524</v>
      </c>
    </row>
    <row r="44" spans="2:12" x14ac:dyDescent="0.25">
      <c r="B44" s="46" t="str">
        <f>'Situación Financiera'!B32</f>
        <v>Otros Pasivos</v>
      </c>
      <c r="C44" s="46">
        <f>'Situación Financiera'!C32</f>
        <v>2335627040</v>
      </c>
      <c r="D44" s="46">
        <f>'Situación Financiera'!D32</f>
        <v>2488561660</v>
      </c>
      <c r="E44" s="46">
        <f>'Situación Financiera'!E32</f>
        <v>2179016709</v>
      </c>
      <c r="F44" s="46">
        <f>'Situación Financiera'!F32</f>
        <v>1209567315</v>
      </c>
      <c r="G44" s="46">
        <f>'Situación Financiera'!G32</f>
        <v>1198021023</v>
      </c>
      <c r="H44" s="46">
        <f>G44*(1+H$12)</f>
        <v>1326209272.461</v>
      </c>
      <c r="I44" s="46">
        <f t="shared" ref="I44:L44" si="21">H44*(1+I$12)</f>
        <v>1420370130.8057308</v>
      </c>
      <c r="J44" s="46">
        <f t="shared" si="21"/>
        <v>1450197903.5526509</v>
      </c>
      <c r="K44" s="46">
        <f t="shared" si="21"/>
        <v>1490803444.8521252</v>
      </c>
      <c r="L44" s="46">
        <f t="shared" si="21"/>
        <v>1538509155.0873933</v>
      </c>
    </row>
    <row r="45" spans="2:12" x14ac:dyDescent="0.25">
      <c r="B45" s="82" t="str">
        <f>'Situación Financiera'!B33</f>
        <v>TOTAL PASIVOS NO CORRIENTES</v>
      </c>
      <c r="C45" s="82">
        <f>'Situación Financiera'!C33</f>
        <v>5341997534</v>
      </c>
      <c r="D45" s="82">
        <f>'Situación Financiera'!D33</f>
        <v>5481489439</v>
      </c>
      <c r="E45" s="82">
        <f>'Situación Financiera'!E33</f>
        <v>4766651812</v>
      </c>
      <c r="F45" s="82">
        <f>'Situación Financiera'!F33</f>
        <v>3987491908</v>
      </c>
      <c r="G45" s="82">
        <f>'Situación Financiera'!G33</f>
        <v>4227417818</v>
      </c>
      <c r="H45" s="82">
        <f>SUM(H42:H44)</f>
        <v>4664009794.1219997</v>
      </c>
      <c r="I45" s="82">
        <f t="shared" ref="I45:L45" si="22">SUM(I42:I44)</f>
        <v>5014185470.5398121</v>
      </c>
      <c r="J45" s="82">
        <f t="shared" si="22"/>
        <v>5120434914.4729042</v>
      </c>
      <c r="K45" s="82">
        <f t="shared" si="22"/>
        <v>5263664416.8133259</v>
      </c>
      <c r="L45" s="82">
        <f t="shared" si="22"/>
        <v>5432018437.3254204</v>
      </c>
    </row>
    <row r="47" spans="2:12" x14ac:dyDescent="0.25">
      <c r="B47" s="82" t="str">
        <f>'Situación Financiera'!B35</f>
        <v xml:space="preserve">TOTAL PASIVOS </v>
      </c>
      <c r="C47" s="82">
        <f t="shared" ref="C47:G47" si="23">C45+C39</f>
        <v>6193705781</v>
      </c>
      <c r="D47" s="82">
        <f t="shared" si="23"/>
        <v>6658765885</v>
      </c>
      <c r="E47" s="82">
        <f t="shared" si="23"/>
        <v>6821561581</v>
      </c>
      <c r="F47" s="82">
        <f t="shared" si="23"/>
        <v>5943405718</v>
      </c>
      <c r="G47" s="82">
        <f t="shared" si="23"/>
        <v>6658097199</v>
      </c>
      <c r="H47" s="82">
        <f>H45+H39</f>
        <v>7354771868.8889999</v>
      </c>
      <c r="I47" s="82">
        <f t="shared" ref="I47:L47" si="24">I45+I39</f>
        <v>7895993675.6152687</v>
      </c>
      <c r="J47" s="82">
        <f t="shared" si="24"/>
        <v>8062761050.3719454</v>
      </c>
      <c r="K47" s="82">
        <f t="shared" si="24"/>
        <v>8288375628.845541</v>
      </c>
      <c r="L47" s="82">
        <f t="shared" si="24"/>
        <v>8553520344.3426657</v>
      </c>
    </row>
    <row r="49" spans="2:13" x14ac:dyDescent="0.25">
      <c r="B49" s="82" t="str">
        <f>'Situación Financiera'!B37</f>
        <v>PATRIMONIO</v>
      </c>
    </row>
    <row r="50" spans="2:13" x14ac:dyDescent="0.25">
      <c r="B50" s="46" t="str">
        <f>'Situación Financiera'!B38</f>
        <v>AÑO</v>
      </c>
      <c r="C50" s="51">
        <f>'Situación Financiera'!C38</f>
        <v>2017</v>
      </c>
      <c r="D50" s="51">
        <f>'Situación Financiera'!D38</f>
        <v>2018</v>
      </c>
      <c r="E50" s="51">
        <f>'Situación Financiera'!E38</f>
        <v>2019</v>
      </c>
      <c r="F50" s="51">
        <f>'Situación Financiera'!F38</f>
        <v>2020</v>
      </c>
      <c r="G50" s="51">
        <f>'Situación Financiera'!G38</f>
        <v>2021</v>
      </c>
      <c r="H50" s="51">
        <v>2022</v>
      </c>
      <c r="I50" s="51">
        <v>2023</v>
      </c>
      <c r="J50" s="51">
        <v>2024</v>
      </c>
      <c r="K50" s="51">
        <v>2025</v>
      </c>
      <c r="L50" s="51">
        <v>2026</v>
      </c>
    </row>
    <row r="51" spans="2:13" x14ac:dyDescent="0.25">
      <c r="B51" s="46" t="str">
        <f>'Situación Financiera'!B39</f>
        <v>Capital Suscrito y Pagado</v>
      </c>
      <c r="C51" s="46">
        <f>'Situación Financiera'!C39</f>
        <v>1044000000</v>
      </c>
      <c r="D51" s="46">
        <f>'Situación Financiera'!D39</f>
        <v>1044000000</v>
      </c>
      <c r="E51" s="46">
        <f>'Situación Financiera'!E39</f>
        <v>1044000000</v>
      </c>
      <c r="F51" s="46">
        <f>'Situación Financiera'!F39</f>
        <v>1044000000</v>
      </c>
      <c r="G51" s="46">
        <f>'Situación Financiera'!G39</f>
        <v>1044000000</v>
      </c>
      <c r="H51" s="46">
        <f>G51</f>
        <v>1044000000</v>
      </c>
      <c r="I51" s="46">
        <f t="shared" ref="I51:L51" si="25">H51</f>
        <v>1044000000</v>
      </c>
      <c r="J51" s="46">
        <f t="shared" si="25"/>
        <v>1044000000</v>
      </c>
      <c r="K51" s="46">
        <f t="shared" si="25"/>
        <v>1044000000</v>
      </c>
      <c r="L51" s="46">
        <f t="shared" si="25"/>
        <v>1044000000</v>
      </c>
    </row>
    <row r="52" spans="2:13" x14ac:dyDescent="0.25">
      <c r="B52" s="46" t="str">
        <f>'Situación Financiera'!B40</f>
        <v>Reserva Legal</v>
      </c>
      <c r="C52" s="46">
        <f>'Situación Financiera'!C40</f>
        <v>49085878</v>
      </c>
      <c r="D52" s="46">
        <f>'Situación Financiera'!D40</f>
        <v>49085878</v>
      </c>
      <c r="E52" s="46">
        <f>'Situación Financiera'!E40</f>
        <v>49085878</v>
      </c>
      <c r="F52" s="46">
        <f>'Situación Financiera'!F40</f>
        <v>49085878</v>
      </c>
      <c r="H52" s="46">
        <f>H51*50%</f>
        <v>522000000</v>
      </c>
      <c r="I52" s="46">
        <f t="shared" ref="I52:L52" si="26">I51*50%</f>
        <v>522000000</v>
      </c>
      <c r="J52" s="46">
        <f t="shared" si="26"/>
        <v>522000000</v>
      </c>
      <c r="K52" s="46">
        <f t="shared" si="26"/>
        <v>522000000</v>
      </c>
      <c r="L52" s="46">
        <f t="shared" si="26"/>
        <v>522000000</v>
      </c>
      <c r="M52" s="46" t="s">
        <v>221</v>
      </c>
    </row>
    <row r="53" spans="2:13" x14ac:dyDescent="0.25">
      <c r="B53" s="46" t="str">
        <f>'Situación Financiera'!B41</f>
        <v>Reservas Ocasionales</v>
      </c>
      <c r="C53" s="46">
        <f>'Situación Financiera'!C41</f>
        <v>367028046</v>
      </c>
      <c r="D53" s="46">
        <f>'Situación Financiera'!D41</f>
        <v>367028046</v>
      </c>
      <c r="E53" s="46">
        <f>'Situación Financiera'!E41</f>
        <v>367028046</v>
      </c>
      <c r="F53" s="46">
        <f>'Situación Financiera'!F41</f>
        <v>367028046</v>
      </c>
      <c r="G53" s="46">
        <f>'Situación Financiera'!G41</f>
        <v>491853352</v>
      </c>
      <c r="H53" s="46">
        <f>G53</f>
        <v>491853352</v>
      </c>
      <c r="I53" s="46">
        <f t="shared" ref="I53:L53" si="27">H53</f>
        <v>491853352</v>
      </c>
      <c r="J53" s="46">
        <f t="shared" si="27"/>
        <v>491853352</v>
      </c>
      <c r="K53" s="46">
        <f t="shared" si="27"/>
        <v>491853352</v>
      </c>
      <c r="L53" s="46">
        <f t="shared" si="27"/>
        <v>491853352</v>
      </c>
    </row>
    <row r="54" spans="2:13" x14ac:dyDescent="0.25">
      <c r="B54" s="46" t="str">
        <f>'Situación Financiera'!B42</f>
        <v>Utilidad Y/O Pérdida del Ejercicio</v>
      </c>
      <c r="C54" s="46">
        <f>'Situación Financiera'!C42</f>
        <v>-12579439</v>
      </c>
      <c r="D54" s="46">
        <f>'Situación Financiera'!D42</f>
        <v>86425549</v>
      </c>
      <c r="E54" s="46">
        <f>'Situación Financiera'!E42</f>
        <v>136016100</v>
      </c>
      <c r="F54" s="46">
        <f>'Situación Financiera'!F42</f>
        <v>530417473</v>
      </c>
      <c r="G54" s="46">
        <f>'Situación Financiera'!G42</f>
        <v>-13719389</v>
      </c>
      <c r="H54" s="46">
        <f>H82</f>
        <v>54374231.529001452</v>
      </c>
      <c r="I54" s="46">
        <f t="shared" ref="I54:L54" si="28">I82</f>
        <v>58234801.967559904</v>
      </c>
      <c r="J54" s="46">
        <f t="shared" si="28"/>
        <v>59457732.808879741</v>
      </c>
      <c r="K54" s="46">
        <f t="shared" si="28"/>
        <v>61122549.32752721</v>
      </c>
      <c r="L54" s="46">
        <f t="shared" si="28"/>
        <v>63078470.906009056</v>
      </c>
    </row>
    <row r="55" spans="2:13" x14ac:dyDescent="0.25">
      <c r="B55" s="46" t="str">
        <f>'Situación Financiera'!B43</f>
        <v xml:space="preserve">Utilidades / Pérdidas Acumuladas </v>
      </c>
      <c r="C55" s="46">
        <f>'Situación Financiera'!C43</f>
        <v>-664540256</v>
      </c>
      <c r="D55" s="46">
        <f>'Situación Financiera'!D43</f>
        <v>-677119695</v>
      </c>
      <c r="E55" s="46">
        <f>'Situación Financiera'!E43</f>
        <v>-590694146</v>
      </c>
      <c r="F55" s="46">
        <f>'Situación Financiera'!F43</f>
        <v>-454678046</v>
      </c>
      <c r="H55" s="46">
        <f>G55+G54</f>
        <v>-13719389</v>
      </c>
      <c r="I55" s="46">
        <f t="shared" ref="I55:L55" si="29">H55+H54</f>
        <v>40654842.529001452</v>
      </c>
      <c r="J55" s="46">
        <f t="shared" si="29"/>
        <v>98889644.496561348</v>
      </c>
      <c r="K55" s="46">
        <f t="shared" si="29"/>
        <v>158347377.30544108</v>
      </c>
      <c r="L55" s="46">
        <f t="shared" si="29"/>
        <v>219469926.63296831</v>
      </c>
    </row>
    <row r="56" spans="2:13" x14ac:dyDescent="0.25">
      <c r="B56" s="46" t="str">
        <f>'Situación Financiera'!B44</f>
        <v>Utilidades acumuladas por operaciones NIIF</v>
      </c>
      <c r="C56" s="46">
        <f>'Situación Financiera'!C44</f>
        <v>13043562105</v>
      </c>
      <c r="D56" s="46">
        <f>'Situación Financiera'!D44</f>
        <v>13031300650</v>
      </c>
      <c r="E56" s="46">
        <f>'Situación Financiera'!E44</f>
        <v>13031300650</v>
      </c>
      <c r="F56" s="46">
        <f>'Situación Financiera'!F44</f>
        <v>13031300650</v>
      </c>
      <c r="G56" s="46">
        <f>'Situación Financiera'!G44</f>
        <v>13031300650</v>
      </c>
      <c r="H56" s="46">
        <f>G56*(1+H12)</f>
        <v>14425649819.549999</v>
      </c>
      <c r="I56" s="46">
        <f t="shared" ref="I56:L56" si="30">H56*(1+I12)</f>
        <v>15449870956.738049</v>
      </c>
      <c r="J56" s="46">
        <f t="shared" si="30"/>
        <v>15774318246.829546</v>
      </c>
      <c r="K56" s="46">
        <f t="shared" si="30"/>
        <v>16215999157.740774</v>
      </c>
      <c r="L56" s="46">
        <f t="shared" si="30"/>
        <v>16734911130.788479</v>
      </c>
    </row>
    <row r="57" spans="2:13" x14ac:dyDescent="0.25">
      <c r="B57" s="82" t="str">
        <f>'Situación Financiera'!B45</f>
        <v>TOTAL PATRIMONIO</v>
      </c>
      <c r="C57" s="82">
        <f t="shared" ref="C57" si="31">SUM(C51:C56)</f>
        <v>13826556334</v>
      </c>
      <c r="D57" s="82">
        <f t="shared" ref="D57" si="32">SUM(D51:D56)</f>
        <v>13900720428</v>
      </c>
      <c r="E57" s="82">
        <f t="shared" ref="E57" si="33">SUM(E51:E56)</f>
        <v>14036736528</v>
      </c>
      <c r="F57" s="82">
        <f t="shared" ref="F57" si="34">SUM(F51:F56)</f>
        <v>14567154001</v>
      </c>
      <c r="G57" s="82">
        <f t="shared" ref="G57" si="35">SUM(G51:G56)</f>
        <v>14553434613</v>
      </c>
      <c r="H57" s="82">
        <f>SUM(H51:H56)</f>
        <v>16524158014.079</v>
      </c>
      <c r="I57" s="82">
        <f t="shared" ref="I57:L57" si="36">SUM(I51:I56)</f>
        <v>17606613953.234612</v>
      </c>
      <c r="J57" s="82">
        <f t="shared" si="36"/>
        <v>17990518976.134987</v>
      </c>
      <c r="K57" s="82">
        <f t="shared" si="36"/>
        <v>18493322436.373741</v>
      </c>
      <c r="L57" s="82">
        <f t="shared" si="36"/>
        <v>19075312880.327457</v>
      </c>
    </row>
    <row r="59" spans="2:13" x14ac:dyDescent="0.25">
      <c r="B59" s="82" t="str">
        <f>'Situación Financiera'!B47</f>
        <v>TOTAL PASIVO + PATRIMONIO</v>
      </c>
      <c r="C59" s="82">
        <f t="shared" ref="C59:G59" si="37">C57+C47</f>
        <v>20020262115</v>
      </c>
      <c r="D59" s="82">
        <f t="shared" si="37"/>
        <v>20559486313</v>
      </c>
      <c r="E59" s="82">
        <f t="shared" si="37"/>
        <v>20858298109</v>
      </c>
      <c r="F59" s="82">
        <f t="shared" si="37"/>
        <v>20510559719</v>
      </c>
      <c r="G59" s="82">
        <f t="shared" si="37"/>
        <v>21211531812</v>
      </c>
      <c r="H59" s="82">
        <f>H57+H47</f>
        <v>23878929882.968002</v>
      </c>
      <c r="I59" s="82">
        <f t="shared" ref="I59:L59" si="38">I57+I47</f>
        <v>25502607628.84988</v>
      </c>
      <c r="J59" s="82">
        <f t="shared" si="38"/>
        <v>26053280026.506931</v>
      </c>
      <c r="K59" s="82">
        <f t="shared" si="38"/>
        <v>26781698065.219284</v>
      </c>
      <c r="L59" s="82">
        <f t="shared" si="38"/>
        <v>27628833224.670124</v>
      </c>
    </row>
    <row r="60" spans="2:13" x14ac:dyDescent="0.25">
      <c r="B60" s="173" t="s">
        <v>220</v>
      </c>
      <c r="C60" s="173">
        <f>C59-C29</f>
        <v>0</v>
      </c>
      <c r="D60" s="173">
        <f t="shared" ref="D60:G60" si="39">D59-D29</f>
        <v>-1</v>
      </c>
      <c r="E60" s="173">
        <f t="shared" si="39"/>
        <v>-1</v>
      </c>
      <c r="F60" s="173">
        <f t="shared" si="39"/>
        <v>-1</v>
      </c>
      <c r="G60" s="173">
        <f t="shared" si="39"/>
        <v>0</v>
      </c>
      <c r="H60" s="173">
        <f>H29-H59</f>
        <v>0</v>
      </c>
      <c r="I60" s="173">
        <f t="shared" ref="I60:L60" si="40">I29-I59</f>
        <v>0</v>
      </c>
      <c r="J60" s="173">
        <f t="shared" si="40"/>
        <v>0</v>
      </c>
      <c r="K60" s="173">
        <f t="shared" si="40"/>
        <v>0</v>
      </c>
      <c r="L60" s="173">
        <f t="shared" si="40"/>
        <v>0</v>
      </c>
    </row>
    <row r="61" spans="2:13" ht="16.5" thickBot="1" x14ac:dyDescent="0.3"/>
    <row r="62" spans="2:13" ht="16.5" thickBot="1" x14ac:dyDescent="0.3">
      <c r="B62" s="95" t="s">
        <v>120</v>
      </c>
      <c r="C62" s="86">
        <v>2017</v>
      </c>
      <c r="D62" s="62">
        <v>2018</v>
      </c>
      <c r="E62" s="62">
        <v>2019</v>
      </c>
      <c r="F62" s="62">
        <v>2020</v>
      </c>
      <c r="G62" s="87">
        <v>2021</v>
      </c>
      <c r="H62" s="65"/>
      <c r="I62" s="66"/>
      <c r="J62" s="66"/>
      <c r="K62" s="66"/>
      <c r="L62" s="67"/>
    </row>
    <row r="63" spans="2:13" x14ac:dyDescent="0.25">
      <c r="B63" s="96" t="s">
        <v>121</v>
      </c>
      <c r="C63" s="88">
        <v>172454112</v>
      </c>
      <c r="D63" s="89">
        <v>271645297</v>
      </c>
      <c r="E63" s="27">
        <v>196588192</v>
      </c>
      <c r="F63" s="89">
        <v>199060704</v>
      </c>
      <c r="G63" s="90">
        <v>217471629</v>
      </c>
      <c r="H63" s="73">
        <f>AVERAGE(E63:G63)</f>
        <v>204373508.33333334</v>
      </c>
      <c r="I63" s="52">
        <f>AVERAGE(F63:H63)</f>
        <v>206968613.77777779</v>
      </c>
      <c r="J63" s="52">
        <f t="shared" ref="J63:L63" si="41">AVERAGE(G63:I63)</f>
        <v>209604583.70370373</v>
      </c>
      <c r="K63" s="52">
        <f t="shared" si="41"/>
        <v>206982235.27160498</v>
      </c>
      <c r="L63" s="53">
        <f t="shared" si="41"/>
        <v>207851810.91769552</v>
      </c>
    </row>
    <row r="64" spans="2:13" ht="16.5" thickBot="1" x14ac:dyDescent="0.3">
      <c r="B64" s="97" t="s">
        <v>122</v>
      </c>
      <c r="C64" s="91">
        <v>0</v>
      </c>
      <c r="D64" s="92">
        <v>138553887</v>
      </c>
      <c r="E64" s="93">
        <v>177021270</v>
      </c>
      <c r="F64" s="92">
        <v>122753607</v>
      </c>
      <c r="G64" s="94">
        <v>148636088</v>
      </c>
      <c r="H64" s="83">
        <f>AVERAGE(E64:G64)</f>
        <v>149470321.66666666</v>
      </c>
      <c r="I64" s="84">
        <f>AVERAGE(F64:H64)</f>
        <v>140286672.22222221</v>
      </c>
      <c r="J64" s="84">
        <f t="shared" ref="J64" si="42">AVERAGE(G64:I64)</f>
        <v>146131027.29629627</v>
      </c>
      <c r="K64" s="84">
        <f t="shared" ref="K64" si="43">AVERAGE(H64:J64)</f>
        <v>145296007.06172836</v>
      </c>
      <c r="L64" s="85">
        <f t="shared" ref="L64" si="44">AVERAGE(I64:K64)</f>
        <v>143904568.86008227</v>
      </c>
    </row>
    <row r="67" spans="2:12" x14ac:dyDescent="0.25">
      <c r="B67" s="46" t="str">
        <f>'Estado resultados'!B5</f>
        <v>INGRESOS POR SERVICIOS</v>
      </c>
      <c r="C67" s="51">
        <v>2017</v>
      </c>
      <c r="D67" s="51">
        <v>2018</v>
      </c>
      <c r="E67" s="51">
        <v>2019</v>
      </c>
      <c r="F67" s="51">
        <v>2020</v>
      </c>
      <c r="G67" s="51">
        <v>2021</v>
      </c>
      <c r="H67" s="51">
        <v>2022</v>
      </c>
      <c r="I67" s="51">
        <v>2023</v>
      </c>
      <c r="J67" s="51">
        <v>2024</v>
      </c>
      <c r="K67" s="51">
        <v>2025</v>
      </c>
      <c r="L67" s="51">
        <v>2026</v>
      </c>
    </row>
    <row r="68" spans="2:12" s="82" customFormat="1" x14ac:dyDescent="0.25">
      <c r="B68" s="82" t="str">
        <f>'Estado resultados'!B6</f>
        <v>INGRESOS BRUTOS OPERACIONALES</v>
      </c>
      <c r="C68" s="82">
        <f>'Estado resultados'!C6</f>
        <v>11677869922</v>
      </c>
      <c r="D68" s="82">
        <f>'Estado resultados'!D6</f>
        <v>13922708568</v>
      </c>
      <c r="E68" s="82">
        <f>'Estado resultados'!E6</f>
        <v>18162369966</v>
      </c>
      <c r="F68" s="82">
        <f>'Estado resultados'!F6</f>
        <v>14195917839</v>
      </c>
      <c r="G68" s="82">
        <f>'Estado resultados'!G6</f>
        <v>16192756548</v>
      </c>
      <c r="H68" s="82">
        <f>G68*(1+H$12)</f>
        <v>17925381498.636002</v>
      </c>
      <c r="I68" s="82">
        <f t="shared" ref="I68:L68" si="45">H68*(1+I$12)</f>
        <v>19198083585.039158</v>
      </c>
      <c r="J68" s="82">
        <f t="shared" si="45"/>
        <v>19601243340.324978</v>
      </c>
      <c r="K68" s="82">
        <f t="shared" si="45"/>
        <v>20150078153.854076</v>
      </c>
      <c r="L68" s="82">
        <f t="shared" si="45"/>
        <v>20794880654.777409</v>
      </c>
    </row>
    <row r="69" spans="2:12" x14ac:dyDescent="0.25">
      <c r="B69" s="46" t="str">
        <f>'Estado resultados'!B7</f>
        <v xml:space="preserve">DEVOLUCIONES Y DESCUENTOS EN SERVICIOS </v>
      </c>
      <c r="C69" s="46">
        <f>'Estado resultados'!C7</f>
        <v>495946942</v>
      </c>
      <c r="D69" s="46">
        <f>'Estado resultados'!D7</f>
        <v>505537124</v>
      </c>
      <c r="E69" s="46">
        <f>'Estado resultados'!E7</f>
        <v>741621727</v>
      </c>
      <c r="F69" s="46">
        <f>'Estado resultados'!F7</f>
        <v>1597379970</v>
      </c>
      <c r="G69" s="46">
        <f>'Estado resultados'!G7</f>
        <v>809190070</v>
      </c>
      <c r="H69" s="46">
        <f>G69*(1+H$12)</f>
        <v>895773407.49000001</v>
      </c>
      <c r="I69" s="46">
        <f t="shared" ref="I69:L69" si="46">H69*(1+I$12)</f>
        <v>959373319.42179</v>
      </c>
      <c r="J69" s="46">
        <f t="shared" si="46"/>
        <v>979520159.12964749</v>
      </c>
      <c r="K69" s="46">
        <f t="shared" si="46"/>
        <v>1006946723.5852777</v>
      </c>
      <c r="L69" s="46">
        <f t="shared" si="46"/>
        <v>1039169018.7400066</v>
      </c>
    </row>
    <row r="70" spans="2:12" s="82" customFormat="1" x14ac:dyDescent="0.25">
      <c r="B70" s="82" t="str">
        <f>'Estado resultados'!B8</f>
        <v xml:space="preserve">INGRESOS NETOS </v>
      </c>
      <c r="C70" s="82">
        <f>'Estado resultados'!C8</f>
        <v>11181922980</v>
      </c>
      <c r="D70" s="82">
        <f>'Estado resultados'!D8</f>
        <v>13417171444</v>
      </c>
      <c r="E70" s="82">
        <f>'Estado resultados'!E8</f>
        <v>17420748239</v>
      </c>
      <c r="F70" s="82">
        <f>'Estado resultados'!F8</f>
        <v>12598537869</v>
      </c>
      <c r="G70" s="82">
        <f>'Estado resultados'!G8</f>
        <v>15383566478</v>
      </c>
      <c r="H70" s="82">
        <f t="shared" ref="H70" si="47">H68-H69</f>
        <v>17029608091.146002</v>
      </c>
      <c r="I70" s="82">
        <f t="shared" ref="I70" si="48">I68-I69</f>
        <v>18238710265.617367</v>
      </c>
      <c r="J70" s="82">
        <f t="shared" ref="J70" si="49">J68-J69</f>
        <v>18621723181.195332</v>
      </c>
      <c r="K70" s="82">
        <f t="shared" ref="K70" si="50">K68-K69</f>
        <v>19143131430.268799</v>
      </c>
      <c r="L70" s="82">
        <f t="shared" ref="L70" si="51">L68-L69</f>
        <v>19755711636.037403</v>
      </c>
    </row>
    <row r="71" spans="2:12" x14ac:dyDescent="0.25">
      <c r="B71" s="46" t="str">
        <f>'Estado resultados'!B9</f>
        <v xml:space="preserve">COSTO DE VENTAS </v>
      </c>
      <c r="C71" s="46">
        <f>'Estado resultados'!C9</f>
        <v>2687265148</v>
      </c>
      <c r="D71" s="46">
        <f>'Estado resultados'!D9</f>
        <v>3420537716</v>
      </c>
      <c r="E71" s="46">
        <f>'Estado resultados'!E9</f>
        <v>11747570453</v>
      </c>
      <c r="F71" s="46">
        <f>'Estado resultados'!F9</f>
        <v>7057159585</v>
      </c>
      <c r="G71" s="46">
        <f>'Estado resultados'!G9</f>
        <v>9267765228</v>
      </c>
      <c r="H71" s="46">
        <f>G71*(1+H$12)</f>
        <v>10259416107.396</v>
      </c>
      <c r="I71" s="46">
        <f t="shared" ref="I71:L71" si="52">H71*(1+I$12)</f>
        <v>10987834651.021116</v>
      </c>
      <c r="J71" s="46">
        <f t="shared" si="52"/>
        <v>11218579178.692558</v>
      </c>
      <c r="K71" s="46">
        <f t="shared" si="52"/>
        <v>11532699395.69595</v>
      </c>
      <c r="L71" s="46">
        <f t="shared" si="52"/>
        <v>11901745776.358221</v>
      </c>
    </row>
    <row r="72" spans="2:12" s="82" customFormat="1" x14ac:dyDescent="0.25">
      <c r="B72" s="82" t="str">
        <f>'Estado resultados'!B10</f>
        <v>UTILIDAD BRUTA</v>
      </c>
      <c r="C72" s="82">
        <f>'Estado resultados'!C10</f>
        <v>8494657832</v>
      </c>
      <c r="D72" s="82">
        <f>'Estado resultados'!D10</f>
        <v>9996633728</v>
      </c>
      <c r="E72" s="82">
        <f>'Estado resultados'!E10</f>
        <v>5673177786</v>
      </c>
      <c r="F72" s="82">
        <f>'Estado resultados'!F10</f>
        <v>5541378284</v>
      </c>
      <c r="G72" s="82">
        <f>'Estado resultados'!G10</f>
        <v>6115801250</v>
      </c>
      <c r="H72" s="82">
        <f t="shared" ref="H72" si="53">H70-H71</f>
        <v>6770191983.7500019</v>
      </c>
      <c r="I72" s="82">
        <f t="shared" ref="I72" si="54">I70-I71</f>
        <v>7250875614.5962505</v>
      </c>
      <c r="J72" s="82">
        <f t="shared" ref="J72" si="55">J70-J71</f>
        <v>7403144002.5027733</v>
      </c>
      <c r="K72" s="82">
        <f t="shared" ref="K72" si="56">K70-K71</f>
        <v>7610432034.5728493</v>
      </c>
      <c r="L72" s="82">
        <f t="shared" ref="L72" si="57">L70-L71</f>
        <v>7853965859.6791821</v>
      </c>
    </row>
    <row r="73" spans="2:12" x14ac:dyDescent="0.25">
      <c r="B73" s="46" t="str">
        <f>'Estado resultados'!B11</f>
        <v xml:space="preserve">GASTOS DE ADMINISTRACION </v>
      </c>
      <c r="C73" s="46">
        <f>'Estado resultados'!C11</f>
        <v>7762469014</v>
      </c>
      <c r="D73" s="46">
        <f>'Estado resultados'!D11</f>
        <v>9254341177</v>
      </c>
      <c r="E73" s="46">
        <f>'Estado resultados'!E11</f>
        <v>4690234293</v>
      </c>
      <c r="F73" s="46">
        <f>'Estado resultados'!F11</f>
        <v>4468022799</v>
      </c>
      <c r="G73" s="46">
        <f>'Estado resultados'!G11</f>
        <v>5721338018</v>
      </c>
      <c r="H73" s="46">
        <f>G73*(1+H$12)</f>
        <v>6333521185.9259996</v>
      </c>
      <c r="I73" s="46">
        <f t="shared" ref="I73:L73" si="58">H73*(1+I$12)</f>
        <v>6783201190.1267452</v>
      </c>
      <c r="J73" s="46">
        <f t="shared" si="58"/>
        <v>6925648415.1194067</v>
      </c>
      <c r="K73" s="46">
        <f t="shared" si="58"/>
        <v>7119566570.7427502</v>
      </c>
      <c r="L73" s="46">
        <f t="shared" si="58"/>
        <v>7347392701.0065184</v>
      </c>
    </row>
    <row r="74" spans="2:12" s="82" customFormat="1" x14ac:dyDescent="0.25">
      <c r="B74" s="82" t="str">
        <f>'Estado resultados'!B12</f>
        <v>UTILIDAD OPERACIONAL</v>
      </c>
      <c r="C74" s="82">
        <f>'Estado resultados'!C12</f>
        <v>732188818</v>
      </c>
      <c r="D74" s="82">
        <f>'Estado resultados'!D12</f>
        <v>742292551</v>
      </c>
      <c r="E74" s="82">
        <f>'Estado resultados'!E12</f>
        <v>982943493</v>
      </c>
      <c r="F74" s="82">
        <f>'Estado resultados'!F12</f>
        <v>1073355485</v>
      </c>
      <c r="G74" s="82">
        <f>'Estado resultados'!G12</f>
        <v>394463232</v>
      </c>
      <c r="H74" s="82">
        <f t="shared" ref="H74" si="59">H72-H73</f>
        <v>436670797.82400227</v>
      </c>
      <c r="I74" s="82">
        <f t="shared" ref="I74" si="60">I72-I73</f>
        <v>467674424.46950531</v>
      </c>
      <c r="J74" s="82">
        <f t="shared" ref="J74" si="61">J72-J73</f>
        <v>477495587.38336658</v>
      </c>
      <c r="K74" s="82">
        <f t="shared" ref="K74" si="62">K72-K73</f>
        <v>490865463.83009911</v>
      </c>
      <c r="L74" s="82">
        <f t="shared" ref="L74" si="63">L72-L73</f>
        <v>506573158.67266369</v>
      </c>
    </row>
    <row r="75" spans="2:12" x14ac:dyDescent="0.25">
      <c r="B75" s="46" t="str">
        <f>'Estado resultados'!B13</f>
        <v>OTROS INGRESOS</v>
      </c>
      <c r="C75" s="46">
        <f>'Estado resultados'!C13</f>
        <v>87101458</v>
      </c>
      <c r="D75" s="46">
        <f>'Estado resultados'!D13</f>
        <v>182086655</v>
      </c>
      <c r="E75" s="46">
        <f>'Estado resultados'!E13</f>
        <v>156130353</v>
      </c>
      <c r="F75" s="46">
        <f>'Estado resultados'!F13</f>
        <v>372759298</v>
      </c>
      <c r="G75" s="46">
        <f>'Estado resultados'!G13</f>
        <v>337525989</v>
      </c>
      <c r="H75" s="46">
        <f t="shared" ref="H75:L78" si="64">G75*(1+H$12)</f>
        <v>373641269.82300001</v>
      </c>
      <c r="I75" s="46">
        <f t="shared" si="64"/>
        <v>400169799.98043299</v>
      </c>
      <c r="J75" s="46">
        <f t="shared" si="64"/>
        <v>408573365.78002203</v>
      </c>
      <c r="K75" s="46">
        <f t="shared" si="64"/>
        <v>420013420.02186263</v>
      </c>
      <c r="L75" s="46">
        <f t="shared" si="64"/>
        <v>433453849.46256226</v>
      </c>
    </row>
    <row r="76" spans="2:12" x14ac:dyDescent="0.25">
      <c r="B76" s="46" t="str">
        <f>'Estado resultados'!B14</f>
        <v xml:space="preserve">INGRESOS FINANCIEROS </v>
      </c>
      <c r="C76" s="46">
        <f>'Estado resultados'!C14</f>
        <v>109949368</v>
      </c>
      <c r="D76" s="46">
        <f>'Estado resultados'!D14</f>
        <v>98981717</v>
      </c>
      <c r="E76" s="46">
        <f>'Estado resultados'!E14</f>
        <v>95529740</v>
      </c>
      <c r="F76" s="46">
        <f>'Estado resultados'!F14</f>
        <v>75810570</v>
      </c>
      <c r="G76" s="46">
        <f>'Estado resultados'!G14</f>
        <v>57246659</v>
      </c>
      <c r="H76" s="46">
        <f t="shared" si="64"/>
        <v>63372051.512999997</v>
      </c>
      <c r="I76" s="46">
        <f t="shared" si="64"/>
        <v>67871467.170422986</v>
      </c>
      <c r="J76" s="46">
        <f t="shared" si="64"/>
        <v>69296767.981001869</v>
      </c>
      <c r="K76" s="46">
        <f t="shared" si="64"/>
        <v>71237077.48446992</v>
      </c>
      <c r="L76" s="46">
        <f t="shared" si="64"/>
        <v>73516663.963972956</v>
      </c>
    </row>
    <row r="77" spans="2:12" x14ac:dyDescent="0.25">
      <c r="B77" s="46" t="str">
        <f>'Estado resultados'!B15</f>
        <v xml:space="preserve">GASTOS FINANCIEROS </v>
      </c>
      <c r="C77" s="46">
        <f>'Estado resultados'!C15</f>
        <v>632245234</v>
      </c>
      <c r="D77" s="46">
        <f>'Estado resultados'!D15</f>
        <v>638332036</v>
      </c>
      <c r="E77" s="46">
        <f>'Estado resultados'!E15</f>
        <v>615387646</v>
      </c>
      <c r="F77" s="46">
        <f>'Estado resultados'!F15</f>
        <v>366727292</v>
      </c>
      <c r="G77" s="46">
        <f>'Estado resultados'!G15</f>
        <v>514683196</v>
      </c>
      <c r="H77" s="46">
        <f t="shared" si="64"/>
        <v>569754297.972</v>
      </c>
      <c r="I77" s="46">
        <f t="shared" si="64"/>
        <v>610206853.12801194</v>
      </c>
      <c r="J77" s="46">
        <f t="shared" si="64"/>
        <v>623021197.0437001</v>
      </c>
      <c r="K77" s="46">
        <f>J77*(1+K$12)</f>
        <v>640465790.5609237</v>
      </c>
      <c r="L77" s="46">
        <f t="shared" si="64"/>
        <v>660960695.85887325</v>
      </c>
    </row>
    <row r="78" spans="2:12" x14ac:dyDescent="0.25">
      <c r="B78" s="46" t="str">
        <f>'Estado resultados'!B16</f>
        <v>OTROS GASTOS</v>
      </c>
      <c r="C78" s="46">
        <f>'Estado resultados'!C16</f>
        <v>137798585</v>
      </c>
      <c r="D78" s="46">
        <f>'Estado resultados'!D16</f>
        <v>176725576</v>
      </c>
      <c r="E78" s="46">
        <f>'Estado resultados'!E16</f>
        <v>231349745</v>
      </c>
      <c r="F78" s="46">
        <f>'Estado resultados'!F16</f>
        <v>208230615</v>
      </c>
      <c r="G78" s="46">
        <f>'Estado resultados'!G16</f>
        <v>205401504</v>
      </c>
      <c r="H78" s="46">
        <f t="shared" si="64"/>
        <v>227379464.928</v>
      </c>
      <c r="I78" s="46">
        <f t="shared" si="64"/>
        <v>243523406.937888</v>
      </c>
      <c r="J78" s="46">
        <f t="shared" si="64"/>
        <v>248637398.48358363</v>
      </c>
      <c r="K78" s="46">
        <f t="shared" si="64"/>
        <v>255599245.64112398</v>
      </c>
      <c r="L78" s="46">
        <f t="shared" si="64"/>
        <v>263778421.50163996</v>
      </c>
    </row>
    <row r="79" spans="2:12" s="82" customFormat="1" x14ac:dyDescent="0.25">
      <c r="B79" s="82" t="str">
        <f>'Estado resultados'!B17</f>
        <v xml:space="preserve">UTILIDAD ANTES DE IMPUESTOS </v>
      </c>
      <c r="C79" s="82">
        <f>'Estado resultados'!C17</f>
        <v>159195825</v>
      </c>
      <c r="D79" s="82">
        <f>'Estado resultados'!D17</f>
        <v>208303311</v>
      </c>
      <c r="E79" s="82">
        <f>'Estado resultados'!E17</f>
        <v>387866195</v>
      </c>
      <c r="F79" s="82">
        <f>'Estado resultados'!F17</f>
        <v>946967446</v>
      </c>
      <c r="G79" s="82">
        <f>'Estado resultados'!G17</f>
        <v>69151180</v>
      </c>
      <c r="H79" s="82">
        <f t="shared" ref="H79" si="65">H74+H75+H76-H77-H78</f>
        <v>76550356.260002226</v>
      </c>
      <c r="I79" s="82">
        <f t="shared" ref="I79" si="66">I74+I75+I76-I77-I78</f>
        <v>81985431.55446139</v>
      </c>
      <c r="J79" s="82">
        <f t="shared" ref="J79" si="67">J74+J75+J76-J77-J78</f>
        <v>83707125.617106736</v>
      </c>
      <c r="K79" s="82">
        <f t="shared" ref="K79" si="68">K74+K75+K76-K77-K78</f>
        <v>86050925.134383947</v>
      </c>
      <c r="L79" s="82">
        <f t="shared" ref="L79" si="69">L74+L75+L76-L77-L78</f>
        <v>88804554.738685727</v>
      </c>
    </row>
    <row r="80" spans="2:12" x14ac:dyDescent="0.25">
      <c r="B80" s="46" t="str">
        <f>'Estado resultados'!B18</f>
        <v>Gasto por Impuesto Sobre laRenta</v>
      </c>
      <c r="C80" s="46">
        <f>'Estado resultados'!C18</f>
        <v>171775264</v>
      </c>
      <c r="D80" s="46">
        <f>'Estado resultados'!D18</f>
        <v>131156575</v>
      </c>
      <c r="E80" s="46">
        <f>'Estado resultados'!E18</f>
        <v>250784418</v>
      </c>
      <c r="F80" s="46">
        <f>'Estado resultados'!F18</f>
        <v>397162535</v>
      </c>
      <c r="G80" s="46">
        <f>'Estado resultados'!G18</f>
        <v>78700289</v>
      </c>
      <c r="H80" s="46">
        <f>H79*35%</f>
        <v>26792624.691000778</v>
      </c>
      <c r="I80" s="46">
        <f t="shared" ref="I80:L80" si="70">I79*35%</f>
        <v>28694901.044061486</v>
      </c>
      <c r="J80" s="46">
        <f t="shared" si="70"/>
        <v>29297493.965987355</v>
      </c>
      <c r="K80" s="46">
        <f t="shared" si="70"/>
        <v>30117823.797034379</v>
      </c>
      <c r="L80" s="46">
        <f t="shared" si="70"/>
        <v>31081594.158540003</v>
      </c>
    </row>
    <row r="81" spans="2:12" x14ac:dyDescent="0.25">
      <c r="B81" s="46" t="str">
        <f>'Estado resultados'!B19</f>
        <v>Gasto por Impuesto Diferido Sobre la Renta</v>
      </c>
      <c r="C81" s="46">
        <f>'Estado resultados'!C19</f>
        <v>0</v>
      </c>
      <c r="D81" s="46">
        <f>'Estado resultados'!D19</f>
        <v>9278813</v>
      </c>
      <c r="E81" s="46">
        <f>'Estado resultados'!E19</f>
        <v>1065677</v>
      </c>
      <c r="F81" s="46">
        <f>'Estado resultados'!F19</f>
        <v>19387438</v>
      </c>
      <c r="G81" s="46">
        <f>'Estado resultados'!G19</f>
        <v>4170280</v>
      </c>
      <c r="H81" s="46">
        <f t="shared" ref="H81:L81" si="71">G81*(1+H$12)</f>
        <v>4616499.96</v>
      </c>
      <c r="I81" s="46">
        <f t="shared" si="71"/>
        <v>4944271.4571599998</v>
      </c>
      <c r="J81" s="46">
        <f t="shared" si="71"/>
        <v>5048101.1577603593</v>
      </c>
      <c r="K81" s="46">
        <f t="shared" si="71"/>
        <v>5189447.9901776491</v>
      </c>
      <c r="L81" s="46">
        <f t="shared" si="71"/>
        <v>5355510.3258633344</v>
      </c>
    </row>
    <row r="82" spans="2:12" s="82" customFormat="1" x14ac:dyDescent="0.25">
      <c r="B82" s="82" t="s">
        <v>223</v>
      </c>
      <c r="C82" s="82">
        <f>'Estado resultados'!C20</f>
        <v>-12579439</v>
      </c>
      <c r="D82" s="82">
        <f>'Estado resultados'!D20</f>
        <v>86425549</v>
      </c>
      <c r="E82" s="82">
        <f>'Estado resultados'!E20</f>
        <v>136016100</v>
      </c>
      <c r="F82" s="82">
        <f>'Estado resultados'!F20</f>
        <v>530417473</v>
      </c>
      <c r="G82" s="82">
        <f>'Estado resultados'!G20</f>
        <v>-13719389</v>
      </c>
      <c r="H82" s="82">
        <f>H79-H80+H81</f>
        <v>54374231.529001452</v>
      </c>
      <c r="I82" s="82">
        <f t="shared" ref="I82:L82" si="72">I79-I80+I81</f>
        <v>58234801.967559904</v>
      </c>
      <c r="J82" s="82">
        <f t="shared" si="72"/>
        <v>59457732.808879741</v>
      </c>
      <c r="K82" s="82">
        <f>K79-K80+K81</f>
        <v>61122549.32752721</v>
      </c>
      <c r="L82" s="82">
        <f t="shared" si="72"/>
        <v>63078470.906009056</v>
      </c>
    </row>
  </sheetData>
  <mergeCells count="3">
    <mergeCell ref="B2:L2"/>
    <mergeCell ref="C3:G3"/>
    <mergeCell ref="H3:L3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07BB1-1E81-4CE9-A5C4-A5922EB2AFFC}">
  <dimension ref="B1:M95"/>
  <sheetViews>
    <sheetView showGridLines="0" tabSelected="1" zoomScale="70" zoomScaleNormal="70" workbookViewId="0">
      <selection activeCell="H8" sqref="H8:L11"/>
    </sheetView>
  </sheetViews>
  <sheetFormatPr baseColWidth="10" defaultRowHeight="15.75" x14ac:dyDescent="0.25"/>
  <cols>
    <col min="1" max="1" width="4.85546875" style="175" customWidth="1"/>
    <col min="2" max="2" width="38.28515625" style="175" bestFit="1" customWidth="1"/>
    <col min="3" max="3" width="16.7109375" style="175" customWidth="1"/>
    <col min="4" max="6" width="17.140625" style="175" customWidth="1"/>
    <col min="7" max="7" width="16.7109375" style="175" customWidth="1"/>
    <col min="8" max="8" width="17.140625" style="175" bestFit="1" customWidth="1"/>
    <col min="9" max="12" width="16.7109375" style="175" bestFit="1" customWidth="1"/>
    <col min="13" max="13" width="19.7109375" style="175" customWidth="1"/>
    <col min="14" max="16384" width="11.42578125" style="175"/>
  </cols>
  <sheetData>
    <row r="1" spans="2:12" ht="39" customHeight="1" x14ac:dyDescent="0.25">
      <c r="B1" s="274" t="s">
        <v>225</v>
      </c>
      <c r="C1" s="274"/>
      <c r="D1" s="274"/>
      <c r="E1" s="274"/>
      <c r="F1" s="274"/>
      <c r="G1" s="274"/>
      <c r="H1" s="274"/>
      <c r="I1" s="274"/>
      <c r="J1" s="274"/>
      <c r="K1" s="274"/>
      <c r="L1" s="274"/>
    </row>
    <row r="3" spans="2:12" s="119" customFormat="1" x14ac:dyDescent="0.25">
      <c r="B3" s="117" t="s">
        <v>172</v>
      </c>
      <c r="C3" s="132">
        <v>2017</v>
      </c>
      <c r="D3" s="132">
        <v>2018</v>
      </c>
      <c r="E3" s="132">
        <v>2019</v>
      </c>
      <c r="F3" s="132">
        <v>2020</v>
      </c>
      <c r="G3" s="132">
        <v>2021</v>
      </c>
      <c r="H3" s="133">
        <v>2022</v>
      </c>
      <c r="I3" s="133">
        <v>2023</v>
      </c>
      <c r="J3" s="133">
        <v>2024</v>
      </c>
      <c r="K3" s="133">
        <v>2025</v>
      </c>
      <c r="L3" s="133">
        <v>2026</v>
      </c>
    </row>
    <row r="4" spans="2:12" s="119" customFormat="1" x14ac:dyDescent="0.25">
      <c r="B4" s="118" t="s">
        <v>131</v>
      </c>
      <c r="C4" s="121">
        <f>'Proyecciones Estados Financiero'!C21/'Proyecciones Estados Financiero'!C39</f>
        <v>1.0857740772821236</v>
      </c>
      <c r="D4" s="121">
        <f>'Proyecciones Estados Financiero'!D21/'Proyecciones Estados Financiero'!D39</f>
        <v>0.76594344944534798</v>
      </c>
      <c r="E4" s="121">
        <f>'Proyecciones Estados Financiero'!E21/'Proyecciones Estados Financiero'!E39</f>
        <v>0.59924967732244983</v>
      </c>
      <c r="F4" s="121">
        <f>'Proyecciones Estados Financiero'!F21/'Proyecciones Estados Financiero'!F39</f>
        <v>0.34123621991298275</v>
      </c>
      <c r="G4" s="121">
        <f>'Proyecciones Estados Financiero'!G21/'Proyecciones Estados Financiero'!G39</f>
        <v>0.47204187190165664</v>
      </c>
      <c r="H4" s="121">
        <f>'Proyecciones Estados Financiero'!H21/'Proyecciones Estados Financiero'!H39</f>
        <v>0.75675822198784504</v>
      </c>
      <c r="I4" s="121">
        <f>'Proyecciones Estados Financiero'!I21/'Proyecciones Estados Financiero'!I39</f>
        <v>0.81668052245431644</v>
      </c>
      <c r="J4" s="121">
        <f>'Proyecciones Estados Financiero'!J21/'Proyecciones Estados Financiero'!J39</f>
        <v>0.84638785402612859</v>
      </c>
      <c r="K4" s="121">
        <f>'Proyecciones Estados Financiero'!K21/'Proyecciones Estados Financiero'!K39</f>
        <v>0.87789969789641487</v>
      </c>
      <c r="L4" s="121">
        <f>'Proyecciones Estados Financiero'!L21/'Proyecciones Estados Financiero'!L39</f>
        <v>0.91002480129372276</v>
      </c>
    </row>
    <row r="5" spans="2:12" s="119" customFormat="1" ht="15" customHeight="1" x14ac:dyDescent="0.25">
      <c r="B5" s="119" t="s">
        <v>210</v>
      </c>
      <c r="C5" s="125">
        <f>'Proyecciones Estados Financiero'!C29/'Proyecciones Estados Financiero'!C47</f>
        <v>3.2323560115520444</v>
      </c>
      <c r="D5" s="125">
        <f>'Proyecciones Estados Financiero'!D29/'Proyecciones Estados Financiero'!D47</f>
        <v>3.0875820939002723</v>
      </c>
      <c r="E5" s="125">
        <f>'Proyecciones Estados Financiero'!E29/'Proyecciones Estados Financiero'!E47</f>
        <v>3.0577013580140249</v>
      </c>
      <c r="F5" s="125">
        <f>'Proyecciones Estados Financiero'!F29/'Proyecciones Estados Financiero'!F47</f>
        <v>3.4509775527998037</v>
      </c>
      <c r="G5" s="125">
        <f>'Proyecciones Estados Financiero'!G29/'Proyecciones Estados Financiero'!G47</f>
        <v>3.1858248953148092</v>
      </c>
      <c r="H5" s="125">
        <f>'Proyecciones Estados Financiero'!H29/'Proyecciones Estados Financiero'!H47</f>
        <v>3.2467261131479681</v>
      </c>
      <c r="I5" s="125">
        <f>'Proyecciones Estados Financiero'!I29/'Proyecciones Estados Financiero'!I47</f>
        <v>3.229816116444987</v>
      </c>
      <c r="J5" s="125">
        <f>'Proyecciones Estados Financiero'!J29/'Proyecciones Estados Financiero'!J47</f>
        <v>3.231309952476523</v>
      </c>
      <c r="K5" s="125">
        <f>'Proyecciones Estados Financiero'!K29/'Proyecciones Estados Financiero'!K47</f>
        <v>3.2312360424414805</v>
      </c>
      <c r="L5" s="125">
        <f>'Proyecciones Estados Financiero'!L29/'Proyecciones Estados Financiero'!L47</f>
        <v>3.2301125282228327</v>
      </c>
    </row>
    <row r="6" spans="2:12" s="119" customFormat="1" x14ac:dyDescent="0.25">
      <c r="B6" s="118" t="s">
        <v>173</v>
      </c>
      <c r="C6" s="120">
        <f>'Proyecciones Estados Financiero'!C21-'Proyecciones Estados Financiero'!C39</f>
        <v>73054489</v>
      </c>
      <c r="D6" s="120">
        <f>'Proyecciones Estados Financiero'!D21-'Proyecciones Estados Financiero'!D39</f>
        <v>-275549264</v>
      </c>
      <c r="E6" s="120">
        <f>'Proyecciones Estados Financiero'!E21-'Proyecciones Estados Financiero'!E39</f>
        <v>-823505753</v>
      </c>
      <c r="F6" s="120">
        <f>'Proyecciones Estados Financiero'!F21-'Proyecciones Estados Financiero'!F39</f>
        <v>-1288485175</v>
      </c>
      <c r="G6" s="120">
        <f>'Proyecciones Estados Financiero'!G21-'Proyecciones Estados Financiero'!G39</f>
        <v>-1283296936</v>
      </c>
      <c r="H6" s="120">
        <f>'Proyecciones Estados Financiero'!H21-'Proyecciones Estados Financiero'!H39</f>
        <v>-654505751.27400017</v>
      </c>
      <c r="I6" s="120">
        <f>'Proyecciones Estados Financiero'!I21-'Proyecciones Estados Financiero'!I39</f>
        <v>-528291574.54129696</v>
      </c>
      <c r="J6" s="120">
        <f>'Proyecciones Estados Financiero'!J21-'Proyecciones Estados Financiero'!J39</f>
        <v>-451977031.89046049</v>
      </c>
      <c r="K6" s="120">
        <f>'Proyecciones Estados Financiero'!K21-'Proyecciones Estados Financiero'!K39</f>
        <v>-369318152.76523447</v>
      </c>
      <c r="L6" s="120">
        <f>'Proyecciones Estados Financiero'!L21-'Proyecciones Estados Financiero'!L39</f>
        <v>-280857754.34590006</v>
      </c>
    </row>
    <row r="7" spans="2:12" s="119" customFormat="1" ht="29.25" customHeight="1" x14ac:dyDescent="0.25">
      <c r="C7" s="122"/>
      <c r="D7" s="122"/>
      <c r="E7" s="122"/>
      <c r="F7" s="122"/>
      <c r="G7" s="122"/>
      <c r="H7" s="122"/>
      <c r="I7" s="122"/>
      <c r="J7" s="122"/>
      <c r="K7" s="122"/>
      <c r="L7" s="122"/>
    </row>
    <row r="8" spans="2:12" s="119" customFormat="1" x14ac:dyDescent="0.25">
      <c r="B8" s="117" t="s">
        <v>174</v>
      </c>
      <c r="C8" s="132">
        <v>2017</v>
      </c>
      <c r="D8" s="132">
        <v>2018</v>
      </c>
      <c r="E8" s="132">
        <v>2019</v>
      </c>
      <c r="F8" s="132">
        <v>2020</v>
      </c>
      <c r="G8" s="132">
        <v>2021</v>
      </c>
      <c r="H8" s="133">
        <v>2022</v>
      </c>
      <c r="I8" s="133">
        <v>2023</v>
      </c>
      <c r="J8" s="133">
        <v>2024</v>
      </c>
      <c r="K8" s="133">
        <v>2025</v>
      </c>
      <c r="L8" s="133">
        <v>2026</v>
      </c>
    </row>
    <row r="9" spans="2:12" s="119" customFormat="1" x14ac:dyDescent="0.25">
      <c r="B9" s="118" t="s">
        <v>175</v>
      </c>
      <c r="C9" s="123">
        <f>'Proyecciones Estados Financiero'!C47/'Proyecciones Estados Financiero'!C29</f>
        <v>0.30937186263707417</v>
      </c>
      <c r="D9" s="123">
        <f>'Proyecciones Estados Financiero'!D47/'Proyecciones Estados Financiero'!D29</f>
        <v>0.32387802804517091</v>
      </c>
      <c r="E9" s="123">
        <f>'Proyecciones Estados Financiero'!E47/'Proyecciones Estados Financiero'!E29</f>
        <v>0.32704305715764842</v>
      </c>
      <c r="F9" s="123">
        <f>'Proyecciones Estados Financiero'!F47/'Proyecciones Estados Financiero'!F29</f>
        <v>0.28977296568871985</v>
      </c>
      <c r="G9" s="123">
        <f>'Proyecciones Estados Financiero'!G47/'Proyecciones Estados Financiero'!G29</f>
        <v>0.31389044685746431</v>
      </c>
      <c r="H9" s="123">
        <f>'Proyecciones Estados Financiero'!H47/'Proyecciones Estados Financiero'!H29</f>
        <v>0.30800257402384268</v>
      </c>
      <c r="I9" s="123">
        <f>'Proyecciones Estados Financiero'!I47/'Proyecciones Estados Financiero'!I29</f>
        <v>0.30961514957721059</v>
      </c>
      <c r="J9" s="123">
        <f>'Proyecciones Estados Financiero'!J47/'Proyecciones Estados Financiero'!J29</f>
        <v>0.30947201435553573</v>
      </c>
      <c r="K9" s="123">
        <f>'Proyecciones Estados Financiero'!K47/'Proyecciones Estados Financiero'!K29</f>
        <v>0.30947909309788857</v>
      </c>
      <c r="L9" s="123">
        <f>'Proyecciones Estados Financiero'!L47/'Proyecciones Estados Financiero'!L29</f>
        <v>0.3095867376949209</v>
      </c>
    </row>
    <row r="10" spans="2:12" s="119" customFormat="1" ht="31.5" x14ac:dyDescent="0.25">
      <c r="B10" s="124" t="s">
        <v>176</v>
      </c>
      <c r="C10" s="123">
        <f>'Proyecciones Estados Financiero'!C39/'Proyecciones Estados Financiero'!C47</f>
        <v>0.13751189951785023</v>
      </c>
      <c r="D10" s="123">
        <f>'Proyecciones Estados Financiero'!D39/'Proyecciones Estados Financiero'!D47</f>
        <v>0.17680099681113806</v>
      </c>
      <c r="E10" s="123">
        <f>'Proyecciones Estados Financiero'!E39/'Proyecciones Estados Financiero'!E47</f>
        <v>0.30123744315722539</v>
      </c>
      <c r="F10" s="123">
        <f>'Proyecciones Estados Financiero'!F39/'Proyecciones Estados Financiero'!F47</f>
        <v>0.32908973453997675</v>
      </c>
      <c r="G10" s="123">
        <f>'Proyecciones Estados Financiero'!G39/'Proyecciones Estados Financiero'!G47</f>
        <v>0.36507117699709629</v>
      </c>
      <c r="H10" s="123">
        <f>'Proyecciones Estados Financiero'!H39/'Proyecciones Estados Financiero'!H47</f>
        <v>0.36585255433265568</v>
      </c>
      <c r="I10" s="123">
        <f>'Proyecciones Estados Financiero'!I39/'Proyecciones Estados Financiero'!I47</f>
        <v>0.36497093633384931</v>
      </c>
      <c r="J10" s="123">
        <f>'Proyecciones Estados Financiero'!J39/'Proyecciones Estados Financiero'!J47</f>
        <v>0.36492786001183897</v>
      </c>
      <c r="K10" s="123">
        <f>'Proyecciones Estados Financiero'!K39/'Proyecciones Estados Financiero'!K47</f>
        <v>0.36493413757763249</v>
      </c>
      <c r="L10" s="123">
        <f>'Proyecciones Estados Financiero'!L39/'Proyecciones Estados Financiero'!L47</f>
        <v>0.36493768429297296</v>
      </c>
    </row>
    <row r="11" spans="2:12" s="119" customFormat="1" ht="31.5" x14ac:dyDescent="0.25">
      <c r="B11" s="124" t="s">
        <v>177</v>
      </c>
      <c r="C11" s="123">
        <f>'Proyecciones Estados Financiero'!C45/'Proyecciones Estados Financiero'!C47</f>
        <v>0.86248810048214974</v>
      </c>
      <c r="D11" s="123">
        <f>'Proyecciones Estados Financiero'!D45/'Proyecciones Estados Financiero'!D47</f>
        <v>0.82319900318886197</v>
      </c>
      <c r="E11" s="123">
        <f>'Proyecciones Estados Financiero'!E45/'Proyecciones Estados Financiero'!E47</f>
        <v>0.69876255684277466</v>
      </c>
      <c r="F11" s="123">
        <f>'Proyecciones Estados Financiero'!F45/'Proyecciones Estados Financiero'!F47</f>
        <v>0.67091026546002319</v>
      </c>
      <c r="G11" s="123">
        <f>'Proyecciones Estados Financiero'!G45/'Proyecciones Estados Financiero'!G47</f>
        <v>0.63492882300290376</v>
      </c>
      <c r="H11" s="123">
        <f>'Proyecciones Estados Financiero'!H45/'Proyecciones Estados Financiero'!H47</f>
        <v>0.63414744566734438</v>
      </c>
      <c r="I11" s="123">
        <f>'Proyecciones Estados Financiero'!I45/'Proyecciones Estados Financiero'!I47</f>
        <v>0.63502906366615075</v>
      </c>
      <c r="J11" s="123">
        <f>'Proyecciones Estados Financiero'!J45/'Proyecciones Estados Financiero'!J47</f>
        <v>0.63507213998816103</v>
      </c>
      <c r="K11" s="123">
        <f>'Proyecciones Estados Financiero'!K45/'Proyecciones Estados Financiero'!K47</f>
        <v>0.63506586242236751</v>
      </c>
      <c r="L11" s="123">
        <f>'Proyecciones Estados Financiero'!L45/'Proyecciones Estados Financiero'!L47</f>
        <v>0.63506231570702698</v>
      </c>
    </row>
    <row r="12" spans="2:12" ht="31.5" customHeight="1" x14ac:dyDescent="0.25"/>
    <row r="13" spans="2:12" s="119" customFormat="1" x14ac:dyDescent="0.25">
      <c r="B13" s="117" t="s">
        <v>178</v>
      </c>
      <c r="C13" s="132">
        <v>2017</v>
      </c>
      <c r="D13" s="132">
        <v>2018</v>
      </c>
      <c r="E13" s="132">
        <v>2019</v>
      </c>
      <c r="F13" s="132">
        <v>2020</v>
      </c>
      <c r="G13" s="132">
        <v>2021</v>
      </c>
      <c r="H13" s="133">
        <v>2022</v>
      </c>
      <c r="I13" s="133">
        <v>2023</v>
      </c>
      <c r="J13" s="133">
        <v>2024</v>
      </c>
      <c r="K13" s="133">
        <v>2025</v>
      </c>
      <c r="L13" s="133">
        <v>2026</v>
      </c>
    </row>
    <row r="14" spans="2:12" s="119" customFormat="1" x14ac:dyDescent="0.25">
      <c r="B14" s="118" t="s">
        <v>179</v>
      </c>
      <c r="C14" s="121">
        <f>'Proyecciones Estados Financiero'!C68/'Proyecciones Estados Financiero'!C57</f>
        <v>0.84459713900587796</v>
      </c>
      <c r="D14" s="121">
        <f>'Proyecciones Estados Financiero'!D68/'Proyecciones Estados Financiero'!D57</f>
        <v>1.0015817985919426</v>
      </c>
      <c r="E14" s="121">
        <f>'Proyecciones Estados Financiero'!E68/'Proyecciones Estados Financiero'!E57</f>
        <v>1.2939168538050372</v>
      </c>
      <c r="F14" s="121">
        <f>'Proyecciones Estados Financiero'!F68/'Proyecciones Estados Financiero'!F57</f>
        <v>0.97451553254846379</v>
      </c>
      <c r="G14" s="121">
        <f>'Proyecciones Estados Financiero'!G68/'Proyecciones Estados Financiero'!G57</f>
        <v>1.112641584518864</v>
      </c>
      <c r="H14" s="121">
        <f>'Proyecciones Estados Financiero'!H68/'Proyecciones Estados Financiero'!H57</f>
        <v>1.084798480101868</v>
      </c>
      <c r="I14" s="121">
        <f>'Proyecciones Estados Financiero'!I68/'Proyecciones Estados Financiero'!I57</f>
        <v>1.0903904428206179</v>
      </c>
      <c r="J14" s="121">
        <f>'Proyecciones Estados Financiero'!J68/'Proyecciones Estados Financiero'!J57</f>
        <v>1.0895318454307332</v>
      </c>
      <c r="K14" s="121">
        <f>'Proyecciones Estados Financiero'!K68/'Proyecciones Estados Financiero'!K57</f>
        <v>1.0895866993711056</v>
      </c>
      <c r="L14" s="121">
        <f>'Proyecciones Estados Financiero'!L68/'Proyecciones Estados Financiero'!L57</f>
        <v>1.0901462421737447</v>
      </c>
    </row>
    <row r="15" spans="2:12" s="119" customFormat="1" x14ac:dyDescent="0.25">
      <c r="B15" s="118" t="s">
        <v>180</v>
      </c>
      <c r="C15" s="121">
        <f>'Proyecciones Estados Financiero'!C68/'Proyecciones Estados Financiero'!C29</f>
        <v>0.58330254893368561</v>
      </c>
      <c r="D15" s="121">
        <f>'Proyecciones Estados Financiero'!D68/'Proyecciones Estados Financiero'!D29</f>
        <v>0.67719146068933245</v>
      </c>
      <c r="E15" s="121">
        <f>'Proyecciones Estados Financiero'!E68/'Proyecciones Estados Financiero'!E29</f>
        <v>0.87075033016679804</v>
      </c>
      <c r="F15" s="121">
        <f>'Proyecciones Estados Financiero'!F68/'Proyecciones Estados Financiero'!F29</f>
        <v>0.69212727652466033</v>
      </c>
      <c r="G15" s="121">
        <f>'Proyecciones Estados Financiero'!G68/'Proyecciones Estados Financiero'!G29</f>
        <v>0.76339402036204063</v>
      </c>
      <c r="H15" s="121">
        <f>'Proyecciones Estados Financiero'!H68/'Proyecciones Estados Financiero'!H29</f>
        <v>0.75067775593334052</v>
      </c>
      <c r="I15" s="121">
        <f>'Proyecciones Estados Financiero'!I68/'Proyecciones Estados Financiero'!I29</f>
        <v>0.75278904276915126</v>
      </c>
      <c r="J15" s="121">
        <f>'Proyecciones Estados Financiero'!J68/'Proyecciones Estados Financiero'!J29</f>
        <v>0.75235223052078004</v>
      </c>
      <c r="K15" s="121">
        <f>'Proyecciones Estados Financiero'!K68/'Proyecciones Estados Financiero'!K29</f>
        <v>0.75238239579821398</v>
      </c>
      <c r="L15" s="121">
        <f>'Proyecciones Estados Financiero'!L68/'Proyecciones Estados Financiero'!L29</f>
        <v>0.75265142344879787</v>
      </c>
    </row>
    <row r="16" spans="2:12" s="119" customFormat="1" x14ac:dyDescent="0.25">
      <c r="B16" s="118" t="s">
        <v>181</v>
      </c>
      <c r="C16" s="121">
        <f>'Proyecciones Estados Financiero'!C68/'Proyecciones Estados Financiero'!C18</f>
        <v>20.092018896315526</v>
      </c>
      <c r="D16" s="121">
        <f>'Proyecciones Estados Financiero'!D68/'Proyecciones Estados Financiero'!D18</f>
        <v>34.57401877983397</v>
      </c>
      <c r="E16" s="121">
        <f>'Proyecciones Estados Financiero'!E68/'Proyecciones Estados Financiero'!E18</f>
        <v>31.442749160455708</v>
      </c>
      <c r="F16" s="121">
        <f>'Proyecciones Estados Financiero'!F68/'Proyecciones Estados Financiero'!F18</f>
        <v>31.377023268577886</v>
      </c>
      <c r="G16" s="121">
        <f>'Proyecciones Estados Financiero'!G68/'Proyecciones Estados Financiero'!G18</f>
        <v>17.88443895815627</v>
      </c>
      <c r="H16" s="121">
        <f>'Proyecciones Estados Financiero'!H68/'Proyecciones Estados Financiero'!H18</f>
        <v>26.402774791762216</v>
      </c>
      <c r="I16" s="121">
        <f>'Proyecciones Estados Financiero'!I68/'Proyecciones Estados Financiero'!I18</f>
        <v>24.234944288556949</v>
      </c>
      <c r="J16" s="121">
        <f>'Proyecciones Estados Financiero'!J68/'Proyecciones Estados Financiero'!J18</f>
        <v>26.648675719296968</v>
      </c>
      <c r="K16" s="121">
        <f>'Proyecciones Estados Financiero'!K68/'Proyecciones Estados Financiero'!K18</f>
        <v>26.3794848767891</v>
      </c>
      <c r="L16" s="121">
        <f>'Proyecciones Estados Financiero'!L68/'Proyecciones Estados Financiero'!L18</f>
        <v>27.737658355738802</v>
      </c>
    </row>
    <row r="17" spans="2:13" s="119" customFormat="1" x14ac:dyDescent="0.25">
      <c r="B17" s="118" t="s">
        <v>182</v>
      </c>
      <c r="C17" s="121">
        <f>('Proyecciones Estados Financiero'!C18/'Proyecciones Estados Financiero'!C68)*365</f>
        <v>18.166417316426756</v>
      </c>
      <c r="D17" s="121">
        <f>('Proyecciones Estados Financiero'!D18/'Proyecciones Estados Financiero'!D68)*365</f>
        <v>10.557060268992911</v>
      </c>
      <c r="E17" s="121">
        <f>('Proyecciones Estados Financiero'!E18/'Proyecciones Estados Financiero'!E68)*365</f>
        <v>11.608399702499486</v>
      </c>
      <c r="F17" s="121">
        <f>('Proyecciones Estados Financiero'!F18/'Proyecciones Estados Financiero'!F68)*365</f>
        <v>11.632715980598595</v>
      </c>
      <c r="G17" s="121">
        <f>('Proyecciones Estados Financiero'!G18/'Proyecciones Estados Financiero'!G68)*365</f>
        <v>20.408803477368256</v>
      </c>
      <c r="H17" s="121">
        <f>('Proyecciones Estados Financiero'!H18/'Proyecciones Estados Financiero'!H68)*365</f>
        <v>13.824304561878158</v>
      </c>
      <c r="I17" s="121">
        <f>('Proyecciones Estados Financiero'!I18/'Proyecciones Estados Financiero'!I68)*365</f>
        <v>15.060897011112282</v>
      </c>
      <c r="J17" s="121">
        <f>('Proyecciones Estados Financiero'!J18/'Proyecciones Estados Financiero'!J68)*365</f>
        <v>13.696740650256571</v>
      </c>
      <c r="K17" s="121">
        <f>('Proyecciones Estados Financiero'!K18/'Proyecciones Estados Financiero'!K68)*365</f>
        <v>13.836509761460803</v>
      </c>
      <c r="L17" s="121">
        <f>('Proyecciones Estados Financiero'!L18/'Proyecciones Estados Financiero'!L68)*365</f>
        <v>13.15900554108898</v>
      </c>
    </row>
    <row r="18" spans="2:13" s="119" customFormat="1" x14ac:dyDescent="0.25">
      <c r="B18" s="124" t="s">
        <v>183</v>
      </c>
      <c r="C18" s="121">
        <f>(('Proyecciones Estados Financiero'!C36+'Proyecciones Estados Financiero'!C35)/'Proyecciones Estados Financiero'!C68)*365</f>
        <v>11.870822034405599</v>
      </c>
      <c r="D18" s="121">
        <f>(('Proyecciones Estados Financiero'!D36+'Proyecciones Estados Financiero'!D35)/'Proyecciones Estados Financiero'!D68)*365</f>
        <v>12.134966538286877</v>
      </c>
      <c r="E18" s="121">
        <f>(('Proyecciones Estados Financiero'!E36+'Proyecciones Estados Financiero'!E35)/'Proyecciones Estados Financiero'!E68)*365</f>
        <v>16.442324577081024</v>
      </c>
      <c r="F18" s="121">
        <f>(('Proyecciones Estados Financiero'!F36+'Proyecciones Estados Financiero'!F35)/'Proyecciones Estados Financiero'!F68)*365</f>
        <v>14.559356064472642</v>
      </c>
      <c r="G18" s="121">
        <f>(('Proyecciones Estados Financiero'!G36+'Proyecciones Estados Financiero'!G35)/'Proyecciones Estados Financiero'!G68)*365</f>
        <v>24.89732532351292</v>
      </c>
      <c r="H18" s="121">
        <f>(('Proyecciones Estados Financiero'!H36+'Proyecciones Estados Financiero'!H35)/'Proyecciones Estados Financiero'!H68)*365</f>
        <v>24.897325323512913</v>
      </c>
      <c r="I18" s="121">
        <f>(('Proyecciones Estados Financiero'!I36+'Proyecciones Estados Financiero'!I35)/'Proyecciones Estados Financiero'!I68)*365</f>
        <v>24.897325323512913</v>
      </c>
      <c r="J18" s="121">
        <f>(('Proyecciones Estados Financiero'!J36+'Proyecciones Estados Financiero'!J35)/'Proyecciones Estados Financiero'!J68)*365</f>
        <v>24.89732532351292</v>
      </c>
      <c r="K18" s="121">
        <f>(('Proyecciones Estados Financiero'!K36+'Proyecciones Estados Financiero'!K35)/'Proyecciones Estados Financiero'!K68)*365</f>
        <v>24.89732532351292</v>
      </c>
      <c r="L18" s="121">
        <f>(('Proyecciones Estados Financiero'!L36+'Proyecciones Estados Financiero'!L35)/'Proyecciones Estados Financiero'!L68)*365</f>
        <v>24.89732532351292</v>
      </c>
      <c r="M18" s="131"/>
    </row>
    <row r="19" spans="2:13" s="119" customFormat="1" x14ac:dyDescent="0.25">
      <c r="B19" s="124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31"/>
    </row>
    <row r="20" spans="2:13" s="119" customFormat="1" ht="34.5" customHeight="1" x14ac:dyDescent="0.25">
      <c r="B20" s="273" t="s">
        <v>224</v>
      </c>
      <c r="C20" s="273"/>
      <c r="D20" s="273"/>
      <c r="E20" s="273"/>
      <c r="F20" s="273"/>
      <c r="G20" s="273"/>
      <c r="H20" s="273"/>
      <c r="I20" s="273"/>
      <c r="J20" s="273"/>
      <c r="K20" s="273"/>
      <c r="L20" s="273"/>
      <c r="M20" s="131"/>
    </row>
    <row r="21" spans="2:13" s="119" customFormat="1" x14ac:dyDescent="0.25">
      <c r="B21" s="117" t="s">
        <v>219</v>
      </c>
      <c r="C21" s="132">
        <v>2017</v>
      </c>
      <c r="D21" s="132">
        <v>2018</v>
      </c>
      <c r="E21" s="132">
        <v>2019</v>
      </c>
      <c r="F21" s="132">
        <v>2020</v>
      </c>
      <c r="G21" s="132">
        <v>2021</v>
      </c>
      <c r="H21" s="133">
        <v>2022</v>
      </c>
      <c r="I21" s="133">
        <v>2023</v>
      </c>
      <c r="J21" s="133">
        <v>2024</v>
      </c>
      <c r="K21" s="133">
        <v>2025</v>
      </c>
      <c r="L21" s="133">
        <v>2026</v>
      </c>
      <c r="M21" s="176" t="s">
        <v>134</v>
      </c>
    </row>
    <row r="22" spans="2:13" s="119" customFormat="1" x14ac:dyDescent="0.25">
      <c r="B22" s="118" t="s">
        <v>132</v>
      </c>
      <c r="C22" s="120">
        <f>'Proyecciones Estados Financiero'!C29</f>
        <v>20020262115</v>
      </c>
      <c r="D22" s="120">
        <f>'Proyecciones Estados Financiero'!D29</f>
        <v>20559486314</v>
      </c>
      <c r="E22" s="120">
        <f>'Proyecciones Estados Financiero'!E29</f>
        <v>20858298110</v>
      </c>
      <c r="F22" s="120">
        <f>'Proyecciones Estados Financiero'!F29</f>
        <v>20510559720</v>
      </c>
      <c r="G22" s="120">
        <f>'Proyecciones Estados Financiero'!G29</f>
        <v>21211531812</v>
      </c>
      <c r="H22" s="120">
        <f>'Proyecciones Estados Financiero'!H29</f>
        <v>23878929882.967999</v>
      </c>
      <c r="I22" s="120">
        <f>'Proyecciones Estados Financiero'!I29</f>
        <v>25502607628.849884</v>
      </c>
      <c r="J22" s="120">
        <f>'Proyecciones Estados Financiero'!J29</f>
        <v>26053280026.506931</v>
      </c>
      <c r="K22" s="120">
        <f>'Proyecciones Estados Financiero'!K29</f>
        <v>26781698065.219284</v>
      </c>
      <c r="L22" s="120">
        <f>'Proyecciones Estados Financiero'!L29</f>
        <v>27628833224.670124</v>
      </c>
      <c r="M22" s="175"/>
    </row>
    <row r="23" spans="2:13" s="119" customFormat="1" x14ac:dyDescent="0.25">
      <c r="B23" s="118" t="s">
        <v>133</v>
      </c>
      <c r="C23" s="120">
        <f>'Proyecciones Estados Financiero'!C82</f>
        <v>-12579439</v>
      </c>
      <c r="D23" s="120">
        <f>'Proyecciones Estados Financiero'!D82</f>
        <v>86425549</v>
      </c>
      <c r="E23" s="120">
        <f>'Proyecciones Estados Financiero'!E82</f>
        <v>136016100</v>
      </c>
      <c r="F23" s="120">
        <f>'Proyecciones Estados Financiero'!F82</f>
        <v>530417473</v>
      </c>
      <c r="G23" s="120">
        <f>'Proyecciones Estados Financiero'!G82</f>
        <v>-13719389</v>
      </c>
      <c r="H23" s="120">
        <f>'Proyecciones Estados Financiero'!H82</f>
        <v>54374231.529001452</v>
      </c>
      <c r="I23" s="120">
        <f>'Proyecciones Estados Financiero'!I82</f>
        <v>58234801.967559904</v>
      </c>
      <c r="J23" s="120">
        <f>'Proyecciones Estados Financiero'!J82</f>
        <v>59457732.808879741</v>
      </c>
      <c r="K23" s="120">
        <f>'Proyecciones Estados Financiero'!K82</f>
        <v>61122549.32752721</v>
      </c>
      <c r="L23" s="120">
        <f>'Proyecciones Estados Financiero'!L82</f>
        <v>63078470.906009056</v>
      </c>
      <c r="M23" s="175"/>
    </row>
    <row r="24" spans="2:13" s="119" customFormat="1" x14ac:dyDescent="0.25">
      <c r="B24" s="117" t="s">
        <v>135</v>
      </c>
      <c r="C24" s="123">
        <f t="shared" ref="C24:L24" si="0">+C23/C22</f>
        <v>-6.2833537981378225E-4</v>
      </c>
      <c r="D24" s="123">
        <f t="shared" si="0"/>
        <v>4.2036823138498578E-3</v>
      </c>
      <c r="E24" s="123">
        <f t="shared" si="0"/>
        <v>6.5209586747056042E-3</v>
      </c>
      <c r="F24" s="123">
        <f t="shared" si="0"/>
        <v>2.5860702011110206E-2</v>
      </c>
      <c r="G24" s="123">
        <f t="shared" si="0"/>
        <v>-6.4678916740178703E-4</v>
      </c>
      <c r="H24" s="123">
        <f t="shared" si="0"/>
        <v>2.277079910845782E-3</v>
      </c>
      <c r="I24" s="123">
        <f t="shared" si="0"/>
        <v>2.2834842152251776E-3</v>
      </c>
      <c r="J24" s="123">
        <f t="shared" si="0"/>
        <v>2.2821592040766728E-3</v>
      </c>
      <c r="K24" s="123">
        <f t="shared" si="0"/>
        <v>2.282250706384653E-3</v>
      </c>
      <c r="L24" s="123">
        <f t="shared" si="0"/>
        <v>2.2830667655442472E-3</v>
      </c>
      <c r="M24" s="174">
        <f>+AVERAGE(C24:L24)</f>
        <v>4.6718259254526625E-3</v>
      </c>
    </row>
    <row r="25" spans="2:13" s="119" customFormat="1" ht="34.5" customHeight="1" x14ac:dyDescent="0.25">
      <c r="B25" s="117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30"/>
    </row>
    <row r="26" spans="2:13" s="119" customFormat="1" x14ac:dyDescent="0.25">
      <c r="B26" s="117" t="s">
        <v>218</v>
      </c>
      <c r="C26" s="132">
        <v>2017</v>
      </c>
      <c r="D26" s="132">
        <v>2018</v>
      </c>
      <c r="E26" s="132">
        <v>2019</v>
      </c>
      <c r="F26" s="132">
        <v>2020</v>
      </c>
      <c r="G26" s="132">
        <v>2021</v>
      </c>
      <c r="H26" s="133">
        <v>2022</v>
      </c>
      <c r="I26" s="133">
        <v>2023</v>
      </c>
      <c r="J26" s="133">
        <v>2024</v>
      </c>
      <c r="K26" s="133">
        <v>2025</v>
      </c>
      <c r="L26" s="133">
        <v>2026</v>
      </c>
    </row>
    <row r="27" spans="2:13" s="119" customFormat="1" x14ac:dyDescent="0.25">
      <c r="B27" s="118" t="s">
        <v>168</v>
      </c>
      <c r="C27" s="123">
        <f>'Proyecciones Estados Financiero'!C72/'Proyecciones Estados Financiero'!C68</f>
        <v>0.727415007080775</v>
      </c>
      <c r="D27" s="123">
        <f>'Proyecciones Estados Financiero'!D72/'Proyecciones Estados Financiero'!D68</f>
        <v>0.71800926372733942</v>
      </c>
      <c r="E27" s="123">
        <f>'Proyecciones Estados Financiero'!E72/'Proyecciones Estados Financiero'!E68</f>
        <v>0.31235889350454826</v>
      </c>
      <c r="F27" s="123">
        <f>'Proyecciones Estados Financiero'!F72/'Proyecciones Estados Financiero'!F68</f>
        <v>0.39035012366557553</v>
      </c>
      <c r="G27" s="123">
        <f>'Proyecciones Estados Financiero'!G72/'Proyecciones Estados Financiero'!G68</f>
        <v>0.37768746981843404</v>
      </c>
      <c r="H27" s="123">
        <f>'Proyecciones Estados Financiero'!H72/'Proyecciones Estados Financiero'!H68</f>
        <v>0.3776874698184341</v>
      </c>
      <c r="I27" s="123">
        <f>'Proyecciones Estados Financiero'!I72/'Proyecciones Estados Financiero'!I68</f>
        <v>0.37768746981843404</v>
      </c>
      <c r="J27" s="123">
        <f>'Proyecciones Estados Financiero'!J72/'Proyecciones Estados Financiero'!J68</f>
        <v>0.37768746981843415</v>
      </c>
      <c r="K27" s="123">
        <f>'Proyecciones Estados Financiero'!K72/'Proyecciones Estados Financiero'!K68</f>
        <v>0.3776874698184341</v>
      </c>
      <c r="L27" s="123">
        <f>'Proyecciones Estados Financiero'!L72/'Proyecciones Estados Financiero'!L68</f>
        <v>0.3776874698184341</v>
      </c>
    </row>
    <row r="28" spans="2:13" s="119" customFormat="1" x14ac:dyDescent="0.25">
      <c r="B28" s="118" t="s">
        <v>169</v>
      </c>
      <c r="C28" s="123">
        <f>'Proyecciones Estados Financiero'!C74/'Proyecciones Estados Financiero'!C68</f>
        <v>6.2698833168249771E-2</v>
      </c>
      <c r="D28" s="123">
        <f>'Proyecciones Estados Financiero'!D74/'Proyecciones Estados Financiero'!D68</f>
        <v>5.3315240161392712E-2</v>
      </c>
      <c r="E28" s="123">
        <f>'Proyecciones Estados Financiero'!E74/'Proyecciones Estados Financiero'!E68</f>
        <v>5.4119781440421739E-2</v>
      </c>
      <c r="F28" s="123">
        <f>'Proyecciones Estados Financiero'!F74/'Proyecciones Estados Financiero'!F68</f>
        <v>7.5610150549843574E-2</v>
      </c>
      <c r="G28" s="123">
        <f>'Proyecciones Estados Financiero'!G74/'Proyecciones Estados Financiero'!G68</f>
        <v>2.4360474439956977E-2</v>
      </c>
      <c r="H28" s="123">
        <f>'Proyecciones Estados Financiero'!H74/'Proyecciones Estados Financiero'!H68</f>
        <v>2.4360474439957102E-2</v>
      </c>
      <c r="I28" s="123">
        <f>'Proyecciones Estados Financiero'!I74/'Proyecciones Estados Financiero'!I68</f>
        <v>2.4360474439957043E-2</v>
      </c>
      <c r="J28" s="123">
        <f>'Proyecciones Estados Financiero'!J74/'Proyecciones Estados Financiero'!J68</f>
        <v>2.4360474439957133E-2</v>
      </c>
      <c r="K28" s="123">
        <f>'Proyecciones Estados Financiero'!K74/'Proyecciones Estados Financiero'!K68</f>
        <v>2.4360474439957047E-2</v>
      </c>
      <c r="L28" s="123">
        <f>'Proyecciones Estados Financiero'!L74/'Proyecciones Estados Financiero'!L68</f>
        <v>2.4360474439957112E-2</v>
      </c>
    </row>
    <row r="29" spans="2:13" s="119" customFormat="1" x14ac:dyDescent="0.25">
      <c r="B29" s="118" t="s">
        <v>170</v>
      </c>
      <c r="C29" s="123">
        <f>'Proyecciones Estados Financiero'!C82/'Proyecciones Estados Financiero'!C68</f>
        <v>-1.0772032129165551E-3</v>
      </c>
      <c r="D29" s="123">
        <f>'Proyecciones Estados Financiero'!D82/'Proyecciones Estados Financiero'!D68</f>
        <v>6.2075241019294743E-3</v>
      </c>
      <c r="E29" s="123">
        <f>'Proyecciones Estados Financiero'!E82/'Proyecciones Estados Financiero'!E68</f>
        <v>7.4888960116230681E-3</v>
      </c>
      <c r="F29" s="123">
        <f>'Proyecciones Estados Financiero'!F82/'Proyecciones Estados Financiero'!F68</f>
        <v>3.73640844512921E-2</v>
      </c>
      <c r="G29" s="123">
        <f>'Proyecciones Estados Financiero'!G82/'Proyecciones Estados Financiero'!G68</f>
        <v>-8.4725469436483991E-4</v>
      </c>
      <c r="H29" s="123">
        <f>'Proyecciones Estados Financiero'!H82/'Proyecciones Estados Financiero'!H68</f>
        <v>3.0333653726219972E-3</v>
      </c>
      <c r="I29" s="123">
        <f>'Proyecciones Estados Financiero'!I82/'Proyecciones Estados Financiero'!I68</f>
        <v>3.0333653726219633E-3</v>
      </c>
      <c r="J29" s="123">
        <f>'Proyecciones Estados Financiero'!J82/'Proyecciones Estados Financiero'!J68</f>
        <v>3.0333653726220189E-3</v>
      </c>
      <c r="K29" s="123">
        <f>'Proyecciones Estados Financiero'!K82/'Proyecciones Estados Financiero'!K68</f>
        <v>3.0333653726219612E-3</v>
      </c>
      <c r="L29" s="123">
        <f>'Proyecciones Estados Financiero'!L82/'Proyecciones Estados Financiero'!L68</f>
        <v>3.033365372622008E-3</v>
      </c>
    </row>
    <row r="30" spans="2:13" s="119" customFormat="1" x14ac:dyDescent="0.25">
      <c r="B30" s="118" t="s">
        <v>171</v>
      </c>
      <c r="C30" s="123">
        <f>'Proyecciones Estados Financiero'!C82/'Proyecciones Estados Financiero'!C57</f>
        <v>-9.0980275175726194E-4</v>
      </c>
      <c r="D30" s="123">
        <f>'Proyecciones Estados Financiero'!D82/'Proyecciones Estados Financiero'!D57</f>
        <v>6.2173431548133568E-3</v>
      </c>
      <c r="E30" s="123">
        <f>'Proyecciones Estados Financiero'!E82/'Proyecciones Estados Financiero'!E57</f>
        <v>9.6900087658324113E-3</v>
      </c>
      <c r="F30" s="123">
        <f>'Proyecciones Estados Financiero'!F82/'Proyecciones Estados Financiero'!F57</f>
        <v>3.6411880657236696E-2</v>
      </c>
      <c r="G30" s="123">
        <f>'Proyecciones Estados Financiero'!G82/'Proyecciones Estados Financiero'!G57</f>
        <v>-9.4269080562914124E-4</v>
      </c>
      <c r="H30" s="123">
        <f>'Proyecciones Estados Financiero'!H82/'Proyecciones Estados Financiero'!H57</f>
        <v>3.2905901458139793E-3</v>
      </c>
      <c r="I30" s="123">
        <f>'Proyecciones Estados Financiero'!I82/'Proyecciones Estados Financiero'!I57</f>
        <v>3.3075526118899914E-3</v>
      </c>
      <c r="J30" s="123">
        <f>'Proyecciones Estados Financiero'!J82/'Proyecciones Estados Financiero'!J57</f>
        <v>3.304948172298552E-3</v>
      </c>
      <c r="K30" s="123">
        <f>'Proyecciones Estados Financiero'!K82/'Proyecciones Estados Financiero'!K57</f>
        <v>3.3051145643417665E-3</v>
      </c>
      <c r="L30" s="123">
        <f>'Proyecciones Estados Financiero'!L82/'Proyecciones Estados Financiero'!L57</f>
        <v>3.306811862103843E-3</v>
      </c>
    </row>
    <row r="31" spans="2:13" s="119" customFormat="1" x14ac:dyDescent="0.25">
      <c r="C31" s="122"/>
      <c r="D31" s="122"/>
      <c r="E31" s="122"/>
      <c r="F31" s="122"/>
      <c r="G31" s="122"/>
      <c r="H31" s="122"/>
      <c r="I31" s="122"/>
      <c r="J31" s="122"/>
      <c r="K31" s="122"/>
      <c r="L31" s="122"/>
    </row>
    <row r="32" spans="2:13" x14ac:dyDescent="0.25">
      <c r="B32" s="119"/>
      <c r="C32" s="132">
        <f>+'Indicadores Financieros'!C21</f>
        <v>2017</v>
      </c>
      <c r="D32" s="132">
        <f>+C32+1</f>
        <v>2018</v>
      </c>
      <c r="E32" s="132">
        <f>+D32+1</f>
        <v>2019</v>
      </c>
      <c r="F32" s="132">
        <f>+E32+1</f>
        <v>2020</v>
      </c>
      <c r="G32" s="132">
        <f>+F32+1</f>
        <v>2021</v>
      </c>
      <c r="H32" s="133">
        <v>2022</v>
      </c>
      <c r="I32" s="133">
        <v>2023</v>
      </c>
      <c r="J32" s="133">
        <v>2024</v>
      </c>
      <c r="K32" s="133">
        <v>2025</v>
      </c>
      <c r="L32" s="133">
        <v>2026</v>
      </c>
    </row>
    <row r="33" spans="2:13" x14ac:dyDescent="0.25">
      <c r="B33" s="118" t="s">
        <v>136</v>
      </c>
      <c r="C33" s="135">
        <f>'Proyecciones Estados Financiero'!C74</f>
        <v>732188818</v>
      </c>
      <c r="D33" s="135">
        <f>'Proyecciones Estados Financiero'!D74</f>
        <v>742292551</v>
      </c>
      <c r="E33" s="135">
        <f>'Proyecciones Estados Financiero'!E74</f>
        <v>982943493</v>
      </c>
      <c r="F33" s="135">
        <f>'Proyecciones Estados Financiero'!F74</f>
        <v>1073355485</v>
      </c>
      <c r="G33" s="135">
        <f>'Proyecciones Estados Financiero'!G74</f>
        <v>394463232</v>
      </c>
      <c r="H33" s="135">
        <f>'Proyecciones Estados Financiero'!H74</f>
        <v>436670797.82400227</v>
      </c>
      <c r="I33" s="135">
        <f>'Proyecciones Estados Financiero'!I74</f>
        <v>467674424.46950531</v>
      </c>
      <c r="J33" s="135">
        <f>'Proyecciones Estados Financiero'!J74</f>
        <v>477495587.38336658</v>
      </c>
      <c r="K33" s="135">
        <f>'Proyecciones Estados Financiero'!K74</f>
        <v>490865463.83009911</v>
      </c>
      <c r="L33" s="135">
        <f>'Proyecciones Estados Financiero'!L74</f>
        <v>506573158.67266369</v>
      </c>
    </row>
    <row r="34" spans="2:13" x14ac:dyDescent="0.25">
      <c r="B34" s="136" t="s">
        <v>137</v>
      </c>
      <c r="C34" s="137">
        <f>('Proyecciones Estados Financiero'!C80+'Proyecciones Estados Financiero'!C81)/'Proyecciones Estados Financiero'!C79</f>
        <v>1.0790186488873059</v>
      </c>
      <c r="D34" s="137">
        <f>('Proyecciones Estados Financiero'!D80+'Proyecciones Estados Financiero'!D81)/'Proyecciones Estados Financiero'!D79</f>
        <v>0.67418701760338318</v>
      </c>
      <c r="E34" s="137">
        <f>('Proyecciones Estados Financiero'!E80+'Proyecciones Estados Financiero'!E81)/'Proyecciones Estados Financiero'!E79</f>
        <v>0.64932210707354887</v>
      </c>
      <c r="F34" s="137">
        <f>('Proyecciones Estados Financiero'!F80+'Proyecciones Estados Financiero'!F81)/'Proyecciones Estados Financiero'!F79</f>
        <v>0.43987781708812829</v>
      </c>
      <c r="G34" s="137">
        <f>('Proyecciones Estados Financiero'!G80+'Proyecciones Estados Financiero'!G81)/'Proyecciones Estados Financiero'!G79</f>
        <v>1.198397033861172</v>
      </c>
      <c r="H34" s="137">
        <f>('Proyecciones Estados Financiero'!H80+'Proyecciones Estados Financiero'!H81)/'Proyecciones Estados Financiero'!H79</f>
        <v>0.41030670770910749</v>
      </c>
      <c r="I34" s="137">
        <f>('Proyecciones Estados Financiero'!I80+'Proyecciones Estados Financiero'!I81)/'Proyecciones Estados Financiero'!I79</f>
        <v>0.41030670770910821</v>
      </c>
      <c r="J34" s="137">
        <f>('Proyecciones Estados Financiero'!J80+'Proyecciones Estados Financiero'!J81)/'Proyecciones Estados Financiero'!J79</f>
        <v>0.41030670770910699</v>
      </c>
      <c r="K34" s="137">
        <f>('Proyecciones Estados Financiero'!K80+'Proyecciones Estados Financiero'!K81)/'Proyecciones Estados Financiero'!K79</f>
        <v>0.41030670770910821</v>
      </c>
      <c r="L34" s="137">
        <f>('Proyecciones Estados Financiero'!L80+'Proyecciones Estados Financiero'!L81)/'Proyecciones Estados Financiero'!L79</f>
        <v>0.41030670770910721</v>
      </c>
    </row>
    <row r="35" spans="2:13" x14ac:dyDescent="0.25">
      <c r="B35" s="117" t="s">
        <v>138</v>
      </c>
      <c r="C35" s="135">
        <f t="shared" ref="C35:L35" si="1">+C33*(1-C34)</f>
        <v>-57856571.128753535</v>
      </c>
      <c r="D35" s="135">
        <f t="shared" si="1"/>
        <v>241848549.85210279</v>
      </c>
      <c r="E35" s="135">
        <f t="shared" si="1"/>
        <v>344696552.99100584</v>
      </c>
      <c r="F35" s="135">
        <f t="shared" si="1"/>
        <v>601210217.29863071</v>
      </c>
      <c r="G35" s="135">
        <f t="shared" si="1"/>
        <v>-78260335.196091354</v>
      </c>
      <c r="H35" s="135">
        <f t="shared" si="1"/>
        <v>257501840.41612661</v>
      </c>
      <c r="I35" s="135">
        <f t="shared" si="1"/>
        <v>275784471.08567059</v>
      </c>
      <c r="J35" s="135">
        <f t="shared" si="1"/>
        <v>281575944.97847128</v>
      </c>
      <c r="K35" s="135">
        <f t="shared" si="1"/>
        <v>289460071.43786675</v>
      </c>
      <c r="L35" s="135">
        <f t="shared" si="1"/>
        <v>298722793.72387993</v>
      </c>
    </row>
    <row r="37" spans="2:13" x14ac:dyDescent="0.25">
      <c r="B37" s="119"/>
      <c r="C37" s="132">
        <f>C32</f>
        <v>2017</v>
      </c>
      <c r="D37" s="132">
        <f t="shared" ref="D37:G37" si="2">D32</f>
        <v>2018</v>
      </c>
      <c r="E37" s="132">
        <f t="shared" si="2"/>
        <v>2019</v>
      </c>
      <c r="F37" s="132">
        <f t="shared" si="2"/>
        <v>2020</v>
      </c>
      <c r="G37" s="132">
        <f t="shared" si="2"/>
        <v>2021</v>
      </c>
      <c r="H37" s="133">
        <v>2022</v>
      </c>
      <c r="I37" s="133">
        <v>2023</v>
      </c>
      <c r="J37" s="133">
        <v>2024</v>
      </c>
      <c r="K37" s="133">
        <v>2025</v>
      </c>
      <c r="L37" s="133">
        <v>2026</v>
      </c>
    </row>
    <row r="38" spans="2:13" x14ac:dyDescent="0.25">
      <c r="B38" s="118" t="s">
        <v>139</v>
      </c>
      <c r="C38" s="120">
        <f>'Proyecciones Estados Financiero'!C21</f>
        <v>924762736</v>
      </c>
      <c r="D38" s="120">
        <f>'Proyecciones Estados Financiero'!D21</f>
        <v>901727182</v>
      </c>
      <c r="E38" s="120">
        <f>'Proyecciones Estados Financiero'!E21</f>
        <v>1231404016</v>
      </c>
      <c r="F38" s="120">
        <f>'Proyecciones Estados Financiero'!F21</f>
        <v>667428635</v>
      </c>
      <c r="G38" s="120">
        <f>'Proyecciones Estados Financiero'!G21</f>
        <v>1147382445</v>
      </c>
      <c r="H38" s="120">
        <f>'Proyecciones Estados Financiero'!H21</f>
        <v>2036256323.493</v>
      </c>
      <c r="I38" s="120">
        <f>'Proyecciones Estados Financiero'!I21</f>
        <v>2353516630.5341601</v>
      </c>
      <c r="J38" s="120">
        <f>'Proyecciones Estados Financiero'!J21</f>
        <v>2490349104.0085807</v>
      </c>
      <c r="K38" s="120">
        <f>'Proyecciones Estados Financiero'!K21</f>
        <v>2655393059.2669802</v>
      </c>
      <c r="L38" s="120">
        <f>'Proyecciones Estados Financiero'!L21</f>
        <v>2840644152.6713452</v>
      </c>
    </row>
    <row r="39" spans="2:13" x14ac:dyDescent="0.25">
      <c r="B39" s="118" t="s">
        <v>140</v>
      </c>
      <c r="C39" s="120">
        <f>'Proyecciones Estados Financiero'!C24</f>
        <v>15686654738</v>
      </c>
      <c r="D39" s="120">
        <f>'Proyecciones Estados Financiero'!D24</f>
        <v>16217918992</v>
      </c>
      <c r="E39" s="120">
        <f>'Proyecciones Estados Financiero'!E24</f>
        <v>16199920443</v>
      </c>
      <c r="F39" s="120">
        <f>'Proyecciones Estados Financiero'!F24</f>
        <v>16393861749</v>
      </c>
      <c r="G39" s="120">
        <f>'Proyecciones Estados Financiero'!G24</f>
        <v>16621721425</v>
      </c>
      <c r="H39" s="120">
        <f>'Proyecciones Estados Financiero'!H24</f>
        <v>18400245617.474998</v>
      </c>
      <c r="I39" s="120">
        <f>'Proyecciones Estados Financiero'!I24</f>
        <v>19706663056.315723</v>
      </c>
      <c r="J39" s="120">
        <f>'Proyecciones Estados Financiero'!J24</f>
        <v>20120502980.498352</v>
      </c>
      <c r="K39" s="120">
        <f>'Proyecciones Estados Financiero'!K24</f>
        <v>20683877063.952305</v>
      </c>
      <c r="L39" s="120">
        <f>'Proyecciones Estados Financiero'!L24</f>
        <v>21345761129.998779</v>
      </c>
    </row>
    <row r="40" spans="2:13" x14ac:dyDescent="0.25">
      <c r="B40" s="118" t="s">
        <v>141</v>
      </c>
      <c r="C40" s="120">
        <f>'Proyecciones Estados Financiero'!C35+'Proyecciones Estados Financiero'!C36</f>
        <v>379797029</v>
      </c>
      <c r="D40" s="120">
        <f>'Proyecciones Estados Financiero'!D35+'Proyecciones Estados Financiero'!D36</f>
        <v>462881103</v>
      </c>
      <c r="E40" s="120">
        <f>'Proyecciones Estados Financiero'!E35+'Proyecciones Estados Financiero'!E36</f>
        <v>818168718</v>
      </c>
      <c r="F40" s="120">
        <f>'Proyecciones Estados Financiero'!F35+'Proyecciones Estados Financiero'!F36</f>
        <v>566255952</v>
      </c>
      <c r="G40" s="120">
        <f>'Proyecciones Estados Financiero'!G35+'Proyecciones Estados Financiero'!G36</f>
        <v>1104537884</v>
      </c>
      <c r="H40" s="120">
        <f>'Proyecciones Estados Financiero'!H35+'Proyecciones Estados Financiero'!H36</f>
        <v>1222723437.5880001</v>
      </c>
      <c r="I40" s="120">
        <f>'Proyecciones Estados Financiero'!I35+'Proyecciones Estados Financiero'!I36</f>
        <v>1309536801.6567481</v>
      </c>
      <c r="J40" s="120">
        <f>'Proyecciones Estados Financiero'!J35+'Proyecciones Estados Financiero'!J36</f>
        <v>1337037074.4915397</v>
      </c>
      <c r="K40" s="120">
        <f>'Proyecciones Estados Financiero'!K35+'Proyecciones Estados Financiero'!K36</f>
        <v>1374474112.5773029</v>
      </c>
      <c r="L40" s="120">
        <f>'Proyecciones Estados Financiero'!L35+'Proyecciones Estados Financiero'!L36</f>
        <v>1418457284.1797767</v>
      </c>
    </row>
    <row r="41" spans="2:13" x14ac:dyDescent="0.25">
      <c r="B41" s="117" t="s">
        <v>142</v>
      </c>
      <c r="C41" s="138">
        <f t="shared" ref="C41:L41" si="3">+C38+C39-C40</f>
        <v>16231620445</v>
      </c>
      <c r="D41" s="138">
        <f t="shared" si="3"/>
        <v>16656765071</v>
      </c>
      <c r="E41" s="138">
        <f t="shared" si="3"/>
        <v>16613155741</v>
      </c>
      <c r="F41" s="138">
        <f t="shared" si="3"/>
        <v>16495034432</v>
      </c>
      <c r="G41" s="138">
        <f t="shared" si="3"/>
        <v>16664565986</v>
      </c>
      <c r="H41" s="138">
        <f t="shared" si="3"/>
        <v>19213778503.379997</v>
      </c>
      <c r="I41" s="138">
        <f t="shared" si="3"/>
        <v>20750642885.193134</v>
      </c>
      <c r="J41" s="138">
        <f t="shared" si="3"/>
        <v>21273815010.015392</v>
      </c>
      <c r="K41" s="138">
        <f t="shared" si="3"/>
        <v>21964796010.641983</v>
      </c>
      <c r="L41" s="138">
        <f t="shared" si="3"/>
        <v>22767947998.490349</v>
      </c>
    </row>
    <row r="42" spans="2:13" s="119" customFormat="1" ht="15" customHeight="1" x14ac:dyDescent="0.25">
      <c r="C42" s="122"/>
      <c r="D42" s="122"/>
      <c r="E42" s="122"/>
      <c r="F42" s="122"/>
      <c r="G42" s="122"/>
      <c r="H42" s="122"/>
      <c r="I42" s="122"/>
      <c r="J42" s="122"/>
      <c r="K42" s="122"/>
      <c r="L42" s="122"/>
    </row>
    <row r="43" spans="2:13" ht="29.25" customHeight="1" x14ac:dyDescent="0.25">
      <c r="B43" s="274" t="s">
        <v>226</v>
      </c>
      <c r="C43" s="274"/>
      <c r="D43" s="274"/>
      <c r="E43" s="274"/>
      <c r="F43" s="274"/>
      <c r="G43" s="274"/>
      <c r="H43" s="274"/>
      <c r="I43" s="274"/>
      <c r="J43" s="274"/>
      <c r="K43" s="274"/>
      <c r="L43" s="274"/>
    </row>
    <row r="45" spans="2:13" x14ac:dyDescent="0.25">
      <c r="B45" s="117" t="s">
        <v>143</v>
      </c>
      <c r="C45" s="132">
        <v>2017</v>
      </c>
      <c r="D45" s="132">
        <v>2018</v>
      </c>
      <c r="E45" s="132">
        <v>2019</v>
      </c>
      <c r="F45" s="132">
        <v>2020</v>
      </c>
      <c r="G45" s="132">
        <v>2021</v>
      </c>
      <c r="H45" s="133">
        <v>2022</v>
      </c>
      <c r="I45" s="133">
        <v>2023</v>
      </c>
      <c r="J45" s="133">
        <v>2024</v>
      </c>
      <c r="K45" s="133">
        <v>2025</v>
      </c>
      <c r="L45" s="133">
        <v>2026</v>
      </c>
      <c r="M45" s="119"/>
    </row>
    <row r="46" spans="2:13" x14ac:dyDescent="0.25">
      <c r="B46" s="118" t="s">
        <v>144</v>
      </c>
      <c r="C46" s="120">
        <f>'Proyecciones Estados Financiero'!C82</f>
        <v>-12579439</v>
      </c>
      <c r="D46" s="120">
        <f>'Proyecciones Estados Financiero'!D82</f>
        <v>86425549</v>
      </c>
      <c r="E46" s="120">
        <f>'Proyecciones Estados Financiero'!E82</f>
        <v>136016100</v>
      </c>
      <c r="F46" s="120">
        <f>'Proyecciones Estados Financiero'!F82</f>
        <v>530417473</v>
      </c>
      <c r="G46" s="120">
        <f>'Proyecciones Estados Financiero'!G82</f>
        <v>-13719389</v>
      </c>
      <c r="H46" s="120">
        <f>'Proyecciones Estados Financiero'!H82</f>
        <v>54374231.529001452</v>
      </c>
      <c r="I46" s="120">
        <f>'Proyecciones Estados Financiero'!I82</f>
        <v>58234801.967559904</v>
      </c>
      <c r="J46" s="120">
        <f>'Proyecciones Estados Financiero'!J82</f>
        <v>59457732.808879741</v>
      </c>
      <c r="K46" s="120">
        <f>'Proyecciones Estados Financiero'!K82</f>
        <v>61122549.32752721</v>
      </c>
      <c r="L46" s="120">
        <f>'Proyecciones Estados Financiero'!L82</f>
        <v>63078470.906009056</v>
      </c>
      <c r="M46" s="119"/>
    </row>
    <row r="47" spans="2:13" x14ac:dyDescent="0.25">
      <c r="B47" s="136" t="s">
        <v>145</v>
      </c>
      <c r="C47" s="178">
        <f>'Proyecciones Estados Financiero'!C80+'Proyecciones Estados Financiero'!C81</f>
        <v>171775264</v>
      </c>
      <c r="D47" s="178">
        <f>'Proyecciones Estados Financiero'!D80+'Proyecciones Estados Financiero'!D81</f>
        <v>140435388</v>
      </c>
      <c r="E47" s="178">
        <f>'Proyecciones Estados Financiero'!E80+'Proyecciones Estados Financiero'!E81</f>
        <v>251850095</v>
      </c>
      <c r="F47" s="178">
        <f>'Proyecciones Estados Financiero'!F80+'Proyecciones Estados Financiero'!F81</f>
        <v>416549973</v>
      </c>
      <c r="G47" s="178">
        <f>'Proyecciones Estados Financiero'!G80+'Proyecciones Estados Financiero'!G81</f>
        <v>82870569</v>
      </c>
      <c r="H47" s="178">
        <f>'Proyecciones Estados Financiero'!H80+'Proyecciones Estados Financiero'!H81</f>
        <v>31409124.651000779</v>
      </c>
      <c r="I47" s="178">
        <f>'Proyecciones Estados Financiero'!I80+'Proyecciones Estados Financiero'!I81</f>
        <v>33639172.501221485</v>
      </c>
      <c r="J47" s="178">
        <f>'Proyecciones Estados Financiero'!J80+'Proyecciones Estados Financiero'!J81</f>
        <v>34345595.123747714</v>
      </c>
      <c r="K47" s="178">
        <f>'Proyecciones Estados Financiero'!K80+'Proyecciones Estados Financiero'!K81</f>
        <v>35307271.787212029</v>
      </c>
      <c r="L47" s="178">
        <f>'Proyecciones Estados Financiero'!L80+'Proyecciones Estados Financiero'!L81</f>
        <v>36437104.484403335</v>
      </c>
      <c r="M47" s="119"/>
    </row>
    <row r="48" spans="2:13" x14ac:dyDescent="0.25">
      <c r="B48" s="118" t="s">
        <v>146</v>
      </c>
      <c r="C48" s="120">
        <f>'Proyecciones Estados Financiero'!C77</f>
        <v>632245234</v>
      </c>
      <c r="D48" s="120">
        <f>'Proyecciones Estados Financiero'!D77</f>
        <v>638332036</v>
      </c>
      <c r="E48" s="120">
        <f>'Proyecciones Estados Financiero'!E77</f>
        <v>615387646</v>
      </c>
      <c r="F48" s="120">
        <f>'Proyecciones Estados Financiero'!F77</f>
        <v>366727292</v>
      </c>
      <c r="G48" s="120">
        <f>'Proyecciones Estados Financiero'!G77</f>
        <v>514683196</v>
      </c>
      <c r="H48" s="120">
        <f>'Proyecciones Estados Financiero'!H77</f>
        <v>569754297.972</v>
      </c>
      <c r="I48" s="120">
        <f>'Proyecciones Estados Financiero'!I77</f>
        <v>610206853.12801194</v>
      </c>
      <c r="J48" s="120">
        <f>'Proyecciones Estados Financiero'!J77</f>
        <v>623021197.0437001</v>
      </c>
      <c r="K48" s="120">
        <f>'Proyecciones Estados Financiero'!K77</f>
        <v>640465790.5609237</v>
      </c>
      <c r="L48" s="120">
        <f>'Proyecciones Estados Financiero'!L77</f>
        <v>660960695.85887325</v>
      </c>
      <c r="M48" s="119"/>
    </row>
    <row r="49" spans="2:13" x14ac:dyDescent="0.25">
      <c r="B49" s="117" t="s">
        <v>147</v>
      </c>
      <c r="C49" s="138">
        <f>+C46+C47+C48</f>
        <v>791441059</v>
      </c>
      <c r="D49" s="138">
        <f t="shared" ref="D49:L49" si="4">+D46+D47+D48</f>
        <v>865192973</v>
      </c>
      <c r="E49" s="138">
        <f t="shared" si="4"/>
        <v>1003253841</v>
      </c>
      <c r="F49" s="138">
        <f t="shared" si="4"/>
        <v>1313694738</v>
      </c>
      <c r="G49" s="138">
        <f t="shared" si="4"/>
        <v>583834376</v>
      </c>
      <c r="H49" s="138">
        <f t="shared" si="4"/>
        <v>655537654.15200222</v>
      </c>
      <c r="I49" s="138">
        <f t="shared" si="4"/>
        <v>702080827.59679329</v>
      </c>
      <c r="J49" s="138">
        <f t="shared" si="4"/>
        <v>716824524.97632754</v>
      </c>
      <c r="K49" s="138">
        <f t="shared" si="4"/>
        <v>736895611.67566299</v>
      </c>
      <c r="L49" s="138">
        <f t="shared" si="4"/>
        <v>760476271.2492857</v>
      </c>
      <c r="M49" s="119"/>
    </row>
    <row r="50" spans="2:13" x14ac:dyDescent="0.25">
      <c r="B50" s="118" t="s">
        <v>121</v>
      </c>
      <c r="C50" s="120">
        <f>'Proyecciones Estados Financiero'!C63</f>
        <v>172454112</v>
      </c>
      <c r="D50" s="120">
        <f>'Proyecciones Estados Financiero'!D63</f>
        <v>271645297</v>
      </c>
      <c r="E50" s="120">
        <f>'Proyecciones Estados Financiero'!E63</f>
        <v>196588192</v>
      </c>
      <c r="F50" s="120">
        <f>'Proyecciones Estados Financiero'!F63</f>
        <v>199060704</v>
      </c>
      <c r="G50" s="120">
        <f>'Proyecciones Estados Financiero'!G63</f>
        <v>217471629</v>
      </c>
      <c r="H50" s="120">
        <f>'Proyecciones Estados Financiero'!H63</f>
        <v>204373508.33333334</v>
      </c>
      <c r="I50" s="120">
        <f>'Proyecciones Estados Financiero'!I63</f>
        <v>206968613.77777779</v>
      </c>
      <c r="J50" s="120">
        <f>'Proyecciones Estados Financiero'!J63</f>
        <v>209604583.70370373</v>
      </c>
      <c r="K50" s="120">
        <f>'Proyecciones Estados Financiero'!K63</f>
        <v>206982235.27160498</v>
      </c>
      <c r="L50" s="120">
        <f>'Proyecciones Estados Financiero'!L63</f>
        <v>207851810.91769552</v>
      </c>
      <c r="M50" s="119"/>
    </row>
    <row r="51" spans="2:13" x14ac:dyDescent="0.25">
      <c r="B51" s="118" t="s">
        <v>122</v>
      </c>
      <c r="C51" s="120">
        <f>'Proyecciones Estados Financiero'!C64</f>
        <v>0</v>
      </c>
      <c r="D51" s="120">
        <f>'Proyecciones Estados Financiero'!D64</f>
        <v>138553887</v>
      </c>
      <c r="E51" s="120">
        <f>'Proyecciones Estados Financiero'!E64</f>
        <v>177021270</v>
      </c>
      <c r="F51" s="120">
        <f>'Proyecciones Estados Financiero'!F64</f>
        <v>122753607</v>
      </c>
      <c r="G51" s="120">
        <f>'Proyecciones Estados Financiero'!G64</f>
        <v>148636088</v>
      </c>
      <c r="H51" s="120">
        <f>'Proyecciones Estados Financiero'!H64</f>
        <v>149470321.66666666</v>
      </c>
      <c r="I51" s="120">
        <f>'Proyecciones Estados Financiero'!I64</f>
        <v>140286672.22222221</v>
      </c>
      <c r="J51" s="120">
        <f>'Proyecciones Estados Financiero'!J64</f>
        <v>146131027.29629627</v>
      </c>
      <c r="K51" s="120">
        <f>'Proyecciones Estados Financiero'!K64</f>
        <v>145296007.06172836</v>
      </c>
      <c r="L51" s="120">
        <f>'Proyecciones Estados Financiero'!L64</f>
        <v>143904568.86008227</v>
      </c>
      <c r="M51" s="134" t="s">
        <v>134</v>
      </c>
    </row>
    <row r="52" spans="2:13" x14ac:dyDescent="0.25">
      <c r="B52" s="117" t="s">
        <v>148</v>
      </c>
      <c r="C52" s="138">
        <f>+C49+C50+C51</f>
        <v>963895171</v>
      </c>
      <c r="D52" s="138">
        <f t="shared" ref="D52:L52" si="5">+D49+D50+D51</f>
        <v>1275392157</v>
      </c>
      <c r="E52" s="138">
        <f t="shared" si="5"/>
        <v>1376863303</v>
      </c>
      <c r="F52" s="138">
        <f t="shared" si="5"/>
        <v>1635509049</v>
      </c>
      <c r="G52" s="138">
        <f t="shared" si="5"/>
        <v>949942093</v>
      </c>
      <c r="H52" s="138">
        <f t="shared" si="5"/>
        <v>1009381484.1520022</v>
      </c>
      <c r="I52" s="138">
        <f t="shared" si="5"/>
        <v>1049336113.5967933</v>
      </c>
      <c r="J52" s="138">
        <f t="shared" si="5"/>
        <v>1072560135.9763275</v>
      </c>
      <c r="K52" s="138">
        <f t="shared" si="5"/>
        <v>1089173854.0089965</v>
      </c>
      <c r="L52" s="138">
        <f t="shared" si="5"/>
        <v>1112232651.0270634</v>
      </c>
      <c r="M52" s="179">
        <f>+AVERAGE(C52:L52)</f>
        <v>1153428601.1761184</v>
      </c>
    </row>
    <row r="55" spans="2:13" x14ac:dyDescent="0.25">
      <c r="B55" s="180" t="s">
        <v>149</v>
      </c>
      <c r="C55" s="132">
        <v>2017</v>
      </c>
      <c r="D55" s="132">
        <v>2018</v>
      </c>
      <c r="E55" s="132">
        <v>2019</v>
      </c>
      <c r="F55" s="132">
        <v>2020</v>
      </c>
      <c r="G55" s="132">
        <v>2021</v>
      </c>
      <c r="H55" s="133">
        <v>2022</v>
      </c>
      <c r="I55" s="133">
        <v>2023</v>
      </c>
      <c r="J55" s="133">
        <v>2024</v>
      </c>
      <c r="K55" s="133">
        <v>2025</v>
      </c>
      <c r="L55" s="133">
        <v>2026</v>
      </c>
      <c r="M55" s="119"/>
    </row>
    <row r="56" spans="2:13" x14ac:dyDescent="0.25">
      <c r="B56" s="118" t="s">
        <v>41</v>
      </c>
      <c r="C56" s="120">
        <f>'Proyecciones Estados Financiero'!C74</f>
        <v>732188818</v>
      </c>
      <c r="D56" s="120">
        <f>'Proyecciones Estados Financiero'!D74</f>
        <v>742292551</v>
      </c>
      <c r="E56" s="120">
        <f>'Proyecciones Estados Financiero'!E74</f>
        <v>982943493</v>
      </c>
      <c r="F56" s="120">
        <f>'Proyecciones Estados Financiero'!F74</f>
        <v>1073355485</v>
      </c>
      <c r="G56" s="120">
        <f>'Proyecciones Estados Financiero'!G74</f>
        <v>394463232</v>
      </c>
      <c r="H56" s="120">
        <f>'Proyecciones Estados Financiero'!H74</f>
        <v>436670797.82400227</v>
      </c>
      <c r="I56" s="120">
        <f>'Proyecciones Estados Financiero'!I74</f>
        <v>467674424.46950531</v>
      </c>
      <c r="J56" s="120">
        <f>'Proyecciones Estados Financiero'!J74</f>
        <v>477495587.38336658</v>
      </c>
      <c r="K56" s="120">
        <f>'Proyecciones Estados Financiero'!K74</f>
        <v>490865463.83009911</v>
      </c>
      <c r="L56" s="120">
        <f>'Proyecciones Estados Financiero'!L74</f>
        <v>506573158.67266369</v>
      </c>
      <c r="M56" s="119"/>
    </row>
    <row r="57" spans="2:13" x14ac:dyDescent="0.25">
      <c r="B57" s="118" t="s">
        <v>121</v>
      </c>
      <c r="C57" s="120">
        <f t="shared" ref="C57:L57" si="6">+C50</f>
        <v>172454112</v>
      </c>
      <c r="D57" s="120">
        <f t="shared" si="6"/>
        <v>271645297</v>
      </c>
      <c r="E57" s="120">
        <f t="shared" si="6"/>
        <v>196588192</v>
      </c>
      <c r="F57" s="120">
        <f t="shared" si="6"/>
        <v>199060704</v>
      </c>
      <c r="G57" s="120">
        <f t="shared" si="6"/>
        <v>217471629</v>
      </c>
      <c r="H57" s="120">
        <f t="shared" si="6"/>
        <v>204373508.33333334</v>
      </c>
      <c r="I57" s="120">
        <f t="shared" si="6"/>
        <v>206968613.77777779</v>
      </c>
      <c r="J57" s="120">
        <f t="shared" si="6"/>
        <v>209604583.70370373</v>
      </c>
      <c r="K57" s="120">
        <f t="shared" si="6"/>
        <v>206982235.27160498</v>
      </c>
      <c r="L57" s="120">
        <f t="shared" si="6"/>
        <v>207851810.91769552</v>
      </c>
      <c r="M57" s="119"/>
    </row>
    <row r="58" spans="2:13" x14ac:dyDescent="0.25">
      <c r="B58" s="118" t="s">
        <v>122</v>
      </c>
      <c r="C58" s="120">
        <f t="shared" ref="C58:L58" si="7">+C51</f>
        <v>0</v>
      </c>
      <c r="D58" s="120">
        <f t="shared" si="7"/>
        <v>138553887</v>
      </c>
      <c r="E58" s="120">
        <f t="shared" si="7"/>
        <v>177021270</v>
      </c>
      <c r="F58" s="120">
        <f t="shared" si="7"/>
        <v>122753607</v>
      </c>
      <c r="G58" s="120">
        <f t="shared" si="7"/>
        <v>148636088</v>
      </c>
      <c r="H58" s="120">
        <f t="shared" si="7"/>
        <v>149470321.66666666</v>
      </c>
      <c r="I58" s="120">
        <f t="shared" si="7"/>
        <v>140286672.22222221</v>
      </c>
      <c r="J58" s="120">
        <f t="shared" si="7"/>
        <v>146131027.29629627</v>
      </c>
      <c r="K58" s="120">
        <f t="shared" si="7"/>
        <v>145296007.06172836</v>
      </c>
      <c r="L58" s="120">
        <f t="shared" si="7"/>
        <v>143904568.86008227</v>
      </c>
      <c r="M58" s="134" t="s">
        <v>134</v>
      </c>
    </row>
    <row r="59" spans="2:13" x14ac:dyDescent="0.25">
      <c r="B59" s="117" t="s">
        <v>148</v>
      </c>
      <c r="C59" s="138">
        <f t="shared" ref="C59:L59" si="8">+C56+C57+C58</f>
        <v>904642930</v>
      </c>
      <c r="D59" s="138">
        <f t="shared" si="8"/>
        <v>1152491735</v>
      </c>
      <c r="E59" s="138">
        <f t="shared" si="8"/>
        <v>1356552955</v>
      </c>
      <c r="F59" s="138">
        <f t="shared" si="8"/>
        <v>1395169796</v>
      </c>
      <c r="G59" s="138">
        <f t="shared" si="8"/>
        <v>760570949</v>
      </c>
      <c r="H59" s="138">
        <f t="shared" si="8"/>
        <v>790514627.82400227</v>
      </c>
      <c r="I59" s="138">
        <f t="shared" si="8"/>
        <v>814929710.46950531</v>
      </c>
      <c r="J59" s="138">
        <f t="shared" si="8"/>
        <v>833231198.38336658</v>
      </c>
      <c r="K59" s="138">
        <f t="shared" si="8"/>
        <v>843143706.16343248</v>
      </c>
      <c r="L59" s="138">
        <f t="shared" si="8"/>
        <v>858329538.45044148</v>
      </c>
      <c r="M59" s="179">
        <f>+AVERAGE(C59:L59)</f>
        <v>970957714.62907481</v>
      </c>
    </row>
    <row r="62" spans="2:13" x14ac:dyDescent="0.25">
      <c r="B62" s="119"/>
      <c r="C62" s="132">
        <v>2017</v>
      </c>
      <c r="D62" s="132">
        <v>2018</v>
      </c>
      <c r="E62" s="132">
        <v>2019</v>
      </c>
      <c r="F62" s="132">
        <v>2020</v>
      </c>
      <c r="G62" s="132">
        <v>2021</v>
      </c>
      <c r="H62" s="133">
        <v>2022</v>
      </c>
      <c r="I62" s="133">
        <v>2023</v>
      </c>
      <c r="J62" s="133">
        <v>2024</v>
      </c>
      <c r="K62" s="133">
        <v>2025</v>
      </c>
      <c r="L62" s="133">
        <v>2026</v>
      </c>
      <c r="M62" s="119"/>
    </row>
    <row r="63" spans="2:13" x14ac:dyDescent="0.25">
      <c r="B63" s="118" t="s">
        <v>150</v>
      </c>
      <c r="C63" s="120">
        <f>'Proyecciones Estados Financiero'!C68</f>
        <v>11677869922</v>
      </c>
      <c r="D63" s="120">
        <f>'Proyecciones Estados Financiero'!D68</f>
        <v>13922708568</v>
      </c>
      <c r="E63" s="120">
        <f>'Proyecciones Estados Financiero'!E68</f>
        <v>18162369966</v>
      </c>
      <c r="F63" s="120">
        <f>'Proyecciones Estados Financiero'!F68</f>
        <v>14195917839</v>
      </c>
      <c r="G63" s="120">
        <f>'Proyecciones Estados Financiero'!G68</f>
        <v>16192756548</v>
      </c>
      <c r="H63" s="120">
        <f>'Proyecciones Estados Financiero'!H68</f>
        <v>17925381498.636002</v>
      </c>
      <c r="I63" s="120">
        <f>'Proyecciones Estados Financiero'!I68</f>
        <v>19198083585.039158</v>
      </c>
      <c r="J63" s="120">
        <f>'Proyecciones Estados Financiero'!J68</f>
        <v>19601243340.324978</v>
      </c>
      <c r="K63" s="120">
        <f>'Proyecciones Estados Financiero'!K68</f>
        <v>20150078153.854076</v>
      </c>
      <c r="L63" s="120">
        <f>'Proyecciones Estados Financiero'!L68</f>
        <v>20794880654.777409</v>
      </c>
      <c r="M63" s="119"/>
    </row>
    <row r="64" spans="2:13" x14ac:dyDescent="0.25">
      <c r="B64" s="118" t="s">
        <v>49</v>
      </c>
      <c r="C64" s="120">
        <f t="shared" ref="C64:L64" si="9">+C59</f>
        <v>904642930</v>
      </c>
      <c r="D64" s="120">
        <f t="shared" si="9"/>
        <v>1152491735</v>
      </c>
      <c r="E64" s="120">
        <f t="shared" si="9"/>
        <v>1356552955</v>
      </c>
      <c r="F64" s="120">
        <f t="shared" si="9"/>
        <v>1395169796</v>
      </c>
      <c r="G64" s="120">
        <f t="shared" si="9"/>
        <v>760570949</v>
      </c>
      <c r="H64" s="120">
        <f t="shared" si="9"/>
        <v>790514627.82400227</v>
      </c>
      <c r="I64" s="120">
        <f t="shared" si="9"/>
        <v>814929710.46950531</v>
      </c>
      <c r="J64" s="120">
        <f t="shared" si="9"/>
        <v>833231198.38336658</v>
      </c>
      <c r="K64" s="120">
        <f t="shared" si="9"/>
        <v>843143706.16343248</v>
      </c>
      <c r="L64" s="120">
        <f t="shared" si="9"/>
        <v>858329538.45044148</v>
      </c>
      <c r="M64" s="134" t="s">
        <v>134</v>
      </c>
    </row>
    <row r="65" spans="2:13" x14ac:dyDescent="0.25">
      <c r="B65" s="117" t="s">
        <v>151</v>
      </c>
      <c r="C65" s="181">
        <f t="shared" ref="C65:L65" si="10">+C64/C63</f>
        <v>7.7466433180227376E-2</v>
      </c>
      <c r="D65" s="181">
        <f t="shared" si="10"/>
        <v>8.277783948224636E-2</v>
      </c>
      <c r="E65" s="181">
        <f t="shared" si="10"/>
        <v>7.4690305149574115E-2</v>
      </c>
      <c r="F65" s="181">
        <f t="shared" si="10"/>
        <v>9.8279647136805329E-2</v>
      </c>
      <c r="G65" s="181">
        <f t="shared" si="10"/>
        <v>4.6969825473843714E-2</v>
      </c>
      <c r="H65" s="181">
        <f t="shared" si="10"/>
        <v>4.4100295878453412E-2</v>
      </c>
      <c r="I65" s="181">
        <f t="shared" si="10"/>
        <v>4.2448492676871688E-2</v>
      </c>
      <c r="J65" s="181">
        <f t="shared" si="10"/>
        <v>4.250909924010729E-2</v>
      </c>
      <c r="K65" s="181">
        <f t="shared" si="10"/>
        <v>4.184319781420627E-2</v>
      </c>
      <c r="L65" s="181">
        <f t="shared" si="10"/>
        <v>4.127600214205842E-2</v>
      </c>
      <c r="M65" s="130">
        <f>+AVERAGE(C65:L65)</f>
        <v>5.9236113817439394E-2</v>
      </c>
    </row>
    <row r="66" spans="2:13" x14ac:dyDescent="0.25">
      <c r="B66" s="182" t="s">
        <v>152</v>
      </c>
      <c r="C66" s="183"/>
      <c r="D66" s="184">
        <f t="shared" ref="D66:L66" si="11">+(D63/C63)-1</f>
        <v>0.19223014650736414</v>
      </c>
      <c r="E66" s="184">
        <f t="shared" si="11"/>
        <v>0.30451412361991492</v>
      </c>
      <c r="F66" s="184">
        <f t="shared" si="11"/>
        <v>-0.21838846661670297</v>
      </c>
      <c r="G66" s="184">
        <f t="shared" si="11"/>
        <v>0.14066288151613193</v>
      </c>
      <c r="H66" s="184">
        <f t="shared" si="11"/>
        <v>0.10700000000000021</v>
      </c>
      <c r="I66" s="184">
        <f t="shared" si="11"/>
        <v>7.0999999999999952E-2</v>
      </c>
      <c r="J66" s="184">
        <f t="shared" si="11"/>
        <v>2.0999999999999908E-2</v>
      </c>
      <c r="K66" s="184">
        <f t="shared" si="11"/>
        <v>2.8000000000000025E-2</v>
      </c>
      <c r="L66" s="184">
        <f t="shared" si="11"/>
        <v>3.2000000000000028E-2</v>
      </c>
      <c r="M66" s="185"/>
    </row>
    <row r="67" spans="2:13" x14ac:dyDescent="0.25">
      <c r="B67" s="182" t="s">
        <v>153</v>
      </c>
      <c r="C67" s="183"/>
      <c r="D67" s="184">
        <f t="shared" ref="D67:L67" si="12">+(D64/C64)-1</f>
        <v>0.27397418006682472</v>
      </c>
      <c r="E67" s="184">
        <f t="shared" si="12"/>
        <v>0.17706089666664715</v>
      </c>
      <c r="F67" s="184">
        <f t="shared" si="12"/>
        <v>2.8466887973422228E-2</v>
      </c>
      <c r="G67" s="184">
        <f t="shared" si="12"/>
        <v>-0.45485420399683019</v>
      </c>
      <c r="H67" s="184">
        <f t="shared" si="12"/>
        <v>3.9370000738750521E-2</v>
      </c>
      <c r="I67" s="184">
        <f t="shared" si="12"/>
        <v>3.0885048531877013E-2</v>
      </c>
      <c r="J67" s="184">
        <f t="shared" si="12"/>
        <v>2.2457750255929776E-2</v>
      </c>
      <c r="K67" s="184">
        <f t="shared" si="12"/>
        <v>1.1896467390201115E-2</v>
      </c>
      <c r="L67" s="184">
        <f t="shared" si="12"/>
        <v>1.8010965599339235E-2</v>
      </c>
      <c r="M67" s="185"/>
    </row>
    <row r="69" spans="2:13" x14ac:dyDescent="0.25">
      <c r="B69" s="186" t="s">
        <v>154</v>
      </c>
      <c r="C69" s="122"/>
      <c r="D69" s="122"/>
      <c r="E69" s="122"/>
      <c r="F69" s="122"/>
      <c r="G69" s="122"/>
      <c r="H69" s="187"/>
      <c r="I69" s="187"/>
      <c r="J69" s="187"/>
      <c r="K69" s="187"/>
      <c r="L69" s="187"/>
      <c r="M69" s="119"/>
    </row>
    <row r="70" spans="2:13" x14ac:dyDescent="0.25">
      <c r="B70" s="186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19"/>
    </row>
    <row r="71" spans="2:13" x14ac:dyDescent="0.25">
      <c r="B71" s="119"/>
      <c r="C71" s="132">
        <v>2017</v>
      </c>
      <c r="D71" s="132">
        <v>2018</v>
      </c>
      <c r="E71" s="132">
        <v>2019</v>
      </c>
      <c r="F71" s="132">
        <v>2020</v>
      </c>
      <c r="G71" s="132">
        <v>2021</v>
      </c>
      <c r="H71" s="133">
        <v>2022</v>
      </c>
      <c r="I71" s="133">
        <v>2023</v>
      </c>
      <c r="J71" s="133">
        <v>2024</v>
      </c>
      <c r="K71" s="133">
        <v>2025</v>
      </c>
      <c r="L71" s="133">
        <v>2026</v>
      </c>
      <c r="M71" s="119"/>
    </row>
    <row r="72" spans="2:13" x14ac:dyDescent="0.25">
      <c r="B72" s="118" t="s">
        <v>155</v>
      </c>
      <c r="C72" s="120">
        <f>'Proyecciones Estados Financiero'!C18</f>
        <v>581219338</v>
      </c>
      <c r="D72" s="120">
        <f>'Proyecciones Estados Financiero'!D18</f>
        <v>402692804</v>
      </c>
      <c r="E72" s="120">
        <f>'Proyecciones Estados Financiero'!E18</f>
        <v>577633014</v>
      </c>
      <c r="F72" s="120">
        <f>'Proyecciones Estados Financiero'!F18</f>
        <v>452430357</v>
      </c>
      <c r="G72" s="120">
        <f>'Proyecciones Estados Financiero'!G18</f>
        <v>905410373</v>
      </c>
      <c r="H72" s="120">
        <f>'Proyecciones Estados Financiero'!H18</f>
        <v>678920365</v>
      </c>
      <c r="I72" s="120">
        <f>'Proyecciones Estados Financiero'!I18</f>
        <v>792165369</v>
      </c>
      <c r="J72" s="120">
        <f>'Proyecciones Estados Financiero'!J18</f>
        <v>735542867</v>
      </c>
      <c r="K72" s="120">
        <f>'Proyecciones Estados Financiero'!K18</f>
        <v>763854118</v>
      </c>
      <c r="L72" s="120">
        <f>'Proyecciones Estados Financiero'!L18</f>
        <v>749698492.5</v>
      </c>
      <c r="M72" s="119"/>
    </row>
    <row r="73" spans="2:13" x14ac:dyDescent="0.25">
      <c r="B73" s="118" t="s">
        <v>156</v>
      </c>
      <c r="C73" s="120">
        <f>'Proyecciones Estados Financiero'!C36+'Proyecciones Estados Financiero'!C35</f>
        <v>379797029</v>
      </c>
      <c r="D73" s="120">
        <f>'Proyecciones Estados Financiero'!D36+'Proyecciones Estados Financiero'!D35</f>
        <v>462881103</v>
      </c>
      <c r="E73" s="120">
        <f>'Proyecciones Estados Financiero'!E36+'Proyecciones Estados Financiero'!E35</f>
        <v>818168718</v>
      </c>
      <c r="F73" s="120">
        <f>'Proyecciones Estados Financiero'!F36+'Proyecciones Estados Financiero'!F35</f>
        <v>566255952</v>
      </c>
      <c r="G73" s="120">
        <f>'Proyecciones Estados Financiero'!G36+'Proyecciones Estados Financiero'!G35</f>
        <v>1104537884</v>
      </c>
      <c r="H73" s="120">
        <f>'Proyecciones Estados Financiero'!H36+'Proyecciones Estados Financiero'!H35</f>
        <v>1222723437.5880001</v>
      </c>
      <c r="I73" s="120">
        <f>'Proyecciones Estados Financiero'!I36+'Proyecciones Estados Financiero'!I35</f>
        <v>1309536801.6567481</v>
      </c>
      <c r="J73" s="120">
        <f>'Proyecciones Estados Financiero'!J36+'Proyecciones Estados Financiero'!J35</f>
        <v>1337037074.4915397</v>
      </c>
      <c r="K73" s="120">
        <f>'Proyecciones Estados Financiero'!K36+'Proyecciones Estados Financiero'!K35</f>
        <v>1374474112.5773029</v>
      </c>
      <c r="L73" s="120">
        <f>'Proyecciones Estados Financiero'!L36+'Proyecciones Estados Financiero'!L35</f>
        <v>1418457284.1797767</v>
      </c>
      <c r="M73" s="134" t="s">
        <v>134</v>
      </c>
    </row>
    <row r="74" spans="2:13" x14ac:dyDescent="0.25">
      <c r="B74" s="117" t="s">
        <v>157</v>
      </c>
      <c r="C74" s="138">
        <f t="shared" ref="C74:L74" si="13">+C72-C73</f>
        <v>201422309</v>
      </c>
      <c r="D74" s="138">
        <f t="shared" si="13"/>
        <v>-60188299</v>
      </c>
      <c r="E74" s="138">
        <f t="shared" si="13"/>
        <v>-240535704</v>
      </c>
      <c r="F74" s="138">
        <f t="shared" si="13"/>
        <v>-113825595</v>
      </c>
      <c r="G74" s="138">
        <f t="shared" si="13"/>
        <v>-199127511</v>
      </c>
      <c r="H74" s="138">
        <f t="shared" si="13"/>
        <v>-543803072.58800006</v>
      </c>
      <c r="I74" s="138">
        <f t="shared" si="13"/>
        <v>-517371432.65674806</v>
      </c>
      <c r="J74" s="138">
        <f t="shared" si="13"/>
        <v>-601494207.49153972</v>
      </c>
      <c r="K74" s="138">
        <f t="shared" si="13"/>
        <v>-610619994.57730293</v>
      </c>
      <c r="L74" s="138">
        <f t="shared" si="13"/>
        <v>-668758791.67977667</v>
      </c>
      <c r="M74" s="179">
        <f>+AVERAGE(C74:L74)</f>
        <v>-335430229.89933676</v>
      </c>
    </row>
    <row r="75" spans="2:13" x14ac:dyDescent="0.25">
      <c r="B75" s="119" t="s">
        <v>158</v>
      </c>
      <c r="C75" s="188"/>
      <c r="D75" s="189">
        <f t="shared" ref="D75:L75" si="14">+D74-C74</f>
        <v>-261610608</v>
      </c>
      <c r="E75" s="189">
        <f t="shared" si="14"/>
        <v>-180347405</v>
      </c>
      <c r="F75" s="189">
        <f t="shared" si="14"/>
        <v>126710109</v>
      </c>
      <c r="G75" s="189">
        <f t="shared" si="14"/>
        <v>-85301916</v>
      </c>
      <c r="H75" s="189">
        <f t="shared" si="14"/>
        <v>-344675561.58800006</v>
      </c>
      <c r="I75" s="189">
        <f t="shared" si="14"/>
        <v>26431639.931252003</v>
      </c>
      <c r="J75" s="189">
        <f t="shared" si="14"/>
        <v>-84122774.83479166</v>
      </c>
      <c r="K75" s="189">
        <f t="shared" si="14"/>
        <v>-9125787.085763216</v>
      </c>
      <c r="L75" s="189">
        <f t="shared" si="14"/>
        <v>-58138797.102473736</v>
      </c>
      <c r="M75" s="119"/>
    </row>
    <row r="77" spans="2:13" x14ac:dyDescent="0.25">
      <c r="B77" s="119"/>
      <c r="C77" s="132">
        <v>2017</v>
      </c>
      <c r="D77" s="132">
        <v>2018</v>
      </c>
      <c r="E77" s="132">
        <v>2019</v>
      </c>
      <c r="F77" s="132">
        <v>2020</v>
      </c>
      <c r="G77" s="132">
        <v>2021</v>
      </c>
      <c r="H77" s="133">
        <v>2022</v>
      </c>
      <c r="I77" s="133">
        <v>2023</v>
      </c>
      <c r="J77" s="133">
        <v>2024</v>
      </c>
      <c r="K77" s="133">
        <v>2025</v>
      </c>
      <c r="L77" s="133">
        <v>2026</v>
      </c>
      <c r="M77" s="119"/>
    </row>
    <row r="78" spans="2:13" x14ac:dyDescent="0.25">
      <c r="B78" s="118" t="s">
        <v>150</v>
      </c>
      <c r="C78" s="120">
        <f>'Proyecciones Estados Financiero'!C68</f>
        <v>11677869922</v>
      </c>
      <c r="D78" s="120">
        <f>'Proyecciones Estados Financiero'!D68</f>
        <v>13922708568</v>
      </c>
      <c r="E78" s="120">
        <f>'Proyecciones Estados Financiero'!E68</f>
        <v>18162369966</v>
      </c>
      <c r="F78" s="120">
        <f>'Proyecciones Estados Financiero'!F68</f>
        <v>14195917839</v>
      </c>
      <c r="G78" s="120">
        <f>'Proyecciones Estados Financiero'!G68</f>
        <v>16192756548</v>
      </c>
      <c r="H78" s="120">
        <f>'Proyecciones Estados Financiero'!H68</f>
        <v>17925381498.636002</v>
      </c>
      <c r="I78" s="120">
        <f>'Proyecciones Estados Financiero'!I68</f>
        <v>19198083585.039158</v>
      </c>
      <c r="J78" s="120">
        <f>'Proyecciones Estados Financiero'!J68</f>
        <v>19601243340.324978</v>
      </c>
      <c r="K78" s="120">
        <f>'Proyecciones Estados Financiero'!K68</f>
        <v>20150078153.854076</v>
      </c>
      <c r="L78" s="120">
        <f>'Proyecciones Estados Financiero'!L68</f>
        <v>20794880654.777409</v>
      </c>
      <c r="M78" s="119"/>
    </row>
    <row r="79" spans="2:13" x14ac:dyDescent="0.25">
      <c r="B79" s="118" t="s">
        <v>157</v>
      </c>
      <c r="C79" s="120">
        <f>C74</f>
        <v>201422309</v>
      </c>
      <c r="D79" s="120">
        <f t="shared" ref="D79:L79" si="15">D74</f>
        <v>-60188299</v>
      </c>
      <c r="E79" s="120">
        <f t="shared" si="15"/>
        <v>-240535704</v>
      </c>
      <c r="F79" s="120">
        <f t="shared" si="15"/>
        <v>-113825595</v>
      </c>
      <c r="G79" s="120">
        <f t="shared" si="15"/>
        <v>-199127511</v>
      </c>
      <c r="H79" s="120">
        <f t="shared" si="15"/>
        <v>-543803072.58800006</v>
      </c>
      <c r="I79" s="120">
        <f t="shared" si="15"/>
        <v>-517371432.65674806</v>
      </c>
      <c r="J79" s="120">
        <f t="shared" si="15"/>
        <v>-601494207.49153972</v>
      </c>
      <c r="K79" s="120">
        <f t="shared" si="15"/>
        <v>-610619994.57730293</v>
      </c>
      <c r="L79" s="120">
        <f t="shared" si="15"/>
        <v>-668758791.67977667</v>
      </c>
      <c r="M79" s="186" t="s">
        <v>159</v>
      </c>
    </row>
    <row r="80" spans="2:13" x14ac:dyDescent="0.25">
      <c r="B80" s="118" t="s">
        <v>160</v>
      </c>
      <c r="C80" s="190">
        <f t="shared" ref="C80:L80" si="16">+C79/C78</f>
        <v>1.7248206252112763E-2</v>
      </c>
      <c r="D80" s="190">
        <f t="shared" si="16"/>
        <v>-4.3230308747779856E-3</v>
      </c>
      <c r="E80" s="190">
        <f t="shared" si="16"/>
        <v>-1.3243629793374071E-2</v>
      </c>
      <c r="F80" s="190">
        <f t="shared" si="16"/>
        <v>-8.0181920106138192E-3</v>
      </c>
      <c r="G80" s="190">
        <f t="shared" si="16"/>
        <v>-1.2297320126423728E-2</v>
      </c>
      <c r="H80" s="190">
        <f t="shared" si="16"/>
        <v>-3.0337043182560981E-2</v>
      </c>
      <c r="I80" s="190">
        <f t="shared" si="16"/>
        <v>-2.6949118664111326E-2</v>
      </c>
      <c r="J80" s="190">
        <f t="shared" si="16"/>
        <v>-3.0686533351387255E-2</v>
      </c>
      <c r="K80" s="190">
        <f t="shared" si="16"/>
        <v>-3.0303604279594842E-2</v>
      </c>
      <c r="L80" s="190">
        <f t="shared" si="16"/>
        <v>-3.2159780225819008E-2</v>
      </c>
      <c r="M80" s="191">
        <f>+AVERAGE(C80:L80)</f>
        <v>-1.7107004625655023E-2</v>
      </c>
    </row>
    <row r="81" spans="2:13" x14ac:dyDescent="0.25">
      <c r="B81" s="117" t="s">
        <v>161</v>
      </c>
      <c r="C81" s="192">
        <f t="shared" ref="C81:L81" si="17">+C80</f>
        <v>1.7248206252112763E-2</v>
      </c>
      <c r="D81" s="192">
        <f t="shared" si="17"/>
        <v>-4.3230308747779856E-3</v>
      </c>
      <c r="E81" s="192">
        <f t="shared" si="17"/>
        <v>-1.3243629793374071E-2</v>
      </c>
      <c r="F81" s="192">
        <f t="shared" si="17"/>
        <v>-8.0181920106138192E-3</v>
      </c>
      <c r="G81" s="192">
        <f t="shared" si="17"/>
        <v>-1.2297320126423728E-2</v>
      </c>
      <c r="H81" s="192">
        <f t="shared" si="17"/>
        <v>-3.0337043182560981E-2</v>
      </c>
      <c r="I81" s="192">
        <f t="shared" si="17"/>
        <v>-2.6949118664111326E-2</v>
      </c>
      <c r="J81" s="192">
        <f t="shared" si="17"/>
        <v>-3.0686533351387255E-2</v>
      </c>
      <c r="K81" s="192">
        <f t="shared" si="17"/>
        <v>-3.0303604279594842E-2</v>
      </c>
      <c r="L81" s="192">
        <f t="shared" si="17"/>
        <v>-3.2159780225819008E-2</v>
      </c>
      <c r="M81" s="174">
        <f>+AVERAGE(C81:L81)</f>
        <v>-1.7107004625655023E-2</v>
      </c>
    </row>
    <row r="83" spans="2:13" x14ac:dyDescent="0.25">
      <c r="B83" s="186" t="s">
        <v>162</v>
      </c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19"/>
    </row>
    <row r="84" spans="2:13" x14ac:dyDescent="0.25">
      <c r="B84" s="119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19"/>
    </row>
    <row r="85" spans="2:13" x14ac:dyDescent="0.25">
      <c r="B85" s="119"/>
      <c r="C85" s="132">
        <v>2017</v>
      </c>
      <c r="D85" s="132">
        <v>2018</v>
      </c>
      <c r="E85" s="132">
        <v>2019</v>
      </c>
      <c r="F85" s="132">
        <v>2020</v>
      </c>
      <c r="G85" s="132">
        <v>2021</v>
      </c>
      <c r="H85" s="133">
        <v>2022</v>
      </c>
      <c r="I85" s="133">
        <v>2023</v>
      </c>
      <c r="J85" s="133">
        <v>2024</v>
      </c>
      <c r="K85" s="133">
        <v>2025</v>
      </c>
      <c r="L85" s="133">
        <v>2026</v>
      </c>
      <c r="M85" s="119"/>
    </row>
    <row r="86" spans="2:13" x14ac:dyDescent="0.25">
      <c r="B86" s="118" t="s">
        <v>150</v>
      </c>
      <c r="C86" s="120">
        <f>'Proyecciones Estados Financiero'!C68</f>
        <v>11677869922</v>
      </c>
      <c r="D86" s="120">
        <f>'Proyecciones Estados Financiero'!D68</f>
        <v>13922708568</v>
      </c>
      <c r="E86" s="120">
        <f>'Proyecciones Estados Financiero'!E68</f>
        <v>18162369966</v>
      </c>
      <c r="F86" s="120">
        <f>'Proyecciones Estados Financiero'!F68</f>
        <v>14195917839</v>
      </c>
      <c r="G86" s="120">
        <f>'Proyecciones Estados Financiero'!G68</f>
        <v>16192756548</v>
      </c>
      <c r="H86" s="120">
        <f>'Proyecciones Estados Financiero'!H68</f>
        <v>17925381498.636002</v>
      </c>
      <c r="I86" s="120">
        <f>'Proyecciones Estados Financiero'!I68</f>
        <v>19198083585.039158</v>
      </c>
      <c r="J86" s="120">
        <f>'Proyecciones Estados Financiero'!J68</f>
        <v>19601243340.324978</v>
      </c>
      <c r="K86" s="120">
        <f>'Proyecciones Estados Financiero'!K68</f>
        <v>20150078153.854076</v>
      </c>
      <c r="L86" s="120">
        <f>'Proyecciones Estados Financiero'!L68</f>
        <v>20794880654.777409</v>
      </c>
      <c r="M86" s="119"/>
    </row>
    <row r="87" spans="2:13" x14ac:dyDescent="0.25">
      <c r="B87" s="118" t="s">
        <v>163</v>
      </c>
      <c r="C87" s="120">
        <f>'Proyecciones Estados Financiero'!C24</f>
        <v>15686654738</v>
      </c>
      <c r="D87" s="120">
        <f>'Proyecciones Estados Financiero'!D24</f>
        <v>16217918992</v>
      </c>
      <c r="E87" s="120">
        <f>'Proyecciones Estados Financiero'!E24</f>
        <v>16199920443</v>
      </c>
      <c r="F87" s="120">
        <f>'Proyecciones Estados Financiero'!F24</f>
        <v>16393861749</v>
      </c>
      <c r="G87" s="120">
        <f>'Proyecciones Estados Financiero'!G24</f>
        <v>16621721425</v>
      </c>
      <c r="H87" s="120">
        <f>'Proyecciones Estados Financiero'!H24</f>
        <v>18400245617.474998</v>
      </c>
      <c r="I87" s="120">
        <f>'Proyecciones Estados Financiero'!I24</f>
        <v>19706663056.315723</v>
      </c>
      <c r="J87" s="120">
        <f>'Proyecciones Estados Financiero'!J24</f>
        <v>20120502980.498352</v>
      </c>
      <c r="K87" s="120">
        <f>'Proyecciones Estados Financiero'!K24</f>
        <v>20683877063.952305</v>
      </c>
      <c r="L87" s="120">
        <f>'Proyecciones Estados Financiero'!L24</f>
        <v>21345761129.998779</v>
      </c>
      <c r="M87" s="186" t="s">
        <v>159</v>
      </c>
    </row>
    <row r="88" spans="2:13" x14ac:dyDescent="0.25">
      <c r="B88" s="117" t="s">
        <v>164</v>
      </c>
      <c r="C88" s="193">
        <f t="shared" ref="C88:L88" si="18">+C86/C87</f>
        <v>0.74444616248938311</v>
      </c>
      <c r="D88" s="193">
        <f t="shared" si="18"/>
        <v>0.85847688441826697</v>
      </c>
      <c r="E88" s="193">
        <f t="shared" si="18"/>
        <v>1.1211394543513316</v>
      </c>
      <c r="F88" s="193">
        <f t="shared" si="18"/>
        <v>0.86592884924541524</v>
      </c>
      <c r="G88" s="193">
        <f t="shared" si="18"/>
        <v>0.97419251195277445</v>
      </c>
      <c r="H88" s="193">
        <f t="shared" si="18"/>
        <v>0.97419251195277468</v>
      </c>
      <c r="I88" s="193">
        <f t="shared" si="18"/>
        <v>0.97419251195277468</v>
      </c>
      <c r="J88" s="193">
        <f t="shared" si="18"/>
        <v>0.97419251195277456</v>
      </c>
      <c r="K88" s="193">
        <f t="shared" si="18"/>
        <v>0.97419251195277456</v>
      </c>
      <c r="L88" s="193">
        <f t="shared" si="18"/>
        <v>0.97419251195277468</v>
      </c>
      <c r="M88" s="194">
        <f>+AVERAGE(C88:L88)</f>
        <v>0.94351464222210435</v>
      </c>
    </row>
    <row r="90" spans="2:13" x14ac:dyDescent="0.25">
      <c r="B90" s="186" t="s">
        <v>165</v>
      </c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19"/>
    </row>
    <row r="91" spans="2:13" x14ac:dyDescent="0.25">
      <c r="B91" s="119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19"/>
    </row>
    <row r="92" spans="2:13" x14ac:dyDescent="0.25">
      <c r="B92" s="119"/>
      <c r="C92" s="132">
        <v>2017</v>
      </c>
      <c r="D92" s="132">
        <v>2018</v>
      </c>
      <c r="E92" s="132">
        <v>2019</v>
      </c>
      <c r="F92" s="132">
        <v>2020</v>
      </c>
      <c r="G92" s="132">
        <v>2021</v>
      </c>
      <c r="H92" s="133">
        <v>2022</v>
      </c>
      <c r="I92" s="133">
        <v>2023</v>
      </c>
      <c r="J92" s="133">
        <v>2024</v>
      </c>
      <c r="K92" s="133">
        <v>2025</v>
      </c>
      <c r="L92" s="133">
        <v>2026</v>
      </c>
      <c r="M92" s="119"/>
    </row>
    <row r="93" spans="2:13" x14ac:dyDescent="0.25">
      <c r="B93" s="118" t="s">
        <v>151</v>
      </c>
      <c r="C93" s="123">
        <f>C65</f>
        <v>7.7466433180227376E-2</v>
      </c>
      <c r="D93" s="123">
        <f t="shared" ref="D93:L93" si="19">D65</f>
        <v>8.277783948224636E-2</v>
      </c>
      <c r="E93" s="123">
        <f t="shared" si="19"/>
        <v>7.4690305149574115E-2</v>
      </c>
      <c r="F93" s="123">
        <f t="shared" si="19"/>
        <v>9.8279647136805329E-2</v>
      </c>
      <c r="G93" s="123">
        <f t="shared" si="19"/>
        <v>4.6969825473843714E-2</v>
      </c>
      <c r="H93" s="123">
        <f t="shared" si="19"/>
        <v>4.4100295878453412E-2</v>
      </c>
      <c r="I93" s="123">
        <f t="shared" si="19"/>
        <v>4.2448492676871688E-2</v>
      </c>
      <c r="J93" s="123">
        <f t="shared" si="19"/>
        <v>4.250909924010729E-2</v>
      </c>
      <c r="K93" s="123">
        <f t="shared" si="19"/>
        <v>4.184319781420627E-2</v>
      </c>
      <c r="L93" s="123">
        <f t="shared" si="19"/>
        <v>4.127600214205842E-2</v>
      </c>
      <c r="M93" s="119"/>
    </row>
    <row r="94" spans="2:13" x14ac:dyDescent="0.25">
      <c r="B94" s="118" t="s">
        <v>166</v>
      </c>
      <c r="C94" s="123">
        <f>C81</f>
        <v>1.7248206252112763E-2</v>
      </c>
      <c r="D94" s="123">
        <f t="shared" ref="D94:L94" si="20">D81</f>
        <v>-4.3230308747779856E-3</v>
      </c>
      <c r="E94" s="123">
        <f t="shared" si="20"/>
        <v>-1.3243629793374071E-2</v>
      </c>
      <c r="F94" s="123">
        <f t="shared" si="20"/>
        <v>-8.0181920106138192E-3</v>
      </c>
      <c r="G94" s="123">
        <f t="shared" si="20"/>
        <v>-1.2297320126423728E-2</v>
      </c>
      <c r="H94" s="123">
        <f t="shared" si="20"/>
        <v>-3.0337043182560981E-2</v>
      </c>
      <c r="I94" s="123">
        <f t="shared" si="20"/>
        <v>-2.6949118664111326E-2</v>
      </c>
      <c r="J94" s="123">
        <f t="shared" si="20"/>
        <v>-3.0686533351387255E-2</v>
      </c>
      <c r="K94" s="123">
        <f t="shared" si="20"/>
        <v>-3.0303604279594842E-2</v>
      </c>
      <c r="L94" s="123">
        <f t="shared" si="20"/>
        <v>-3.2159780225819008E-2</v>
      </c>
      <c r="M94" s="186" t="s">
        <v>159</v>
      </c>
    </row>
    <row r="95" spans="2:13" x14ac:dyDescent="0.25">
      <c r="B95" s="117" t="s">
        <v>167</v>
      </c>
      <c r="C95" s="193">
        <f t="shared" ref="C95:L95" si="21">+C93/C94</f>
        <v>4.4912747475256083</v>
      </c>
      <c r="D95" s="193">
        <f t="shared" si="21"/>
        <v>-19.148102773264952</v>
      </c>
      <c r="E95" s="193">
        <f t="shared" si="21"/>
        <v>-5.6397155700427737</v>
      </c>
      <c r="F95" s="193">
        <f t="shared" si="21"/>
        <v>-12.257083268486319</v>
      </c>
      <c r="G95" s="193">
        <f t="shared" si="21"/>
        <v>-3.8195171786182773</v>
      </c>
      <c r="H95" s="193">
        <f t="shared" si="21"/>
        <v>-1.453678119290285</v>
      </c>
      <c r="I95" s="193">
        <f t="shared" si="21"/>
        <v>-1.5751347272592326</v>
      </c>
      <c r="J95" s="193">
        <f t="shared" si="21"/>
        <v>-1.3852688654447038</v>
      </c>
      <c r="K95" s="193">
        <f t="shared" si="21"/>
        <v>-1.3807993738349369</v>
      </c>
      <c r="L95" s="193">
        <f t="shared" si="21"/>
        <v>-1.2834665489697776</v>
      </c>
      <c r="M95" s="194">
        <f>+AVERAGE(C95:L95)</f>
        <v>-4.3451491677685654</v>
      </c>
    </row>
  </sheetData>
  <mergeCells count="3">
    <mergeCell ref="B20:L20"/>
    <mergeCell ref="B1:L1"/>
    <mergeCell ref="B43:L4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0FC9F-B257-46F2-B0B3-7C08C5B2B4F9}">
  <dimension ref="B1:L85"/>
  <sheetViews>
    <sheetView showGridLines="0" zoomScale="70" zoomScaleNormal="70" workbookViewId="0">
      <selection activeCell="G24" activeCellId="1" sqref="G10:L10 G24:L24"/>
    </sheetView>
  </sheetViews>
  <sheetFormatPr baseColWidth="10" defaultRowHeight="15.75" x14ac:dyDescent="0.25"/>
  <cols>
    <col min="1" max="1" width="6.140625" style="1" customWidth="1"/>
    <col min="2" max="2" width="50.85546875" style="1" bestFit="1" customWidth="1"/>
    <col min="3" max="7" width="20" style="1" customWidth="1"/>
    <col min="8" max="8" width="22.5703125" style="1" bestFit="1" customWidth="1"/>
    <col min="9" max="12" width="22.140625" style="1" bestFit="1" customWidth="1"/>
    <col min="13" max="16384" width="11.42578125" style="1"/>
  </cols>
  <sheetData>
    <row r="1" spans="2:12" x14ac:dyDescent="0.25">
      <c r="B1" s="110" t="s">
        <v>187</v>
      </c>
    </row>
    <row r="2" spans="2:12" x14ac:dyDescent="0.25">
      <c r="B2" s="1" t="s">
        <v>188</v>
      </c>
      <c r="C2" s="109">
        <v>0.1497</v>
      </c>
      <c r="D2" s="1" t="s">
        <v>258</v>
      </c>
    </row>
    <row r="3" spans="2:12" x14ac:dyDescent="0.25">
      <c r="B3" s="1" t="s">
        <v>254</v>
      </c>
      <c r="C3" s="109">
        <v>1.176E-2</v>
      </c>
      <c r="D3" s="1" t="s">
        <v>258</v>
      </c>
    </row>
    <row r="4" spans="2:12" x14ac:dyDescent="0.25">
      <c r="B4" s="1" t="s">
        <v>189</v>
      </c>
      <c r="C4" s="109">
        <v>1.1299999999999999E-2</v>
      </c>
      <c r="D4" s="1" t="s">
        <v>256</v>
      </c>
    </row>
    <row r="5" spans="2:12" x14ac:dyDescent="0.25">
      <c r="B5" s="1" t="s">
        <v>190</v>
      </c>
      <c r="C5" s="109">
        <v>1.1730000000000001E-2</v>
      </c>
      <c r="D5" s="1" t="s">
        <v>255</v>
      </c>
    </row>
    <row r="6" spans="2:12" x14ac:dyDescent="0.25">
      <c r="B6" s="1" t="s">
        <v>202</v>
      </c>
      <c r="C6" s="108">
        <v>4.2999999999999997E-2</v>
      </c>
      <c r="D6" s="1" t="s">
        <v>257</v>
      </c>
    </row>
    <row r="9" spans="2:12" ht="39" customHeight="1" x14ac:dyDescent="0.25">
      <c r="B9" s="275" t="s">
        <v>227</v>
      </c>
      <c r="C9" s="275"/>
      <c r="D9" s="275"/>
      <c r="E9" s="275"/>
      <c r="F9" s="275"/>
      <c r="G9" s="275"/>
      <c r="H9" s="275"/>
      <c r="I9" s="275"/>
      <c r="J9" s="275"/>
      <c r="K9" s="275"/>
      <c r="L9" s="275"/>
    </row>
    <row r="10" spans="2:12" x14ac:dyDescent="0.25">
      <c r="B10" s="1" t="s">
        <v>227</v>
      </c>
      <c r="C10" s="132">
        <v>2017</v>
      </c>
      <c r="D10" s="132">
        <v>2018</v>
      </c>
      <c r="E10" s="132">
        <v>2019</v>
      </c>
      <c r="F10" s="132">
        <v>2020</v>
      </c>
      <c r="G10" s="132">
        <v>2021</v>
      </c>
      <c r="H10" s="133">
        <v>2022</v>
      </c>
      <c r="I10" s="133">
        <v>2023</v>
      </c>
      <c r="J10" s="133">
        <v>2024</v>
      </c>
      <c r="K10" s="133">
        <v>2025</v>
      </c>
      <c r="L10" s="133">
        <v>2026</v>
      </c>
    </row>
    <row r="11" spans="2:12" x14ac:dyDescent="0.25">
      <c r="B11" s="1" t="s">
        <v>236</v>
      </c>
      <c r="C11" s="188"/>
      <c r="D11" s="252">
        <f>'Proyecciones Estados Financiero'!D82</f>
        <v>86425549</v>
      </c>
      <c r="E11" s="252">
        <f>'Proyecciones Estados Financiero'!E82</f>
        <v>136016100</v>
      </c>
      <c r="F11" s="252">
        <f>'Proyecciones Estados Financiero'!F82</f>
        <v>530417473</v>
      </c>
      <c r="G11" s="252">
        <f>'Proyecciones Estados Financiero'!G82</f>
        <v>-13719389</v>
      </c>
      <c r="H11" s="253">
        <f>'Proyecciones Estados Financiero'!H82</f>
        <v>54374231.529001452</v>
      </c>
      <c r="I11" s="253">
        <f>'Proyecciones Estados Financiero'!I82</f>
        <v>58234801.967559904</v>
      </c>
      <c r="J11" s="253">
        <f>'Proyecciones Estados Financiero'!J82</f>
        <v>59457732.808879741</v>
      </c>
      <c r="K11" s="253">
        <f>'Proyecciones Estados Financiero'!K82</f>
        <v>61122549.32752721</v>
      </c>
      <c r="L11" s="253">
        <f>'Proyecciones Estados Financiero'!L82</f>
        <v>63078470.906009056</v>
      </c>
    </row>
    <row r="12" spans="2:12" x14ac:dyDescent="0.25">
      <c r="B12" s="1" t="s">
        <v>184</v>
      </c>
      <c r="C12" s="188"/>
      <c r="D12" s="252">
        <f>'Proyecciones Estados Financiero'!D80</f>
        <v>131156575</v>
      </c>
      <c r="E12" s="252">
        <f>'Proyecciones Estados Financiero'!E80</f>
        <v>250784418</v>
      </c>
      <c r="F12" s="252">
        <f>'Proyecciones Estados Financiero'!F80</f>
        <v>397162535</v>
      </c>
      <c r="G12" s="252">
        <f>'Proyecciones Estados Financiero'!G80</f>
        <v>78700289</v>
      </c>
      <c r="H12" s="253">
        <f>'Proyecciones Estados Financiero'!H80</f>
        <v>26792624.691000778</v>
      </c>
      <c r="I12" s="253">
        <f>'Proyecciones Estados Financiero'!I80</f>
        <v>28694901.044061486</v>
      </c>
      <c r="J12" s="253">
        <f>'Proyecciones Estados Financiero'!J80</f>
        <v>29297493.965987355</v>
      </c>
      <c r="K12" s="253">
        <f>'Proyecciones Estados Financiero'!K80</f>
        <v>30117823.797034379</v>
      </c>
      <c r="L12" s="253">
        <f>'Proyecciones Estados Financiero'!L80</f>
        <v>31081594.158540003</v>
      </c>
    </row>
    <row r="13" spans="2:12" x14ac:dyDescent="0.25">
      <c r="B13" s="1" t="s">
        <v>185</v>
      </c>
      <c r="C13" s="188"/>
      <c r="D13" s="252">
        <f>'Proyecciones Estados Financiero'!D77</f>
        <v>638332036</v>
      </c>
      <c r="E13" s="252">
        <f>'Proyecciones Estados Financiero'!E77</f>
        <v>615387646</v>
      </c>
      <c r="F13" s="252">
        <f>'Proyecciones Estados Financiero'!F77</f>
        <v>366727292</v>
      </c>
      <c r="G13" s="252">
        <f>'Proyecciones Estados Financiero'!G77</f>
        <v>514683196</v>
      </c>
      <c r="H13" s="253">
        <f>'Proyecciones Estados Financiero'!H77</f>
        <v>569754297.972</v>
      </c>
      <c r="I13" s="253">
        <f>'Proyecciones Estados Financiero'!I77</f>
        <v>610206853.12801194</v>
      </c>
      <c r="J13" s="253">
        <f>'Proyecciones Estados Financiero'!J77</f>
        <v>623021197.0437001</v>
      </c>
      <c r="K13" s="253">
        <f>'Proyecciones Estados Financiero'!K77</f>
        <v>640465790.5609237</v>
      </c>
      <c r="L13" s="253">
        <f>'Proyecciones Estados Financiero'!L77</f>
        <v>660960695.85887325</v>
      </c>
    </row>
    <row r="14" spans="2:12" x14ac:dyDescent="0.25">
      <c r="B14" s="1" t="s">
        <v>147</v>
      </c>
      <c r="C14" s="188"/>
      <c r="D14" s="252">
        <f>D11+D12+D13</f>
        <v>855914160</v>
      </c>
      <c r="E14" s="252">
        <f t="shared" ref="E14:L14" si="0">E11+E12+E13</f>
        <v>1002188164</v>
      </c>
      <c r="F14" s="252">
        <f t="shared" si="0"/>
        <v>1294307300</v>
      </c>
      <c r="G14" s="252">
        <f t="shared" si="0"/>
        <v>579664096</v>
      </c>
      <c r="H14" s="253">
        <f t="shared" si="0"/>
        <v>650921154.1920023</v>
      </c>
      <c r="I14" s="253">
        <f t="shared" si="0"/>
        <v>697136556.1396333</v>
      </c>
      <c r="J14" s="253">
        <f t="shared" si="0"/>
        <v>711776423.81856716</v>
      </c>
      <c r="K14" s="253">
        <f t="shared" si="0"/>
        <v>731706163.68548524</v>
      </c>
      <c r="L14" s="253">
        <f t="shared" si="0"/>
        <v>755120760.92342234</v>
      </c>
    </row>
    <row r="15" spans="2:12" x14ac:dyDescent="0.25">
      <c r="B15" s="1" t="s">
        <v>235</v>
      </c>
      <c r="C15" s="188"/>
      <c r="D15" s="252">
        <f>'Proyecciones Estados Financiero'!D81</f>
        <v>9278813</v>
      </c>
      <c r="E15" s="252">
        <f>'Proyecciones Estados Financiero'!E81</f>
        <v>1065677</v>
      </c>
      <c r="F15" s="252">
        <f>'Proyecciones Estados Financiero'!F81</f>
        <v>19387438</v>
      </c>
      <c r="G15" s="252">
        <f>'Proyecciones Estados Financiero'!G81</f>
        <v>4170280</v>
      </c>
      <c r="H15" s="253">
        <f>'Proyecciones Estados Financiero'!H81</f>
        <v>4616499.96</v>
      </c>
      <c r="I15" s="253">
        <f>'Proyecciones Estados Financiero'!I81</f>
        <v>4944271.4571599998</v>
      </c>
      <c r="J15" s="253">
        <f>'Proyecciones Estados Financiero'!J81</f>
        <v>5048101.1577603593</v>
      </c>
      <c r="K15" s="253">
        <f>'Proyecciones Estados Financiero'!K81</f>
        <v>5189447.9901776491</v>
      </c>
      <c r="L15" s="253">
        <f>'Proyecciones Estados Financiero'!L81</f>
        <v>5355510.3258633344</v>
      </c>
    </row>
    <row r="16" spans="2:12" ht="16.5" customHeight="1" x14ac:dyDescent="0.25">
      <c r="B16" s="1" t="s">
        <v>237</v>
      </c>
      <c r="C16" s="188"/>
      <c r="D16" s="252">
        <f>D14-D15</f>
        <v>846635347</v>
      </c>
      <c r="E16" s="252">
        <f t="shared" ref="E16:L16" si="1">E14-E15</f>
        <v>1001122487</v>
      </c>
      <c r="F16" s="252">
        <f t="shared" si="1"/>
        <v>1274919862</v>
      </c>
      <c r="G16" s="252">
        <f t="shared" si="1"/>
        <v>575493816</v>
      </c>
      <c r="H16" s="253">
        <f t="shared" si="1"/>
        <v>646304654.23200226</v>
      </c>
      <c r="I16" s="253">
        <f t="shared" si="1"/>
        <v>692192284.6824733</v>
      </c>
      <c r="J16" s="253">
        <f t="shared" si="1"/>
        <v>706728322.66080678</v>
      </c>
      <c r="K16" s="253">
        <f t="shared" si="1"/>
        <v>726516715.69530761</v>
      </c>
      <c r="L16" s="253">
        <f t="shared" si="1"/>
        <v>749765250.59755898</v>
      </c>
    </row>
    <row r="17" spans="2:12" x14ac:dyDescent="0.25">
      <c r="B17" s="1" t="s">
        <v>186</v>
      </c>
      <c r="C17" s="188"/>
      <c r="D17" s="252">
        <f>'Proyecciones Estados Financiero'!D63</f>
        <v>271645297</v>
      </c>
      <c r="E17" s="252">
        <f>'Proyecciones Estados Financiero'!E63</f>
        <v>196588192</v>
      </c>
      <c r="F17" s="252">
        <f>'Proyecciones Estados Financiero'!F63</f>
        <v>199060704</v>
      </c>
      <c r="G17" s="252">
        <f>'Proyecciones Estados Financiero'!G63</f>
        <v>217471629</v>
      </c>
      <c r="H17" s="253">
        <f>'Proyecciones Estados Financiero'!H63</f>
        <v>204373508.33333334</v>
      </c>
      <c r="I17" s="253">
        <f>'Proyecciones Estados Financiero'!I63</f>
        <v>206968613.77777779</v>
      </c>
      <c r="J17" s="253">
        <f>'Proyecciones Estados Financiero'!J63</f>
        <v>209604583.70370373</v>
      </c>
      <c r="K17" s="253">
        <f>'Proyecciones Estados Financiero'!K63</f>
        <v>206982235.27160498</v>
      </c>
      <c r="L17" s="253">
        <f>'Proyecciones Estados Financiero'!L63</f>
        <v>207851810.91769552</v>
      </c>
    </row>
    <row r="18" spans="2:12" x14ac:dyDescent="0.25">
      <c r="B18" s="1" t="s">
        <v>253</v>
      </c>
      <c r="C18" s="188"/>
      <c r="D18" s="252">
        <f>'Proyecciones Estados Financiero'!D64</f>
        <v>138553887</v>
      </c>
      <c r="E18" s="252">
        <f>'Proyecciones Estados Financiero'!E64</f>
        <v>177021270</v>
      </c>
      <c r="F18" s="252">
        <f>'Proyecciones Estados Financiero'!F64</f>
        <v>122753607</v>
      </c>
      <c r="G18" s="252">
        <f>'Proyecciones Estados Financiero'!G64</f>
        <v>148636088</v>
      </c>
      <c r="H18" s="253">
        <f>'Proyecciones Estados Financiero'!H64</f>
        <v>149470321.66666666</v>
      </c>
      <c r="I18" s="253">
        <f>'Proyecciones Estados Financiero'!I64</f>
        <v>140286672.22222221</v>
      </c>
      <c r="J18" s="253">
        <f>'Proyecciones Estados Financiero'!J64</f>
        <v>146131027.29629627</v>
      </c>
      <c r="K18" s="253">
        <f>'Proyecciones Estados Financiero'!K64</f>
        <v>145296007.06172836</v>
      </c>
      <c r="L18" s="253">
        <f>'Proyecciones Estados Financiero'!L64</f>
        <v>143904568.86008227</v>
      </c>
    </row>
    <row r="19" spans="2:12" x14ac:dyDescent="0.25">
      <c r="B19" s="1" t="s">
        <v>212</v>
      </c>
      <c r="C19" s="188"/>
      <c r="D19" s="252">
        <f>D16+D17+D18</f>
        <v>1256834531</v>
      </c>
      <c r="E19" s="252">
        <f t="shared" ref="E19:L19" si="2">E16+E17+E18</f>
        <v>1374731949</v>
      </c>
      <c r="F19" s="252">
        <f t="shared" si="2"/>
        <v>1596734173</v>
      </c>
      <c r="G19" s="252">
        <f t="shared" si="2"/>
        <v>941601533</v>
      </c>
      <c r="H19" s="253">
        <f t="shared" si="2"/>
        <v>1000148484.2320023</v>
      </c>
      <c r="I19" s="253">
        <f t="shared" si="2"/>
        <v>1039447570.6824733</v>
      </c>
      <c r="J19" s="253">
        <f t="shared" si="2"/>
        <v>1062463933.6608068</v>
      </c>
      <c r="K19" s="253">
        <f t="shared" si="2"/>
        <v>1078794958.028641</v>
      </c>
      <c r="L19" s="253">
        <f t="shared" si="2"/>
        <v>1101521630.3753366</v>
      </c>
    </row>
    <row r="20" spans="2:12" x14ac:dyDescent="0.25">
      <c r="B20" s="1" t="s">
        <v>213</v>
      </c>
      <c r="C20" s="188"/>
      <c r="D20" s="252">
        <f>D33</f>
        <v>-348603753</v>
      </c>
      <c r="E20" s="252">
        <f t="shared" ref="E20:L20" si="3">E33</f>
        <v>-247956489</v>
      </c>
      <c r="F20" s="252">
        <f t="shared" si="3"/>
        <v>-83687766</v>
      </c>
      <c r="G20" s="252">
        <f t="shared" si="3"/>
        <v>-153228252</v>
      </c>
      <c r="H20" s="253">
        <f>H33</f>
        <v>684738827.3809998</v>
      </c>
      <c r="I20" s="253">
        <f t="shared" si="3"/>
        <v>167310596.07620835</v>
      </c>
      <c r="J20" s="253">
        <f t="shared" si="3"/>
        <v>89332846.417804718</v>
      </c>
      <c r="K20" s="253">
        <f t="shared" si="3"/>
        <v>100381129.98665953</v>
      </c>
      <c r="L20" s="253">
        <f t="shared" si="3"/>
        <v>109281511.43139505</v>
      </c>
    </row>
    <row r="21" spans="2:12" x14ac:dyDescent="0.25">
      <c r="B21" s="1" t="s">
        <v>214</v>
      </c>
      <c r="C21" s="188"/>
      <c r="D21" s="252">
        <f>('Proyecciones Estados Financiero'!D24-'Proyecciones Estados Financiero'!C24)+('Proyecciones Estados Financiero'!D25-'Proyecciones Estados Financiero'!C25)</f>
        <v>562259753</v>
      </c>
      <c r="E21" s="252">
        <f>('Proyecciones Estados Financiero'!E24-'Proyecciones Estados Financiero'!D24)+('Proyecciones Estados Financiero'!E25-'Proyecciones Estados Financiero'!D25)</f>
        <v>-30865038</v>
      </c>
      <c r="F21" s="252">
        <f>('Proyecciones Estados Financiero'!F24-'Proyecciones Estados Financiero'!E24)+('Proyecciones Estados Financiero'!F25-'Proyecciones Estados Financiero'!E25)</f>
        <v>216236991</v>
      </c>
      <c r="G21" s="252">
        <f>('Proyecciones Estados Financiero'!G24-'Proyecciones Estados Financiero'!F24)+('Proyecciones Estados Financiero'!G25-'Proyecciones Estados Financiero'!F25)</f>
        <v>221018282</v>
      </c>
      <c r="H21" s="253">
        <f>('Proyecciones Estados Financiero'!H24-'Proyecciones Estados Financiero'!G24)+('Proyecciones Estados Financiero'!H25-'Proyecciones Estados Financiero'!G25)</f>
        <v>1778524192.4749985</v>
      </c>
      <c r="I21" s="253">
        <f>('Proyecciones Estados Financiero'!I24-'Proyecciones Estados Financiero'!H24)+('Proyecciones Estados Financiero'!I25-'Proyecciones Estados Financiero'!H25)</f>
        <v>1306417438.8407249</v>
      </c>
      <c r="J21" s="253">
        <f>('Proyecciones Estados Financiero'!J24-'Proyecciones Estados Financiero'!I24)+('Proyecciones Estados Financiero'!J25-'Proyecciones Estados Financiero'!I25)</f>
        <v>413839924.18262863</v>
      </c>
      <c r="K21" s="253">
        <f>('Proyecciones Estados Financiero'!K24-'Proyecciones Estados Financiero'!J24)+('Proyecciones Estados Financiero'!K25-'Proyecciones Estados Financiero'!J25)</f>
        <v>563374083.45395279</v>
      </c>
      <c r="L21" s="253">
        <f>('Proyecciones Estados Financiero'!L24-'Proyecciones Estados Financiero'!K24)+('Proyecciones Estados Financiero'!L25-'Proyecciones Estados Financiero'!K25)</f>
        <v>661884066.04647446</v>
      </c>
    </row>
    <row r="22" spans="2:12" x14ac:dyDescent="0.25">
      <c r="B22" s="1" t="s">
        <v>215</v>
      </c>
      <c r="C22" s="188"/>
      <c r="D22" s="252">
        <f>D20+D21</f>
        <v>213656000</v>
      </c>
      <c r="E22" s="252">
        <f t="shared" ref="E22:L22" si="4">E20+E21</f>
        <v>-278821527</v>
      </c>
      <c r="F22" s="252">
        <f t="shared" si="4"/>
        <v>132549225</v>
      </c>
      <c r="G22" s="252">
        <f t="shared" si="4"/>
        <v>67790030</v>
      </c>
      <c r="H22" s="253">
        <f t="shared" si="4"/>
        <v>2463263019.855998</v>
      </c>
      <c r="I22" s="253">
        <f t="shared" si="4"/>
        <v>1473728034.9169333</v>
      </c>
      <c r="J22" s="253">
        <f t="shared" si="4"/>
        <v>503172770.60043335</v>
      </c>
      <c r="K22" s="253">
        <f t="shared" si="4"/>
        <v>663755213.44061232</v>
      </c>
      <c r="L22" s="253">
        <f t="shared" si="4"/>
        <v>771165577.47786951</v>
      </c>
    </row>
    <row r="23" spans="2:12" x14ac:dyDescent="0.25">
      <c r="D23" s="252"/>
      <c r="E23" s="252"/>
      <c r="F23" s="252"/>
      <c r="G23" s="252"/>
      <c r="H23" s="253"/>
      <c r="I23" s="253"/>
      <c r="J23" s="253"/>
      <c r="K23" s="253"/>
      <c r="L23" s="253"/>
    </row>
    <row r="24" spans="2:12" x14ac:dyDescent="0.25">
      <c r="B24" s="110" t="s">
        <v>216</v>
      </c>
      <c r="D24" s="252">
        <f>D19-D22</f>
        <v>1043178531</v>
      </c>
      <c r="E24" s="252">
        <f t="shared" ref="E24:L24" si="5">E19-E22</f>
        <v>1653553476</v>
      </c>
      <c r="F24" s="252">
        <f t="shared" si="5"/>
        <v>1464184948</v>
      </c>
      <c r="G24" s="252">
        <f t="shared" si="5"/>
        <v>873811503</v>
      </c>
      <c r="H24" s="253">
        <f t="shared" si="5"/>
        <v>-1463114535.6239958</v>
      </c>
      <c r="I24" s="253">
        <f t="shared" si="5"/>
        <v>-434280464.23446</v>
      </c>
      <c r="J24" s="253">
        <f t="shared" si="5"/>
        <v>559291163.06037343</v>
      </c>
      <c r="K24" s="253">
        <f t="shared" si="5"/>
        <v>415039744.58802867</v>
      </c>
      <c r="L24" s="253">
        <f t="shared" si="5"/>
        <v>330356052.89746714</v>
      </c>
    </row>
    <row r="26" spans="2:12" ht="37.5" customHeight="1" x14ac:dyDescent="0.25">
      <c r="B26" s="275" t="s">
        <v>228</v>
      </c>
      <c r="C26" s="275"/>
      <c r="D26" s="275"/>
      <c r="E26" s="275"/>
      <c r="F26" s="275"/>
      <c r="G26" s="275"/>
      <c r="H26" s="275"/>
      <c r="I26" s="275"/>
      <c r="J26" s="275"/>
      <c r="K26" s="275"/>
      <c r="L26" s="275"/>
    </row>
    <row r="27" spans="2:12" x14ac:dyDescent="0.25">
      <c r="B27" s="1" t="s">
        <v>228</v>
      </c>
      <c r="C27" s="132">
        <v>2017</v>
      </c>
      <c r="D27" s="132">
        <v>2018</v>
      </c>
      <c r="E27" s="132">
        <v>2019</v>
      </c>
      <c r="F27" s="132">
        <v>2020</v>
      </c>
      <c r="G27" s="132">
        <v>2021</v>
      </c>
      <c r="H27" s="133">
        <v>2022</v>
      </c>
      <c r="I27" s="133">
        <v>2023</v>
      </c>
      <c r="J27" s="133">
        <v>2024</v>
      </c>
      <c r="K27" s="133">
        <v>2025</v>
      </c>
      <c r="L27" s="133">
        <v>2026</v>
      </c>
    </row>
    <row r="28" spans="2:12" x14ac:dyDescent="0.25">
      <c r="B28" s="1" t="s">
        <v>229</v>
      </c>
      <c r="C28" s="111">
        <f>'Proyecciones Estados Financiero'!C21</f>
        <v>924762736</v>
      </c>
      <c r="D28" s="111">
        <f>'Proyecciones Estados Financiero'!D21</f>
        <v>901727182</v>
      </c>
      <c r="E28" s="111">
        <f>'Proyecciones Estados Financiero'!E21</f>
        <v>1231404016</v>
      </c>
      <c r="F28" s="111">
        <f>'Proyecciones Estados Financiero'!F21</f>
        <v>667428635</v>
      </c>
      <c r="G28" s="111">
        <f>'Proyecciones Estados Financiero'!G21</f>
        <v>1147382445</v>
      </c>
      <c r="H28" s="111">
        <f>'Proyecciones Estados Financiero'!H21</f>
        <v>2036256323.493</v>
      </c>
      <c r="I28" s="111">
        <f>'Proyecciones Estados Financiero'!I21</f>
        <v>2353516630.5341601</v>
      </c>
      <c r="J28" s="111">
        <f>'Proyecciones Estados Financiero'!J21</f>
        <v>2490349104.0085807</v>
      </c>
      <c r="K28" s="111">
        <f>'Proyecciones Estados Financiero'!K21</f>
        <v>2655393059.2669802</v>
      </c>
      <c r="L28" s="111">
        <f>'Proyecciones Estados Financiero'!L21</f>
        <v>2840644152.6713452</v>
      </c>
    </row>
    <row r="29" spans="2:12" x14ac:dyDescent="0.25">
      <c r="B29" s="1" t="s">
        <v>230</v>
      </c>
      <c r="C29" s="111">
        <f>'Proyecciones Estados Financiero'!C39</f>
        <v>851708247</v>
      </c>
      <c r="D29" s="111">
        <f>'Proyecciones Estados Financiero'!D39</f>
        <v>1177276446</v>
      </c>
      <c r="E29" s="111">
        <f>'Proyecciones Estados Financiero'!E39</f>
        <v>2054909769</v>
      </c>
      <c r="F29" s="111">
        <f>'Proyecciones Estados Financiero'!F39</f>
        <v>1955913810</v>
      </c>
      <c r="G29" s="111">
        <f>'Proyecciones Estados Financiero'!G39</f>
        <v>2430679381</v>
      </c>
      <c r="H29" s="111">
        <f>'Proyecciones Estados Financiero'!H39</f>
        <v>2690762074.7670002</v>
      </c>
      <c r="I29" s="111">
        <f>'Proyecciones Estados Financiero'!I39</f>
        <v>2881808205.0754571</v>
      </c>
      <c r="J29" s="111">
        <f>'Proyecciones Estados Financiero'!J39</f>
        <v>2942326135.8990412</v>
      </c>
      <c r="K29" s="111">
        <f>'Proyecciones Estados Financiero'!K39</f>
        <v>3024711212.0322146</v>
      </c>
      <c r="L29" s="111">
        <f>'Proyecciones Estados Financiero'!L39</f>
        <v>3121501907.0172453</v>
      </c>
    </row>
    <row r="30" spans="2:12" x14ac:dyDescent="0.25">
      <c r="B30" s="1" t="s">
        <v>231</v>
      </c>
      <c r="C30" s="111">
        <f>'Proyecciones Estados Financiero'!C34</f>
        <v>0</v>
      </c>
      <c r="D30" s="111">
        <f>'Proyecciones Estados Financiero'!D34</f>
        <v>0</v>
      </c>
      <c r="E30" s="111">
        <f>'Proyecciones Estados Financiero'!E34</f>
        <v>300000000</v>
      </c>
      <c r="F30" s="111">
        <f>'Proyecciones Estados Financiero'!F34</f>
        <v>681291656</v>
      </c>
      <c r="G30" s="111">
        <f>'Proyecciones Estados Financiero'!G34</f>
        <v>522875165</v>
      </c>
      <c r="H30" s="111">
        <f>'Proyecciones Estados Financiero'!H34</f>
        <v>578822807.65499997</v>
      </c>
      <c r="I30" s="111">
        <f>'Proyecciones Estados Financiero'!I34</f>
        <v>619919226.998505</v>
      </c>
      <c r="J30" s="111">
        <f>'Proyecciones Estados Financiero'!J34</f>
        <v>632937530.76547348</v>
      </c>
      <c r="K30" s="111">
        <f>'Proyecciones Estados Financiero'!K34</f>
        <v>650659781.62690675</v>
      </c>
      <c r="L30" s="111">
        <f>'Proyecciones Estados Financiero'!L34</f>
        <v>671480894.63896775</v>
      </c>
    </row>
    <row r="31" spans="2:12" x14ac:dyDescent="0.25">
      <c r="B31" s="1" t="s">
        <v>232</v>
      </c>
      <c r="C31" s="126">
        <f>C29-C30</f>
        <v>851708247</v>
      </c>
      <c r="D31" s="126">
        <f t="shared" ref="D31:L31" si="6">D29-D30</f>
        <v>1177276446</v>
      </c>
      <c r="E31" s="126">
        <f t="shared" si="6"/>
        <v>1754909769</v>
      </c>
      <c r="F31" s="126">
        <f t="shared" si="6"/>
        <v>1274622154</v>
      </c>
      <c r="G31" s="126">
        <f t="shared" si="6"/>
        <v>1907804216</v>
      </c>
      <c r="H31" s="126">
        <f t="shared" si="6"/>
        <v>2111939267.1120002</v>
      </c>
      <c r="I31" s="126">
        <f t="shared" si="6"/>
        <v>2261888978.076952</v>
      </c>
      <c r="J31" s="126">
        <f t="shared" si="6"/>
        <v>2309388605.1335678</v>
      </c>
      <c r="K31" s="126">
        <f t="shared" si="6"/>
        <v>2374051430.4053078</v>
      </c>
      <c r="L31" s="126">
        <f t="shared" si="6"/>
        <v>2450021012.3782778</v>
      </c>
    </row>
    <row r="32" spans="2:12" x14ac:dyDescent="0.25">
      <c r="B32" s="1" t="s">
        <v>233</v>
      </c>
      <c r="C32" s="126">
        <f t="shared" ref="C32:L32" si="7">C28-C31</f>
        <v>73054489</v>
      </c>
      <c r="D32" s="126">
        <f t="shared" si="7"/>
        <v>-275549264</v>
      </c>
      <c r="E32" s="126">
        <f t="shared" si="7"/>
        <v>-523505753</v>
      </c>
      <c r="F32" s="126">
        <f t="shared" si="7"/>
        <v>-607193519</v>
      </c>
      <c r="G32" s="126">
        <f t="shared" si="7"/>
        <v>-760421771</v>
      </c>
      <c r="H32" s="126">
        <f t="shared" si="7"/>
        <v>-75682943.619000196</v>
      </c>
      <c r="I32" s="126">
        <f t="shared" si="7"/>
        <v>91627652.457208157</v>
      </c>
      <c r="J32" s="126">
        <f t="shared" si="7"/>
        <v>180960498.87501287</v>
      </c>
      <c r="K32" s="126">
        <f t="shared" si="7"/>
        <v>281341628.8616724</v>
      </c>
      <c r="L32" s="126">
        <f t="shared" si="7"/>
        <v>390623140.29306746</v>
      </c>
    </row>
    <row r="33" spans="2:12" ht="31.5" x14ac:dyDescent="0.25">
      <c r="B33" s="195" t="s">
        <v>234</v>
      </c>
      <c r="C33" s="188"/>
      <c r="D33" s="126">
        <f>D32-C32</f>
        <v>-348603753</v>
      </c>
      <c r="E33" s="126">
        <f t="shared" ref="E33:L33" si="8">E32-D32</f>
        <v>-247956489</v>
      </c>
      <c r="F33" s="126">
        <f t="shared" si="8"/>
        <v>-83687766</v>
      </c>
      <c r="G33" s="126">
        <f t="shared" si="8"/>
        <v>-153228252</v>
      </c>
      <c r="H33" s="126">
        <f t="shared" si="8"/>
        <v>684738827.3809998</v>
      </c>
      <c r="I33" s="126">
        <f t="shared" si="8"/>
        <v>167310596.07620835</v>
      </c>
      <c r="J33" s="126">
        <f t="shared" si="8"/>
        <v>89332846.417804718</v>
      </c>
      <c r="K33" s="126">
        <f t="shared" si="8"/>
        <v>100381129.98665953</v>
      </c>
      <c r="L33" s="126">
        <f t="shared" si="8"/>
        <v>109281511.43139505</v>
      </c>
    </row>
    <row r="35" spans="2:12" ht="31.5" customHeight="1" x14ac:dyDescent="0.25">
      <c r="B35" s="275" t="s">
        <v>217</v>
      </c>
      <c r="C35" s="275"/>
      <c r="D35" s="275"/>
      <c r="E35" s="275"/>
      <c r="F35" s="275"/>
      <c r="G35" s="275"/>
      <c r="H35" s="275"/>
      <c r="I35" s="275"/>
      <c r="J35" s="275"/>
      <c r="K35" s="275"/>
      <c r="L35" s="275"/>
    </row>
    <row r="36" spans="2:12" x14ac:dyDescent="0.25">
      <c r="C36" s="132">
        <v>2017</v>
      </c>
      <c r="D36" s="132">
        <v>2018</v>
      </c>
      <c r="E36" s="132">
        <v>2019</v>
      </c>
      <c r="F36" s="132">
        <v>2020</v>
      </c>
      <c r="G36" s="132">
        <v>2021</v>
      </c>
      <c r="H36" s="133">
        <v>2022</v>
      </c>
      <c r="I36" s="133">
        <v>2023</v>
      </c>
      <c r="J36" s="133">
        <v>2024</v>
      </c>
      <c r="K36" s="133">
        <v>2025</v>
      </c>
      <c r="L36" s="133">
        <v>2026</v>
      </c>
    </row>
    <row r="37" spans="2:12" x14ac:dyDescent="0.25">
      <c r="B37" s="1" t="s">
        <v>192</v>
      </c>
      <c r="C37" s="197"/>
      <c r="D37" s="126">
        <f>'Proyecciones Estados Financiero'!D34+'Proyecciones Estados Financiero'!D42</f>
        <v>2992927779</v>
      </c>
      <c r="E37" s="126">
        <f>'Proyecciones Estados Financiero'!E34+'Proyecciones Estados Financiero'!E42</f>
        <v>2887635103</v>
      </c>
      <c r="F37" s="126">
        <f>'Proyecciones Estados Financiero'!F34+'Proyecciones Estados Financiero'!F42</f>
        <v>3449166357</v>
      </c>
      <c r="G37" s="126">
        <f>'Proyecciones Estados Financiero'!G34+'Proyecciones Estados Financiero'!G42</f>
        <v>3538051788</v>
      </c>
      <c r="H37" s="126">
        <f>'Proyecciones Estados Financiero'!H34+'Proyecciones Estados Financiero'!H42</f>
        <v>3916623329.316</v>
      </c>
      <c r="I37" s="126">
        <f>'Proyecciones Estados Financiero'!I34+'Proyecciones Estados Financiero'!I42</f>
        <v>4194703585.6974359</v>
      </c>
      <c r="J37" s="126">
        <f>'Proyecciones Estados Financiero'!J34+'Proyecciones Estados Financiero'!J42</f>
        <v>4282792360.9970813</v>
      </c>
      <c r="K37" s="126">
        <f>'Proyecciones Estados Financiero'!K34+'Proyecciones Estados Financiero'!K42</f>
        <v>4402710547.1049995</v>
      </c>
      <c r="L37" s="126">
        <f>'Proyecciones Estados Financiero'!L34+'Proyecciones Estados Financiero'!L42</f>
        <v>4543597284.61236</v>
      </c>
    </row>
    <row r="38" spans="2:12" x14ac:dyDescent="0.25">
      <c r="B38" s="1" t="s">
        <v>193</v>
      </c>
      <c r="C38" s="198"/>
      <c r="D38" s="111">
        <f>'Proyecciones Estados Financiero'!D57</f>
        <v>13900720428</v>
      </c>
      <c r="E38" s="111">
        <f>'Proyecciones Estados Financiero'!E57</f>
        <v>14036736528</v>
      </c>
      <c r="F38" s="111">
        <f>'Proyecciones Estados Financiero'!F57</f>
        <v>14567154001</v>
      </c>
      <c r="G38" s="111">
        <f>'Proyecciones Estados Financiero'!G57</f>
        <v>14553434613</v>
      </c>
      <c r="H38" s="111">
        <f>'Proyecciones Estados Financiero'!H57</f>
        <v>16524158014.079</v>
      </c>
      <c r="I38" s="111">
        <f>'Proyecciones Estados Financiero'!I57</f>
        <v>17606613953.234612</v>
      </c>
      <c r="J38" s="111">
        <f>'Proyecciones Estados Financiero'!J57</f>
        <v>17990518976.134987</v>
      </c>
      <c r="K38" s="111">
        <f>'Proyecciones Estados Financiero'!K57</f>
        <v>18493322436.373741</v>
      </c>
      <c r="L38" s="111">
        <f>'Proyecciones Estados Financiero'!L57</f>
        <v>19075312880.327457</v>
      </c>
    </row>
    <row r="39" spans="2:12" x14ac:dyDescent="0.25">
      <c r="B39" s="1" t="s">
        <v>194</v>
      </c>
      <c r="C39" s="199"/>
      <c r="D39" s="108">
        <f>$C$4</f>
        <v>1.1299999999999999E-2</v>
      </c>
      <c r="E39" s="108">
        <f t="shared" ref="E39:L39" si="9">$C$4</f>
        <v>1.1299999999999999E-2</v>
      </c>
      <c r="F39" s="108">
        <f t="shared" si="9"/>
        <v>1.1299999999999999E-2</v>
      </c>
      <c r="G39" s="108">
        <f t="shared" si="9"/>
        <v>1.1299999999999999E-2</v>
      </c>
      <c r="H39" s="108">
        <f t="shared" si="9"/>
        <v>1.1299999999999999E-2</v>
      </c>
      <c r="I39" s="108">
        <f t="shared" si="9"/>
        <v>1.1299999999999999E-2</v>
      </c>
      <c r="J39" s="108">
        <f t="shared" si="9"/>
        <v>1.1299999999999999E-2</v>
      </c>
      <c r="K39" s="108">
        <f t="shared" si="9"/>
        <v>1.1299999999999999E-2</v>
      </c>
      <c r="L39" s="108">
        <f t="shared" si="9"/>
        <v>1.1299999999999999E-2</v>
      </c>
    </row>
    <row r="40" spans="2:12" x14ac:dyDescent="0.25">
      <c r="B40" s="1" t="s">
        <v>195</v>
      </c>
      <c r="C40" s="199"/>
      <c r="D40" s="108">
        <f t="shared" ref="D40:L40" si="10">$C$2+($C$6-$C$2)*$C$4+$C$5</f>
        <v>0.16022428999999999</v>
      </c>
      <c r="E40" s="108">
        <f t="shared" si="10"/>
        <v>0.16022428999999999</v>
      </c>
      <c r="F40" s="108">
        <f t="shared" si="10"/>
        <v>0.16022428999999999</v>
      </c>
      <c r="G40" s="108">
        <f t="shared" si="10"/>
        <v>0.16022428999999999</v>
      </c>
      <c r="H40" s="108">
        <f t="shared" si="10"/>
        <v>0.16022428999999999</v>
      </c>
      <c r="I40" s="108">
        <f t="shared" si="10"/>
        <v>0.16022428999999999</v>
      </c>
      <c r="J40" s="108">
        <f t="shared" si="10"/>
        <v>0.16022428999999999</v>
      </c>
      <c r="K40" s="108">
        <f t="shared" si="10"/>
        <v>0.16022428999999999</v>
      </c>
      <c r="L40" s="108">
        <f t="shared" si="10"/>
        <v>0.16022428999999999</v>
      </c>
    </row>
    <row r="41" spans="2:12" x14ac:dyDescent="0.25">
      <c r="C41" s="200"/>
    </row>
    <row r="42" spans="2:12" x14ac:dyDescent="0.25">
      <c r="B42" s="1" t="s">
        <v>196</v>
      </c>
      <c r="C42" s="231"/>
      <c r="D42" s="232">
        <f t="shared" ref="D42:G42" si="11">+D37/(D37+D38)</f>
        <v>0.17716290420679293</v>
      </c>
      <c r="E42" s="232">
        <f t="shared" si="11"/>
        <v>0.170619930001465</v>
      </c>
      <c r="F42" s="232">
        <f t="shared" si="11"/>
        <v>0.19144677095333876</v>
      </c>
      <c r="G42" s="232">
        <f t="shared" si="11"/>
        <v>0.19556446107183517</v>
      </c>
      <c r="H42" s="232">
        <f>+H37/(H37+H38)</f>
        <v>0.19160829830908457</v>
      </c>
      <c r="I42" s="232">
        <f>+I37/(I37+I38)</f>
        <v>0.19240596712591693</v>
      </c>
      <c r="J42" s="232">
        <f t="shared" ref="J42:L42" si="12">+J37/(J37+J38)</f>
        <v>0.19228359430585401</v>
      </c>
      <c r="K42" s="232">
        <f t="shared" si="12"/>
        <v>0.19229141355106782</v>
      </c>
      <c r="L42" s="232">
        <f t="shared" si="12"/>
        <v>0.19237116585323771</v>
      </c>
    </row>
    <row r="43" spans="2:12" x14ac:dyDescent="0.25">
      <c r="B43" s="1" t="s">
        <v>197</v>
      </c>
      <c r="C43" s="201"/>
      <c r="D43" s="145">
        <f t="shared" ref="D43:G43" si="13">D38/(D37+D38)</f>
        <v>0.82283709579320707</v>
      </c>
      <c r="E43" s="145">
        <f t="shared" si="13"/>
        <v>0.82938006999853497</v>
      </c>
      <c r="F43" s="145">
        <f t="shared" si="13"/>
        <v>0.80855322904666127</v>
      </c>
      <c r="G43" s="145">
        <f t="shared" si="13"/>
        <v>0.80443553892816477</v>
      </c>
      <c r="H43" s="145">
        <f>H38/(H37+H38)</f>
        <v>0.80839170169091545</v>
      </c>
      <c r="I43" s="145">
        <f t="shared" ref="I43:L43" si="14">I38/(I37+I38)</f>
        <v>0.80759403287408305</v>
      </c>
      <c r="J43" s="145">
        <f t="shared" si="14"/>
        <v>0.80771640569414593</v>
      </c>
      <c r="K43" s="145">
        <f t="shared" si="14"/>
        <v>0.80770858644893218</v>
      </c>
      <c r="L43" s="145">
        <f t="shared" si="14"/>
        <v>0.80762883414676223</v>
      </c>
    </row>
    <row r="44" spans="2:12" x14ac:dyDescent="0.25">
      <c r="B44" s="1" t="s">
        <v>198</v>
      </c>
      <c r="C44" s="199"/>
      <c r="D44" s="108">
        <f t="shared" ref="D44:G44" si="15">SUM(D42:D43)</f>
        <v>1</v>
      </c>
      <c r="E44" s="108">
        <f t="shared" si="15"/>
        <v>1</v>
      </c>
      <c r="F44" s="108">
        <f t="shared" si="15"/>
        <v>1</v>
      </c>
      <c r="G44" s="108">
        <f t="shared" si="15"/>
        <v>1</v>
      </c>
      <c r="H44" s="108">
        <f>SUM(H42:H43)</f>
        <v>1</v>
      </c>
      <c r="I44" s="108">
        <f t="shared" ref="I44:L44" si="16">SUM(I42:I43)</f>
        <v>1</v>
      </c>
      <c r="J44" s="108">
        <f t="shared" si="16"/>
        <v>1</v>
      </c>
      <c r="K44" s="108">
        <f t="shared" si="16"/>
        <v>1</v>
      </c>
      <c r="L44" s="108">
        <f t="shared" si="16"/>
        <v>1</v>
      </c>
    </row>
    <row r="45" spans="2:12" x14ac:dyDescent="0.25">
      <c r="C45" s="200"/>
    </row>
    <row r="46" spans="2:12" x14ac:dyDescent="0.25">
      <c r="B46" s="1" t="s">
        <v>199</v>
      </c>
      <c r="C46" s="202"/>
      <c r="D46" s="109">
        <f>'Proyecciones Estados Financiero'!D7*(1-('Proyecciones Estados Financiero'!D80+'Proyecciones Estados Financiero'!D81)/'Proyecciones Estados Financiero'!D79)</f>
        <v>3.7999746407876019E-2</v>
      </c>
      <c r="E46" s="109">
        <f>'Proyecciones Estados Financiero'!E7*(1-('Proyecciones Estados Financiero'!E80+'Proyecciones Estados Financiero'!E81)/'Proyecciones Estados Financiero'!E79)</f>
        <v>3.9035627832356562E-2</v>
      </c>
      <c r="F46" s="109">
        <f>'Proyecciones Estados Financiero'!F7*(1-('Proyecciones Estados Financiero'!F80+'Proyecciones Estados Financiero'!F81)/'Proyecciones Estados Financiero'!F79)</f>
        <v>5.998224170457709E-2</v>
      </c>
      <c r="G46" s="109">
        <f>'Proyecciones Estados Financiero'!G7*(1-('Proyecciones Estados Financiero'!G80+'Proyecciones Estados Financiero'!G81)/'Proyecciones Estados Financiero'!G79)</f>
        <v>-1.6688497460626252E-2</v>
      </c>
      <c r="H46" s="109">
        <f>'Proyecciones Estados Financiero'!H7*(1-('Proyecciones Estados Financiero'!H80+'Proyecciones Estados Financiero'!H81)/'Proyecciones Estados Financiero'!H79)</f>
        <v>5.2484177446178122E-2</v>
      </c>
      <c r="I46" s="109">
        <f>'Proyecciones Estados Financiero'!I7*(1-('Proyecciones Estados Financiero'!I80+'Proyecciones Estados Financiero'!I81)/'Proyecciones Estados Financiero'!I79)</f>
        <v>5.4793474506923061E-2</v>
      </c>
      <c r="J46" s="109">
        <f>'Proyecciones Estados Financiero'!J7*(1-('Proyecciones Estados Financiero'!J80+'Proyecciones Estados Financiero'!J81)/'Proyecciones Estados Financiero'!J79)</f>
        <v>5.9369238487599764E-2</v>
      </c>
      <c r="K46" s="109">
        <f>'Proyecciones Estados Financiero'!K7*(1-('Proyecciones Estados Financiero'!K80+'Proyecciones Estados Financiero'!K81)/'Proyecciones Estados Financiero'!K79)</f>
        <v>6.1821411811429861E-2</v>
      </c>
      <c r="L46" s="109">
        <f>'Proyecciones Estados Financiero'!L7*(1-('Proyecciones Estados Financiero'!L80+'Proyecciones Estados Financiero'!L81)/'Proyecciones Estados Financiero'!L79)</f>
        <v>6.4672800951422582E-2</v>
      </c>
    </row>
    <row r="47" spans="2:12" x14ac:dyDescent="0.25">
      <c r="B47" s="1" t="s">
        <v>200</v>
      </c>
      <c r="C47" s="199"/>
      <c r="D47" s="108">
        <f t="shared" ref="D47:G47" si="17">D46*D42</f>
        <v>6.732145432740963E-3</v>
      </c>
      <c r="E47" s="108">
        <f t="shared" si="17"/>
        <v>6.6602560883199154E-3</v>
      </c>
      <c r="F47" s="108">
        <f t="shared" si="17"/>
        <v>1.1483406488883973E-2</v>
      </c>
      <c r="G47" s="108">
        <f t="shared" si="17"/>
        <v>-3.2636770119860627E-3</v>
      </c>
      <c r="H47" s="108">
        <f>H46*H42</f>
        <v>1.0056403928614226E-2</v>
      </c>
      <c r="I47" s="108">
        <f t="shared" ref="I47:L47" si="18">I46*I42</f>
        <v>1.0542591454693806E-2</v>
      </c>
      <c r="J47" s="108">
        <f t="shared" si="18"/>
        <v>1.1415730567597126E-2</v>
      </c>
      <c r="K47" s="108">
        <f t="shared" si="18"/>
        <v>1.1887726664942528E-2</v>
      </c>
      <c r="L47" s="108">
        <f t="shared" si="18"/>
        <v>1.2441182118019544E-2</v>
      </c>
    </row>
    <row r="48" spans="2:12" x14ac:dyDescent="0.25">
      <c r="B48" s="1" t="s">
        <v>201</v>
      </c>
      <c r="C48" s="199"/>
      <c r="D48" s="108">
        <f t="shared" ref="D48:G48" si="19">D43*D40</f>
        <v>0.13183848945912857</v>
      </c>
      <c r="E48" s="108">
        <f t="shared" si="19"/>
        <v>0.13288683285566555</v>
      </c>
      <c r="F48" s="108">
        <f t="shared" si="19"/>
        <v>0.12954986705120866</v>
      </c>
      <c r="G48" s="108">
        <f t="shared" si="19"/>
        <v>0.12889011307553255</v>
      </c>
      <c r="H48" s="108">
        <f>H43*H40</f>
        <v>0.12952398644531873</v>
      </c>
      <c r="I48" s="108">
        <f t="shared" ref="I48:L48" si="20">I43*I40</f>
        <v>0.1293961805254866</v>
      </c>
      <c r="J48" s="108">
        <f t="shared" si="20"/>
        <v>0.12941578762369649</v>
      </c>
      <c r="K48" s="108">
        <f t="shared" si="20"/>
        <v>0.12941453479068377</v>
      </c>
      <c r="L48" s="108">
        <f t="shared" si="20"/>
        <v>0.12940175653469274</v>
      </c>
    </row>
    <row r="49" spans="2:12" x14ac:dyDescent="0.25">
      <c r="C49" s="200"/>
    </row>
    <row r="50" spans="2:12" x14ac:dyDescent="0.25">
      <c r="B50" s="110" t="s">
        <v>191</v>
      </c>
      <c r="C50" s="203"/>
      <c r="D50" s="196">
        <f t="shared" ref="D50:G50" si="21">D48+D47</f>
        <v>0.13857063489186955</v>
      </c>
      <c r="E50" s="196">
        <f t="shared" si="21"/>
        <v>0.13954708894398546</v>
      </c>
      <c r="F50" s="196">
        <f t="shared" si="21"/>
        <v>0.14103327354009262</v>
      </c>
      <c r="G50" s="196">
        <f t="shared" si="21"/>
        <v>0.12562643606354648</v>
      </c>
      <c r="H50" s="196">
        <f>H48+H47</f>
        <v>0.13958039037393297</v>
      </c>
      <c r="I50" s="196">
        <f t="shared" ref="I50:K50" si="22">I48+I47</f>
        <v>0.1399387719801804</v>
      </c>
      <c r="J50" s="196">
        <f t="shared" si="22"/>
        <v>0.14083151819129361</v>
      </c>
      <c r="K50" s="196">
        <f t="shared" si="22"/>
        <v>0.1413022614556263</v>
      </c>
      <c r="L50" s="196">
        <f>L48+L47</f>
        <v>0.14184293865271227</v>
      </c>
    </row>
    <row r="51" spans="2:12" x14ac:dyDescent="0.25">
      <c r="B51" s="110"/>
      <c r="C51" s="203"/>
      <c r="D51" s="196"/>
      <c r="E51" s="196"/>
      <c r="F51" s="196"/>
      <c r="G51" s="196"/>
      <c r="H51" s="196"/>
      <c r="I51" s="196"/>
      <c r="J51" s="196"/>
      <c r="K51" s="196"/>
      <c r="L51" s="196"/>
    </row>
    <row r="52" spans="2:12" x14ac:dyDescent="0.25">
      <c r="B52" s="110"/>
      <c r="C52" s="203"/>
      <c r="D52" s="196"/>
      <c r="E52" s="196"/>
      <c r="F52" s="196"/>
      <c r="G52" s="196"/>
      <c r="H52" s="196"/>
      <c r="I52" s="196"/>
      <c r="J52" s="196"/>
      <c r="K52" s="196"/>
      <c r="L52" s="196"/>
    </row>
    <row r="53" spans="2:12" x14ac:dyDescent="0.25">
      <c r="B53" s="110"/>
      <c r="C53" s="203"/>
      <c r="D53" s="196"/>
      <c r="E53" s="196"/>
      <c r="F53" s="196"/>
      <c r="G53" s="196"/>
      <c r="H53" s="196"/>
      <c r="I53" s="196"/>
      <c r="J53" s="196"/>
      <c r="K53" s="196"/>
      <c r="L53" s="196"/>
    </row>
    <row r="54" spans="2:12" x14ac:dyDescent="0.25">
      <c r="B54" s="110"/>
      <c r="C54" s="203"/>
      <c r="D54" s="196"/>
      <c r="E54" s="196"/>
      <c r="F54" s="196"/>
      <c r="G54" s="196"/>
      <c r="H54" s="196"/>
      <c r="I54" s="196"/>
      <c r="J54" s="196"/>
      <c r="K54" s="196"/>
      <c r="L54" s="196"/>
    </row>
    <row r="55" spans="2:12" x14ac:dyDescent="0.25">
      <c r="B55" s="110"/>
      <c r="C55" s="204"/>
      <c r="D55" s="196"/>
      <c r="E55" s="196"/>
      <c r="F55" s="196"/>
      <c r="G55" s="196"/>
      <c r="H55" s="196"/>
      <c r="I55" s="196"/>
      <c r="J55" s="196"/>
      <c r="K55" s="196"/>
      <c r="L55" s="196"/>
    </row>
    <row r="56" spans="2:12" x14ac:dyDescent="0.25">
      <c r="B56" s="110"/>
      <c r="C56" s="204"/>
      <c r="D56" s="196"/>
      <c r="E56" s="196"/>
      <c r="F56" s="196"/>
      <c r="G56" s="196"/>
      <c r="H56" s="196"/>
      <c r="I56" s="196"/>
      <c r="J56" s="196"/>
      <c r="K56" s="196"/>
      <c r="L56" s="196"/>
    </row>
    <row r="57" spans="2:12" x14ac:dyDescent="0.25">
      <c r="B57" s="275" t="s">
        <v>238</v>
      </c>
      <c r="C57" s="275"/>
      <c r="D57" s="275"/>
      <c r="E57" s="275"/>
      <c r="F57" s="275"/>
      <c r="G57" s="275"/>
      <c r="H57" s="275"/>
      <c r="I57" s="275"/>
      <c r="J57" s="275"/>
      <c r="K57" s="275"/>
      <c r="L57" s="275"/>
    </row>
    <row r="58" spans="2:12" x14ac:dyDescent="0.25">
      <c r="B58" s="276" t="s">
        <v>238</v>
      </c>
      <c r="C58" s="276"/>
      <c r="D58" s="276"/>
      <c r="E58" s="276"/>
      <c r="F58" s="207"/>
      <c r="G58" s="119"/>
      <c r="H58" s="119"/>
      <c r="I58" s="196"/>
      <c r="J58" s="196"/>
      <c r="K58" s="196"/>
      <c r="L58" s="196"/>
    </row>
    <row r="59" spans="2:12" x14ac:dyDescent="0.25">
      <c r="B59" s="208" t="s">
        <v>206</v>
      </c>
      <c r="C59" s="208"/>
      <c r="D59" s="208"/>
      <c r="E59" s="208"/>
      <c r="F59" s="209">
        <f>L24</f>
        <v>330356052.89746714</v>
      </c>
      <c r="G59" s="215"/>
      <c r="H59" s="215"/>
      <c r="I59" s="196"/>
      <c r="J59" s="196"/>
      <c r="K59" s="196"/>
      <c r="L59" s="196"/>
    </row>
    <row r="60" spans="2:12" x14ac:dyDescent="0.25">
      <c r="B60" s="208" t="s">
        <v>207</v>
      </c>
      <c r="C60" s="208"/>
      <c r="D60" s="208"/>
      <c r="E60" s="208"/>
      <c r="F60" s="210">
        <f>+L50</f>
        <v>0.14184293865271227</v>
      </c>
      <c r="G60" s="215"/>
      <c r="H60" s="215"/>
      <c r="I60" s="196"/>
      <c r="J60" s="196"/>
      <c r="K60" s="196"/>
      <c r="L60" s="196"/>
    </row>
    <row r="61" spans="2:12" x14ac:dyDescent="0.25">
      <c r="B61" s="208" t="s">
        <v>208</v>
      </c>
      <c r="C61" s="208" t="s">
        <v>130</v>
      </c>
      <c r="D61" s="213">
        <f>AVERAGE('Proyecciones Estados Financiero'!H9:L9)</f>
        <v>5.1799999999999999E-2</v>
      </c>
      <c r="E61" s="214">
        <v>0.05</v>
      </c>
      <c r="F61" s="210">
        <f>((1+D61)*(1+E61))-1</f>
        <v>0.1043900000000002</v>
      </c>
      <c r="G61" s="215"/>
      <c r="H61" s="215"/>
      <c r="I61" s="196"/>
      <c r="J61" s="196"/>
      <c r="K61" s="196"/>
      <c r="L61" s="196"/>
    </row>
    <row r="62" spans="2:12" x14ac:dyDescent="0.25">
      <c r="B62" s="211" t="s">
        <v>209</v>
      </c>
      <c r="C62" s="211"/>
      <c r="D62" s="211"/>
      <c r="E62" s="211"/>
      <c r="F62" s="212">
        <f>+F59*(1+F61)/(F60-F61)</f>
        <v>9741342986.260294</v>
      </c>
      <c r="G62" s="215"/>
      <c r="H62" s="215"/>
      <c r="I62" s="196"/>
      <c r="J62" s="196"/>
      <c r="K62" s="196"/>
      <c r="L62" s="196"/>
    </row>
    <row r="63" spans="2:12" x14ac:dyDescent="0.25">
      <c r="B63" s="110"/>
      <c r="C63" s="204"/>
      <c r="D63" s="196"/>
      <c r="E63" s="196"/>
      <c r="F63" s="196"/>
      <c r="G63" s="196"/>
      <c r="H63" s="196"/>
      <c r="I63" s="196"/>
      <c r="J63" s="196"/>
      <c r="K63" s="196"/>
      <c r="L63" s="196"/>
    </row>
    <row r="64" spans="2:12" x14ac:dyDescent="0.25">
      <c r="B64" s="110"/>
      <c r="C64" s="204"/>
      <c r="D64" s="196"/>
      <c r="E64" s="196"/>
      <c r="F64" s="196"/>
      <c r="G64" s="196"/>
      <c r="H64" s="196"/>
      <c r="I64" s="196"/>
      <c r="J64" s="196"/>
      <c r="K64" s="196"/>
      <c r="L64" s="196"/>
    </row>
    <row r="65" spans="2:12" x14ac:dyDescent="0.25">
      <c r="B65" s="129"/>
      <c r="C65" s="107"/>
      <c r="D65" s="107"/>
      <c r="E65" s="107"/>
      <c r="F65" s="107"/>
      <c r="G65" s="107"/>
      <c r="H65" s="129"/>
      <c r="I65" s="129"/>
      <c r="J65" s="129"/>
      <c r="K65" s="129"/>
      <c r="L65" s="129"/>
    </row>
    <row r="66" spans="2:12" x14ac:dyDescent="0.25">
      <c r="B66" s="1" t="s">
        <v>239</v>
      </c>
      <c r="C66" s="107"/>
      <c r="D66" s="107"/>
      <c r="E66" s="107"/>
      <c r="F66" s="107"/>
      <c r="G66" s="107"/>
    </row>
    <row r="67" spans="2:12" x14ac:dyDescent="0.25">
      <c r="C67" s="132">
        <v>2017</v>
      </c>
      <c r="D67" s="132">
        <v>2018</v>
      </c>
      <c r="E67" s="132">
        <v>2019</v>
      </c>
      <c r="F67" s="132">
        <v>2020</v>
      </c>
      <c r="G67" s="132">
        <v>2021</v>
      </c>
      <c r="H67" s="133">
        <v>2022</v>
      </c>
      <c r="I67" s="133">
        <v>2023</v>
      </c>
      <c r="J67" s="133">
        <v>2024</v>
      </c>
      <c r="K67" s="133">
        <v>2025</v>
      </c>
      <c r="L67" s="133">
        <v>2026</v>
      </c>
    </row>
    <row r="68" spans="2:12" x14ac:dyDescent="0.25">
      <c r="B68" s="175" t="s">
        <v>241</v>
      </c>
      <c r="C68" s="175"/>
      <c r="D68" s="177"/>
      <c r="E68" s="177"/>
      <c r="F68" s="177"/>
      <c r="G68" s="177"/>
      <c r="H68" s="177">
        <f>H50</f>
        <v>0.13958039037393297</v>
      </c>
      <c r="I68" s="177">
        <f>I50</f>
        <v>0.1399387719801804</v>
      </c>
      <c r="J68" s="177">
        <f>J50</f>
        <v>0.14083151819129361</v>
      </c>
      <c r="K68" s="177">
        <f>K50</f>
        <v>0.1413022614556263</v>
      </c>
      <c r="L68" s="177">
        <f>L50</f>
        <v>0.14184293865271227</v>
      </c>
    </row>
    <row r="69" spans="2:12" x14ac:dyDescent="0.25">
      <c r="B69" s="175" t="s">
        <v>242</v>
      </c>
      <c r="C69" s="175"/>
      <c r="D69" s="205"/>
      <c r="E69" s="205"/>
      <c r="F69" s="205"/>
      <c r="G69" s="177"/>
      <c r="H69" s="177">
        <f>H50</f>
        <v>0.13958039037393297</v>
      </c>
      <c r="I69" s="233">
        <f t="shared" ref="I69:K69" si="23">+((1+H69)*(1+I68))-1</f>
        <v>0.29905187077555562</v>
      </c>
      <c r="J69" s="233">
        <f t="shared" si="23"/>
        <v>0.48199931794611728</v>
      </c>
      <c r="K69" s="233">
        <f t="shared" si="23"/>
        <v>0.6914091730475993</v>
      </c>
      <c r="L69" s="233">
        <f>+((1+K69)*(1+L68))-1</f>
        <v>0.93132362061682472</v>
      </c>
    </row>
    <row r="70" spans="2:12" x14ac:dyDescent="0.25">
      <c r="B70" s="175"/>
      <c r="C70" s="175"/>
      <c r="D70" s="234"/>
      <c r="E70" s="234"/>
      <c r="F70" s="234"/>
      <c r="G70" s="234"/>
      <c r="H70" s="234"/>
      <c r="I70" s="234"/>
      <c r="J70" s="234"/>
      <c r="K70" s="234"/>
      <c r="L70" s="234"/>
    </row>
    <row r="71" spans="2:12" x14ac:dyDescent="0.25">
      <c r="B71" s="175" t="s">
        <v>243</v>
      </c>
      <c r="C71" s="175"/>
      <c r="D71" s="46"/>
      <c r="E71" s="46"/>
      <c r="F71" s="46"/>
      <c r="G71" s="46"/>
      <c r="H71" s="216">
        <f>H24</f>
        <v>-1463114535.6239958</v>
      </c>
      <c r="I71" s="216">
        <f>I24</f>
        <v>-434280464.23446</v>
      </c>
      <c r="J71" s="216">
        <f>J24</f>
        <v>559291163.06037343</v>
      </c>
      <c r="K71" s="216">
        <f>K24</f>
        <v>415039744.58802867</v>
      </c>
      <c r="L71" s="216">
        <f>L24</f>
        <v>330356052.89746714</v>
      </c>
    </row>
    <row r="72" spans="2:12" x14ac:dyDescent="0.25">
      <c r="B72" s="175" t="s">
        <v>244</v>
      </c>
      <c r="C72" s="175"/>
      <c r="D72" s="206"/>
      <c r="E72" s="175"/>
      <c r="F72" s="175"/>
      <c r="G72" s="175"/>
      <c r="H72" s="216"/>
      <c r="I72" s="216"/>
      <c r="J72" s="216"/>
      <c r="K72" s="216"/>
      <c r="L72" s="216">
        <f>F62</f>
        <v>9741342986.260294</v>
      </c>
    </row>
    <row r="73" spans="2:12" x14ac:dyDescent="0.25">
      <c r="B73" s="175"/>
      <c r="C73" s="175"/>
      <c r="D73" s="175"/>
      <c r="E73" s="175"/>
      <c r="F73" s="175"/>
      <c r="G73" s="175"/>
      <c r="H73" s="216"/>
      <c r="I73" s="216"/>
      <c r="J73" s="216"/>
      <c r="K73" s="216"/>
      <c r="L73" s="216"/>
    </row>
    <row r="74" spans="2:12" x14ac:dyDescent="0.25">
      <c r="B74" s="175" t="s">
        <v>245</v>
      </c>
      <c r="C74" s="175"/>
      <c r="D74" s="175"/>
      <c r="E74" s="175"/>
      <c r="F74" s="175"/>
      <c r="G74" s="175"/>
      <c r="H74" s="216">
        <f t="shared" ref="H74:L74" si="24">H71/(1+H69)</f>
        <v>-1283906381.6672914</v>
      </c>
      <c r="I74" s="216">
        <f t="shared" si="24"/>
        <v>-334305714.80966908</v>
      </c>
      <c r="J74" s="216">
        <f t="shared" si="24"/>
        <v>377389622.44293571</v>
      </c>
      <c r="K74" s="216">
        <f t="shared" si="24"/>
        <v>245381041.56086937</v>
      </c>
      <c r="L74" s="216">
        <f t="shared" si="24"/>
        <v>171051629.75843388</v>
      </c>
    </row>
    <row r="75" spans="2:12" x14ac:dyDescent="0.25">
      <c r="B75" s="175" t="s">
        <v>244</v>
      </c>
      <c r="C75" s="175"/>
      <c r="D75" s="175"/>
      <c r="E75" s="175"/>
      <c r="F75" s="175"/>
      <c r="G75" s="175"/>
      <c r="H75" s="216"/>
      <c r="I75" s="216"/>
      <c r="J75" s="216"/>
      <c r="K75" s="216"/>
      <c r="L75" s="216">
        <f>F62/(1+L69)</f>
        <v>5043868817.3601437</v>
      </c>
    </row>
    <row r="76" spans="2:12" x14ac:dyDescent="0.25">
      <c r="B76" s="175"/>
      <c r="C76" s="175"/>
      <c r="D76" s="175"/>
      <c r="E76" s="175"/>
      <c r="F76" s="175"/>
      <c r="G76" s="175"/>
      <c r="H76" s="216"/>
      <c r="I76" s="216"/>
      <c r="J76" s="216"/>
      <c r="K76" s="216"/>
      <c r="L76" s="216"/>
    </row>
    <row r="77" spans="2:12" x14ac:dyDescent="0.25">
      <c r="B77" s="175" t="s">
        <v>246</v>
      </c>
      <c r="C77" s="175"/>
      <c r="D77" s="175"/>
      <c r="E77" s="175"/>
      <c r="F77" s="175"/>
      <c r="G77" s="175"/>
      <c r="H77" s="216">
        <f>SUM(H74:L74)</f>
        <v>-824389802.71472144</v>
      </c>
      <c r="I77" s="216"/>
      <c r="J77" s="216"/>
      <c r="K77" s="216"/>
      <c r="L77" s="216"/>
    </row>
    <row r="78" spans="2:12" x14ac:dyDescent="0.25">
      <c r="B78" s="175" t="s">
        <v>247</v>
      </c>
      <c r="C78" s="175"/>
      <c r="D78" s="175"/>
      <c r="E78" s="175"/>
      <c r="F78" s="175"/>
      <c r="G78" s="175"/>
      <c r="H78" s="216">
        <f>L75</f>
        <v>5043868817.3601437</v>
      </c>
      <c r="I78" s="216"/>
      <c r="J78" s="216"/>
      <c r="K78" s="216"/>
      <c r="L78" s="216"/>
    </row>
    <row r="79" spans="2:12" x14ac:dyDescent="0.25">
      <c r="B79" s="175" t="s">
        <v>248</v>
      </c>
      <c r="C79" s="175"/>
      <c r="D79" s="175"/>
      <c r="E79" s="175"/>
      <c r="F79" s="175"/>
      <c r="G79" s="175"/>
      <c r="H79" s="216">
        <f>H77+H78</f>
        <v>4219479014.645422</v>
      </c>
      <c r="I79" s="216"/>
      <c r="J79" s="216"/>
      <c r="K79" s="216"/>
      <c r="L79" s="216"/>
    </row>
    <row r="80" spans="2:12" x14ac:dyDescent="0.25">
      <c r="H80" s="216"/>
      <c r="I80" s="216"/>
      <c r="J80" s="216"/>
      <c r="K80" s="216"/>
      <c r="L80" s="216"/>
    </row>
    <row r="81" spans="2:12" x14ac:dyDescent="0.25">
      <c r="B81" s="1" t="s">
        <v>249</v>
      </c>
      <c r="H81" s="217">
        <f>H79</f>
        <v>4219479014.645422</v>
      </c>
      <c r="I81" s="217"/>
      <c r="J81" s="217"/>
      <c r="K81" s="217"/>
      <c r="L81" s="217"/>
    </row>
    <row r="82" spans="2:12" x14ac:dyDescent="0.25">
      <c r="B82" s="1" t="s">
        <v>250</v>
      </c>
      <c r="H82" s="217">
        <f>'Proyecciones Estados Financiero'!G39-'Proyecciones Estados Financiero'!G34</f>
        <v>1907804216</v>
      </c>
      <c r="I82" s="217"/>
      <c r="J82" s="217"/>
      <c r="K82" s="217"/>
      <c r="L82" s="217"/>
    </row>
    <row r="83" spans="2:12" x14ac:dyDescent="0.25">
      <c r="B83" s="1" t="s">
        <v>251</v>
      </c>
      <c r="H83" s="217">
        <f>'Proyecciones Estados Financiero'!G17+'Proyecciones Estados Financiero'!G18</f>
        <v>906425945</v>
      </c>
      <c r="I83" s="217"/>
      <c r="J83" s="217"/>
      <c r="K83" s="217"/>
      <c r="L83" s="217"/>
    </row>
    <row r="84" spans="2:12" x14ac:dyDescent="0.25">
      <c r="B84" s="1" t="s">
        <v>252</v>
      </c>
      <c r="H84" s="126">
        <f>'Proyecciones Estados Financiero'!G34+'Proyecciones Estados Financiero'!G42</f>
        <v>3538051788</v>
      </c>
    </row>
    <row r="85" spans="2:12" x14ac:dyDescent="0.25">
      <c r="B85" s="110" t="s">
        <v>240</v>
      </c>
      <c r="C85" s="110"/>
      <c r="D85" s="110"/>
      <c r="E85" s="110"/>
      <c r="F85" s="110"/>
      <c r="G85" s="110"/>
      <c r="H85" s="218">
        <f>H81-H82+H83-H84</f>
        <v>-319951044.35457802</v>
      </c>
    </row>
  </sheetData>
  <mergeCells count="5">
    <mergeCell ref="B9:L9"/>
    <mergeCell ref="B26:L26"/>
    <mergeCell ref="B35:L35"/>
    <mergeCell ref="B57:L57"/>
    <mergeCell ref="B58:E5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B57A1-3B69-4BC1-A549-9EC5D4E896E2}">
  <dimension ref="A4:L161"/>
  <sheetViews>
    <sheetView showGridLines="0" topLeftCell="A7" workbookViewId="0">
      <selection activeCell="M16" sqref="M16"/>
    </sheetView>
  </sheetViews>
  <sheetFormatPr baseColWidth="10" defaultRowHeight="15.75" x14ac:dyDescent="0.25"/>
  <cols>
    <col min="1" max="1" width="11.42578125" style="1"/>
    <col min="2" max="2" width="25.42578125" style="1" customWidth="1"/>
    <col min="3" max="3" width="11.42578125" style="1"/>
    <col min="4" max="4" width="34" style="1" customWidth="1"/>
    <col min="5" max="5" width="11.5703125" style="1" bestFit="1" customWidth="1"/>
    <col min="6" max="7" width="11.42578125" style="1"/>
    <col min="8" max="8" width="19" style="1" bestFit="1" customWidth="1"/>
    <col min="9" max="9" width="11.42578125" style="1"/>
    <col min="10" max="10" width="13" style="1" bestFit="1" customWidth="1"/>
    <col min="11" max="12" width="11.5703125" style="1" bestFit="1" customWidth="1"/>
    <col min="13" max="16384" width="11.42578125" style="1"/>
  </cols>
  <sheetData>
    <row r="4" spans="1:12" x14ac:dyDescent="0.25">
      <c r="G4" s="1" t="s">
        <v>50</v>
      </c>
      <c r="H4" s="1" t="s">
        <v>51</v>
      </c>
    </row>
    <row r="6" spans="1:12" ht="15" customHeight="1" x14ac:dyDescent="0.25">
      <c r="A6" s="277" t="s">
        <v>115</v>
      </c>
      <c r="B6" s="278"/>
      <c r="C6" s="278"/>
      <c r="D6" s="278"/>
      <c r="E6" s="278"/>
      <c r="G6" s="1" t="s">
        <v>52</v>
      </c>
      <c r="H6" s="1" t="s">
        <v>53</v>
      </c>
      <c r="I6" s="219" t="s">
        <v>52</v>
      </c>
      <c r="J6" s="220" t="s">
        <v>54</v>
      </c>
      <c r="K6" s="6"/>
      <c r="L6" s="5" t="s">
        <v>55</v>
      </c>
    </row>
    <row r="7" spans="1:12" x14ac:dyDescent="0.25">
      <c r="A7" s="277"/>
      <c r="B7" s="278"/>
      <c r="C7" s="278"/>
      <c r="D7" s="278"/>
      <c r="E7" s="278"/>
      <c r="G7" s="221" t="s">
        <v>56</v>
      </c>
      <c r="H7" s="222">
        <v>51049498</v>
      </c>
      <c r="I7" s="6" t="s">
        <v>56</v>
      </c>
      <c r="J7" s="2">
        <v>51049498</v>
      </c>
      <c r="K7" s="6"/>
      <c r="L7" s="6"/>
    </row>
    <row r="8" spans="1:12" x14ac:dyDescent="0.25">
      <c r="A8" s="279" t="s">
        <v>114</v>
      </c>
      <c r="B8" s="279"/>
      <c r="C8" s="279"/>
      <c r="D8" s="279"/>
      <c r="E8" s="279"/>
      <c r="G8" s="221" t="s">
        <v>57</v>
      </c>
      <c r="H8" s="222">
        <v>51609474</v>
      </c>
      <c r="I8" s="223" t="s">
        <v>57</v>
      </c>
      <c r="J8" s="2">
        <v>51609474</v>
      </c>
      <c r="K8" s="6">
        <f t="shared" ref="K8:K18" si="0">J8-J7</f>
        <v>559976</v>
      </c>
      <c r="L8" s="224">
        <f t="shared" ref="L8:L18" si="1">K8/J7</f>
        <v>1.0969275349191485E-2</v>
      </c>
    </row>
    <row r="9" spans="1:12" x14ac:dyDescent="0.25">
      <c r="A9" s="225"/>
      <c r="B9" s="225"/>
      <c r="C9" s="225"/>
      <c r="D9" s="225"/>
      <c r="E9" s="225"/>
      <c r="G9" s="221" t="s">
        <v>58</v>
      </c>
      <c r="H9" s="222">
        <v>52156254</v>
      </c>
      <c r="I9" s="6" t="s">
        <v>58</v>
      </c>
      <c r="J9" s="2">
        <v>52156254</v>
      </c>
      <c r="K9" s="6">
        <f t="shared" si="0"/>
        <v>546780</v>
      </c>
      <c r="L9" s="224">
        <f t="shared" si="1"/>
        <v>1.0594566416235903E-2</v>
      </c>
    </row>
    <row r="10" spans="1:12" x14ac:dyDescent="0.25">
      <c r="A10" s="225"/>
      <c r="B10" s="225"/>
      <c r="C10" s="225"/>
      <c r="D10" s="225"/>
      <c r="E10" s="225"/>
      <c r="G10" s="221" t="s">
        <v>59</v>
      </c>
      <c r="H10" s="222">
        <v>52691440</v>
      </c>
      <c r="I10" s="6" t="s">
        <v>59</v>
      </c>
      <c r="J10" s="2">
        <v>52691440</v>
      </c>
      <c r="K10" s="6">
        <f t="shared" si="0"/>
        <v>535186</v>
      </c>
      <c r="L10" s="224">
        <f t="shared" si="1"/>
        <v>1.0261204725324024E-2</v>
      </c>
    </row>
    <row r="11" spans="1:12" x14ac:dyDescent="0.25">
      <c r="A11" s="226" t="s">
        <v>113</v>
      </c>
      <c r="B11" s="226" t="s">
        <v>112</v>
      </c>
      <c r="C11" s="226" t="s">
        <v>52</v>
      </c>
      <c r="D11" s="226" t="s">
        <v>50</v>
      </c>
      <c r="E11" s="227" t="s">
        <v>111</v>
      </c>
      <c r="G11" s="221" t="s">
        <v>60</v>
      </c>
      <c r="H11" s="222">
        <v>53216592</v>
      </c>
      <c r="I11" s="6" t="s">
        <v>60</v>
      </c>
      <c r="J11" s="2">
        <v>53216592</v>
      </c>
      <c r="K11" s="6">
        <f t="shared" si="0"/>
        <v>525152</v>
      </c>
      <c r="L11" s="224">
        <f t="shared" si="1"/>
        <v>9.9665524419146646E-3</v>
      </c>
    </row>
    <row r="12" spans="1:12" x14ac:dyDescent="0.25">
      <c r="A12" s="1" t="s">
        <v>71</v>
      </c>
      <c r="B12" s="1" t="s">
        <v>70</v>
      </c>
      <c r="C12" s="1" t="s">
        <v>56</v>
      </c>
      <c r="D12" s="1" t="s">
        <v>73</v>
      </c>
      <c r="E12" s="3">
        <v>38898851</v>
      </c>
      <c r="G12" s="221" t="s">
        <v>61</v>
      </c>
      <c r="H12" s="222">
        <v>53732415</v>
      </c>
      <c r="I12" s="6" t="s">
        <v>61</v>
      </c>
      <c r="J12" s="2">
        <v>53732415</v>
      </c>
      <c r="K12" s="6">
        <f t="shared" si="0"/>
        <v>515823</v>
      </c>
      <c r="L12" s="224">
        <f t="shared" si="1"/>
        <v>9.6928980345077336E-3</v>
      </c>
    </row>
    <row r="13" spans="1:12" x14ac:dyDescent="0.25">
      <c r="A13" s="1" t="s">
        <v>71</v>
      </c>
      <c r="B13" s="1" t="s">
        <v>70</v>
      </c>
      <c r="C13" s="1" t="s">
        <v>56</v>
      </c>
      <c r="D13" s="1" t="s">
        <v>72</v>
      </c>
      <c r="E13" s="3">
        <v>12150647</v>
      </c>
      <c r="G13" s="221" t="s">
        <v>62</v>
      </c>
      <c r="H13" s="222">
        <v>54237754</v>
      </c>
      <c r="I13" s="6" t="s">
        <v>62</v>
      </c>
      <c r="J13" s="2">
        <v>54237754</v>
      </c>
      <c r="K13" s="6">
        <f t="shared" si="0"/>
        <v>505339</v>
      </c>
      <c r="L13" s="224">
        <f t="shared" si="1"/>
        <v>9.4047326925469476E-3</v>
      </c>
    </row>
    <row r="14" spans="1:12" x14ac:dyDescent="0.25">
      <c r="A14" s="1" t="s">
        <v>71</v>
      </c>
      <c r="B14" s="1" t="s">
        <v>70</v>
      </c>
      <c r="C14" s="1" t="s">
        <v>56</v>
      </c>
      <c r="D14" s="1" t="s">
        <v>51</v>
      </c>
      <c r="E14" s="3">
        <v>51049498</v>
      </c>
      <c r="G14" s="221" t="s">
        <v>63</v>
      </c>
      <c r="H14" s="222">
        <v>54731186</v>
      </c>
      <c r="I14" s="6" t="s">
        <v>63</v>
      </c>
      <c r="J14" s="2">
        <v>54731186</v>
      </c>
      <c r="K14" s="6">
        <f t="shared" si="0"/>
        <v>493432</v>
      </c>
      <c r="L14" s="224">
        <f t="shared" si="1"/>
        <v>9.097574357522252E-3</v>
      </c>
    </row>
    <row r="15" spans="1:12" x14ac:dyDescent="0.25">
      <c r="A15" s="1" t="s">
        <v>71</v>
      </c>
      <c r="B15" s="1" t="s">
        <v>70</v>
      </c>
      <c r="C15" s="1" t="s">
        <v>57</v>
      </c>
      <c r="D15" s="1" t="s">
        <v>73</v>
      </c>
      <c r="E15" s="3">
        <v>39388690</v>
      </c>
      <c r="G15" s="221" t="s">
        <v>64</v>
      </c>
      <c r="H15" s="222">
        <v>55211258</v>
      </c>
      <c r="I15" s="6" t="s">
        <v>64</v>
      </c>
      <c r="J15" s="2">
        <v>55211258</v>
      </c>
      <c r="K15" s="6">
        <f t="shared" si="0"/>
        <v>480072</v>
      </c>
      <c r="L15" s="224">
        <f t="shared" si="1"/>
        <v>8.7714525316516991E-3</v>
      </c>
    </row>
    <row r="16" spans="1:12" x14ac:dyDescent="0.25">
      <c r="A16" s="1" t="s">
        <v>71</v>
      </c>
      <c r="B16" s="1" t="s">
        <v>70</v>
      </c>
      <c r="C16" s="1" t="s">
        <v>57</v>
      </c>
      <c r="D16" s="1" t="s">
        <v>72</v>
      </c>
      <c r="E16" s="3">
        <v>12220784</v>
      </c>
      <c r="G16" s="221" t="s">
        <v>65</v>
      </c>
      <c r="H16" s="222">
        <v>55678083</v>
      </c>
      <c r="I16" s="6" t="s">
        <v>65</v>
      </c>
      <c r="J16" s="2">
        <v>55678083</v>
      </c>
      <c r="K16" s="6">
        <f t="shared" si="0"/>
        <v>466825</v>
      </c>
      <c r="L16" s="224">
        <f t="shared" si="1"/>
        <v>8.4552501955307731E-3</v>
      </c>
    </row>
    <row r="17" spans="1:12" x14ac:dyDescent="0.25">
      <c r="A17" s="1" t="s">
        <v>71</v>
      </c>
      <c r="B17" s="1" t="s">
        <v>70</v>
      </c>
      <c r="C17" s="1" t="s">
        <v>57</v>
      </c>
      <c r="D17" s="1" t="s">
        <v>51</v>
      </c>
      <c r="E17" s="3">
        <v>51609474</v>
      </c>
      <c r="G17" s="221" t="s">
        <v>66</v>
      </c>
      <c r="H17" s="222">
        <v>56131842</v>
      </c>
      <c r="I17" s="6" t="s">
        <v>66</v>
      </c>
      <c r="J17" s="2">
        <v>56131842</v>
      </c>
      <c r="K17" s="6">
        <f t="shared" si="0"/>
        <v>453759</v>
      </c>
      <c r="L17" s="224">
        <f t="shared" si="1"/>
        <v>8.149687912207753E-3</v>
      </c>
    </row>
    <row r="18" spans="1:12" x14ac:dyDescent="0.25">
      <c r="A18" s="1" t="s">
        <v>71</v>
      </c>
      <c r="B18" s="1" t="s">
        <v>70</v>
      </c>
      <c r="C18" s="1" t="s">
        <v>58</v>
      </c>
      <c r="D18" s="1" t="s">
        <v>73</v>
      </c>
      <c r="E18" s="3">
        <v>39862623</v>
      </c>
      <c r="G18" s="221" t="s">
        <v>67</v>
      </c>
      <c r="H18" s="222">
        <v>56571697</v>
      </c>
      <c r="I18" s="6" t="s">
        <v>67</v>
      </c>
      <c r="J18" s="2">
        <v>56571697</v>
      </c>
      <c r="K18" s="6">
        <f t="shared" si="0"/>
        <v>439855</v>
      </c>
      <c r="L18" s="224">
        <f t="shared" si="1"/>
        <v>7.836104861835818E-3</v>
      </c>
    </row>
    <row r="19" spans="1:12" x14ac:dyDescent="0.25">
      <c r="A19" s="1" t="s">
        <v>71</v>
      </c>
      <c r="B19" s="1" t="s">
        <v>70</v>
      </c>
      <c r="C19" s="1" t="s">
        <v>58</v>
      </c>
      <c r="D19" s="1" t="s">
        <v>72</v>
      </c>
      <c r="E19" s="3">
        <v>12293631</v>
      </c>
      <c r="G19" s="221" t="s">
        <v>68</v>
      </c>
      <c r="H19" s="1">
        <v>647017493</v>
      </c>
    </row>
    <row r="20" spans="1:12" x14ac:dyDescent="0.25">
      <c r="A20" s="1" t="s">
        <v>71</v>
      </c>
      <c r="B20" s="1" t="s">
        <v>70</v>
      </c>
      <c r="C20" s="1" t="s">
        <v>58</v>
      </c>
      <c r="D20" s="1" t="s">
        <v>51</v>
      </c>
      <c r="E20" s="3">
        <v>52156254</v>
      </c>
    </row>
    <row r="21" spans="1:12" x14ac:dyDescent="0.25">
      <c r="A21" s="1" t="s">
        <v>71</v>
      </c>
      <c r="B21" s="1" t="s">
        <v>70</v>
      </c>
      <c r="C21" s="1" t="s">
        <v>59</v>
      </c>
      <c r="D21" s="1" t="s">
        <v>73</v>
      </c>
      <c r="E21" s="3">
        <v>40321112</v>
      </c>
    </row>
    <row r="22" spans="1:12" x14ac:dyDescent="0.25">
      <c r="A22" s="1" t="s">
        <v>71</v>
      </c>
      <c r="B22" s="1" t="s">
        <v>70</v>
      </c>
      <c r="C22" s="1" t="s">
        <v>59</v>
      </c>
      <c r="D22" s="1" t="s">
        <v>72</v>
      </c>
      <c r="E22" s="3">
        <v>12370328</v>
      </c>
    </row>
    <row r="23" spans="1:12" x14ac:dyDescent="0.25">
      <c r="A23" s="1" t="s">
        <v>71</v>
      </c>
      <c r="B23" s="1" t="s">
        <v>70</v>
      </c>
      <c r="C23" s="1" t="s">
        <v>59</v>
      </c>
      <c r="D23" s="1" t="s">
        <v>51</v>
      </c>
      <c r="E23" s="3">
        <v>52691440</v>
      </c>
    </row>
    <row r="24" spans="1:12" x14ac:dyDescent="0.25">
      <c r="A24" s="1" t="s">
        <v>71</v>
      </c>
      <c r="B24" s="1" t="s">
        <v>70</v>
      </c>
      <c r="C24" s="1" t="s">
        <v>60</v>
      </c>
      <c r="D24" s="1" t="s">
        <v>73</v>
      </c>
      <c r="E24" s="3">
        <v>40764914</v>
      </c>
    </row>
    <row r="25" spans="1:12" x14ac:dyDescent="0.25">
      <c r="A25" s="1" t="s">
        <v>71</v>
      </c>
      <c r="B25" s="1" t="s">
        <v>70</v>
      </c>
      <c r="C25" s="1" t="s">
        <v>60</v>
      </c>
      <c r="D25" s="1" t="s">
        <v>72</v>
      </c>
      <c r="E25" s="3">
        <v>12451678</v>
      </c>
    </row>
    <row r="26" spans="1:12" x14ac:dyDescent="0.25">
      <c r="A26" s="1" t="s">
        <v>71</v>
      </c>
      <c r="B26" s="1" t="s">
        <v>70</v>
      </c>
      <c r="C26" s="1" t="s">
        <v>60</v>
      </c>
      <c r="D26" s="1" t="s">
        <v>51</v>
      </c>
      <c r="E26" s="3">
        <v>53216592</v>
      </c>
    </row>
    <row r="27" spans="1:12" x14ac:dyDescent="0.25">
      <c r="A27" s="1" t="s">
        <v>71</v>
      </c>
      <c r="B27" s="1" t="s">
        <v>70</v>
      </c>
      <c r="C27" s="1" t="s">
        <v>61</v>
      </c>
      <c r="D27" s="1" t="s">
        <v>73</v>
      </c>
      <c r="E27" s="3">
        <v>41194081</v>
      </c>
    </row>
    <row r="28" spans="1:12" x14ac:dyDescent="0.25">
      <c r="A28" s="1" t="s">
        <v>71</v>
      </c>
      <c r="B28" s="1" t="s">
        <v>70</v>
      </c>
      <c r="C28" s="1" t="s">
        <v>61</v>
      </c>
      <c r="D28" s="1" t="s">
        <v>72</v>
      </c>
      <c r="E28" s="3">
        <v>12538334</v>
      </c>
    </row>
    <row r="29" spans="1:12" x14ac:dyDescent="0.25">
      <c r="A29" s="1" t="s">
        <v>71</v>
      </c>
      <c r="B29" s="1" t="s">
        <v>70</v>
      </c>
      <c r="C29" s="1" t="s">
        <v>61</v>
      </c>
      <c r="D29" s="1" t="s">
        <v>51</v>
      </c>
      <c r="E29" s="3">
        <v>53732415</v>
      </c>
    </row>
    <row r="30" spans="1:12" x14ac:dyDescent="0.25">
      <c r="A30" s="1" t="s">
        <v>71</v>
      </c>
      <c r="B30" s="1" t="s">
        <v>70</v>
      </c>
      <c r="C30" s="1" t="s">
        <v>62</v>
      </c>
      <c r="D30" s="1" t="s">
        <v>73</v>
      </c>
      <c r="E30" s="3">
        <v>41607327</v>
      </c>
    </row>
    <row r="31" spans="1:12" x14ac:dyDescent="0.25">
      <c r="A31" s="1" t="s">
        <v>71</v>
      </c>
      <c r="B31" s="1" t="s">
        <v>70</v>
      </c>
      <c r="C31" s="1" t="s">
        <v>62</v>
      </c>
      <c r="D31" s="1" t="s">
        <v>72</v>
      </c>
      <c r="E31" s="3">
        <v>12630427</v>
      </c>
    </row>
    <row r="32" spans="1:12" x14ac:dyDescent="0.25">
      <c r="A32" s="1" t="s">
        <v>71</v>
      </c>
      <c r="B32" s="1" t="s">
        <v>70</v>
      </c>
      <c r="C32" s="1" t="s">
        <v>62</v>
      </c>
      <c r="D32" s="1" t="s">
        <v>51</v>
      </c>
      <c r="E32" s="3">
        <v>54237754</v>
      </c>
    </row>
    <row r="33" spans="1:5" x14ac:dyDescent="0.25">
      <c r="A33" s="1" t="s">
        <v>71</v>
      </c>
      <c r="B33" s="1" t="s">
        <v>70</v>
      </c>
      <c r="C33" s="1" t="s">
        <v>63</v>
      </c>
      <c r="D33" s="1" t="s">
        <v>73</v>
      </c>
      <c r="E33" s="3">
        <v>42003061</v>
      </c>
    </row>
    <row r="34" spans="1:5" x14ac:dyDescent="0.25">
      <c r="A34" s="1" t="s">
        <v>71</v>
      </c>
      <c r="B34" s="1" t="s">
        <v>70</v>
      </c>
      <c r="C34" s="1" t="s">
        <v>63</v>
      </c>
      <c r="D34" s="1" t="s">
        <v>72</v>
      </c>
      <c r="E34" s="3">
        <v>12728125</v>
      </c>
    </row>
    <row r="35" spans="1:5" x14ac:dyDescent="0.25">
      <c r="A35" s="1" t="s">
        <v>71</v>
      </c>
      <c r="B35" s="1" t="s">
        <v>70</v>
      </c>
      <c r="C35" s="1" t="s">
        <v>63</v>
      </c>
      <c r="D35" s="1" t="s">
        <v>51</v>
      </c>
      <c r="E35" s="3">
        <v>54731186</v>
      </c>
    </row>
    <row r="36" spans="1:5" x14ac:dyDescent="0.25">
      <c r="A36" s="1" t="s">
        <v>71</v>
      </c>
      <c r="B36" s="1" t="s">
        <v>70</v>
      </c>
      <c r="C36" s="1" t="s">
        <v>64</v>
      </c>
      <c r="D36" s="1" t="s">
        <v>73</v>
      </c>
      <c r="E36" s="3">
        <v>42379593</v>
      </c>
    </row>
    <row r="37" spans="1:5" x14ac:dyDescent="0.25">
      <c r="A37" s="1" t="s">
        <v>71</v>
      </c>
      <c r="B37" s="1" t="s">
        <v>70</v>
      </c>
      <c r="C37" s="1" t="s">
        <v>64</v>
      </c>
      <c r="D37" s="1" t="s">
        <v>72</v>
      </c>
      <c r="E37" s="3">
        <v>12831665</v>
      </c>
    </row>
    <row r="38" spans="1:5" x14ac:dyDescent="0.25">
      <c r="A38" s="1" t="s">
        <v>71</v>
      </c>
      <c r="B38" s="1" t="s">
        <v>70</v>
      </c>
      <c r="C38" s="1" t="s">
        <v>64</v>
      </c>
      <c r="D38" s="1" t="s">
        <v>51</v>
      </c>
      <c r="E38" s="3">
        <v>55211258</v>
      </c>
    </row>
    <row r="39" spans="1:5" x14ac:dyDescent="0.25">
      <c r="A39" s="1" t="s">
        <v>71</v>
      </c>
      <c r="B39" s="1" t="s">
        <v>70</v>
      </c>
      <c r="C39" s="1" t="s">
        <v>65</v>
      </c>
      <c r="D39" s="1" t="s">
        <v>73</v>
      </c>
      <c r="E39" s="3">
        <v>42736325</v>
      </c>
    </row>
    <row r="40" spans="1:5" x14ac:dyDescent="0.25">
      <c r="A40" s="1" t="s">
        <v>71</v>
      </c>
      <c r="B40" s="1" t="s">
        <v>70</v>
      </c>
      <c r="C40" s="1" t="s">
        <v>65</v>
      </c>
      <c r="D40" s="1" t="s">
        <v>72</v>
      </c>
      <c r="E40" s="3">
        <v>12941758</v>
      </c>
    </row>
    <row r="41" spans="1:5" x14ac:dyDescent="0.25">
      <c r="A41" s="1" t="s">
        <v>71</v>
      </c>
      <c r="B41" s="1" t="s">
        <v>70</v>
      </c>
      <c r="C41" s="1" t="s">
        <v>65</v>
      </c>
      <c r="D41" s="1" t="s">
        <v>51</v>
      </c>
      <c r="E41" s="3">
        <v>55678083</v>
      </c>
    </row>
    <row r="42" spans="1:5" x14ac:dyDescent="0.25">
      <c r="A42" s="1" t="s">
        <v>71</v>
      </c>
      <c r="B42" s="1" t="s">
        <v>70</v>
      </c>
      <c r="C42" s="1" t="s">
        <v>66</v>
      </c>
      <c r="D42" s="1" t="s">
        <v>73</v>
      </c>
      <c r="E42" s="3">
        <v>43077006</v>
      </c>
    </row>
    <row r="43" spans="1:5" x14ac:dyDescent="0.25">
      <c r="A43" s="1" t="s">
        <v>71</v>
      </c>
      <c r="B43" s="1" t="s">
        <v>70</v>
      </c>
      <c r="C43" s="1" t="s">
        <v>66</v>
      </c>
      <c r="D43" s="1" t="s">
        <v>72</v>
      </c>
      <c r="E43" s="3">
        <v>13054836</v>
      </c>
    </row>
    <row r="44" spans="1:5" x14ac:dyDescent="0.25">
      <c r="A44" s="1" t="s">
        <v>71</v>
      </c>
      <c r="B44" s="1" t="s">
        <v>70</v>
      </c>
      <c r="C44" s="1" t="s">
        <v>66</v>
      </c>
      <c r="D44" s="1" t="s">
        <v>51</v>
      </c>
      <c r="E44" s="3">
        <v>56131842</v>
      </c>
    </row>
    <row r="45" spans="1:5" x14ac:dyDescent="0.25">
      <c r="A45" s="1" t="s">
        <v>71</v>
      </c>
      <c r="B45" s="1" t="s">
        <v>70</v>
      </c>
      <c r="C45" s="1" t="s">
        <v>67</v>
      </c>
      <c r="D45" s="1" t="s">
        <v>73</v>
      </c>
      <c r="E45" s="3">
        <v>43405082</v>
      </c>
    </row>
    <row r="46" spans="1:5" x14ac:dyDescent="0.25">
      <c r="A46" s="1" t="s">
        <v>71</v>
      </c>
      <c r="B46" s="1" t="s">
        <v>70</v>
      </c>
      <c r="C46" s="1" t="s">
        <v>67</v>
      </c>
      <c r="D46" s="1" t="s">
        <v>72</v>
      </c>
      <c r="E46" s="3">
        <v>13166615</v>
      </c>
    </row>
    <row r="47" spans="1:5" x14ac:dyDescent="0.25">
      <c r="A47" s="1" t="s">
        <v>71</v>
      </c>
      <c r="B47" s="1" t="s">
        <v>70</v>
      </c>
      <c r="C47" s="1" t="s">
        <v>67</v>
      </c>
      <c r="D47" s="1" t="s">
        <v>51</v>
      </c>
      <c r="E47" s="3">
        <v>56571697</v>
      </c>
    </row>
    <row r="48" spans="1:5" x14ac:dyDescent="0.25">
      <c r="A48" s="1" t="s">
        <v>71</v>
      </c>
      <c r="B48" s="1" t="s">
        <v>70</v>
      </c>
      <c r="C48" s="1" t="s">
        <v>110</v>
      </c>
      <c r="D48" s="1" t="s">
        <v>73</v>
      </c>
      <c r="E48" s="3">
        <v>43720264</v>
      </c>
    </row>
    <row r="49" spans="1:5" x14ac:dyDescent="0.25">
      <c r="A49" s="1" t="s">
        <v>71</v>
      </c>
      <c r="B49" s="1" t="s">
        <v>70</v>
      </c>
      <c r="C49" s="1" t="s">
        <v>110</v>
      </c>
      <c r="D49" s="1" t="s">
        <v>72</v>
      </c>
      <c r="E49" s="3">
        <v>13276885</v>
      </c>
    </row>
    <row r="50" spans="1:5" x14ac:dyDescent="0.25">
      <c r="A50" s="1" t="s">
        <v>71</v>
      </c>
      <c r="B50" s="1" t="s">
        <v>70</v>
      </c>
      <c r="C50" s="1" t="s">
        <v>110</v>
      </c>
      <c r="D50" s="1" t="s">
        <v>51</v>
      </c>
      <c r="E50" s="3">
        <v>56997149</v>
      </c>
    </row>
    <row r="51" spans="1:5" x14ac:dyDescent="0.25">
      <c r="A51" s="1" t="s">
        <v>71</v>
      </c>
      <c r="B51" s="1" t="s">
        <v>70</v>
      </c>
      <c r="C51" s="1" t="s">
        <v>109</v>
      </c>
      <c r="D51" s="1" t="s">
        <v>73</v>
      </c>
      <c r="E51" s="3">
        <v>44022283</v>
      </c>
    </row>
    <row r="52" spans="1:5" x14ac:dyDescent="0.25">
      <c r="A52" s="1" t="s">
        <v>71</v>
      </c>
      <c r="B52" s="1" t="s">
        <v>70</v>
      </c>
      <c r="C52" s="1" t="s">
        <v>109</v>
      </c>
      <c r="D52" s="1" t="s">
        <v>72</v>
      </c>
      <c r="E52" s="3">
        <v>13385476</v>
      </c>
    </row>
    <row r="53" spans="1:5" x14ac:dyDescent="0.25">
      <c r="A53" s="1" t="s">
        <v>71</v>
      </c>
      <c r="B53" s="1" t="s">
        <v>70</v>
      </c>
      <c r="C53" s="1" t="s">
        <v>109</v>
      </c>
      <c r="D53" s="1" t="s">
        <v>51</v>
      </c>
      <c r="E53" s="3">
        <v>57407759</v>
      </c>
    </row>
    <row r="54" spans="1:5" x14ac:dyDescent="0.25">
      <c r="A54" s="1" t="s">
        <v>71</v>
      </c>
      <c r="B54" s="1" t="s">
        <v>70</v>
      </c>
      <c r="C54" s="1" t="s">
        <v>108</v>
      </c>
      <c r="D54" s="1" t="s">
        <v>73</v>
      </c>
      <c r="E54" s="3">
        <v>44311552</v>
      </c>
    </row>
    <row r="55" spans="1:5" x14ac:dyDescent="0.25">
      <c r="A55" s="1" t="s">
        <v>71</v>
      </c>
      <c r="B55" s="1" t="s">
        <v>70</v>
      </c>
      <c r="C55" s="1" t="s">
        <v>108</v>
      </c>
      <c r="D55" s="1" t="s">
        <v>72</v>
      </c>
      <c r="E55" s="3">
        <v>13492595</v>
      </c>
    </row>
    <row r="56" spans="1:5" x14ac:dyDescent="0.25">
      <c r="A56" s="1" t="s">
        <v>71</v>
      </c>
      <c r="B56" s="1" t="s">
        <v>70</v>
      </c>
      <c r="C56" s="1" t="s">
        <v>108</v>
      </c>
      <c r="D56" s="1" t="s">
        <v>51</v>
      </c>
      <c r="E56" s="3">
        <v>57804147</v>
      </c>
    </row>
    <row r="57" spans="1:5" x14ac:dyDescent="0.25">
      <c r="A57" s="1" t="s">
        <v>71</v>
      </c>
      <c r="B57" s="1" t="s">
        <v>70</v>
      </c>
      <c r="C57" s="1" t="s">
        <v>107</v>
      </c>
      <c r="D57" s="1" t="s">
        <v>73</v>
      </c>
      <c r="E57" s="3">
        <v>44586719</v>
      </c>
    </row>
    <row r="58" spans="1:5" x14ac:dyDescent="0.25">
      <c r="A58" s="1" t="s">
        <v>71</v>
      </c>
      <c r="B58" s="1" t="s">
        <v>70</v>
      </c>
      <c r="C58" s="1" t="s">
        <v>107</v>
      </c>
      <c r="D58" s="1" t="s">
        <v>72</v>
      </c>
      <c r="E58" s="3">
        <v>13599699</v>
      </c>
    </row>
    <row r="59" spans="1:5" x14ac:dyDescent="0.25">
      <c r="A59" s="1" t="s">
        <v>71</v>
      </c>
      <c r="B59" s="1" t="s">
        <v>70</v>
      </c>
      <c r="C59" s="1" t="s">
        <v>107</v>
      </c>
      <c r="D59" s="1" t="s">
        <v>51</v>
      </c>
      <c r="E59" s="3">
        <v>58186418</v>
      </c>
    </row>
    <row r="60" spans="1:5" x14ac:dyDescent="0.25">
      <c r="A60" s="1" t="s">
        <v>71</v>
      </c>
      <c r="B60" s="1" t="s">
        <v>70</v>
      </c>
      <c r="C60" s="1" t="s">
        <v>106</v>
      </c>
      <c r="D60" s="1" t="s">
        <v>73</v>
      </c>
      <c r="E60" s="3">
        <v>44849820</v>
      </c>
    </row>
    <row r="61" spans="1:5" x14ac:dyDescent="0.25">
      <c r="A61" s="1" t="s">
        <v>71</v>
      </c>
      <c r="B61" s="1" t="s">
        <v>70</v>
      </c>
      <c r="C61" s="1" t="s">
        <v>106</v>
      </c>
      <c r="D61" s="1" t="s">
        <v>72</v>
      </c>
      <c r="E61" s="3">
        <v>13703941</v>
      </c>
    </row>
    <row r="62" spans="1:5" x14ac:dyDescent="0.25">
      <c r="A62" s="1" t="s">
        <v>71</v>
      </c>
      <c r="B62" s="1" t="s">
        <v>70</v>
      </c>
      <c r="C62" s="1" t="s">
        <v>106</v>
      </c>
      <c r="D62" s="1" t="s">
        <v>51</v>
      </c>
      <c r="E62" s="3">
        <v>58553761</v>
      </c>
    </row>
    <row r="63" spans="1:5" x14ac:dyDescent="0.25">
      <c r="A63" s="1" t="s">
        <v>71</v>
      </c>
      <c r="B63" s="1" t="s">
        <v>70</v>
      </c>
      <c r="C63" s="1" t="s">
        <v>105</v>
      </c>
      <c r="D63" s="1" t="s">
        <v>73</v>
      </c>
      <c r="E63" s="3">
        <v>45099430</v>
      </c>
    </row>
    <row r="64" spans="1:5" x14ac:dyDescent="0.25">
      <c r="A64" s="1" t="s">
        <v>71</v>
      </c>
      <c r="B64" s="1" t="s">
        <v>70</v>
      </c>
      <c r="C64" s="1" t="s">
        <v>105</v>
      </c>
      <c r="D64" s="1" t="s">
        <v>72</v>
      </c>
      <c r="E64" s="3">
        <v>13806476</v>
      </c>
    </row>
    <row r="65" spans="1:5" x14ac:dyDescent="0.25">
      <c r="A65" s="1" t="s">
        <v>71</v>
      </c>
      <c r="B65" s="1" t="s">
        <v>70</v>
      </c>
      <c r="C65" s="1" t="s">
        <v>105</v>
      </c>
      <c r="D65" s="1" t="s">
        <v>51</v>
      </c>
      <c r="E65" s="3">
        <v>58905906</v>
      </c>
    </row>
    <row r="66" spans="1:5" x14ac:dyDescent="0.25">
      <c r="A66" s="1" t="s">
        <v>71</v>
      </c>
      <c r="B66" s="1" t="s">
        <v>70</v>
      </c>
      <c r="C66" s="1" t="s">
        <v>104</v>
      </c>
      <c r="D66" s="1" t="s">
        <v>73</v>
      </c>
      <c r="E66" s="3">
        <v>45335457</v>
      </c>
    </row>
    <row r="67" spans="1:5" x14ac:dyDescent="0.25">
      <c r="A67" s="1" t="s">
        <v>71</v>
      </c>
      <c r="B67" s="1" t="s">
        <v>70</v>
      </c>
      <c r="C67" s="1" t="s">
        <v>104</v>
      </c>
      <c r="D67" s="1" t="s">
        <v>72</v>
      </c>
      <c r="E67" s="3">
        <v>13907158</v>
      </c>
    </row>
    <row r="68" spans="1:5" x14ac:dyDescent="0.25">
      <c r="A68" s="1" t="s">
        <v>71</v>
      </c>
      <c r="B68" s="1" t="s">
        <v>70</v>
      </c>
      <c r="C68" s="1" t="s">
        <v>104</v>
      </c>
      <c r="D68" s="1" t="s">
        <v>51</v>
      </c>
      <c r="E68" s="3">
        <v>59242615</v>
      </c>
    </row>
    <row r="69" spans="1:5" x14ac:dyDescent="0.25">
      <c r="A69" s="1" t="s">
        <v>71</v>
      </c>
      <c r="B69" s="1" t="s">
        <v>70</v>
      </c>
      <c r="C69" s="1" t="s">
        <v>103</v>
      </c>
      <c r="D69" s="1" t="s">
        <v>73</v>
      </c>
      <c r="E69" s="3">
        <v>45558249</v>
      </c>
    </row>
    <row r="70" spans="1:5" x14ac:dyDescent="0.25">
      <c r="A70" s="1" t="s">
        <v>71</v>
      </c>
      <c r="B70" s="1" t="s">
        <v>70</v>
      </c>
      <c r="C70" s="1" t="s">
        <v>103</v>
      </c>
      <c r="D70" s="1" t="s">
        <v>72</v>
      </c>
      <c r="E70" s="3">
        <v>14006148</v>
      </c>
    </row>
    <row r="71" spans="1:5" x14ac:dyDescent="0.25">
      <c r="A71" s="1" t="s">
        <v>71</v>
      </c>
      <c r="B71" s="1" t="s">
        <v>70</v>
      </c>
      <c r="C71" s="1" t="s">
        <v>103</v>
      </c>
      <c r="D71" s="1" t="s">
        <v>51</v>
      </c>
      <c r="E71" s="3">
        <v>59564397</v>
      </c>
    </row>
    <row r="72" spans="1:5" x14ac:dyDescent="0.25">
      <c r="A72" s="1" t="s">
        <v>71</v>
      </c>
      <c r="B72" s="1" t="s">
        <v>70</v>
      </c>
      <c r="C72" s="1" t="s">
        <v>102</v>
      </c>
      <c r="D72" s="1" t="s">
        <v>73</v>
      </c>
      <c r="E72" s="3">
        <v>45768129</v>
      </c>
    </row>
    <row r="73" spans="1:5" x14ac:dyDescent="0.25">
      <c r="A73" s="1" t="s">
        <v>71</v>
      </c>
      <c r="B73" s="1" t="s">
        <v>70</v>
      </c>
      <c r="C73" s="1" t="s">
        <v>102</v>
      </c>
      <c r="D73" s="1" t="s">
        <v>72</v>
      </c>
      <c r="E73" s="3">
        <v>14103632</v>
      </c>
    </row>
    <row r="74" spans="1:5" x14ac:dyDescent="0.25">
      <c r="A74" s="1" t="s">
        <v>71</v>
      </c>
      <c r="B74" s="1" t="s">
        <v>70</v>
      </c>
      <c r="C74" s="1" t="s">
        <v>102</v>
      </c>
      <c r="D74" s="1" t="s">
        <v>51</v>
      </c>
      <c r="E74" s="3">
        <v>59871761</v>
      </c>
    </row>
    <row r="75" spans="1:5" x14ac:dyDescent="0.25">
      <c r="A75" s="1" t="s">
        <v>71</v>
      </c>
      <c r="B75" s="1" t="s">
        <v>70</v>
      </c>
      <c r="C75" s="1" t="s">
        <v>101</v>
      </c>
      <c r="D75" s="1" t="s">
        <v>73</v>
      </c>
      <c r="E75" s="3">
        <v>45965007</v>
      </c>
    </row>
    <row r="76" spans="1:5" x14ac:dyDescent="0.25">
      <c r="A76" s="1" t="s">
        <v>71</v>
      </c>
      <c r="B76" s="1" t="s">
        <v>70</v>
      </c>
      <c r="C76" s="1" t="s">
        <v>101</v>
      </c>
      <c r="D76" s="1" t="s">
        <v>72</v>
      </c>
      <c r="E76" s="3">
        <v>14199517</v>
      </c>
    </row>
    <row r="77" spans="1:5" x14ac:dyDescent="0.25">
      <c r="A77" s="1" t="s">
        <v>71</v>
      </c>
      <c r="B77" s="1" t="s">
        <v>70</v>
      </c>
      <c r="C77" s="1" t="s">
        <v>101</v>
      </c>
      <c r="D77" s="1" t="s">
        <v>51</v>
      </c>
      <c r="E77" s="3">
        <v>60164524</v>
      </c>
    </row>
    <row r="78" spans="1:5" x14ac:dyDescent="0.25">
      <c r="A78" s="1" t="s">
        <v>71</v>
      </c>
      <c r="B78" s="1" t="s">
        <v>70</v>
      </c>
      <c r="C78" s="1" t="s">
        <v>100</v>
      </c>
      <c r="D78" s="1" t="s">
        <v>73</v>
      </c>
      <c r="E78" s="3">
        <v>46148856</v>
      </c>
    </row>
    <row r="79" spans="1:5" x14ac:dyDescent="0.25">
      <c r="A79" s="1" t="s">
        <v>71</v>
      </c>
      <c r="B79" s="1" t="s">
        <v>70</v>
      </c>
      <c r="C79" s="1" t="s">
        <v>100</v>
      </c>
      <c r="D79" s="1" t="s">
        <v>72</v>
      </c>
      <c r="E79" s="3">
        <v>14293733</v>
      </c>
    </row>
    <row r="80" spans="1:5" x14ac:dyDescent="0.25">
      <c r="A80" s="1" t="s">
        <v>71</v>
      </c>
      <c r="B80" s="1" t="s">
        <v>70</v>
      </c>
      <c r="C80" s="1" t="s">
        <v>100</v>
      </c>
      <c r="D80" s="1" t="s">
        <v>51</v>
      </c>
      <c r="E80" s="3">
        <v>60442589</v>
      </c>
    </row>
    <row r="81" spans="1:5" x14ac:dyDescent="0.25">
      <c r="A81" s="1" t="s">
        <v>71</v>
      </c>
      <c r="B81" s="1" t="s">
        <v>70</v>
      </c>
      <c r="C81" s="1" t="s">
        <v>99</v>
      </c>
      <c r="D81" s="1" t="s">
        <v>73</v>
      </c>
      <c r="E81" s="3">
        <v>46319674</v>
      </c>
    </row>
    <row r="82" spans="1:5" x14ac:dyDescent="0.25">
      <c r="A82" s="1" t="s">
        <v>71</v>
      </c>
      <c r="B82" s="1" t="s">
        <v>70</v>
      </c>
      <c r="C82" s="1" t="s">
        <v>99</v>
      </c>
      <c r="D82" s="1" t="s">
        <v>72</v>
      </c>
      <c r="E82" s="3">
        <v>14386257</v>
      </c>
    </row>
    <row r="83" spans="1:5" x14ac:dyDescent="0.25">
      <c r="A83" s="1" t="s">
        <v>71</v>
      </c>
      <c r="B83" s="1" t="s">
        <v>70</v>
      </c>
      <c r="C83" s="1" t="s">
        <v>99</v>
      </c>
      <c r="D83" s="1" t="s">
        <v>51</v>
      </c>
      <c r="E83" s="3">
        <v>60705931</v>
      </c>
    </row>
    <row r="84" spans="1:5" x14ac:dyDescent="0.25">
      <c r="A84" s="1" t="s">
        <v>71</v>
      </c>
      <c r="B84" s="1" t="s">
        <v>70</v>
      </c>
      <c r="C84" s="1" t="s">
        <v>98</v>
      </c>
      <c r="D84" s="1" t="s">
        <v>73</v>
      </c>
      <c r="E84" s="3">
        <v>46477719</v>
      </c>
    </row>
    <row r="85" spans="1:5" x14ac:dyDescent="0.25">
      <c r="A85" s="1" t="s">
        <v>71</v>
      </c>
      <c r="B85" s="1" t="s">
        <v>70</v>
      </c>
      <c r="C85" s="1" t="s">
        <v>98</v>
      </c>
      <c r="D85" s="1" t="s">
        <v>72</v>
      </c>
      <c r="E85" s="3">
        <v>14477239</v>
      </c>
    </row>
    <row r="86" spans="1:5" x14ac:dyDescent="0.25">
      <c r="A86" s="1" t="s">
        <v>71</v>
      </c>
      <c r="B86" s="1" t="s">
        <v>70</v>
      </c>
      <c r="C86" s="1" t="s">
        <v>98</v>
      </c>
      <c r="D86" s="1" t="s">
        <v>51</v>
      </c>
      <c r="E86" s="3">
        <v>60954958</v>
      </c>
    </row>
    <row r="87" spans="1:5" x14ac:dyDescent="0.25">
      <c r="A87" s="1" t="s">
        <v>71</v>
      </c>
      <c r="B87" s="1" t="s">
        <v>70</v>
      </c>
      <c r="C87" s="1" t="s">
        <v>97</v>
      </c>
      <c r="D87" s="1" t="s">
        <v>73</v>
      </c>
      <c r="E87" s="3">
        <v>46623579</v>
      </c>
    </row>
    <row r="88" spans="1:5" x14ac:dyDescent="0.25">
      <c r="A88" s="1" t="s">
        <v>71</v>
      </c>
      <c r="B88" s="1" t="s">
        <v>70</v>
      </c>
      <c r="C88" s="1" t="s">
        <v>97</v>
      </c>
      <c r="D88" s="1" t="s">
        <v>72</v>
      </c>
      <c r="E88" s="3">
        <v>14566590</v>
      </c>
    </row>
    <row r="89" spans="1:5" x14ac:dyDescent="0.25">
      <c r="A89" s="1" t="s">
        <v>71</v>
      </c>
      <c r="B89" s="1" t="s">
        <v>70</v>
      </c>
      <c r="C89" s="1" t="s">
        <v>97</v>
      </c>
      <c r="D89" s="1" t="s">
        <v>51</v>
      </c>
      <c r="E89" s="3">
        <v>61190169</v>
      </c>
    </row>
    <row r="90" spans="1:5" x14ac:dyDescent="0.25">
      <c r="A90" s="1" t="s">
        <v>71</v>
      </c>
      <c r="B90" s="1" t="s">
        <v>70</v>
      </c>
      <c r="C90" s="1" t="s">
        <v>96</v>
      </c>
      <c r="D90" s="1" t="s">
        <v>73</v>
      </c>
      <c r="E90" s="3">
        <v>46757622</v>
      </c>
    </row>
    <row r="91" spans="1:5" x14ac:dyDescent="0.25">
      <c r="A91" s="1" t="s">
        <v>71</v>
      </c>
      <c r="B91" s="1" t="s">
        <v>70</v>
      </c>
      <c r="C91" s="1" t="s">
        <v>96</v>
      </c>
      <c r="D91" s="1" t="s">
        <v>72</v>
      </c>
      <c r="E91" s="3">
        <v>14654063</v>
      </c>
    </row>
    <row r="92" spans="1:5" x14ac:dyDescent="0.25">
      <c r="A92" s="1" t="s">
        <v>71</v>
      </c>
      <c r="B92" s="1" t="s">
        <v>70</v>
      </c>
      <c r="C92" s="1" t="s">
        <v>96</v>
      </c>
      <c r="D92" s="1" t="s">
        <v>51</v>
      </c>
      <c r="E92" s="3">
        <v>61411685</v>
      </c>
    </row>
    <row r="93" spans="1:5" x14ac:dyDescent="0.25">
      <c r="A93" s="1" t="s">
        <v>71</v>
      </c>
      <c r="B93" s="1" t="s">
        <v>70</v>
      </c>
      <c r="C93" s="1" t="s">
        <v>95</v>
      </c>
      <c r="D93" s="1" t="s">
        <v>73</v>
      </c>
      <c r="E93" s="3">
        <v>46879896</v>
      </c>
    </row>
    <row r="94" spans="1:5" x14ac:dyDescent="0.25">
      <c r="A94" s="1" t="s">
        <v>71</v>
      </c>
      <c r="B94" s="1" t="s">
        <v>70</v>
      </c>
      <c r="C94" s="1" t="s">
        <v>95</v>
      </c>
      <c r="D94" s="1" t="s">
        <v>72</v>
      </c>
      <c r="E94" s="3">
        <v>14739585</v>
      </c>
    </row>
    <row r="95" spans="1:5" x14ac:dyDescent="0.25">
      <c r="A95" s="1" t="s">
        <v>71</v>
      </c>
      <c r="B95" s="1" t="s">
        <v>70</v>
      </c>
      <c r="C95" s="1" t="s">
        <v>95</v>
      </c>
      <c r="D95" s="1" t="s">
        <v>51</v>
      </c>
      <c r="E95" s="3">
        <v>61619481</v>
      </c>
    </row>
    <row r="96" spans="1:5" x14ac:dyDescent="0.25">
      <c r="A96" s="1" t="s">
        <v>71</v>
      </c>
      <c r="B96" s="1" t="s">
        <v>70</v>
      </c>
      <c r="C96" s="1" t="s">
        <v>94</v>
      </c>
      <c r="D96" s="1" t="s">
        <v>73</v>
      </c>
      <c r="E96" s="3">
        <v>46990455</v>
      </c>
    </row>
    <row r="97" spans="1:5" x14ac:dyDescent="0.25">
      <c r="A97" s="1" t="s">
        <v>71</v>
      </c>
      <c r="B97" s="1" t="s">
        <v>70</v>
      </c>
      <c r="C97" s="1" t="s">
        <v>94</v>
      </c>
      <c r="D97" s="1" t="s">
        <v>72</v>
      </c>
      <c r="E97" s="3">
        <v>14823102</v>
      </c>
    </row>
    <row r="98" spans="1:5" x14ac:dyDescent="0.25">
      <c r="A98" s="1" t="s">
        <v>71</v>
      </c>
      <c r="B98" s="1" t="s">
        <v>70</v>
      </c>
      <c r="C98" s="1" t="s">
        <v>94</v>
      </c>
      <c r="D98" s="1" t="s">
        <v>51</v>
      </c>
      <c r="E98" s="3">
        <v>61813557</v>
      </c>
    </row>
    <row r="99" spans="1:5" x14ac:dyDescent="0.25">
      <c r="A99" s="1" t="s">
        <v>71</v>
      </c>
      <c r="B99" s="1" t="s">
        <v>70</v>
      </c>
      <c r="C99" s="1" t="s">
        <v>93</v>
      </c>
      <c r="D99" s="1" t="s">
        <v>73</v>
      </c>
      <c r="E99" s="3">
        <v>47089493</v>
      </c>
    </row>
    <row r="100" spans="1:5" x14ac:dyDescent="0.25">
      <c r="A100" s="1" t="s">
        <v>71</v>
      </c>
      <c r="B100" s="1" t="s">
        <v>70</v>
      </c>
      <c r="C100" s="1" t="s">
        <v>93</v>
      </c>
      <c r="D100" s="1" t="s">
        <v>72</v>
      </c>
      <c r="E100" s="3">
        <v>14904690</v>
      </c>
    </row>
    <row r="101" spans="1:5" x14ac:dyDescent="0.25">
      <c r="A101" s="1" t="s">
        <v>71</v>
      </c>
      <c r="B101" s="1" t="s">
        <v>70</v>
      </c>
      <c r="C101" s="1" t="s">
        <v>93</v>
      </c>
      <c r="D101" s="1" t="s">
        <v>51</v>
      </c>
      <c r="E101" s="3">
        <v>61994183</v>
      </c>
    </row>
    <row r="102" spans="1:5" x14ac:dyDescent="0.25">
      <c r="A102" s="1" t="s">
        <v>71</v>
      </c>
      <c r="B102" s="1" t="s">
        <v>70</v>
      </c>
      <c r="C102" s="1" t="s">
        <v>92</v>
      </c>
      <c r="D102" s="1" t="s">
        <v>73</v>
      </c>
      <c r="E102" s="3">
        <v>47177278</v>
      </c>
    </row>
    <row r="103" spans="1:5" x14ac:dyDescent="0.25">
      <c r="A103" s="1" t="s">
        <v>71</v>
      </c>
      <c r="B103" s="1" t="s">
        <v>70</v>
      </c>
      <c r="C103" s="1" t="s">
        <v>92</v>
      </c>
      <c r="D103" s="1" t="s">
        <v>72</v>
      </c>
      <c r="E103" s="3">
        <v>14984435</v>
      </c>
    </row>
    <row r="104" spans="1:5" x14ac:dyDescent="0.25">
      <c r="A104" s="1" t="s">
        <v>71</v>
      </c>
      <c r="B104" s="1" t="s">
        <v>70</v>
      </c>
      <c r="C104" s="1" t="s">
        <v>92</v>
      </c>
      <c r="D104" s="1" t="s">
        <v>51</v>
      </c>
      <c r="E104" s="3">
        <v>62161713</v>
      </c>
    </row>
    <row r="105" spans="1:5" x14ac:dyDescent="0.25">
      <c r="A105" s="1" t="s">
        <v>71</v>
      </c>
      <c r="B105" s="1" t="s">
        <v>70</v>
      </c>
      <c r="C105" s="1" t="s">
        <v>91</v>
      </c>
      <c r="D105" s="1" t="s">
        <v>73</v>
      </c>
      <c r="E105" s="3">
        <v>47253907</v>
      </c>
    </row>
    <row r="106" spans="1:5" x14ac:dyDescent="0.25">
      <c r="A106" s="1" t="s">
        <v>71</v>
      </c>
      <c r="B106" s="1" t="s">
        <v>70</v>
      </c>
      <c r="C106" s="1" t="s">
        <v>91</v>
      </c>
      <c r="D106" s="1" t="s">
        <v>72</v>
      </c>
      <c r="E106" s="3">
        <v>15062310</v>
      </c>
    </row>
    <row r="107" spans="1:5" x14ac:dyDescent="0.25">
      <c r="A107" s="1" t="s">
        <v>71</v>
      </c>
      <c r="B107" s="1" t="s">
        <v>70</v>
      </c>
      <c r="C107" s="1" t="s">
        <v>91</v>
      </c>
      <c r="D107" s="1" t="s">
        <v>51</v>
      </c>
      <c r="E107" s="3">
        <v>62316217</v>
      </c>
    </row>
    <row r="108" spans="1:5" x14ac:dyDescent="0.25">
      <c r="A108" s="1" t="s">
        <v>71</v>
      </c>
      <c r="B108" s="1" t="s">
        <v>70</v>
      </c>
      <c r="C108" s="1" t="s">
        <v>90</v>
      </c>
      <c r="D108" s="1" t="s">
        <v>73</v>
      </c>
      <c r="E108" s="3">
        <v>47319418</v>
      </c>
    </row>
    <row r="109" spans="1:5" x14ac:dyDescent="0.25">
      <c r="A109" s="1" t="s">
        <v>71</v>
      </c>
      <c r="B109" s="1" t="s">
        <v>70</v>
      </c>
      <c r="C109" s="1" t="s">
        <v>90</v>
      </c>
      <c r="D109" s="1" t="s">
        <v>72</v>
      </c>
      <c r="E109" s="3">
        <v>15138287</v>
      </c>
    </row>
    <row r="110" spans="1:5" x14ac:dyDescent="0.25">
      <c r="A110" s="1" t="s">
        <v>71</v>
      </c>
      <c r="B110" s="1" t="s">
        <v>70</v>
      </c>
      <c r="C110" s="1" t="s">
        <v>90</v>
      </c>
      <c r="D110" s="1" t="s">
        <v>51</v>
      </c>
      <c r="E110" s="3">
        <v>62457705</v>
      </c>
    </row>
    <row r="111" spans="1:5" x14ac:dyDescent="0.25">
      <c r="A111" s="1" t="s">
        <v>71</v>
      </c>
      <c r="B111" s="1" t="s">
        <v>70</v>
      </c>
      <c r="C111" s="1" t="s">
        <v>89</v>
      </c>
      <c r="D111" s="1" t="s">
        <v>73</v>
      </c>
      <c r="E111" s="3">
        <v>47373875</v>
      </c>
    </row>
    <row r="112" spans="1:5" x14ac:dyDescent="0.25">
      <c r="A112" s="1" t="s">
        <v>71</v>
      </c>
      <c r="B112" s="1" t="s">
        <v>70</v>
      </c>
      <c r="C112" s="1" t="s">
        <v>89</v>
      </c>
      <c r="D112" s="1" t="s">
        <v>72</v>
      </c>
      <c r="E112" s="3">
        <v>15212325</v>
      </c>
    </row>
    <row r="113" spans="1:5" x14ac:dyDescent="0.25">
      <c r="A113" s="1" t="s">
        <v>71</v>
      </c>
      <c r="B113" s="1" t="s">
        <v>70</v>
      </c>
      <c r="C113" s="1" t="s">
        <v>89</v>
      </c>
      <c r="D113" s="1" t="s">
        <v>51</v>
      </c>
      <c r="E113" s="3">
        <v>62586200</v>
      </c>
    </row>
    <row r="114" spans="1:5" x14ac:dyDescent="0.25">
      <c r="A114" s="1" t="s">
        <v>71</v>
      </c>
      <c r="B114" s="1" t="s">
        <v>70</v>
      </c>
      <c r="C114" s="1" t="s">
        <v>88</v>
      </c>
      <c r="D114" s="1" t="s">
        <v>73</v>
      </c>
      <c r="E114" s="3">
        <v>47417429</v>
      </c>
    </row>
    <row r="115" spans="1:5" x14ac:dyDescent="0.25">
      <c r="A115" s="1" t="s">
        <v>71</v>
      </c>
      <c r="B115" s="1" t="s">
        <v>70</v>
      </c>
      <c r="C115" s="1" t="s">
        <v>88</v>
      </c>
      <c r="D115" s="1" t="s">
        <v>72</v>
      </c>
      <c r="E115" s="3">
        <v>15284488</v>
      </c>
    </row>
    <row r="116" spans="1:5" x14ac:dyDescent="0.25">
      <c r="A116" s="1" t="s">
        <v>71</v>
      </c>
      <c r="B116" s="1" t="s">
        <v>70</v>
      </c>
      <c r="C116" s="1" t="s">
        <v>88</v>
      </c>
      <c r="D116" s="1" t="s">
        <v>51</v>
      </c>
      <c r="E116" s="3">
        <v>62701917</v>
      </c>
    </row>
    <row r="117" spans="1:5" x14ac:dyDescent="0.25">
      <c r="A117" s="1" t="s">
        <v>71</v>
      </c>
      <c r="B117" s="1" t="s">
        <v>70</v>
      </c>
      <c r="C117" s="1" t="s">
        <v>87</v>
      </c>
      <c r="D117" s="1" t="s">
        <v>73</v>
      </c>
      <c r="E117" s="3">
        <v>47450292</v>
      </c>
    </row>
    <row r="118" spans="1:5" x14ac:dyDescent="0.25">
      <c r="A118" s="1" t="s">
        <v>71</v>
      </c>
      <c r="B118" s="1" t="s">
        <v>70</v>
      </c>
      <c r="C118" s="1" t="s">
        <v>87</v>
      </c>
      <c r="D118" s="1" t="s">
        <v>72</v>
      </c>
      <c r="E118" s="3">
        <v>15354835</v>
      </c>
    </row>
    <row r="119" spans="1:5" x14ac:dyDescent="0.25">
      <c r="A119" s="1" t="s">
        <v>71</v>
      </c>
      <c r="B119" s="1" t="s">
        <v>70</v>
      </c>
      <c r="C119" s="1" t="s">
        <v>87</v>
      </c>
      <c r="D119" s="1" t="s">
        <v>51</v>
      </c>
      <c r="E119" s="3">
        <v>62805127</v>
      </c>
    </row>
    <row r="120" spans="1:5" x14ac:dyDescent="0.25">
      <c r="A120" s="1" t="s">
        <v>71</v>
      </c>
      <c r="B120" s="1" t="s">
        <v>70</v>
      </c>
      <c r="C120" s="1" t="s">
        <v>86</v>
      </c>
      <c r="D120" s="1" t="s">
        <v>73</v>
      </c>
      <c r="E120" s="3">
        <v>47472623</v>
      </c>
    </row>
    <row r="121" spans="1:5" x14ac:dyDescent="0.25">
      <c r="A121" s="1" t="s">
        <v>71</v>
      </c>
      <c r="B121" s="1" t="s">
        <v>70</v>
      </c>
      <c r="C121" s="1" t="s">
        <v>86</v>
      </c>
      <c r="D121" s="1" t="s">
        <v>72</v>
      </c>
      <c r="E121" s="3">
        <v>15423350</v>
      </c>
    </row>
    <row r="122" spans="1:5" x14ac:dyDescent="0.25">
      <c r="A122" s="1" t="s">
        <v>71</v>
      </c>
      <c r="B122" s="1" t="s">
        <v>70</v>
      </c>
      <c r="C122" s="1" t="s">
        <v>86</v>
      </c>
      <c r="D122" s="1" t="s">
        <v>51</v>
      </c>
      <c r="E122" s="3">
        <v>62895973</v>
      </c>
    </row>
    <row r="123" spans="1:5" x14ac:dyDescent="0.25">
      <c r="A123" s="1" t="s">
        <v>71</v>
      </c>
      <c r="B123" s="1" t="s">
        <v>70</v>
      </c>
      <c r="C123" s="1" t="s">
        <v>85</v>
      </c>
      <c r="D123" s="1" t="s">
        <v>73</v>
      </c>
      <c r="E123" s="3">
        <v>47484515</v>
      </c>
    </row>
    <row r="124" spans="1:5" x14ac:dyDescent="0.25">
      <c r="A124" s="1" t="s">
        <v>71</v>
      </c>
      <c r="B124" s="1" t="s">
        <v>70</v>
      </c>
      <c r="C124" s="1" t="s">
        <v>85</v>
      </c>
      <c r="D124" s="1" t="s">
        <v>72</v>
      </c>
      <c r="E124" s="3">
        <v>15489995</v>
      </c>
    </row>
    <row r="125" spans="1:5" x14ac:dyDescent="0.25">
      <c r="A125" s="1" t="s">
        <v>71</v>
      </c>
      <c r="B125" s="1" t="s">
        <v>70</v>
      </c>
      <c r="C125" s="1" t="s">
        <v>85</v>
      </c>
      <c r="D125" s="1" t="s">
        <v>51</v>
      </c>
      <c r="E125" s="3">
        <v>62974510</v>
      </c>
    </row>
    <row r="126" spans="1:5" x14ac:dyDescent="0.25">
      <c r="A126" s="1" t="s">
        <v>71</v>
      </c>
      <c r="B126" s="1" t="s">
        <v>70</v>
      </c>
      <c r="C126" s="1" t="s">
        <v>84</v>
      </c>
      <c r="D126" s="1" t="s">
        <v>73</v>
      </c>
      <c r="E126" s="3">
        <v>47486075</v>
      </c>
    </row>
    <row r="127" spans="1:5" x14ac:dyDescent="0.25">
      <c r="A127" s="1" t="s">
        <v>71</v>
      </c>
      <c r="B127" s="1" t="s">
        <v>70</v>
      </c>
      <c r="C127" s="1" t="s">
        <v>84</v>
      </c>
      <c r="D127" s="1" t="s">
        <v>72</v>
      </c>
      <c r="E127" s="3">
        <v>15554770</v>
      </c>
    </row>
    <row r="128" spans="1:5" x14ac:dyDescent="0.25">
      <c r="A128" s="1" t="s">
        <v>71</v>
      </c>
      <c r="B128" s="1" t="s">
        <v>70</v>
      </c>
      <c r="C128" s="1" t="s">
        <v>84</v>
      </c>
      <c r="D128" s="1" t="s">
        <v>51</v>
      </c>
      <c r="E128" s="3">
        <v>63040845</v>
      </c>
    </row>
    <row r="129" spans="1:5" x14ac:dyDescent="0.25">
      <c r="A129" s="1" t="s">
        <v>71</v>
      </c>
      <c r="B129" s="1" t="s">
        <v>70</v>
      </c>
      <c r="C129" s="1" t="s">
        <v>83</v>
      </c>
      <c r="D129" s="1" t="s">
        <v>73</v>
      </c>
      <c r="E129" s="3">
        <v>47477508</v>
      </c>
    </row>
    <row r="130" spans="1:5" x14ac:dyDescent="0.25">
      <c r="A130" s="1" t="s">
        <v>71</v>
      </c>
      <c r="B130" s="1" t="s">
        <v>70</v>
      </c>
      <c r="C130" s="1" t="s">
        <v>83</v>
      </c>
      <c r="D130" s="1" t="s">
        <v>72</v>
      </c>
      <c r="E130" s="3">
        <v>15617680</v>
      </c>
    </row>
    <row r="131" spans="1:5" x14ac:dyDescent="0.25">
      <c r="A131" s="1" t="s">
        <v>71</v>
      </c>
      <c r="B131" s="1" t="s">
        <v>70</v>
      </c>
      <c r="C131" s="1" t="s">
        <v>83</v>
      </c>
      <c r="D131" s="1" t="s">
        <v>51</v>
      </c>
      <c r="E131" s="3">
        <v>63095188</v>
      </c>
    </row>
    <row r="132" spans="1:5" x14ac:dyDescent="0.25">
      <c r="A132" s="1" t="s">
        <v>71</v>
      </c>
      <c r="B132" s="1" t="s">
        <v>70</v>
      </c>
      <c r="C132" s="1" t="s">
        <v>82</v>
      </c>
      <c r="D132" s="1" t="s">
        <v>73</v>
      </c>
      <c r="E132" s="3">
        <v>47459047</v>
      </c>
    </row>
    <row r="133" spans="1:5" x14ac:dyDescent="0.25">
      <c r="A133" s="1" t="s">
        <v>71</v>
      </c>
      <c r="B133" s="1" t="s">
        <v>70</v>
      </c>
      <c r="C133" s="1" t="s">
        <v>82</v>
      </c>
      <c r="D133" s="1" t="s">
        <v>72</v>
      </c>
      <c r="E133" s="3">
        <v>15678764</v>
      </c>
    </row>
    <row r="134" spans="1:5" x14ac:dyDescent="0.25">
      <c r="A134" s="1" t="s">
        <v>71</v>
      </c>
      <c r="B134" s="1" t="s">
        <v>70</v>
      </c>
      <c r="C134" s="1" t="s">
        <v>82</v>
      </c>
      <c r="D134" s="1" t="s">
        <v>51</v>
      </c>
      <c r="E134" s="3">
        <v>63137811</v>
      </c>
    </row>
    <row r="135" spans="1:5" x14ac:dyDescent="0.25">
      <c r="A135" s="1" t="s">
        <v>71</v>
      </c>
      <c r="B135" s="1" t="s">
        <v>70</v>
      </c>
      <c r="C135" s="1" t="s">
        <v>81</v>
      </c>
      <c r="D135" s="1" t="s">
        <v>73</v>
      </c>
      <c r="E135" s="3">
        <v>47430889</v>
      </c>
    </row>
    <row r="136" spans="1:5" x14ac:dyDescent="0.25">
      <c r="A136" s="1" t="s">
        <v>71</v>
      </c>
      <c r="B136" s="1" t="s">
        <v>70</v>
      </c>
      <c r="C136" s="1" t="s">
        <v>81</v>
      </c>
      <c r="D136" s="1" t="s">
        <v>72</v>
      </c>
      <c r="E136" s="3">
        <v>15738011</v>
      </c>
    </row>
    <row r="137" spans="1:5" x14ac:dyDescent="0.25">
      <c r="A137" s="1" t="s">
        <v>71</v>
      </c>
      <c r="B137" s="1" t="s">
        <v>70</v>
      </c>
      <c r="C137" s="1" t="s">
        <v>81</v>
      </c>
      <c r="D137" s="1" t="s">
        <v>51</v>
      </c>
      <c r="E137" s="3">
        <v>63168900</v>
      </c>
    </row>
    <row r="138" spans="1:5" x14ac:dyDescent="0.25">
      <c r="A138" s="1" t="s">
        <v>71</v>
      </c>
      <c r="B138" s="1" t="s">
        <v>70</v>
      </c>
      <c r="C138" s="1" t="s">
        <v>80</v>
      </c>
      <c r="D138" s="1" t="s">
        <v>73</v>
      </c>
      <c r="E138" s="3">
        <v>47393187</v>
      </c>
    </row>
    <row r="139" spans="1:5" x14ac:dyDescent="0.25">
      <c r="A139" s="1" t="s">
        <v>71</v>
      </c>
      <c r="B139" s="1" t="s">
        <v>70</v>
      </c>
      <c r="C139" s="1" t="s">
        <v>80</v>
      </c>
      <c r="D139" s="1" t="s">
        <v>72</v>
      </c>
      <c r="E139" s="3">
        <v>15795396</v>
      </c>
    </row>
    <row r="140" spans="1:5" x14ac:dyDescent="0.25">
      <c r="A140" s="1" t="s">
        <v>71</v>
      </c>
      <c r="B140" s="1" t="s">
        <v>70</v>
      </c>
      <c r="C140" s="1" t="s">
        <v>80</v>
      </c>
      <c r="D140" s="1" t="s">
        <v>51</v>
      </c>
      <c r="E140" s="3">
        <v>63188583</v>
      </c>
    </row>
    <row r="141" spans="1:5" x14ac:dyDescent="0.25">
      <c r="A141" s="1" t="s">
        <v>71</v>
      </c>
      <c r="B141" s="1" t="s">
        <v>70</v>
      </c>
      <c r="C141" s="1" t="s">
        <v>79</v>
      </c>
      <c r="D141" s="1" t="s">
        <v>73</v>
      </c>
      <c r="E141" s="3">
        <v>47346106</v>
      </c>
    </row>
    <row r="142" spans="1:5" x14ac:dyDescent="0.25">
      <c r="A142" s="1" t="s">
        <v>71</v>
      </c>
      <c r="B142" s="1" t="s">
        <v>70</v>
      </c>
      <c r="C142" s="1" t="s">
        <v>79</v>
      </c>
      <c r="D142" s="1" t="s">
        <v>72</v>
      </c>
      <c r="E142" s="3">
        <v>15850898</v>
      </c>
    </row>
    <row r="143" spans="1:5" x14ac:dyDescent="0.25">
      <c r="A143" s="1" t="s">
        <v>71</v>
      </c>
      <c r="B143" s="1" t="s">
        <v>70</v>
      </c>
      <c r="C143" s="1" t="s">
        <v>79</v>
      </c>
      <c r="D143" s="1" t="s">
        <v>51</v>
      </c>
      <c r="E143" s="3">
        <v>63197004</v>
      </c>
    </row>
    <row r="144" spans="1:5" x14ac:dyDescent="0.25">
      <c r="A144" s="1" t="s">
        <v>71</v>
      </c>
      <c r="B144" s="1" t="s">
        <v>70</v>
      </c>
      <c r="C144" s="1" t="s">
        <v>78</v>
      </c>
      <c r="D144" s="1" t="s">
        <v>73</v>
      </c>
      <c r="E144" s="3">
        <v>47289834</v>
      </c>
    </row>
    <row r="145" spans="1:5" x14ac:dyDescent="0.25">
      <c r="A145" s="1" t="s">
        <v>71</v>
      </c>
      <c r="B145" s="1" t="s">
        <v>70</v>
      </c>
      <c r="C145" s="1" t="s">
        <v>78</v>
      </c>
      <c r="D145" s="1" t="s">
        <v>72</v>
      </c>
      <c r="E145" s="3">
        <v>15904525</v>
      </c>
    </row>
    <row r="146" spans="1:5" x14ac:dyDescent="0.25">
      <c r="A146" s="1" t="s">
        <v>71</v>
      </c>
      <c r="B146" s="1" t="s">
        <v>70</v>
      </c>
      <c r="C146" s="1" t="s">
        <v>78</v>
      </c>
      <c r="D146" s="1" t="s">
        <v>51</v>
      </c>
      <c r="E146" s="3">
        <v>63194359</v>
      </c>
    </row>
    <row r="147" spans="1:5" x14ac:dyDescent="0.25">
      <c r="A147" s="1" t="s">
        <v>71</v>
      </c>
      <c r="B147" s="1" t="s">
        <v>70</v>
      </c>
      <c r="C147" s="1" t="s">
        <v>77</v>
      </c>
      <c r="D147" s="1" t="s">
        <v>73</v>
      </c>
      <c r="E147" s="3">
        <v>47224624</v>
      </c>
    </row>
    <row r="148" spans="1:5" x14ac:dyDescent="0.25">
      <c r="A148" s="1" t="s">
        <v>71</v>
      </c>
      <c r="B148" s="1" t="s">
        <v>70</v>
      </c>
      <c r="C148" s="1" t="s">
        <v>77</v>
      </c>
      <c r="D148" s="1" t="s">
        <v>72</v>
      </c>
      <c r="E148" s="3">
        <v>15956298</v>
      </c>
    </row>
    <row r="149" spans="1:5" x14ac:dyDescent="0.25">
      <c r="A149" s="1" t="s">
        <v>71</v>
      </c>
      <c r="B149" s="1" t="s">
        <v>70</v>
      </c>
      <c r="C149" s="1" t="s">
        <v>77</v>
      </c>
      <c r="D149" s="1" t="s">
        <v>51</v>
      </c>
      <c r="E149" s="3">
        <v>63180922</v>
      </c>
    </row>
    <row r="150" spans="1:5" x14ac:dyDescent="0.25">
      <c r="A150" s="1" t="s">
        <v>71</v>
      </c>
      <c r="B150" s="1" t="s">
        <v>70</v>
      </c>
      <c r="C150" s="1" t="s">
        <v>76</v>
      </c>
      <c r="D150" s="1" t="s">
        <v>73</v>
      </c>
      <c r="E150" s="3">
        <v>47150698</v>
      </c>
    </row>
    <row r="151" spans="1:5" x14ac:dyDescent="0.25">
      <c r="A151" s="1" t="s">
        <v>71</v>
      </c>
      <c r="B151" s="1" t="s">
        <v>70</v>
      </c>
      <c r="C151" s="1" t="s">
        <v>76</v>
      </c>
      <c r="D151" s="1" t="s">
        <v>72</v>
      </c>
      <c r="E151" s="3">
        <v>16006204</v>
      </c>
    </row>
    <row r="152" spans="1:5" x14ac:dyDescent="0.25">
      <c r="A152" s="1" t="s">
        <v>71</v>
      </c>
      <c r="B152" s="1" t="s">
        <v>70</v>
      </c>
      <c r="C152" s="1" t="s">
        <v>76</v>
      </c>
      <c r="D152" s="1" t="s">
        <v>51</v>
      </c>
      <c r="E152" s="3">
        <v>63156902</v>
      </c>
    </row>
    <row r="153" spans="1:5" x14ac:dyDescent="0.25">
      <c r="A153" s="1" t="s">
        <v>71</v>
      </c>
      <c r="B153" s="1" t="s">
        <v>70</v>
      </c>
      <c r="C153" s="1" t="s">
        <v>75</v>
      </c>
      <c r="D153" s="1" t="s">
        <v>73</v>
      </c>
      <c r="E153" s="3">
        <v>47068275</v>
      </c>
    </row>
    <row r="154" spans="1:5" x14ac:dyDescent="0.25">
      <c r="A154" s="1" t="s">
        <v>71</v>
      </c>
      <c r="B154" s="1" t="s">
        <v>70</v>
      </c>
      <c r="C154" s="1" t="s">
        <v>75</v>
      </c>
      <c r="D154" s="1" t="s">
        <v>72</v>
      </c>
      <c r="E154" s="3">
        <v>16054213</v>
      </c>
    </row>
    <row r="155" spans="1:5" x14ac:dyDescent="0.25">
      <c r="A155" s="1" t="s">
        <v>71</v>
      </c>
      <c r="B155" s="1" t="s">
        <v>70</v>
      </c>
      <c r="C155" s="1" t="s">
        <v>75</v>
      </c>
      <c r="D155" s="1" t="s">
        <v>51</v>
      </c>
      <c r="E155" s="3">
        <v>63122488</v>
      </c>
    </row>
    <row r="156" spans="1:5" x14ac:dyDescent="0.25">
      <c r="A156" s="1" t="s">
        <v>71</v>
      </c>
      <c r="B156" s="1" t="s">
        <v>70</v>
      </c>
      <c r="C156" s="1" t="s">
        <v>74</v>
      </c>
      <c r="D156" s="1" t="s">
        <v>73</v>
      </c>
      <c r="E156" s="3">
        <v>46977554</v>
      </c>
    </row>
    <row r="157" spans="1:5" x14ac:dyDescent="0.25">
      <c r="A157" s="1" t="s">
        <v>71</v>
      </c>
      <c r="B157" s="1" t="s">
        <v>70</v>
      </c>
      <c r="C157" s="1" t="s">
        <v>74</v>
      </c>
      <c r="D157" s="1" t="s">
        <v>72</v>
      </c>
      <c r="E157" s="3">
        <v>16100319</v>
      </c>
    </row>
    <row r="158" spans="1:5" x14ac:dyDescent="0.25">
      <c r="A158" s="1" t="s">
        <v>71</v>
      </c>
      <c r="B158" s="1" t="s">
        <v>70</v>
      </c>
      <c r="C158" s="1" t="s">
        <v>74</v>
      </c>
      <c r="D158" s="1" t="s">
        <v>51</v>
      </c>
      <c r="E158" s="3">
        <v>63077873</v>
      </c>
    </row>
    <row r="159" spans="1:5" x14ac:dyDescent="0.25">
      <c r="A159" s="1" t="s">
        <v>71</v>
      </c>
      <c r="B159" s="1" t="s">
        <v>70</v>
      </c>
      <c r="C159" s="1" t="s">
        <v>69</v>
      </c>
      <c r="D159" s="1" t="s">
        <v>73</v>
      </c>
      <c r="E159" s="3">
        <v>46878800</v>
      </c>
    </row>
    <row r="160" spans="1:5" x14ac:dyDescent="0.25">
      <c r="A160" s="1" t="s">
        <v>71</v>
      </c>
      <c r="B160" s="1" t="s">
        <v>70</v>
      </c>
      <c r="C160" s="1" t="s">
        <v>69</v>
      </c>
      <c r="D160" s="1" t="s">
        <v>72</v>
      </c>
      <c r="E160" s="3">
        <v>16144534</v>
      </c>
    </row>
    <row r="161" spans="1:5" x14ac:dyDescent="0.25">
      <c r="A161" s="228" t="s">
        <v>71</v>
      </c>
      <c r="B161" s="228" t="s">
        <v>70</v>
      </c>
      <c r="C161" s="228" t="s">
        <v>69</v>
      </c>
      <c r="D161" s="228" t="s">
        <v>51</v>
      </c>
      <c r="E161" s="229">
        <v>63023334</v>
      </c>
    </row>
  </sheetData>
  <mergeCells count="2">
    <mergeCell ref="A6:E7"/>
    <mergeCell ref="A8:E8"/>
  </mergeCells>
  <pageMargins left="0.7" right="0.7" top="0.75" bottom="0.75" header="0.3" footer="0.3"/>
  <pageSetup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8C392-3E8D-49B8-9F12-048E706AA978}">
  <dimension ref="B2:K59"/>
  <sheetViews>
    <sheetView showGridLines="0" topLeftCell="A45" zoomScale="70" zoomScaleNormal="70" workbookViewId="0">
      <selection activeCell="M58" sqref="M58"/>
    </sheetView>
  </sheetViews>
  <sheetFormatPr baseColWidth="10" defaultColWidth="17.28515625" defaultRowHeight="15.75" x14ac:dyDescent="0.25"/>
  <cols>
    <col min="1" max="1" width="6.7109375" style="107" customWidth="1"/>
    <col min="2" max="2" width="23.42578125" style="107" bestFit="1" customWidth="1"/>
    <col min="3" max="8" width="18.5703125" style="235" bestFit="1" customWidth="1"/>
    <col min="9" max="16384" width="17.28515625" style="107"/>
  </cols>
  <sheetData>
    <row r="2" spans="2:8" x14ac:dyDescent="0.25">
      <c r="B2" s="236" t="s">
        <v>259</v>
      </c>
      <c r="C2" s="237">
        <v>2021</v>
      </c>
      <c r="D2" s="237">
        <v>2022</v>
      </c>
      <c r="E2" s="237">
        <v>2023</v>
      </c>
      <c r="F2" s="237">
        <v>2024</v>
      </c>
      <c r="G2" s="237">
        <v>2025</v>
      </c>
      <c r="H2" s="237">
        <v>2026</v>
      </c>
    </row>
    <row r="3" spans="2:8" ht="31.5" x14ac:dyDescent="0.25">
      <c r="B3" s="238" t="s">
        <v>275</v>
      </c>
      <c r="C3" s="239"/>
      <c r="D3" s="240">
        <v>1.0969275349191485E-2</v>
      </c>
      <c r="E3" s="240">
        <v>1.0594566416235903E-2</v>
      </c>
      <c r="F3" s="240">
        <v>1.0261204725324024E-2</v>
      </c>
      <c r="G3" s="240">
        <v>9.9665524419146646E-3</v>
      </c>
      <c r="H3" s="240">
        <v>9.6928980345077336E-3</v>
      </c>
    </row>
    <row r="4" spans="2:8" x14ac:dyDescent="0.25">
      <c r="B4" s="241" t="s">
        <v>278</v>
      </c>
      <c r="C4" s="242">
        <v>1</v>
      </c>
      <c r="D4" s="242">
        <v>3</v>
      </c>
      <c r="E4" s="242">
        <f t="shared" ref="E4:H18" si="0">D4*(1+E$3)</f>
        <v>3.0317836992487077</v>
      </c>
      <c r="F4" s="242">
        <f t="shared" si="0"/>
        <v>3.062893452469599</v>
      </c>
      <c r="G4" s="242">
        <f t="shared" si="0"/>
        <v>3.0934199406876339</v>
      </c>
      <c r="H4" s="242">
        <f t="shared" si="0"/>
        <v>3.1234041447506318</v>
      </c>
    </row>
    <row r="5" spans="2:8" x14ac:dyDescent="0.25">
      <c r="B5" s="241" t="s">
        <v>260</v>
      </c>
      <c r="C5" s="242">
        <v>13</v>
      </c>
      <c r="D5" s="242">
        <v>16</v>
      </c>
      <c r="E5" s="242">
        <f t="shared" si="0"/>
        <v>16.169513062659775</v>
      </c>
      <c r="F5" s="242">
        <f t="shared" si="0"/>
        <v>16.335431746504529</v>
      </c>
      <c r="G5" s="242">
        <f t="shared" si="0"/>
        <v>16.498239683667382</v>
      </c>
      <c r="H5" s="242">
        <f t="shared" si="0"/>
        <v>16.65815543867004</v>
      </c>
    </row>
    <row r="6" spans="2:8" x14ac:dyDescent="0.25">
      <c r="B6" s="241" t="s">
        <v>261</v>
      </c>
      <c r="C6" s="242">
        <v>27</v>
      </c>
      <c r="D6" s="242">
        <v>34</v>
      </c>
      <c r="E6" s="242">
        <f t="shared" si="0"/>
        <v>34.360215258152024</v>
      </c>
      <c r="F6" s="242">
        <f t="shared" si="0"/>
        <v>34.712792461322124</v>
      </c>
      <c r="G6" s="242">
        <f t="shared" si="0"/>
        <v>35.05875932779319</v>
      </c>
      <c r="H6" s="242">
        <f t="shared" si="0"/>
        <v>35.398580307173837</v>
      </c>
    </row>
    <row r="7" spans="2:8" x14ac:dyDescent="0.25">
      <c r="B7" s="241" t="s">
        <v>262</v>
      </c>
      <c r="C7" s="242">
        <v>49</v>
      </c>
      <c r="D7" s="242">
        <v>66</v>
      </c>
      <c r="E7" s="242">
        <f t="shared" si="0"/>
        <v>66.699241383471573</v>
      </c>
      <c r="F7" s="242">
        <f t="shared" si="0"/>
        <v>67.383655954331189</v>
      </c>
      <c r="G7" s="242">
        <f t="shared" si="0"/>
        <v>68.055238695127954</v>
      </c>
      <c r="H7" s="242">
        <f t="shared" si="0"/>
        <v>68.714891184513917</v>
      </c>
    </row>
    <row r="8" spans="2:8" x14ac:dyDescent="0.25">
      <c r="B8" s="241" t="s">
        <v>263</v>
      </c>
      <c r="C8" s="242">
        <v>61</v>
      </c>
      <c r="D8" s="242">
        <v>67</v>
      </c>
      <c r="E8" s="242">
        <f t="shared" si="0"/>
        <v>67.709835949887804</v>
      </c>
      <c r="F8" s="242">
        <f t="shared" si="0"/>
        <v>68.404620438487711</v>
      </c>
      <c r="G8" s="242">
        <f t="shared" si="0"/>
        <v>69.086378675357167</v>
      </c>
      <c r="H8" s="242">
        <f t="shared" si="0"/>
        <v>69.756025899430796</v>
      </c>
    </row>
    <row r="9" spans="2:8" x14ac:dyDescent="0.25">
      <c r="B9" s="241" t="s">
        <v>264</v>
      </c>
      <c r="C9" s="242">
        <v>122</v>
      </c>
      <c r="D9" s="242">
        <v>124</v>
      </c>
      <c r="E9" s="242">
        <f t="shared" si="0"/>
        <v>125.31372623561325</v>
      </c>
      <c r="F9" s="242">
        <f t="shared" si="0"/>
        <v>126.59959603541009</v>
      </c>
      <c r="G9" s="242">
        <f t="shared" si="0"/>
        <v>127.86135754842221</v>
      </c>
      <c r="H9" s="242">
        <f t="shared" si="0"/>
        <v>129.1007046496928</v>
      </c>
    </row>
    <row r="10" spans="2:8" x14ac:dyDescent="0.25">
      <c r="B10" s="241" t="s">
        <v>265</v>
      </c>
      <c r="C10" s="242">
        <v>109</v>
      </c>
      <c r="D10" s="242">
        <v>114</v>
      </c>
      <c r="E10" s="242">
        <f t="shared" si="0"/>
        <v>115.2077805714509</v>
      </c>
      <c r="F10" s="242">
        <f t="shared" si="0"/>
        <v>116.38995119384477</v>
      </c>
      <c r="G10" s="242">
        <f t="shared" si="0"/>
        <v>117.5499577461301</v>
      </c>
      <c r="H10" s="242">
        <f t="shared" si="0"/>
        <v>118.68935750052403</v>
      </c>
    </row>
    <row r="11" spans="2:8" x14ac:dyDescent="0.25">
      <c r="B11" s="241" t="s">
        <v>266</v>
      </c>
      <c r="C11" s="242">
        <v>110</v>
      </c>
      <c r="D11" s="242">
        <v>114</v>
      </c>
      <c r="E11" s="242">
        <f t="shared" si="0"/>
        <v>115.2077805714509</v>
      </c>
      <c r="F11" s="242">
        <f t="shared" si="0"/>
        <v>116.38995119384477</v>
      </c>
      <c r="G11" s="242">
        <f t="shared" si="0"/>
        <v>117.5499577461301</v>
      </c>
      <c r="H11" s="242">
        <f t="shared" si="0"/>
        <v>118.68935750052403</v>
      </c>
    </row>
    <row r="12" spans="2:8" x14ac:dyDescent="0.25">
      <c r="B12" s="241" t="s">
        <v>267</v>
      </c>
      <c r="C12" s="242">
        <v>89</v>
      </c>
      <c r="D12" s="242">
        <v>94</v>
      </c>
      <c r="E12" s="242">
        <f t="shared" si="0"/>
        <v>94.995889243126172</v>
      </c>
      <c r="F12" s="242">
        <f t="shared" si="0"/>
        <v>95.970661510714109</v>
      </c>
      <c r="G12" s="242">
        <f t="shared" si="0"/>
        <v>96.927158141545874</v>
      </c>
      <c r="H12" s="242">
        <f t="shared" si="0"/>
        <v>97.866663202186473</v>
      </c>
    </row>
    <row r="13" spans="2:8" x14ac:dyDescent="0.25">
      <c r="B13" s="241" t="s">
        <v>268</v>
      </c>
      <c r="C13" s="242">
        <v>98</v>
      </c>
      <c r="D13" s="242">
        <v>101</v>
      </c>
      <c r="E13" s="242">
        <f t="shared" si="0"/>
        <v>102.07005120803983</v>
      </c>
      <c r="F13" s="242">
        <f t="shared" si="0"/>
        <v>103.11741289980984</v>
      </c>
      <c r="G13" s="242">
        <f t="shared" si="0"/>
        <v>104.14513800315035</v>
      </c>
      <c r="H13" s="242">
        <f t="shared" si="0"/>
        <v>105.15460620660461</v>
      </c>
    </row>
    <row r="14" spans="2:8" x14ac:dyDescent="0.25">
      <c r="B14" s="241" t="s">
        <v>269</v>
      </c>
      <c r="C14" s="242">
        <v>93</v>
      </c>
      <c r="D14" s="242">
        <v>96</v>
      </c>
      <c r="E14" s="242">
        <f t="shared" si="0"/>
        <v>97.017078375958647</v>
      </c>
      <c r="F14" s="242">
        <f t="shared" si="0"/>
        <v>98.012590479027168</v>
      </c>
      <c r="G14" s="242">
        <f t="shared" si="0"/>
        <v>98.989438102004286</v>
      </c>
      <c r="H14" s="242">
        <f t="shared" si="0"/>
        <v>99.948932632020217</v>
      </c>
    </row>
    <row r="15" spans="2:8" x14ac:dyDescent="0.25">
      <c r="B15" s="241" t="s">
        <v>270</v>
      </c>
      <c r="C15" s="242">
        <v>68</v>
      </c>
      <c r="D15" s="242">
        <v>70</v>
      </c>
      <c r="E15" s="242">
        <f t="shared" si="0"/>
        <v>70.74161964913651</v>
      </c>
      <c r="F15" s="242">
        <f t="shared" si="0"/>
        <v>71.467513890957306</v>
      </c>
      <c r="G15" s="242">
        <f t="shared" si="0"/>
        <v>72.179798616044792</v>
      </c>
      <c r="H15" s="242">
        <f t="shared" si="0"/>
        <v>72.879430044181419</v>
      </c>
    </row>
    <row r="16" spans="2:8" x14ac:dyDescent="0.25">
      <c r="B16" s="241" t="s">
        <v>271</v>
      </c>
      <c r="C16" s="242">
        <v>61</v>
      </c>
      <c r="D16" s="242">
        <v>63</v>
      </c>
      <c r="E16" s="242">
        <f t="shared" si="0"/>
        <v>63.66745768422286</v>
      </c>
      <c r="F16" s="242">
        <f t="shared" si="0"/>
        <v>64.32076250186158</v>
      </c>
      <c r="G16" s="242">
        <f t="shared" si="0"/>
        <v>64.961818754440316</v>
      </c>
      <c r="H16" s="242">
        <f t="shared" si="0"/>
        <v>65.59148703976328</v>
      </c>
    </row>
    <row r="17" spans="2:11" x14ac:dyDescent="0.25">
      <c r="B17" s="241" t="s">
        <v>272</v>
      </c>
      <c r="C17" s="242">
        <v>72</v>
      </c>
      <c r="D17" s="242">
        <v>72</v>
      </c>
      <c r="E17" s="242">
        <f t="shared" si="0"/>
        <v>72.762808781968985</v>
      </c>
      <c r="F17" s="242">
        <f t="shared" si="0"/>
        <v>73.509442859270379</v>
      </c>
      <c r="G17" s="242">
        <f t="shared" si="0"/>
        <v>74.242078576503218</v>
      </c>
      <c r="H17" s="242">
        <f t="shared" si="0"/>
        <v>74.961699474015177</v>
      </c>
    </row>
    <row r="18" spans="2:11" x14ac:dyDescent="0.25">
      <c r="B18" s="241" t="s">
        <v>273</v>
      </c>
      <c r="C18" s="242">
        <v>66</v>
      </c>
      <c r="D18" s="242">
        <v>68</v>
      </c>
      <c r="E18" s="242">
        <f t="shared" si="0"/>
        <v>68.720430516304049</v>
      </c>
      <c r="F18" s="242">
        <f t="shared" si="0"/>
        <v>69.425584922644248</v>
      </c>
      <c r="G18" s="242">
        <f t="shared" si="0"/>
        <v>70.11751865558638</v>
      </c>
      <c r="H18" s="242">
        <f t="shared" si="0"/>
        <v>70.797160614347675</v>
      </c>
    </row>
    <row r="19" spans="2:11" x14ac:dyDescent="0.25">
      <c r="B19" s="236" t="s">
        <v>274</v>
      </c>
      <c r="C19" s="239">
        <f t="shared" ref="C19:H19" si="1">SUM(C4:C18)</f>
        <v>1039</v>
      </c>
      <c r="D19" s="239">
        <f t="shared" si="1"/>
        <v>1102</v>
      </c>
      <c r="E19" s="239">
        <f t="shared" si="1"/>
        <v>1113.6752121906918</v>
      </c>
      <c r="F19" s="239">
        <f t="shared" si="1"/>
        <v>1125.1028615404994</v>
      </c>
      <c r="G19" s="239">
        <f t="shared" si="1"/>
        <v>1136.3162582125908</v>
      </c>
      <c r="H19" s="239">
        <f t="shared" si="1"/>
        <v>1147.3304558383988</v>
      </c>
    </row>
    <row r="21" spans="2:11" x14ac:dyDescent="0.25">
      <c r="B21" s="236" t="s">
        <v>259</v>
      </c>
      <c r="C21" s="239">
        <v>2021</v>
      </c>
      <c r="D21" s="239">
        <v>2022</v>
      </c>
      <c r="E21" s="239">
        <v>2023</v>
      </c>
      <c r="F21" s="239">
        <v>2024</v>
      </c>
      <c r="G21" s="239">
        <v>2025</v>
      </c>
      <c r="H21" s="239">
        <v>2026</v>
      </c>
    </row>
    <row r="22" spans="2:11" x14ac:dyDescent="0.25">
      <c r="B22" s="236" t="s">
        <v>276</v>
      </c>
      <c r="C22" s="239"/>
      <c r="D22" s="243">
        <v>0.12</v>
      </c>
      <c r="E22" s="243">
        <v>7.0000000000000007E-2</v>
      </c>
      <c r="F22" s="243">
        <v>3.7900000000000003E-2</v>
      </c>
      <c r="G22" s="243">
        <v>3.7900000000000003E-2</v>
      </c>
      <c r="H22" s="243">
        <v>3.7900000000000003E-2</v>
      </c>
    </row>
    <row r="23" spans="2:11" x14ac:dyDescent="0.25">
      <c r="B23" s="241" t="s">
        <v>278</v>
      </c>
      <c r="C23" s="244">
        <v>1318818</v>
      </c>
      <c r="D23" s="242">
        <f>C23*(1+D$22)</f>
        <v>1477076.1600000001</v>
      </c>
      <c r="E23" s="242">
        <f t="shared" ref="E23:H23" si="2">D23*(1+E22)</f>
        <v>1580471.4912000003</v>
      </c>
      <c r="F23" s="242">
        <f t="shared" si="2"/>
        <v>1640371.3607164803</v>
      </c>
      <c r="G23" s="242">
        <f t="shared" si="2"/>
        <v>1702541.4352876351</v>
      </c>
      <c r="H23" s="242">
        <f t="shared" si="2"/>
        <v>1767067.7556850365</v>
      </c>
      <c r="I23" s="245"/>
      <c r="J23" s="246"/>
      <c r="K23" s="247"/>
    </row>
    <row r="24" spans="2:11" x14ac:dyDescent="0.25">
      <c r="B24" s="241" t="s">
        <v>260</v>
      </c>
      <c r="C24" s="244">
        <v>1318818</v>
      </c>
      <c r="D24" s="242">
        <f>C24*(1+D$22)</f>
        <v>1477076.1600000001</v>
      </c>
      <c r="E24" s="242">
        <f t="shared" ref="E24:H24" si="3">D24*(1+E$22)</f>
        <v>1580471.4912000003</v>
      </c>
      <c r="F24" s="242">
        <f t="shared" si="3"/>
        <v>1640371.3607164803</v>
      </c>
      <c r="G24" s="242">
        <f t="shared" si="3"/>
        <v>1702541.4352876351</v>
      </c>
      <c r="H24" s="242">
        <f t="shared" si="3"/>
        <v>1767067.7556850365</v>
      </c>
      <c r="I24" s="245"/>
      <c r="J24" s="246"/>
      <c r="K24" s="247"/>
    </row>
    <row r="25" spans="2:11" x14ac:dyDescent="0.25">
      <c r="B25" s="241" t="s">
        <v>261</v>
      </c>
      <c r="C25" s="244">
        <v>1284803</v>
      </c>
      <c r="D25" s="242">
        <f t="shared" ref="D25:H37" si="4">C25*(1+D$22)</f>
        <v>1438979.36</v>
      </c>
      <c r="E25" s="242">
        <f t="shared" si="4"/>
        <v>1539707.9152000002</v>
      </c>
      <c r="F25" s="242">
        <f t="shared" si="4"/>
        <v>1598062.8451860803</v>
      </c>
      <c r="G25" s="242">
        <f t="shared" si="4"/>
        <v>1658629.4270186329</v>
      </c>
      <c r="H25" s="242">
        <f t="shared" si="4"/>
        <v>1721491.4823026392</v>
      </c>
      <c r="I25" s="245"/>
      <c r="J25" s="246"/>
      <c r="K25" s="248"/>
    </row>
    <row r="26" spans="2:11" x14ac:dyDescent="0.25">
      <c r="B26" s="241" t="s">
        <v>262</v>
      </c>
      <c r="C26" s="244">
        <v>1269409</v>
      </c>
      <c r="D26" s="242">
        <f t="shared" si="4"/>
        <v>1421738.08</v>
      </c>
      <c r="E26" s="242">
        <f t="shared" si="4"/>
        <v>1521259.7456000003</v>
      </c>
      <c r="F26" s="242">
        <f t="shared" si="4"/>
        <v>1578915.4899582404</v>
      </c>
      <c r="G26" s="242">
        <f t="shared" si="4"/>
        <v>1638756.3870276578</v>
      </c>
      <c r="H26" s="242">
        <f t="shared" si="4"/>
        <v>1700865.254096006</v>
      </c>
      <c r="I26" s="245"/>
      <c r="J26" s="246"/>
      <c r="K26" s="248"/>
    </row>
    <row r="27" spans="2:11" x14ac:dyDescent="0.25">
      <c r="B27" s="241" t="s">
        <v>263</v>
      </c>
      <c r="C27" s="244">
        <v>1231580</v>
      </c>
      <c r="D27" s="242">
        <f t="shared" si="4"/>
        <v>1379369.6</v>
      </c>
      <c r="E27" s="242">
        <f t="shared" si="4"/>
        <v>1475925.4720000003</v>
      </c>
      <c r="F27" s="242">
        <f t="shared" si="4"/>
        <v>1531863.0473888004</v>
      </c>
      <c r="G27" s="242">
        <f t="shared" si="4"/>
        <v>1589920.656884836</v>
      </c>
      <c r="H27" s="242">
        <f t="shared" si="4"/>
        <v>1650178.6497807715</v>
      </c>
      <c r="I27" s="245"/>
      <c r="J27" s="246"/>
    </row>
    <row r="28" spans="2:11" x14ac:dyDescent="0.25">
      <c r="B28" s="241" t="s">
        <v>264</v>
      </c>
      <c r="C28" s="244">
        <v>1220048</v>
      </c>
      <c r="D28" s="242">
        <f t="shared" si="4"/>
        <v>1366453.7600000002</v>
      </c>
      <c r="E28" s="242">
        <f t="shared" si="4"/>
        <v>1462105.5232000004</v>
      </c>
      <c r="F28" s="242">
        <f t="shared" si="4"/>
        <v>1517519.3225292806</v>
      </c>
      <c r="G28" s="242">
        <f t="shared" si="4"/>
        <v>1575033.3048531404</v>
      </c>
      <c r="H28" s="242">
        <f t="shared" si="4"/>
        <v>1634727.0671070744</v>
      </c>
      <c r="I28" s="245"/>
      <c r="J28" s="246"/>
    </row>
    <row r="29" spans="2:11" x14ac:dyDescent="0.25">
      <c r="B29" s="241" t="s">
        <v>265</v>
      </c>
      <c r="C29" s="244">
        <v>968063</v>
      </c>
      <c r="D29" s="242">
        <f t="shared" si="4"/>
        <v>1084230.56</v>
      </c>
      <c r="E29" s="242">
        <f t="shared" si="4"/>
        <v>1160126.6992000001</v>
      </c>
      <c r="F29" s="242">
        <f t="shared" si="4"/>
        <v>1204095.5010996803</v>
      </c>
      <c r="G29" s="242">
        <f t="shared" si="4"/>
        <v>1249730.7205913581</v>
      </c>
      <c r="H29" s="242">
        <f t="shared" si="4"/>
        <v>1297095.5149017707</v>
      </c>
      <c r="I29" s="245"/>
      <c r="J29" s="246"/>
    </row>
    <row r="30" spans="2:11" x14ac:dyDescent="0.25">
      <c r="B30" s="241" t="s">
        <v>266</v>
      </c>
      <c r="C30" s="244">
        <v>968063</v>
      </c>
      <c r="D30" s="242">
        <f t="shared" si="4"/>
        <v>1084230.56</v>
      </c>
      <c r="E30" s="242">
        <f t="shared" si="4"/>
        <v>1160126.6992000001</v>
      </c>
      <c r="F30" s="242">
        <f t="shared" si="4"/>
        <v>1204095.5010996803</v>
      </c>
      <c r="G30" s="242">
        <f t="shared" si="4"/>
        <v>1249730.7205913581</v>
      </c>
      <c r="H30" s="242">
        <f t="shared" si="4"/>
        <v>1297095.5149017707</v>
      </c>
      <c r="I30" s="245"/>
      <c r="J30" s="246"/>
    </row>
    <row r="31" spans="2:11" x14ac:dyDescent="0.25">
      <c r="B31" s="241" t="s">
        <v>267</v>
      </c>
      <c r="C31" s="244">
        <v>977461</v>
      </c>
      <c r="D31" s="242">
        <f t="shared" si="4"/>
        <v>1094756.32</v>
      </c>
      <c r="E31" s="242">
        <f t="shared" si="4"/>
        <v>1171389.2624000001</v>
      </c>
      <c r="F31" s="242">
        <f t="shared" si="4"/>
        <v>1215784.9154449601</v>
      </c>
      <c r="G31" s="242">
        <f t="shared" si="4"/>
        <v>1261863.1637403241</v>
      </c>
      <c r="H31" s="242">
        <f t="shared" si="4"/>
        <v>1309687.7776460825</v>
      </c>
      <c r="I31" s="245"/>
      <c r="J31" s="246"/>
    </row>
    <row r="32" spans="2:11" x14ac:dyDescent="0.25">
      <c r="B32" s="241" t="s">
        <v>268</v>
      </c>
      <c r="C32" s="244">
        <v>883965</v>
      </c>
      <c r="D32" s="242">
        <f t="shared" si="4"/>
        <v>990040.8</v>
      </c>
      <c r="E32" s="242">
        <f t="shared" si="4"/>
        <v>1059343.6560000002</v>
      </c>
      <c r="F32" s="242">
        <f t="shared" si="4"/>
        <v>1099492.7805624004</v>
      </c>
      <c r="G32" s="242">
        <f t="shared" si="4"/>
        <v>1141163.5569457153</v>
      </c>
      <c r="H32" s="242">
        <f t="shared" si="4"/>
        <v>1184413.655753958</v>
      </c>
      <c r="I32" s="245"/>
      <c r="J32" s="246"/>
    </row>
    <row r="33" spans="2:10" x14ac:dyDescent="0.25">
      <c r="B33" s="241" t="s">
        <v>269</v>
      </c>
      <c r="C33" s="244">
        <v>883965</v>
      </c>
      <c r="D33" s="242">
        <f t="shared" si="4"/>
        <v>990040.8</v>
      </c>
      <c r="E33" s="242">
        <f t="shared" si="4"/>
        <v>1059343.6560000002</v>
      </c>
      <c r="F33" s="242">
        <f t="shared" si="4"/>
        <v>1099492.7805624004</v>
      </c>
      <c r="G33" s="242">
        <f t="shared" si="4"/>
        <v>1141163.5569457153</v>
      </c>
      <c r="H33" s="242">
        <f t="shared" si="4"/>
        <v>1184413.655753958</v>
      </c>
      <c r="I33" s="245"/>
      <c r="J33" s="246"/>
    </row>
    <row r="34" spans="2:10" x14ac:dyDescent="0.25">
      <c r="B34" s="241" t="s">
        <v>270</v>
      </c>
      <c r="C34" s="244">
        <v>879795</v>
      </c>
      <c r="D34" s="242">
        <f t="shared" si="4"/>
        <v>985370.40000000014</v>
      </c>
      <c r="E34" s="242">
        <f t="shared" si="4"/>
        <v>1054346.3280000002</v>
      </c>
      <c r="F34" s="242">
        <f t="shared" si="4"/>
        <v>1094306.0538312003</v>
      </c>
      <c r="G34" s="242">
        <f t="shared" si="4"/>
        <v>1135780.2532714028</v>
      </c>
      <c r="H34" s="242">
        <f t="shared" si="4"/>
        <v>1178826.324870389</v>
      </c>
      <c r="I34" s="245"/>
      <c r="J34" s="246"/>
    </row>
    <row r="35" spans="2:10" x14ac:dyDescent="0.25">
      <c r="B35" s="241" t="s">
        <v>271</v>
      </c>
      <c r="C35" s="244">
        <v>875646</v>
      </c>
      <c r="D35" s="242">
        <f t="shared" si="4"/>
        <v>980723.52000000014</v>
      </c>
      <c r="E35" s="242">
        <f t="shared" si="4"/>
        <v>1049374.1664000002</v>
      </c>
      <c r="F35" s="242">
        <f t="shared" si="4"/>
        <v>1089145.4473065604</v>
      </c>
      <c r="G35" s="242">
        <f t="shared" si="4"/>
        <v>1130424.059759479</v>
      </c>
      <c r="H35" s="242">
        <f t="shared" si="4"/>
        <v>1173267.1316243634</v>
      </c>
      <c r="I35" s="245"/>
      <c r="J35" s="246"/>
    </row>
    <row r="36" spans="2:10" x14ac:dyDescent="0.25">
      <c r="B36" s="241" t="s">
        <v>272</v>
      </c>
      <c r="C36" s="244">
        <v>840230</v>
      </c>
      <c r="D36" s="242">
        <f t="shared" si="4"/>
        <v>941057.60000000009</v>
      </c>
      <c r="E36" s="242">
        <f t="shared" si="4"/>
        <v>1006931.6320000002</v>
      </c>
      <c r="F36" s="242">
        <f t="shared" si="4"/>
        <v>1045094.3408528003</v>
      </c>
      <c r="G36" s="242">
        <f t="shared" si="4"/>
        <v>1084703.4163711215</v>
      </c>
      <c r="H36" s="242">
        <f t="shared" si="4"/>
        <v>1125813.6758515872</v>
      </c>
      <c r="I36" s="245"/>
      <c r="J36" s="246"/>
    </row>
    <row r="37" spans="2:10" x14ac:dyDescent="0.25">
      <c r="B37" s="241" t="s">
        <v>273</v>
      </c>
      <c r="C37" s="244">
        <v>774605</v>
      </c>
      <c r="D37" s="242">
        <f t="shared" si="4"/>
        <v>867557.60000000009</v>
      </c>
      <c r="E37" s="242">
        <f t="shared" si="4"/>
        <v>928286.6320000001</v>
      </c>
      <c r="F37" s="242">
        <f t="shared" si="4"/>
        <v>963468.69535280019</v>
      </c>
      <c r="G37" s="242">
        <f t="shared" si="4"/>
        <v>999984.15890667133</v>
      </c>
      <c r="H37" s="242">
        <f t="shared" si="4"/>
        <v>1037883.5585292343</v>
      </c>
      <c r="I37" s="245"/>
      <c r="J37" s="246"/>
    </row>
    <row r="38" spans="2:10" x14ac:dyDescent="0.25">
      <c r="B38" s="236" t="s">
        <v>274</v>
      </c>
      <c r="C38" s="242"/>
      <c r="D38" s="242"/>
      <c r="E38" s="242"/>
      <c r="F38" s="242"/>
      <c r="G38" s="242"/>
      <c r="H38" s="242"/>
      <c r="J38" s="249"/>
    </row>
    <row r="41" spans="2:10" x14ac:dyDescent="0.25">
      <c r="B41" s="236" t="s">
        <v>259</v>
      </c>
      <c r="C41" s="251">
        <v>2021</v>
      </c>
      <c r="D41" s="251">
        <v>2022</v>
      </c>
      <c r="E41" s="251">
        <v>2023</v>
      </c>
      <c r="F41" s="251">
        <v>2024</v>
      </c>
      <c r="G41" s="251">
        <v>2025</v>
      </c>
      <c r="H41" s="251">
        <v>2026</v>
      </c>
    </row>
    <row r="42" spans="2:10" x14ac:dyDescent="0.25">
      <c r="B42" s="236" t="s">
        <v>277</v>
      </c>
      <c r="C42" s="239"/>
      <c r="D42" s="243">
        <v>0.12</v>
      </c>
      <c r="E42" s="243">
        <v>7.0000000000000007E-2</v>
      </c>
      <c r="F42" s="243">
        <v>3.7900000000000003E-2</v>
      </c>
      <c r="G42" s="243">
        <v>3.7900000000000003E-2</v>
      </c>
      <c r="H42" s="243">
        <v>3.7900000000000003E-2</v>
      </c>
    </row>
    <row r="43" spans="2:10" x14ac:dyDescent="0.25">
      <c r="B43" s="241" t="s">
        <v>278</v>
      </c>
      <c r="C43" s="244">
        <f>C23*C4*12</f>
        <v>15825816</v>
      </c>
      <c r="D43" s="244">
        <f>D23*D4*12</f>
        <v>53174741.760000005</v>
      </c>
      <c r="E43" s="244">
        <f t="shared" ref="E43:H57" si="5">E23*E4*12</f>
        <v>57499772.449769497</v>
      </c>
      <c r="F43" s="244">
        <f t="shared" si="5"/>
        <v>60291392.404285848</v>
      </c>
      <c r="G43" s="244">
        <f t="shared" si="5"/>
        <v>63200107.509188578</v>
      </c>
      <c r="H43" s="244">
        <f t="shared" si="5"/>
        <v>66231201.02594208</v>
      </c>
      <c r="I43" s="245"/>
      <c r="J43" s="245"/>
    </row>
    <row r="44" spans="2:10" x14ac:dyDescent="0.25">
      <c r="B44" s="241" t="s">
        <v>260</v>
      </c>
      <c r="C44" s="244">
        <f t="shared" ref="C44:D57" si="6">C24*C5*12</f>
        <v>205735608</v>
      </c>
      <c r="D44" s="244">
        <f t="shared" si="6"/>
        <v>283598622.72000003</v>
      </c>
      <c r="E44" s="244">
        <f t="shared" si="5"/>
        <v>306665453.06543732</v>
      </c>
      <c r="F44" s="244">
        <f t="shared" si="5"/>
        <v>321554092.82285792</v>
      </c>
      <c r="G44" s="244">
        <f t="shared" si="5"/>
        <v>337067240.04900581</v>
      </c>
      <c r="H44" s="244">
        <f t="shared" si="5"/>
        <v>353233072.13835788</v>
      </c>
      <c r="I44" s="245"/>
      <c r="J44" s="245"/>
    </row>
    <row r="45" spans="2:10" x14ac:dyDescent="0.25">
      <c r="B45" s="241" t="s">
        <v>261</v>
      </c>
      <c r="C45" s="244">
        <f t="shared" si="6"/>
        <v>416276172</v>
      </c>
      <c r="D45" s="244">
        <f t="shared" si="6"/>
        <v>587103578.88</v>
      </c>
      <c r="E45" s="244">
        <f t="shared" si="5"/>
        <v>634856344.81142986</v>
      </c>
      <c r="F45" s="244">
        <f t="shared" si="5"/>
        <v>665678686.62113225</v>
      </c>
      <c r="G45" s="244">
        <f t="shared" si="5"/>
        <v>697793878.75010121</v>
      </c>
      <c r="H45" s="244">
        <f t="shared" si="5"/>
        <v>731260253.81286848</v>
      </c>
      <c r="I45" s="245"/>
      <c r="J45" s="245"/>
    </row>
    <row r="46" spans="2:10" x14ac:dyDescent="0.25">
      <c r="B46" s="241" t="s">
        <v>262</v>
      </c>
      <c r="C46" s="244">
        <f t="shared" si="6"/>
        <v>746412492</v>
      </c>
      <c r="D46" s="244">
        <f t="shared" si="6"/>
        <v>1126016559.3600001</v>
      </c>
      <c r="E46" s="244">
        <f t="shared" si="5"/>
        <v>1217602451.7447958</v>
      </c>
      <c r="F46" s="244">
        <f t="shared" si="5"/>
        <v>1276717177.8757241</v>
      </c>
      <c r="G46" s="244">
        <f t="shared" si="5"/>
        <v>1338311484.987993</v>
      </c>
      <c r="H46" s="244">
        <f t="shared" si="5"/>
        <v>1402497250.256732</v>
      </c>
      <c r="I46" s="245"/>
      <c r="J46" s="245"/>
    </row>
    <row r="47" spans="2:10" x14ac:dyDescent="0.25">
      <c r="B47" s="241" t="s">
        <v>263</v>
      </c>
      <c r="C47" s="244">
        <f t="shared" si="6"/>
        <v>901516560</v>
      </c>
      <c r="D47" s="244">
        <f t="shared" si="6"/>
        <v>1109013158.4000001</v>
      </c>
      <c r="E47" s="244">
        <f t="shared" si="5"/>
        <v>1199216059.0005689</v>
      </c>
      <c r="F47" s="244">
        <f t="shared" si="5"/>
        <v>1257438123.844512</v>
      </c>
      <c r="G47" s="244">
        <f t="shared" si="5"/>
        <v>1318102326.7838206</v>
      </c>
      <c r="H47" s="244">
        <f t="shared" si="5"/>
        <v>1381318855.5935428</v>
      </c>
      <c r="I47" s="245"/>
      <c r="J47" s="245"/>
    </row>
    <row r="48" spans="2:10" x14ac:dyDescent="0.25">
      <c r="B48" s="241" t="s">
        <v>264</v>
      </c>
      <c r="C48" s="244">
        <f t="shared" si="6"/>
        <v>1786150272</v>
      </c>
      <c r="D48" s="244">
        <f t="shared" si="6"/>
        <v>2033283194.8800006</v>
      </c>
      <c r="E48" s="244">
        <f t="shared" si="5"/>
        <v>2198662695.142355</v>
      </c>
      <c r="F48" s="244">
        <f t="shared" si="5"/>
        <v>2305407998.4976335</v>
      </c>
      <c r="G48" s="244">
        <f t="shared" si="5"/>
        <v>2416630758.5100055</v>
      </c>
      <c r="H48" s="244">
        <f t="shared" si="5"/>
        <v>2532532995.2813878</v>
      </c>
      <c r="I48" s="245"/>
      <c r="J48" s="245"/>
    </row>
    <row r="49" spans="2:10" x14ac:dyDescent="0.25">
      <c r="B49" s="241" t="s">
        <v>265</v>
      </c>
      <c r="C49" s="244">
        <f t="shared" si="6"/>
        <v>1266226404</v>
      </c>
      <c r="D49" s="244">
        <f t="shared" si="6"/>
        <v>1483227406.0799999</v>
      </c>
      <c r="E49" s="244">
        <f t="shared" si="5"/>
        <v>1603867466.3581829</v>
      </c>
      <c r="F49" s="244">
        <f t="shared" si="5"/>
        <v>1681735399.2686381</v>
      </c>
      <c r="G49" s="244">
        <f t="shared" si="5"/>
        <v>1762869520.7946587</v>
      </c>
      <c r="H49" s="244">
        <f t="shared" si="5"/>
        <v>1847417199.3660307</v>
      </c>
      <c r="I49" s="245"/>
      <c r="J49" s="245"/>
    </row>
    <row r="50" spans="2:10" x14ac:dyDescent="0.25">
      <c r="B50" s="241" t="s">
        <v>266</v>
      </c>
      <c r="C50" s="244">
        <f t="shared" si="6"/>
        <v>1277843160</v>
      </c>
      <c r="D50" s="244">
        <f t="shared" si="6"/>
        <v>1483227406.0799999</v>
      </c>
      <c r="E50" s="244">
        <f t="shared" si="5"/>
        <v>1603867466.3581829</v>
      </c>
      <c r="F50" s="244">
        <f t="shared" si="5"/>
        <v>1681735399.2686381</v>
      </c>
      <c r="G50" s="244">
        <f t="shared" si="5"/>
        <v>1762869520.7946587</v>
      </c>
      <c r="H50" s="244">
        <f t="shared" si="5"/>
        <v>1847417199.3660307</v>
      </c>
      <c r="I50" s="245"/>
      <c r="J50" s="245"/>
    </row>
    <row r="51" spans="2:10" x14ac:dyDescent="0.25">
      <c r="B51" s="241" t="s">
        <v>267</v>
      </c>
      <c r="C51" s="244">
        <f t="shared" si="6"/>
        <v>1043928348</v>
      </c>
      <c r="D51" s="244">
        <f t="shared" si="6"/>
        <v>1234885128.96</v>
      </c>
      <c r="E51" s="244">
        <f t="shared" si="5"/>
        <v>1335325975.5784521</v>
      </c>
      <c r="F51" s="244">
        <f t="shared" si="5"/>
        <v>1400156191.0800052</v>
      </c>
      <c r="G51" s="244">
        <f t="shared" si="5"/>
        <v>1467705725.0981975</v>
      </c>
      <c r="H51" s="244">
        <f t="shared" si="5"/>
        <v>1538097271.6189108</v>
      </c>
      <c r="I51" s="245"/>
      <c r="J51" s="245"/>
    </row>
    <row r="52" spans="2:10" x14ac:dyDescent="0.25">
      <c r="B52" s="241" t="s">
        <v>268</v>
      </c>
      <c r="C52" s="244">
        <f t="shared" si="6"/>
        <v>1039542840</v>
      </c>
      <c r="D52" s="244">
        <f t="shared" si="6"/>
        <v>1199929449.6000001</v>
      </c>
      <c r="E52" s="244">
        <f t="shared" si="5"/>
        <v>1297527134.5779858</v>
      </c>
      <c r="F52" s="244">
        <f t="shared" si="5"/>
        <v>1360522212.4033566</v>
      </c>
      <c r="G52" s="244">
        <f t="shared" si="5"/>
        <v>1426159633.4673295</v>
      </c>
      <c r="H52" s="244">
        <f t="shared" si="5"/>
        <v>1494558618.6783891</v>
      </c>
      <c r="I52" s="245"/>
      <c r="J52" s="245"/>
    </row>
    <row r="53" spans="2:10" x14ac:dyDescent="0.25">
      <c r="B53" s="241" t="s">
        <v>269</v>
      </c>
      <c r="C53" s="244">
        <f t="shared" si="6"/>
        <v>986504940</v>
      </c>
      <c r="D53" s="244">
        <f t="shared" si="6"/>
        <v>1140527001.6000001</v>
      </c>
      <c r="E53" s="244">
        <f t="shared" si="5"/>
        <v>1233293118.014719</v>
      </c>
      <c r="F53" s="244">
        <f t="shared" si="5"/>
        <v>1293169627.630913</v>
      </c>
      <c r="G53" s="244">
        <f t="shared" si="5"/>
        <v>1355557671.4144912</v>
      </c>
      <c r="H53" s="244">
        <f t="shared" si="5"/>
        <v>1420570568.2487657</v>
      </c>
      <c r="I53" s="245"/>
      <c r="J53" s="245"/>
    </row>
    <row r="54" spans="2:10" x14ac:dyDescent="0.25">
      <c r="B54" s="241" t="s">
        <v>270</v>
      </c>
      <c r="C54" s="244">
        <f t="shared" si="6"/>
        <v>717912720</v>
      </c>
      <c r="D54" s="244">
        <f t="shared" si="6"/>
        <v>827711136.00000024</v>
      </c>
      <c r="E54" s="244">
        <f t="shared" si="5"/>
        <v>895034002.96607685</v>
      </c>
      <c r="F54" s="244">
        <f t="shared" si="5"/>
        <v>938487997.23767972</v>
      </c>
      <c r="G54" s="244">
        <f t="shared" si="5"/>
        <v>983764679.43852246</v>
      </c>
      <c r="H54" s="244">
        <f t="shared" si="5"/>
        <v>1030946288.1315719</v>
      </c>
      <c r="I54" s="245"/>
      <c r="J54" s="245"/>
    </row>
    <row r="55" spans="2:10" x14ac:dyDescent="0.25">
      <c r="B55" s="241" t="s">
        <v>271</v>
      </c>
      <c r="C55" s="244">
        <f t="shared" si="6"/>
        <v>640972872</v>
      </c>
      <c r="D55" s="244">
        <f t="shared" si="6"/>
        <v>741426981.12000012</v>
      </c>
      <c r="E55" s="244">
        <f t="shared" si="5"/>
        <v>801731824.01026392</v>
      </c>
      <c r="F55" s="244">
        <f t="shared" si="5"/>
        <v>840655987.75426877</v>
      </c>
      <c r="G55" s="244">
        <f t="shared" si="5"/>
        <v>881212834.62904668</v>
      </c>
      <c r="H55" s="244">
        <f t="shared" si="5"/>
        <v>923476030.297436</v>
      </c>
      <c r="I55" s="245"/>
      <c r="J55" s="245"/>
    </row>
    <row r="56" spans="2:10" x14ac:dyDescent="0.25">
      <c r="B56" s="241" t="s">
        <v>272</v>
      </c>
      <c r="C56" s="244">
        <f t="shared" si="6"/>
        <v>725958720</v>
      </c>
      <c r="D56" s="244">
        <f t="shared" si="6"/>
        <v>813073766.4000001</v>
      </c>
      <c r="E56" s="244">
        <f t="shared" si="5"/>
        <v>879206085.54878378</v>
      </c>
      <c r="F56" s="244">
        <f t="shared" si="5"/>
        <v>921891632.77758908</v>
      </c>
      <c r="G56" s="244">
        <f t="shared" si="5"/>
        <v>966367635.24511552</v>
      </c>
      <c r="H56" s="244">
        <f t="shared" si="5"/>
        <v>1012714877.1950762</v>
      </c>
      <c r="I56" s="245"/>
      <c r="J56" s="245"/>
    </row>
    <row r="57" spans="2:10" x14ac:dyDescent="0.25">
      <c r="B57" s="241" t="s">
        <v>273</v>
      </c>
      <c r="C57" s="244">
        <f t="shared" si="6"/>
        <v>613487160</v>
      </c>
      <c r="D57" s="244">
        <f t="shared" si="6"/>
        <v>707927001.60000002</v>
      </c>
      <c r="E57" s="244">
        <f t="shared" si="5"/>
        <v>765507083.92283893</v>
      </c>
      <c r="F57" s="244">
        <f t="shared" si="5"/>
        <v>802672532.75430107</v>
      </c>
      <c r="G57" s="244">
        <f t="shared" si="5"/>
        <v>841396895.00915265</v>
      </c>
      <c r="H57" s="244">
        <f t="shared" si="5"/>
        <v>881750507.90621889</v>
      </c>
      <c r="I57" s="245"/>
      <c r="J57" s="245"/>
    </row>
    <row r="58" spans="2:10" x14ac:dyDescent="0.25">
      <c r="B58" s="236" t="s">
        <v>274</v>
      </c>
      <c r="C58" s="250">
        <f>SUM(C43:C57)</f>
        <v>12384294084</v>
      </c>
      <c r="D58" s="250">
        <f t="shared" ref="D58:H58" si="7">SUM(D43:D57)</f>
        <v>14824125133.440002</v>
      </c>
      <c r="E58" s="250">
        <f t="shared" si="7"/>
        <v>16029862933.549841</v>
      </c>
      <c r="F58" s="250">
        <f t="shared" si="7"/>
        <v>16808114452.241537</v>
      </c>
      <c r="G58" s="250">
        <f t="shared" si="7"/>
        <v>17619009912.481289</v>
      </c>
      <c r="H58" s="250">
        <f t="shared" si="7"/>
        <v>18464022188.917263</v>
      </c>
    </row>
    <row r="59" spans="2:10" x14ac:dyDescent="0.25">
      <c r="C59" s="249"/>
      <c r="D59" s="249"/>
      <c r="E59" s="249"/>
      <c r="F59" s="249"/>
      <c r="G59" s="249"/>
      <c r="H59" s="2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Indice</vt:lpstr>
      <vt:lpstr>Situación Financiera</vt:lpstr>
      <vt:lpstr>Estado resultados</vt:lpstr>
      <vt:lpstr>Proyecciones Estados Financiero</vt:lpstr>
      <vt:lpstr>Indicadores Financieros</vt:lpstr>
      <vt:lpstr>Valoración Empresa</vt:lpstr>
      <vt:lpstr>Crecimiento Poblacional</vt:lpstr>
      <vt:lpstr>Crecimiento Estudiantil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Barrera Obando</dc:creator>
  <cp:lastModifiedBy>Diana Barrera Obando</cp:lastModifiedBy>
  <dcterms:created xsi:type="dcterms:W3CDTF">2022-10-30T22:36:56Z</dcterms:created>
  <dcterms:modified xsi:type="dcterms:W3CDTF">2022-11-19T14:14:51Z</dcterms:modified>
</cp:coreProperties>
</file>