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BAJO DE GRADO\Documentos trabajo final\"/>
    </mc:Choice>
  </mc:AlternateContent>
  <xr:revisionPtr revIDLastSave="0" documentId="13_ncr:1_{EFAFA996-409C-47C1-A9F5-9F9CE6561A25}" xr6:coauthVersionLast="47" xr6:coauthVersionMax="47" xr10:uidLastSave="{00000000-0000-0000-0000-000000000000}"/>
  <bookViews>
    <workbookView xWindow="-120" yWindow="-120" windowWidth="24240" windowHeight="13140" tabRatio="682" firstSheet="1" activeTab="1" xr2:uid="{00000000-000D-0000-FFFF-FFFF00000000}"/>
  </bookViews>
  <sheets>
    <sheet name="ESTADOS FINANCIEROS HISTÓRICOS" sheetId="9" r:id="rId1"/>
    <sheet name="Indicadores Financieros" sheetId="29" r:id="rId2"/>
    <sheet name="MODELO" sheetId="1" r:id="rId3"/>
    <sheet name="ESCENARIOS" sheetId="6" r:id="rId4"/>
    <sheet name="Servicios Domiciliarios" sheetId="27" r:id="rId5"/>
    <sheet name="Salud Mental" sheetId="28" r:id="rId6"/>
  </sheets>
  <definedNames>
    <definedName name="_xlnm.Print_Area" localSheetId="1">'Indicadores Financieros'!#REF!</definedName>
    <definedName name="Balance">MODELO!$A$221</definedName>
    <definedName name="cambios_patrimonio">MODELO!$A$338</definedName>
    <definedName name="CBWorkbookPriority" hidden="1">-1069615576</definedName>
    <definedName name="COSTO_DE_CAPITAL">#REF!</definedName>
    <definedName name="CUANTIFICAR">MODELO!#REF!</definedName>
    <definedName name="DEFINIR">MODELO!$A$4</definedName>
    <definedName name="EBITDA">MODELO!#REF!</definedName>
    <definedName name="ESTRATEGIA">MODELO!#REF!</definedName>
    <definedName name="EVA">MODELO!#REF!</definedName>
    <definedName name="FCL">MODELO!$A$373</definedName>
    <definedName name="Flujo_tesoreria">MODELO!$A$292</definedName>
    <definedName name="inductor">MODELO!#REF!</definedName>
    <definedName name="LISTA">MODELO!$G$1:$H$1</definedName>
    <definedName name="MEDIR">MODELO!$A$367</definedName>
    <definedName name="MVA">MODELO!#REF!</definedName>
    <definedName name="PyG">MODELO!$A$194</definedName>
    <definedName name="renta_efic">MODELO!#REF!</definedName>
    <definedName name="sensibil">MODELO!#REF!</definedName>
    <definedName name="solver_adj" localSheetId="0" hidden="1">'ESTADOS FINANCIEROS HISTÓRICOS'!#REF!</definedName>
    <definedName name="solver_adj" localSheetId="2" hidden="1">MODELO!$C$1</definedName>
    <definedName name="solver_cvg" localSheetId="0" hidden="1">0.0001</definedName>
    <definedName name="solver_cvg" localSheetId="2" hidden="1">0.0001</definedName>
    <definedName name="solver_drv" localSheetId="0" hidden="1">1</definedName>
    <definedName name="solver_drv" localSheetId="2" hidden="1">1</definedName>
    <definedName name="solver_eng" localSheetId="0" hidden="1">3</definedName>
    <definedName name="solver_eng" localSheetId="2" hidden="1">3</definedName>
    <definedName name="solver_est" localSheetId="0" hidden="1">1</definedName>
    <definedName name="solver_est" localSheetId="2" hidden="1">1</definedName>
    <definedName name="solver_itr" localSheetId="0" hidden="1">2147483647</definedName>
    <definedName name="solver_itr" localSheetId="2" hidden="1">2147483647</definedName>
    <definedName name="solver_lhs1" localSheetId="0" hidden="1">'ESTADOS FINANCIEROS HISTÓRICOS'!#REF!</definedName>
    <definedName name="solver_lhs1" localSheetId="2" hidden="1">MODELO!$C$1</definedName>
    <definedName name="solver_lhs2" localSheetId="0" hidden="1">'ESTADOS FINANCIEROS HISTÓRICOS'!#REF!</definedName>
    <definedName name="solver_lhs2" localSheetId="2" hidden="1">MODELO!$C$1</definedName>
    <definedName name="solver_mip" localSheetId="0" hidden="1">2147483647</definedName>
    <definedName name="solver_mip" localSheetId="2" hidden="1">2147483647</definedName>
    <definedName name="solver_mni" localSheetId="0" hidden="1">30</definedName>
    <definedName name="solver_mni" localSheetId="2" hidden="1">30</definedName>
    <definedName name="solver_mrt" localSheetId="0" hidden="1">0.075</definedName>
    <definedName name="solver_mrt" localSheetId="2" hidden="1">0.075</definedName>
    <definedName name="solver_msl" localSheetId="0" hidden="1">2</definedName>
    <definedName name="solver_msl" localSheetId="2" hidden="1">2</definedName>
    <definedName name="solver_neg" localSheetId="0" hidden="1">1</definedName>
    <definedName name="solver_neg" localSheetId="2" hidden="1">1</definedName>
    <definedName name="solver_nod" localSheetId="0" hidden="1">2147483647</definedName>
    <definedName name="solver_nod" localSheetId="2" hidden="1">2147483647</definedName>
    <definedName name="solver_num" localSheetId="0" hidden="1">2</definedName>
    <definedName name="solver_num" localSheetId="2" hidden="1">2</definedName>
    <definedName name="solver_nwt" localSheetId="0" hidden="1">1</definedName>
    <definedName name="solver_nwt" localSheetId="2" hidden="1">1</definedName>
    <definedName name="solver_opt" localSheetId="0" hidden="1">'ESTADOS FINANCIEROS HISTÓRICOS'!#REF!</definedName>
    <definedName name="solver_opt" localSheetId="2" hidden="1">MODELO!#REF!</definedName>
    <definedName name="solver_pre" localSheetId="0" hidden="1">0.0000001</definedName>
    <definedName name="solver_pre" localSheetId="2" hidden="1">0.0000001</definedName>
    <definedName name="solver_rbv" localSheetId="0" hidden="1">1</definedName>
    <definedName name="solver_rbv" localSheetId="2" hidden="1">1</definedName>
    <definedName name="solver_rel1" localSheetId="0" hidden="1">1</definedName>
    <definedName name="solver_rel1" localSheetId="2" hidden="1">1</definedName>
    <definedName name="solver_rel2" localSheetId="0" hidden="1">3</definedName>
    <definedName name="solver_rel2" localSheetId="2" hidden="1">3</definedName>
    <definedName name="solver_rhs1" localSheetId="0" hidden="1">1</definedName>
    <definedName name="solver_rhs1" localSheetId="2" hidden="1">1</definedName>
    <definedName name="solver_rhs2" localSheetId="0" hidden="1">0</definedName>
    <definedName name="solver_rhs2" localSheetId="2" hidden="1">0</definedName>
    <definedName name="solver_rlx" localSheetId="0" hidden="1">2</definedName>
    <definedName name="solver_rlx" localSheetId="2" hidden="1">2</definedName>
    <definedName name="solver_rsd" localSheetId="0" hidden="1">0</definedName>
    <definedName name="solver_rsd" localSheetId="2" hidden="1">0</definedName>
    <definedName name="solver_scl" localSheetId="0" hidden="1">1</definedName>
    <definedName name="solver_scl" localSheetId="2" hidden="1">1</definedName>
    <definedName name="solver_sho" localSheetId="0" hidden="1">2</definedName>
    <definedName name="solver_sho" localSheetId="2" hidden="1">2</definedName>
    <definedName name="solver_ssz" localSheetId="0" hidden="1">100</definedName>
    <definedName name="solver_ssz" localSheetId="2" hidden="1">100</definedName>
    <definedName name="solver_tim" localSheetId="0" hidden="1">2147483647</definedName>
    <definedName name="solver_tim" localSheetId="2" hidden="1">2147483647</definedName>
    <definedName name="solver_tol" localSheetId="0" hidden="1">0.01</definedName>
    <definedName name="solver_tol" localSheetId="2" hidden="1">0.01</definedName>
    <definedName name="solver_typ" localSheetId="0" hidden="1">1</definedName>
    <definedName name="solver_typ" localSheetId="2" hidden="1">1</definedName>
    <definedName name="solver_val" localSheetId="0" hidden="1">0</definedName>
    <definedName name="solver_val" localSheetId="2" hidden="1">0</definedName>
    <definedName name="solver_ver" localSheetId="0" hidden="1">3</definedName>
    <definedName name="solver_ver" localSheetId="2" hidden="1">3</definedName>
    <definedName name="Tesoreria">MODELO!#REF!</definedName>
    <definedName name="Valor_acciones">MODELO!#REF!</definedName>
    <definedName name="valorizacion">MODELO!#REF!</definedName>
    <definedName name="VME">MODELO!#REF!</definedName>
    <definedName name="VMK">MODELO!#REF!</definedName>
    <definedName name="VT">MODELO!#REF!</definedName>
    <definedName name="WACC">MODELO!#REF!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29" l="1"/>
  <c r="F40" i="29"/>
  <c r="F39" i="29"/>
  <c r="E126" i="29"/>
  <c r="D126" i="29"/>
  <c r="C126" i="29"/>
  <c r="B126" i="29"/>
  <c r="E104" i="29"/>
  <c r="D104" i="29"/>
  <c r="C104" i="29"/>
  <c r="B104" i="29"/>
  <c r="E103" i="29"/>
  <c r="D103" i="29"/>
  <c r="C103" i="29"/>
  <c r="B103" i="29"/>
  <c r="E89" i="29"/>
  <c r="D89" i="29"/>
  <c r="C89" i="29"/>
  <c r="B89" i="29"/>
  <c r="E84" i="29"/>
  <c r="E85" i="29" s="1"/>
  <c r="D84" i="29"/>
  <c r="D85" i="29" s="1"/>
  <c r="C84" i="29"/>
  <c r="C85" i="29" s="1"/>
  <c r="B84" i="29"/>
  <c r="B85" i="29" s="1"/>
  <c r="E82" i="29"/>
  <c r="E83" i="29" s="1"/>
  <c r="D82" i="29"/>
  <c r="D83" i="29" s="1"/>
  <c r="C82" i="29"/>
  <c r="C83" i="29" s="1"/>
  <c r="B82" i="29"/>
  <c r="B83" i="29" s="1"/>
  <c r="E65" i="29"/>
  <c r="E66" i="29" s="1"/>
  <c r="O51" i="29"/>
  <c r="L51" i="29"/>
  <c r="K51" i="29"/>
  <c r="N51" i="29" s="1"/>
  <c r="J51" i="29"/>
  <c r="M51" i="29" s="1"/>
  <c r="I51" i="29"/>
  <c r="H51" i="29"/>
  <c r="G51" i="29"/>
  <c r="F51" i="29"/>
  <c r="O49" i="29"/>
  <c r="L49" i="29"/>
  <c r="K49" i="29"/>
  <c r="N49" i="29" s="1"/>
  <c r="J49" i="29"/>
  <c r="M49" i="29" s="1"/>
  <c r="I49" i="29"/>
  <c r="H49" i="29"/>
  <c r="G49" i="29"/>
  <c r="F49" i="29"/>
  <c r="L48" i="29"/>
  <c r="O48" i="29" s="1"/>
  <c r="K48" i="29"/>
  <c r="N48" i="29" s="1"/>
  <c r="J48" i="29"/>
  <c r="M48" i="29" s="1"/>
  <c r="I48" i="29"/>
  <c r="H48" i="29"/>
  <c r="G48" i="29"/>
  <c r="F48" i="29"/>
  <c r="L47" i="29"/>
  <c r="O47" i="29" s="1"/>
  <c r="K47" i="29"/>
  <c r="N47" i="29" s="1"/>
  <c r="I47" i="29"/>
  <c r="H47" i="29"/>
  <c r="G47" i="29"/>
  <c r="B47" i="29"/>
  <c r="E44" i="29"/>
  <c r="I44" i="29" s="1"/>
  <c r="D44" i="29"/>
  <c r="C44" i="29"/>
  <c r="G44" i="29" s="1"/>
  <c r="B44" i="29"/>
  <c r="L43" i="29"/>
  <c r="O43" i="29" s="1"/>
  <c r="K43" i="29"/>
  <c r="N43" i="29" s="1"/>
  <c r="J43" i="29"/>
  <c r="M43" i="29" s="1"/>
  <c r="I43" i="29"/>
  <c r="H43" i="29"/>
  <c r="G43" i="29"/>
  <c r="F43" i="29"/>
  <c r="L42" i="29"/>
  <c r="O42" i="29" s="1"/>
  <c r="K42" i="29"/>
  <c r="N42" i="29" s="1"/>
  <c r="J42" i="29"/>
  <c r="M42" i="29" s="1"/>
  <c r="I42" i="29"/>
  <c r="H42" i="29"/>
  <c r="G42" i="29"/>
  <c r="F42" i="29"/>
  <c r="H41" i="29"/>
  <c r="G41" i="29"/>
  <c r="E41" i="29"/>
  <c r="E116" i="29" s="1"/>
  <c r="D41" i="29"/>
  <c r="C41" i="29"/>
  <c r="C116" i="29" s="1"/>
  <c r="B41" i="29"/>
  <c r="B116" i="29" s="1"/>
  <c r="L40" i="29"/>
  <c r="O40" i="29" s="1"/>
  <c r="K40" i="29"/>
  <c r="N40" i="29" s="1"/>
  <c r="J40" i="29"/>
  <c r="M40" i="29" s="1"/>
  <c r="I40" i="29"/>
  <c r="H40" i="29"/>
  <c r="G40" i="29"/>
  <c r="O39" i="29"/>
  <c r="L39" i="29"/>
  <c r="K39" i="29"/>
  <c r="N39" i="29" s="1"/>
  <c r="J39" i="29"/>
  <c r="M39" i="29" s="1"/>
  <c r="I39" i="29"/>
  <c r="H39" i="29"/>
  <c r="G39" i="29"/>
  <c r="E35" i="29"/>
  <c r="E107" i="29" s="1"/>
  <c r="D35" i="29"/>
  <c r="C35" i="29"/>
  <c r="B35" i="29"/>
  <c r="L34" i="29"/>
  <c r="O34" i="29" s="1"/>
  <c r="K34" i="29"/>
  <c r="N34" i="29" s="1"/>
  <c r="J34" i="29"/>
  <c r="M34" i="29" s="1"/>
  <c r="L33" i="29"/>
  <c r="O33" i="29" s="1"/>
  <c r="K33" i="29"/>
  <c r="N33" i="29" s="1"/>
  <c r="J33" i="29"/>
  <c r="M33" i="29" s="1"/>
  <c r="N32" i="29"/>
  <c r="L32" i="29"/>
  <c r="O32" i="29" s="1"/>
  <c r="K32" i="29"/>
  <c r="J32" i="29"/>
  <c r="M32" i="29" s="1"/>
  <c r="L31" i="29"/>
  <c r="O31" i="29" s="1"/>
  <c r="K31" i="29"/>
  <c r="N31" i="29" s="1"/>
  <c r="J31" i="29"/>
  <c r="M31" i="29" s="1"/>
  <c r="N30" i="29"/>
  <c r="L30" i="29"/>
  <c r="O30" i="29" s="1"/>
  <c r="K30" i="29"/>
  <c r="J30" i="29"/>
  <c r="M30" i="29" s="1"/>
  <c r="E29" i="29"/>
  <c r="D29" i="29"/>
  <c r="E28" i="29"/>
  <c r="D28" i="29"/>
  <c r="C28" i="29"/>
  <c r="C106" i="29" s="1"/>
  <c r="B28" i="29"/>
  <c r="L27" i="29"/>
  <c r="O27" i="29" s="1"/>
  <c r="K27" i="29"/>
  <c r="N27" i="29" s="1"/>
  <c r="J27" i="29"/>
  <c r="M27" i="29" s="1"/>
  <c r="L26" i="29"/>
  <c r="O26" i="29" s="1"/>
  <c r="K26" i="29"/>
  <c r="N26" i="29" s="1"/>
  <c r="J26" i="29"/>
  <c r="M26" i="29" s="1"/>
  <c r="L25" i="29"/>
  <c r="O25" i="29" s="1"/>
  <c r="K25" i="29"/>
  <c r="N25" i="29" s="1"/>
  <c r="J25" i="29"/>
  <c r="M25" i="29" s="1"/>
  <c r="M24" i="29"/>
  <c r="L24" i="29"/>
  <c r="O24" i="29" s="1"/>
  <c r="K24" i="29"/>
  <c r="N24" i="29" s="1"/>
  <c r="J24" i="29"/>
  <c r="N23" i="29"/>
  <c r="M23" i="29"/>
  <c r="L23" i="29"/>
  <c r="O23" i="29" s="1"/>
  <c r="K23" i="29"/>
  <c r="J23" i="29"/>
  <c r="N22" i="29"/>
  <c r="L22" i="29"/>
  <c r="O22" i="29" s="1"/>
  <c r="K22" i="29"/>
  <c r="J22" i="29"/>
  <c r="M22" i="29" s="1"/>
  <c r="N21" i="29"/>
  <c r="L21" i="29"/>
  <c r="O21" i="29" s="1"/>
  <c r="K21" i="29"/>
  <c r="J21" i="29"/>
  <c r="M21" i="29" s="1"/>
  <c r="L20" i="29"/>
  <c r="O20" i="29" s="1"/>
  <c r="K20" i="29"/>
  <c r="N20" i="29" s="1"/>
  <c r="J20" i="29"/>
  <c r="M20" i="29" s="1"/>
  <c r="L19" i="29"/>
  <c r="O19" i="29" s="1"/>
  <c r="K19" i="29"/>
  <c r="N19" i="29" s="1"/>
  <c r="J19" i="29"/>
  <c r="M19" i="29" s="1"/>
  <c r="E17" i="29"/>
  <c r="D17" i="29"/>
  <c r="C17" i="29"/>
  <c r="B17" i="29"/>
  <c r="N16" i="29"/>
  <c r="L16" i="29"/>
  <c r="O16" i="29" s="1"/>
  <c r="K16" i="29"/>
  <c r="J16" i="29"/>
  <c r="M16" i="29" s="1"/>
  <c r="N14" i="29"/>
  <c r="L14" i="29"/>
  <c r="O14" i="29" s="1"/>
  <c r="K14" i="29"/>
  <c r="J14" i="29"/>
  <c r="M14" i="29" s="1"/>
  <c r="L13" i="29"/>
  <c r="O13" i="29" s="1"/>
  <c r="K13" i="29"/>
  <c r="N13" i="29" s="1"/>
  <c r="J13" i="29"/>
  <c r="M13" i="29" s="1"/>
  <c r="N12" i="29"/>
  <c r="L12" i="29"/>
  <c r="O12" i="29" s="1"/>
  <c r="K12" i="29"/>
  <c r="J12" i="29"/>
  <c r="M12" i="29" s="1"/>
  <c r="L11" i="29"/>
  <c r="O11" i="29" s="1"/>
  <c r="K11" i="29"/>
  <c r="N11" i="29" s="1"/>
  <c r="J11" i="29"/>
  <c r="M11" i="29" s="1"/>
  <c r="N10" i="29"/>
  <c r="L10" i="29"/>
  <c r="O10" i="29" s="1"/>
  <c r="K10" i="29"/>
  <c r="J10" i="29"/>
  <c r="M10" i="29" s="1"/>
  <c r="L9" i="29"/>
  <c r="O9" i="29" s="1"/>
  <c r="K9" i="29"/>
  <c r="N9" i="29" s="1"/>
  <c r="J9" i="29"/>
  <c r="M9" i="29" s="1"/>
  <c r="N8" i="29"/>
  <c r="L8" i="29"/>
  <c r="O8" i="29" s="1"/>
  <c r="K8" i="29"/>
  <c r="J8" i="29"/>
  <c r="M8" i="29" s="1"/>
  <c r="L7" i="29"/>
  <c r="O7" i="29" s="1"/>
  <c r="K7" i="29"/>
  <c r="N7" i="29" s="1"/>
  <c r="J7" i="29"/>
  <c r="M7" i="29" s="1"/>
  <c r="N6" i="29"/>
  <c r="L6" i="29"/>
  <c r="O6" i="29" s="1"/>
  <c r="K6" i="29"/>
  <c r="J6" i="29"/>
  <c r="M6" i="29" s="1"/>
  <c r="E5" i="29"/>
  <c r="E15" i="29" s="1"/>
  <c r="E64" i="29" s="1"/>
  <c r="D5" i="29"/>
  <c r="D65" i="29" s="1"/>
  <c r="D66" i="29" s="1"/>
  <c r="C5" i="29"/>
  <c r="C79" i="29" s="1"/>
  <c r="C80" i="29" s="1"/>
  <c r="C81" i="29" s="1"/>
  <c r="C86" i="29" s="1"/>
  <c r="C87" i="29" s="1"/>
  <c r="B5" i="29"/>
  <c r="L4" i="29"/>
  <c r="O4" i="29" s="1"/>
  <c r="K4" i="29"/>
  <c r="N4" i="29" s="1"/>
  <c r="J4" i="29"/>
  <c r="M4" i="29" s="1"/>
  <c r="N3" i="29"/>
  <c r="L3" i="29"/>
  <c r="O3" i="29" s="1"/>
  <c r="K3" i="29"/>
  <c r="J3" i="29"/>
  <c r="M3" i="29" s="1"/>
  <c r="C15" i="29" l="1"/>
  <c r="K44" i="29"/>
  <c r="N44" i="29" s="1"/>
  <c r="E18" i="29"/>
  <c r="I31" i="29" s="1"/>
  <c r="L41" i="29"/>
  <c r="O41" i="29" s="1"/>
  <c r="D79" i="29"/>
  <c r="D80" i="29" s="1"/>
  <c r="D81" i="29" s="1"/>
  <c r="D86" i="29" s="1"/>
  <c r="D87" i="29" s="1"/>
  <c r="J44" i="29"/>
  <c r="M44" i="29" s="1"/>
  <c r="H44" i="29"/>
  <c r="C65" i="29"/>
  <c r="C66" i="29" s="1"/>
  <c r="E80" i="29"/>
  <c r="E81" i="29" s="1"/>
  <c r="E86" i="29" s="1"/>
  <c r="E87" i="29" s="1"/>
  <c r="E88" i="29"/>
  <c r="I33" i="29"/>
  <c r="I25" i="29"/>
  <c r="I34" i="29"/>
  <c r="I22" i="29"/>
  <c r="I20" i="29"/>
  <c r="I11" i="29"/>
  <c r="I9" i="29"/>
  <c r="I14" i="29"/>
  <c r="I12" i="29"/>
  <c r="I19" i="29"/>
  <c r="I10" i="29"/>
  <c r="I3" i="29"/>
  <c r="I23" i="29"/>
  <c r="B79" i="29"/>
  <c r="B80" i="29" s="1"/>
  <c r="B81" i="29" s="1"/>
  <c r="B86" i="29" s="1"/>
  <c r="B87" i="29" s="1"/>
  <c r="B65" i="29"/>
  <c r="B66" i="29" s="1"/>
  <c r="B15" i="29"/>
  <c r="D105" i="29"/>
  <c r="F44" i="29"/>
  <c r="C90" i="29"/>
  <c r="C64" i="29"/>
  <c r="B45" i="29"/>
  <c r="C45" i="29"/>
  <c r="B106" i="29"/>
  <c r="B29" i="29"/>
  <c r="E105" i="29"/>
  <c r="E36" i="29"/>
  <c r="E37" i="29" s="1"/>
  <c r="C62" i="29"/>
  <c r="D15" i="29"/>
  <c r="B107" i="29"/>
  <c r="B91" i="29"/>
  <c r="D36" i="29"/>
  <c r="E90" i="29"/>
  <c r="E62" i="29"/>
  <c r="E63" i="29"/>
  <c r="C18" i="29"/>
  <c r="D106" i="29"/>
  <c r="D99" i="29"/>
  <c r="C107" i="29"/>
  <c r="C91" i="29"/>
  <c r="D116" i="29"/>
  <c r="K41" i="29"/>
  <c r="N41" i="29" s="1"/>
  <c r="J41" i="29"/>
  <c r="M41" i="29" s="1"/>
  <c r="L44" i="29"/>
  <c r="O44" i="29" s="1"/>
  <c r="D45" i="29"/>
  <c r="C63" i="29"/>
  <c r="E106" i="29"/>
  <c r="E99" i="29"/>
  <c r="D107" i="29"/>
  <c r="D91" i="29"/>
  <c r="F41" i="29"/>
  <c r="J47" i="29"/>
  <c r="M47" i="29" s="1"/>
  <c r="F47" i="29"/>
  <c r="C29" i="29"/>
  <c r="I41" i="29"/>
  <c r="E45" i="29"/>
  <c r="E91" i="29"/>
  <c r="E98" i="29" l="1"/>
  <c r="I6" i="29"/>
  <c r="I21" i="29"/>
  <c r="I4" i="29"/>
  <c r="I15" i="29" s="1"/>
  <c r="I18" i="29" s="1"/>
  <c r="I13" i="29"/>
  <c r="I30" i="29"/>
  <c r="I27" i="29"/>
  <c r="E102" i="29"/>
  <c r="I26" i="29"/>
  <c r="I8" i="29"/>
  <c r="I24" i="29"/>
  <c r="I7" i="29"/>
  <c r="I16" i="29"/>
  <c r="I17" i="29" s="1"/>
  <c r="I32" i="29"/>
  <c r="C105" i="29"/>
  <c r="C98" i="29"/>
  <c r="C36" i="29"/>
  <c r="C37" i="29" s="1"/>
  <c r="C102" i="29"/>
  <c r="C88" i="29"/>
  <c r="G34" i="29"/>
  <c r="G32" i="29"/>
  <c r="G30" i="29"/>
  <c r="G26" i="29"/>
  <c r="G24" i="29"/>
  <c r="G23" i="29"/>
  <c r="G21" i="29"/>
  <c r="G19" i="29"/>
  <c r="G14" i="29"/>
  <c r="G12" i="29"/>
  <c r="G10" i="29"/>
  <c r="G8" i="29"/>
  <c r="G6" i="29"/>
  <c r="G3" i="29"/>
  <c r="G33" i="29"/>
  <c r="G31" i="29"/>
  <c r="G27" i="29"/>
  <c r="G16" i="29"/>
  <c r="G17" i="29" s="1"/>
  <c r="G13" i="29"/>
  <c r="G11" i="29"/>
  <c r="G7" i="29"/>
  <c r="G9" i="29"/>
  <c r="G4" i="29"/>
  <c r="G25" i="29"/>
  <c r="G22" i="29"/>
  <c r="G20" i="29"/>
  <c r="B105" i="29"/>
  <c r="B98" i="29"/>
  <c r="B36" i="29"/>
  <c r="B37" i="29" s="1"/>
  <c r="C117" i="29"/>
  <c r="C101" i="29"/>
  <c r="C50" i="29"/>
  <c r="J45" i="29"/>
  <c r="M45" i="29" s="1"/>
  <c r="G45" i="29"/>
  <c r="B90" i="29"/>
  <c r="B64" i="29"/>
  <c r="B63" i="29"/>
  <c r="B62" i="29"/>
  <c r="B18" i="29"/>
  <c r="C99" i="29"/>
  <c r="B99" i="29"/>
  <c r="I28" i="29"/>
  <c r="I29" i="29" s="1"/>
  <c r="E117" i="29"/>
  <c r="E101" i="29"/>
  <c r="I45" i="29"/>
  <c r="L45" i="29"/>
  <c r="O45" i="29" s="1"/>
  <c r="E50" i="29"/>
  <c r="B117" i="29"/>
  <c r="B101" i="29"/>
  <c r="F45" i="29"/>
  <c r="B50" i="29"/>
  <c r="I35" i="29"/>
  <c r="D117" i="29"/>
  <c r="D101" i="29"/>
  <c r="D50" i="29"/>
  <c r="K45" i="29"/>
  <c r="N45" i="29" s="1"/>
  <c r="H45" i="29"/>
  <c r="D90" i="29"/>
  <c r="D62" i="29"/>
  <c r="D64" i="29"/>
  <c r="D63" i="29"/>
  <c r="D18" i="29"/>
  <c r="D37" i="29" s="1"/>
  <c r="G35" i="29" l="1"/>
  <c r="D125" i="29"/>
  <c r="D127" i="29" s="1"/>
  <c r="D128" i="29" s="1"/>
  <c r="D52" i="29"/>
  <c r="H50" i="29"/>
  <c r="K50" i="29"/>
  <c r="N50" i="29" s="1"/>
  <c r="E125" i="29"/>
  <c r="E127" i="29" s="1"/>
  <c r="E128" i="29" s="1"/>
  <c r="L50" i="29"/>
  <c r="O50" i="29" s="1"/>
  <c r="I50" i="29"/>
  <c r="E52" i="29"/>
  <c r="C125" i="29"/>
  <c r="C127" i="29" s="1"/>
  <c r="C128" i="29" s="1"/>
  <c r="C52" i="29"/>
  <c r="G50" i="29"/>
  <c r="J50" i="29"/>
  <c r="M50" i="29" s="1"/>
  <c r="G15" i="29"/>
  <c r="G18" i="29" s="1"/>
  <c r="B125" i="29"/>
  <c r="B127" i="29" s="1"/>
  <c r="B128" i="29" s="1"/>
  <c r="B52" i="29"/>
  <c r="F50" i="29"/>
  <c r="D102" i="29"/>
  <c r="D88" i="29"/>
  <c r="H33" i="29"/>
  <c r="H31" i="29"/>
  <c r="H26" i="29"/>
  <c r="H13" i="29"/>
  <c r="H34" i="29"/>
  <c r="H32" i="29"/>
  <c r="H30" i="29"/>
  <c r="H25" i="29"/>
  <c r="H22" i="29"/>
  <c r="H14" i="29"/>
  <c r="H10" i="29"/>
  <c r="H6" i="29"/>
  <c r="H3" i="29"/>
  <c r="H11" i="29"/>
  <c r="H9" i="29"/>
  <c r="H7" i="29"/>
  <c r="H4" i="29"/>
  <c r="H20" i="29"/>
  <c r="H12" i="29"/>
  <c r="H8" i="29"/>
  <c r="H27" i="29"/>
  <c r="H24" i="29"/>
  <c r="H23" i="29"/>
  <c r="H21" i="29"/>
  <c r="H19" i="29"/>
  <c r="H28" i="29" s="1"/>
  <c r="H29" i="29" s="1"/>
  <c r="H16" i="29"/>
  <c r="H17" i="29" s="1"/>
  <c r="D98" i="29"/>
  <c r="I36" i="29"/>
  <c r="B102" i="29"/>
  <c r="B88" i="29"/>
  <c r="F25" i="29"/>
  <c r="F24" i="29"/>
  <c r="F23" i="29"/>
  <c r="F22" i="29"/>
  <c r="F21" i="29"/>
  <c r="F20" i="29"/>
  <c r="F19" i="29"/>
  <c r="F33" i="29"/>
  <c r="F31" i="29"/>
  <c r="F27" i="29"/>
  <c r="F26" i="29"/>
  <c r="F16" i="29"/>
  <c r="F17" i="29" s="1"/>
  <c r="F34" i="29"/>
  <c r="F32" i="29"/>
  <c r="F30" i="29"/>
  <c r="F35" i="29" s="1"/>
  <c r="F14" i="29"/>
  <c r="F13" i="29"/>
  <c r="F12" i="29"/>
  <c r="F11" i="29"/>
  <c r="F10" i="29"/>
  <c r="F9" i="29"/>
  <c r="F8" i="29"/>
  <c r="F7" i="29"/>
  <c r="F6" i="29"/>
  <c r="F4" i="29"/>
  <c r="F3" i="29"/>
  <c r="G28" i="29"/>
  <c r="G29" i="29" s="1"/>
  <c r="G36" i="29" s="1"/>
  <c r="F15" i="29" l="1"/>
  <c r="F18" i="29" s="1"/>
  <c r="H35" i="29"/>
  <c r="H36" i="29" s="1"/>
  <c r="F28" i="29"/>
  <c r="F29" i="29" s="1"/>
  <c r="F36" i="29" s="1"/>
  <c r="H15" i="29"/>
  <c r="H18" i="29" s="1"/>
  <c r="B129" i="29"/>
  <c r="B130" i="29" s="1"/>
  <c r="B131" i="29" s="1"/>
  <c r="B119" i="29"/>
  <c r="B120" i="29" s="1"/>
  <c r="B67" i="29" s="1"/>
  <c r="B118" i="29"/>
  <c r="B115" i="29"/>
  <c r="B114" i="29"/>
  <c r="B100" i="29"/>
  <c r="F52" i="29"/>
  <c r="C129" i="29"/>
  <c r="C130" i="29" s="1"/>
  <c r="C131" i="29" s="1"/>
  <c r="C119" i="29"/>
  <c r="C120" i="29" s="1"/>
  <c r="C67" i="29" s="1"/>
  <c r="C118" i="29"/>
  <c r="C115" i="29"/>
  <c r="C114" i="29"/>
  <c r="C100" i="29"/>
  <c r="J52" i="29"/>
  <c r="M52" i="29" s="1"/>
  <c r="G52" i="29"/>
  <c r="D129" i="29"/>
  <c r="D130" i="29" s="1"/>
  <c r="D131" i="29" s="1"/>
  <c r="D119" i="29"/>
  <c r="D120" i="29" s="1"/>
  <c r="D67" i="29" s="1"/>
  <c r="D118" i="29"/>
  <c r="D115" i="29"/>
  <c r="D114" i="29"/>
  <c r="D100" i="29"/>
  <c r="H52" i="29"/>
  <c r="K52" i="29"/>
  <c r="N52" i="29" s="1"/>
  <c r="E129" i="29"/>
  <c r="E130" i="29" s="1"/>
  <c r="E131" i="29" s="1"/>
  <c r="E119" i="29"/>
  <c r="E120" i="29" s="1"/>
  <c r="E67" i="29" s="1"/>
  <c r="E118" i="29"/>
  <c r="E115" i="29"/>
  <c r="E114" i="29"/>
  <c r="E100" i="29"/>
  <c r="L52" i="29"/>
  <c r="O52" i="29" s="1"/>
  <c r="I52" i="29"/>
  <c r="E35" i="1" l="1"/>
  <c r="B22" i="28"/>
  <c r="V18" i="28"/>
  <c r="R18" i="28"/>
  <c r="S18" i="28" s="1"/>
  <c r="Y17" i="28"/>
  <c r="AB17" i="28" s="1"/>
  <c r="Q17" i="28"/>
  <c r="V17" i="28" s="1"/>
  <c r="Q16" i="28"/>
  <c r="R14" i="28"/>
  <c r="R13" i="28"/>
  <c r="V12" i="28"/>
  <c r="R12" i="28"/>
  <c r="D12" i="28"/>
  <c r="R11" i="28"/>
  <c r="R10" i="28"/>
  <c r="R9" i="28"/>
  <c r="R8" i="28"/>
  <c r="F8" i="28"/>
  <c r="V7" i="28"/>
  <c r="R7" i="28"/>
  <c r="L7" i="28"/>
  <c r="K7" i="28"/>
  <c r="J7" i="28"/>
  <c r="I7" i="28"/>
  <c r="H7" i="28"/>
  <c r="G7" i="28"/>
  <c r="F7" i="28"/>
  <c r="E7" i="28"/>
  <c r="D7" i="28"/>
  <c r="C7" i="28"/>
  <c r="B7" i="28"/>
  <c r="R6" i="28"/>
  <c r="N6" i="28"/>
  <c r="V5" i="28"/>
  <c r="R5" i="28"/>
  <c r="S5" i="28" s="1"/>
  <c r="M5" i="28"/>
  <c r="M8" i="28" s="1"/>
  <c r="M9" i="28" s="1"/>
  <c r="L5" i="28"/>
  <c r="L8" i="28" s="1"/>
  <c r="K5" i="28"/>
  <c r="K8" i="28" s="1"/>
  <c r="J5" i="28"/>
  <c r="J8" i="28" s="1"/>
  <c r="I5" i="28"/>
  <c r="I8" i="28" s="1"/>
  <c r="H5" i="28"/>
  <c r="H8" i="28" s="1"/>
  <c r="G5" i="28"/>
  <c r="G8" i="28" s="1"/>
  <c r="F5" i="28"/>
  <c r="E5" i="28"/>
  <c r="E8" i="28" s="1"/>
  <c r="D5" i="28"/>
  <c r="D8" i="28" s="1"/>
  <c r="C5" i="28"/>
  <c r="C8" i="28" s="1"/>
  <c r="B5" i="28"/>
  <c r="V4" i="28"/>
  <c r="Q4" i="28"/>
  <c r="Q15" i="28" s="1"/>
  <c r="V3" i="28"/>
  <c r="N5" i="28" l="1"/>
  <c r="F9" i="28"/>
  <c r="J9" i="28"/>
  <c r="B8" i="28"/>
  <c r="Y3" i="28" s="1"/>
  <c r="Q19" i="28"/>
  <c r="Q20" i="28" s="1"/>
  <c r="Q21" i="28" s="1"/>
  <c r="Q22" i="28" s="1"/>
  <c r="Q23" i="28" s="1"/>
  <c r="D9" i="28"/>
  <c r="H9" i="28"/>
  <c r="L9" i="28"/>
  <c r="V16" i="28"/>
  <c r="V19" i="28" s="1"/>
  <c r="V20" i="28" s="1"/>
  <c r="V21" i="28" s="1"/>
  <c r="V22" i="28" s="1"/>
  <c r="V23" i="28" s="1"/>
  <c r="V25" i="28" s="1"/>
  <c r="E33" i="1"/>
  <c r="E9" i="28"/>
  <c r="I9" i="28"/>
  <c r="C9" i="28"/>
  <c r="K9" i="28"/>
  <c r="Y18" i="28"/>
  <c r="Y13" i="28"/>
  <c r="AB13" i="28" s="1"/>
  <c r="Y11" i="28"/>
  <c r="AB11" i="28" s="1"/>
  <c r="Y14" i="28"/>
  <c r="AB14" i="28" s="1"/>
  <c r="Y9" i="28"/>
  <c r="AB9" i="28" s="1"/>
  <c r="Y6" i="28"/>
  <c r="Y5" i="28"/>
  <c r="Y12" i="28"/>
  <c r="AB12" i="28" s="1"/>
  <c r="Y10" i="28"/>
  <c r="AB10" i="28" s="1"/>
  <c r="Y8" i="28"/>
  <c r="AB8" i="28" s="1"/>
  <c r="Y7" i="28"/>
  <c r="AB7" i="28" s="1"/>
  <c r="G9" i="28"/>
  <c r="N7" i="28"/>
  <c r="V15" i="28"/>
  <c r="N8" i="28"/>
  <c r="B9" i="28" l="1"/>
  <c r="N9" i="28"/>
  <c r="Y16" i="28"/>
  <c r="AB18" i="28"/>
  <c r="AB16" i="28" s="1"/>
  <c r="O9" i="28"/>
  <c r="AB3" i="28"/>
  <c r="Y4" i="28"/>
  <c r="Y15" i="28" s="1"/>
  <c r="AB5" i="28"/>
  <c r="AB4" i="28" s="1"/>
  <c r="AB19" i="28" l="1"/>
  <c r="Y19" i="28"/>
  <c r="Y20" i="28" s="1"/>
  <c r="Y21" i="28" s="1"/>
  <c r="Y22" i="28" s="1"/>
  <c r="Y23" i="28" s="1"/>
  <c r="F33" i="1"/>
  <c r="F34" i="1"/>
  <c r="AB15" i="28"/>
  <c r="AB20" i="28"/>
  <c r="AB21" i="28" l="1"/>
  <c r="AB22" i="28" s="1"/>
  <c r="AB23" i="28" s="1"/>
  <c r="AC23" i="28" s="1"/>
  <c r="L9" i="1" l="1"/>
  <c r="G92" i="1"/>
  <c r="K127" i="1"/>
  <c r="M127" i="1"/>
  <c r="M128" i="1" s="1"/>
  <c r="M129" i="1" s="1"/>
  <c r="M130" i="1" s="1"/>
  <c r="M131" i="1" s="1"/>
  <c r="M132" i="1" s="1"/>
  <c r="M133" i="1" s="1"/>
  <c r="M134" i="1" s="1"/>
  <c r="M135" i="1" s="1"/>
  <c r="M136" i="1" s="1"/>
  <c r="K128" i="1"/>
  <c r="K129" i="1"/>
  <c r="K130" i="1"/>
  <c r="K131" i="1"/>
  <c r="K132" i="1"/>
  <c r="K133" i="1"/>
  <c r="K134" i="1"/>
  <c r="K135" i="1"/>
  <c r="K136" i="1"/>
  <c r="E248" i="1"/>
  <c r="D99" i="1" l="1"/>
  <c r="F78" i="1"/>
  <c r="F17" i="1" l="1"/>
  <c r="B49" i="1"/>
  <c r="F62" i="1" l="1"/>
  <c r="F46" i="1"/>
  <c r="F47" i="1"/>
  <c r="G47" i="1"/>
  <c r="H47" i="1" s="1"/>
  <c r="I47" i="1" s="1"/>
  <c r="J47" i="1" s="1"/>
  <c r="G48" i="1"/>
  <c r="G120" i="1" s="1"/>
  <c r="H48" i="1" l="1"/>
  <c r="H120" i="1" s="1"/>
  <c r="G55" i="1" l="1"/>
  <c r="G78" i="1" l="1"/>
  <c r="H78" i="1" s="1"/>
  <c r="I78" i="1" s="1"/>
  <c r="J78" i="1" s="1"/>
  <c r="D27" i="27"/>
  <c r="F26" i="27" s="1"/>
  <c r="G26" i="27" s="1"/>
  <c r="C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D3" i="27"/>
  <c r="E2" i="27"/>
  <c r="E3" i="27" s="1"/>
  <c r="F9" i="27" l="1"/>
  <c r="G9" i="27" s="1"/>
  <c r="F15" i="27"/>
  <c r="G15" i="27" s="1"/>
  <c r="F23" i="27"/>
  <c r="G23" i="27" s="1"/>
  <c r="F8" i="27"/>
  <c r="G8" i="27" s="1"/>
  <c r="F13" i="27"/>
  <c r="G13" i="27" s="1"/>
  <c r="F18" i="27"/>
  <c r="G18" i="27" s="1"/>
  <c r="F21" i="27"/>
  <c r="G21" i="27" s="1"/>
  <c r="F6" i="27"/>
  <c r="G6" i="27" s="1"/>
  <c r="F11" i="27"/>
  <c r="G11" i="27" s="1"/>
  <c r="F16" i="27"/>
  <c r="G16" i="27" s="1"/>
  <c r="F7" i="27"/>
  <c r="G7" i="27" s="1"/>
  <c r="F10" i="27"/>
  <c r="G10" i="27" s="1"/>
  <c r="F20" i="27"/>
  <c r="G20" i="27" s="1"/>
  <c r="F22" i="27"/>
  <c r="G22" i="27" s="1"/>
  <c r="F25" i="27"/>
  <c r="G25" i="27" s="1"/>
  <c r="E27" i="27"/>
  <c r="F12" i="27"/>
  <c r="G12" i="27" s="1"/>
  <c r="F14" i="27"/>
  <c r="G14" i="27" s="1"/>
  <c r="F17" i="27"/>
  <c r="G17" i="27" s="1"/>
  <c r="F19" i="27"/>
  <c r="G19" i="27" s="1"/>
  <c r="F24" i="27"/>
  <c r="G24" i="27" s="1"/>
  <c r="G27" i="27" l="1"/>
  <c r="F61" i="1" s="1"/>
  <c r="C78" i="1"/>
  <c r="D78" i="1"/>
  <c r="E78" i="1"/>
  <c r="F63" i="1" l="1"/>
  <c r="F66" i="1" s="1"/>
  <c r="F65" i="1"/>
  <c r="G31" i="1"/>
  <c r="H31" i="1" s="1"/>
  <c r="I31" i="1" s="1"/>
  <c r="J31" i="1" s="1"/>
  <c r="D31" i="1"/>
  <c r="E31" i="1" s="1"/>
  <c r="F31" i="1" s="1"/>
  <c r="D32" i="6"/>
  <c r="C62" i="9"/>
  <c r="D214" i="1" s="1"/>
  <c r="D62" i="9"/>
  <c r="B62" i="9"/>
  <c r="C54" i="9"/>
  <c r="D207" i="1" s="1"/>
  <c r="D54" i="9"/>
  <c r="B54" i="9"/>
  <c r="E4" i="9" s="1"/>
  <c r="C44" i="9"/>
  <c r="D44" i="9"/>
  <c r="B44" i="9"/>
  <c r="E48" i="9"/>
  <c r="C13" i="9"/>
  <c r="D233" i="1" s="1"/>
  <c r="D13" i="9"/>
  <c r="E233" i="1" s="1"/>
  <c r="B13" i="9"/>
  <c r="C233" i="1" s="1"/>
  <c r="C34" i="9"/>
  <c r="C36" i="9" s="1"/>
  <c r="D34" i="9"/>
  <c r="D36" i="9" s="1"/>
  <c r="E257" i="1" s="1"/>
  <c r="B34" i="9"/>
  <c r="B36" i="9" s="1"/>
  <c r="C24" i="9"/>
  <c r="D24" i="9"/>
  <c r="B24" i="9"/>
  <c r="C8" i="9"/>
  <c r="D228" i="1" s="1"/>
  <c r="D8" i="9"/>
  <c r="B8" i="9"/>
  <c r="D77" i="1"/>
  <c r="E77" i="1"/>
  <c r="C77" i="1"/>
  <c r="D32" i="1"/>
  <c r="D33" i="1" s="1"/>
  <c r="E32" i="1"/>
  <c r="C32" i="1"/>
  <c r="E289" i="1"/>
  <c r="F289" i="1"/>
  <c r="G289" i="1"/>
  <c r="H289" i="1"/>
  <c r="D289" i="1"/>
  <c r="F268" i="1"/>
  <c r="H408" i="1" s="1"/>
  <c r="G268" i="1"/>
  <c r="I408" i="1" s="1"/>
  <c r="H268" i="1"/>
  <c r="J408" i="1" s="1"/>
  <c r="F269" i="1"/>
  <c r="H403" i="1" s="1"/>
  <c r="G269" i="1"/>
  <c r="I403" i="1" s="1"/>
  <c r="H269" i="1"/>
  <c r="J403" i="1" s="1"/>
  <c r="G28" i="1"/>
  <c r="F86" i="1" s="1"/>
  <c r="F70" i="1"/>
  <c r="F71" i="1"/>
  <c r="G70" i="1"/>
  <c r="H70" i="1" s="1"/>
  <c r="F69" i="1"/>
  <c r="I128" i="1"/>
  <c r="J128" i="1"/>
  <c r="L5" i="1"/>
  <c r="L6" i="1"/>
  <c r="L7" i="1"/>
  <c r="L8" i="1"/>
  <c r="L10" i="1"/>
  <c r="L11" i="1"/>
  <c r="L51" i="1"/>
  <c r="L52" i="1"/>
  <c r="L53" i="1"/>
  <c r="L54" i="1"/>
  <c r="L32" i="1"/>
  <c r="L33" i="1"/>
  <c r="L34" i="1"/>
  <c r="L35" i="1"/>
  <c r="L36" i="1"/>
  <c r="L37" i="1"/>
  <c r="L14" i="1"/>
  <c r="L15" i="1"/>
  <c r="L22" i="1"/>
  <c r="L23" i="1"/>
  <c r="L18" i="1"/>
  <c r="L19" i="1"/>
  <c r="L27" i="1"/>
  <c r="C212" i="1"/>
  <c r="E212" i="1"/>
  <c r="D212" i="1"/>
  <c r="C123" i="1"/>
  <c r="D123" i="1"/>
  <c r="C125" i="1"/>
  <c r="F20" i="1"/>
  <c r="E458" i="1"/>
  <c r="J17" i="1"/>
  <c r="I17" i="1"/>
  <c r="H17" i="1"/>
  <c r="G17" i="1"/>
  <c r="E495" i="1"/>
  <c r="E464" i="1"/>
  <c r="E461" i="1"/>
  <c r="C124" i="1"/>
  <c r="D125" i="1"/>
  <c r="D124" i="1"/>
  <c r="O525" i="1"/>
  <c r="O524" i="1"/>
  <c r="O523" i="1"/>
  <c r="O522" i="1"/>
  <c r="L523" i="1"/>
  <c r="L524" i="1"/>
  <c r="L525" i="1"/>
  <c r="L522" i="1"/>
  <c r="C211" i="1"/>
  <c r="D211" i="1"/>
  <c r="E211" i="1"/>
  <c r="C232" i="1"/>
  <c r="D232" i="1"/>
  <c r="E232" i="1"/>
  <c r="D541" i="1"/>
  <c r="F19" i="1"/>
  <c r="G19" i="1" s="1"/>
  <c r="H19" i="1" s="1"/>
  <c r="I19" i="1" s="1"/>
  <c r="J19" i="1" s="1"/>
  <c r="G144" i="1"/>
  <c r="H144" i="1"/>
  <c r="I144" i="1"/>
  <c r="J144" i="1"/>
  <c r="K144" i="1"/>
  <c r="F144" i="1"/>
  <c r="E145" i="1"/>
  <c r="F483" i="1"/>
  <c r="G483" i="1"/>
  <c r="H483" i="1"/>
  <c r="I483" i="1"/>
  <c r="J483" i="1"/>
  <c r="A478" i="1"/>
  <c r="A479" i="1" s="1"/>
  <c r="A480" i="1" s="1"/>
  <c r="A481" i="1" s="1"/>
  <c r="A482" i="1" s="1"/>
  <c r="E99" i="1"/>
  <c r="F99" i="1" s="1"/>
  <c r="G99" i="1" s="1"/>
  <c r="H99" i="1" s="1"/>
  <c r="F466" i="1"/>
  <c r="F532" i="1"/>
  <c r="G532" i="1"/>
  <c r="H532" i="1"/>
  <c r="I532" i="1"/>
  <c r="J532" i="1" s="1"/>
  <c r="F533" i="1"/>
  <c r="G533" i="1" s="1"/>
  <c r="H533" i="1" s="1"/>
  <c r="I533" i="1" s="1"/>
  <c r="J533" i="1" s="1"/>
  <c r="F531" i="1"/>
  <c r="G531" i="1" s="1"/>
  <c r="H531" i="1" s="1"/>
  <c r="I531" i="1" s="1"/>
  <c r="J531" i="1" s="1"/>
  <c r="C76" i="1"/>
  <c r="E529" i="1"/>
  <c r="E104" i="1"/>
  <c r="H128" i="1"/>
  <c r="F529" i="1"/>
  <c r="G529" i="1" s="1"/>
  <c r="H529" i="1" s="1"/>
  <c r="I529" i="1" s="1"/>
  <c r="J529" i="1" s="1"/>
  <c r="E471" i="1"/>
  <c r="E498" i="1"/>
  <c r="E494" i="1"/>
  <c r="E457" i="1"/>
  <c r="E456" i="1"/>
  <c r="E472" i="1"/>
  <c r="E485" i="1" s="1"/>
  <c r="G136" i="1"/>
  <c r="D164" i="1" s="1"/>
  <c r="H136" i="1"/>
  <c r="I136" i="1"/>
  <c r="J136" i="1"/>
  <c r="F136" i="1"/>
  <c r="D153" i="1" s="1"/>
  <c r="J155" i="1" s="1"/>
  <c r="G54" i="1"/>
  <c r="C53" i="1"/>
  <c r="C15" i="1"/>
  <c r="C30" i="1"/>
  <c r="C2" i="9"/>
  <c r="D53" i="1" s="1"/>
  <c r="D182" i="1"/>
  <c r="D243" i="1" s="1"/>
  <c r="E182" i="1"/>
  <c r="E243" i="1" s="1"/>
  <c r="C182" i="1"/>
  <c r="C243" i="1" s="1"/>
  <c r="C206" i="1"/>
  <c r="E6" i="9"/>
  <c r="F6" i="9"/>
  <c r="G6" i="9"/>
  <c r="C107" i="1" s="1"/>
  <c r="E7" i="9"/>
  <c r="F7" i="9"/>
  <c r="G7" i="9"/>
  <c r="C108" i="1" s="1"/>
  <c r="E10" i="9"/>
  <c r="F10" i="9"/>
  <c r="G10" i="9"/>
  <c r="E21" i="9"/>
  <c r="F21" i="9"/>
  <c r="G21" i="9"/>
  <c r="C109" i="1" s="1"/>
  <c r="E42" i="9"/>
  <c r="F42" i="9"/>
  <c r="G42" i="9"/>
  <c r="C103" i="1" s="1"/>
  <c r="D103" i="1" s="1"/>
  <c r="E47" i="9"/>
  <c r="F47" i="9"/>
  <c r="G47" i="9"/>
  <c r="E49" i="9"/>
  <c r="F49" i="9"/>
  <c r="G49" i="9"/>
  <c r="E50" i="9"/>
  <c r="F50" i="9"/>
  <c r="G50" i="9"/>
  <c r="E51" i="9"/>
  <c r="F51" i="9"/>
  <c r="G51" i="9"/>
  <c r="D206" i="1"/>
  <c r="G48" i="9"/>
  <c r="F44" i="9"/>
  <c r="F48" i="9"/>
  <c r="E206" i="1"/>
  <c r="E22" i="9"/>
  <c r="E124" i="1"/>
  <c r="E150" i="1"/>
  <c r="F146" i="1" s="1"/>
  <c r="E123" i="1"/>
  <c r="F128" i="1"/>
  <c r="E26" i="9"/>
  <c r="F32" i="9"/>
  <c r="F33" i="9" s="1"/>
  <c r="G32" i="9"/>
  <c r="G33" i="9" s="1"/>
  <c r="C99" i="1" s="1"/>
  <c r="F26" i="9"/>
  <c r="G24" i="9"/>
  <c r="G26" i="9"/>
  <c r="C202" i="1"/>
  <c r="D202" i="1"/>
  <c r="E202" i="1"/>
  <c r="C203" i="1"/>
  <c r="D203" i="1"/>
  <c r="E203" i="1"/>
  <c r="C176" i="1"/>
  <c r="D176" i="1"/>
  <c r="C178" i="1"/>
  <c r="D178" i="1"/>
  <c r="C179" i="1"/>
  <c r="D179" i="1"/>
  <c r="C180" i="1"/>
  <c r="D180" i="1"/>
  <c r="E179" i="1"/>
  <c r="E178" i="1"/>
  <c r="C177" i="1"/>
  <c r="D177" i="1"/>
  <c r="E125" i="1"/>
  <c r="C252" i="1"/>
  <c r="E225" i="1"/>
  <c r="E177" i="1"/>
  <c r="E180" i="1"/>
  <c r="E176" i="1"/>
  <c r="D225" i="1"/>
  <c r="C225" i="1"/>
  <c r="C224" i="1"/>
  <c r="C226" i="1"/>
  <c r="C227" i="1"/>
  <c r="C230" i="1"/>
  <c r="C231" i="1"/>
  <c r="C240" i="1"/>
  <c r="C242" i="1"/>
  <c r="C241" i="1"/>
  <c r="C395" i="1" s="1"/>
  <c r="C247" i="1"/>
  <c r="C251" i="1"/>
  <c r="C254" i="1"/>
  <c r="C187" i="1" s="1"/>
  <c r="D210" i="1"/>
  <c r="C196" i="1"/>
  <c r="C197" i="1"/>
  <c r="C200" i="1"/>
  <c r="C201" i="1"/>
  <c r="C204" i="1"/>
  <c r="C210" i="1"/>
  <c r="C213" i="1"/>
  <c r="C205" i="1"/>
  <c r="E210" i="1"/>
  <c r="E242" i="1"/>
  <c r="E251" i="1"/>
  <c r="E226" i="1"/>
  <c r="E227" i="1"/>
  <c r="E230" i="1"/>
  <c r="E231" i="1"/>
  <c r="E196" i="1"/>
  <c r="E522" i="1" s="1"/>
  <c r="E197" i="1"/>
  <c r="E200" i="1"/>
  <c r="E204" i="1"/>
  <c r="E201" i="1"/>
  <c r="E205" i="1"/>
  <c r="D251" i="1"/>
  <c r="D247" i="1"/>
  <c r="D241" i="1"/>
  <c r="D395" i="1" s="1"/>
  <c r="D242" i="1"/>
  <c r="D240" i="1"/>
  <c r="D226" i="1"/>
  <c r="D227" i="1"/>
  <c r="D230" i="1"/>
  <c r="D231" i="1"/>
  <c r="D224" i="1"/>
  <c r="D197" i="1"/>
  <c r="D200" i="1"/>
  <c r="D204" i="1"/>
  <c r="D201" i="1"/>
  <c r="D205" i="1"/>
  <c r="C383" i="1" s="1"/>
  <c r="D213" i="1"/>
  <c r="D524" i="1" s="1"/>
  <c r="D196" i="1"/>
  <c r="C97" i="1"/>
  <c r="E331" i="1" s="1"/>
  <c r="E354" i="1" s="1"/>
  <c r="C433" i="1"/>
  <c r="C207" i="1"/>
  <c r="D433" i="1"/>
  <c r="D244" i="1"/>
  <c r="D217" i="1"/>
  <c r="C217" i="1"/>
  <c r="C244" i="1"/>
  <c r="D253" i="1"/>
  <c r="C253" i="1"/>
  <c r="D248" i="1"/>
  <c r="C248" i="1"/>
  <c r="D254" i="1"/>
  <c r="D187" i="1" s="1"/>
  <c r="D252" i="1"/>
  <c r="E252" i="1"/>
  <c r="E254" i="1"/>
  <c r="E240" i="1"/>
  <c r="E224" i="1"/>
  <c r="D262" i="1" s="1"/>
  <c r="E247" i="1"/>
  <c r="E241" i="1"/>
  <c r="E213" i="1"/>
  <c r="E214" i="1"/>
  <c r="E217" i="1"/>
  <c r="E244" i="1"/>
  <c r="E253" i="1"/>
  <c r="E343" i="1" s="1"/>
  <c r="E255" i="1" l="1"/>
  <c r="F424" i="1" s="1"/>
  <c r="F22" i="9"/>
  <c r="D76" i="1"/>
  <c r="E44" i="9"/>
  <c r="D245" i="1"/>
  <c r="C198" i="1"/>
  <c r="G4" i="9"/>
  <c r="C245" i="1"/>
  <c r="C394" i="1" s="1"/>
  <c r="C396" i="1" s="1"/>
  <c r="G22" i="9"/>
  <c r="B15" i="9"/>
  <c r="C56" i="9"/>
  <c r="C64" i="9" s="1"/>
  <c r="F65" i="9" s="1"/>
  <c r="D18" i="1" s="1"/>
  <c r="E207" i="1"/>
  <c r="C255" i="1"/>
  <c r="E24" i="9"/>
  <c r="E245" i="1"/>
  <c r="E394" i="1" s="1"/>
  <c r="G8" i="9"/>
  <c r="F24" i="9"/>
  <c r="D198" i="1"/>
  <c r="C228" i="1"/>
  <c r="C392" i="1" s="1"/>
  <c r="C214" i="1"/>
  <c r="C257" i="1"/>
  <c r="F4" i="9"/>
  <c r="G44" i="9"/>
  <c r="C15" i="9"/>
  <c r="D15" i="9"/>
  <c r="F8" i="9"/>
  <c r="E228" i="1"/>
  <c r="E392" i="1" s="1"/>
  <c r="D255" i="1"/>
  <c r="D2" i="9"/>
  <c r="E30" i="1" s="1"/>
  <c r="F30" i="1" s="1"/>
  <c r="G30" i="1" s="1"/>
  <c r="B56" i="9"/>
  <c r="B64" i="9" s="1"/>
  <c r="C66" i="9"/>
  <c r="D257" i="1"/>
  <c r="D56" i="9"/>
  <c r="E8" i="9"/>
  <c r="D15" i="1"/>
  <c r="D30" i="1"/>
  <c r="E198" i="1"/>
  <c r="D272" i="1"/>
  <c r="C303" i="1" s="1"/>
  <c r="E103" i="1"/>
  <c r="F103" i="1" s="1"/>
  <c r="G103" i="1" s="1"/>
  <c r="H103" i="1" s="1"/>
  <c r="F232" i="1"/>
  <c r="E318" i="1"/>
  <c r="D443" i="1"/>
  <c r="E153" i="1"/>
  <c r="E238" i="1"/>
  <c r="E489" i="1"/>
  <c r="E250" i="1"/>
  <c r="E116" i="1"/>
  <c r="E175" i="1" s="1"/>
  <c r="D185" i="1" s="1"/>
  <c r="E542" i="1"/>
  <c r="H32" i="1"/>
  <c r="I32" i="1"/>
  <c r="J32" i="1"/>
  <c r="E476" i="1"/>
  <c r="E187" i="1"/>
  <c r="G20" i="1"/>
  <c r="G137" i="1" s="1"/>
  <c r="G32" i="1"/>
  <c r="G33" i="1" s="1"/>
  <c r="G34" i="1" s="1"/>
  <c r="H54" i="1"/>
  <c r="I54" i="1" s="1"/>
  <c r="J54" i="1" s="1"/>
  <c r="G58" i="1"/>
  <c r="D391" i="1"/>
  <c r="G56" i="1"/>
  <c r="E391" i="1"/>
  <c r="F67" i="1"/>
  <c r="F77" i="1" s="1"/>
  <c r="G59" i="1"/>
  <c r="H55" i="1"/>
  <c r="F56" i="1"/>
  <c r="F57" i="1" s="1"/>
  <c r="D34" i="1"/>
  <c r="D489" i="1"/>
  <c r="D175" i="1"/>
  <c r="C185" i="1" s="1"/>
  <c r="E503" i="1"/>
  <c r="E317" i="1"/>
  <c r="D401" i="1"/>
  <c r="D528" i="1"/>
  <c r="D342" i="1"/>
  <c r="G317" i="1"/>
  <c r="F129" i="1"/>
  <c r="F130" i="1" s="1"/>
  <c r="F132" i="1" s="1"/>
  <c r="G129" i="1"/>
  <c r="D360" i="1"/>
  <c r="E164" i="1"/>
  <c r="C261" i="1"/>
  <c r="C443" i="1"/>
  <c r="C430" i="1"/>
  <c r="E339" i="1"/>
  <c r="D376" i="1"/>
  <c r="E395" i="1"/>
  <c r="D97" i="1"/>
  <c r="F250" i="1" s="1"/>
  <c r="C175" i="1"/>
  <c r="C33" i="1"/>
  <c r="C34" i="1" s="1"/>
  <c r="C297" i="1"/>
  <c r="E443" i="1"/>
  <c r="E360" i="1"/>
  <c r="G128" i="1"/>
  <c r="D522" i="1"/>
  <c r="C268" i="1"/>
  <c r="E426" i="1" s="1"/>
  <c r="D392" i="1"/>
  <c r="C401" i="1"/>
  <c r="D542" i="1"/>
  <c r="D430" i="1"/>
  <c r="D423" i="1"/>
  <c r="D339" i="1"/>
  <c r="G318" i="1"/>
  <c r="E459" i="1"/>
  <c r="E462" i="1" s="1"/>
  <c r="E466" i="1" s="1"/>
  <c r="G466" i="1" s="1"/>
  <c r="F212" i="1"/>
  <c r="C423" i="1"/>
  <c r="C339" i="1"/>
  <c r="F317" i="1"/>
  <c r="F137" i="1"/>
  <c r="F156" i="1" s="1"/>
  <c r="F178" i="1"/>
  <c r="F202" i="1" s="1"/>
  <c r="D476" i="1"/>
  <c r="D503" i="1"/>
  <c r="D331" i="1"/>
  <c r="D354" i="1" s="1"/>
  <c r="E342" i="1"/>
  <c r="C269" i="1"/>
  <c r="D343" i="1"/>
  <c r="E186" i="1"/>
  <c r="E189" i="1" s="1"/>
  <c r="F252" i="1" s="1"/>
  <c r="C186" i="1"/>
  <c r="D186" i="1"/>
  <c r="D189" i="1" s="1"/>
  <c r="E524" i="1"/>
  <c r="D377" i="1"/>
  <c r="E444" i="1"/>
  <c r="F210" i="1"/>
  <c r="C376" i="1"/>
  <c r="H129" i="1"/>
  <c r="H130" i="1" s="1"/>
  <c r="H134" i="1" s="1"/>
  <c r="H135" i="1" s="1"/>
  <c r="I70" i="1"/>
  <c r="J70" i="1" s="1"/>
  <c r="E34" i="1"/>
  <c r="C387" i="1"/>
  <c r="D387" i="1"/>
  <c r="D383" i="1"/>
  <c r="F485" i="1"/>
  <c r="E490" i="1"/>
  <c r="C542" i="1"/>
  <c r="C391" i="1"/>
  <c r="C528" i="1"/>
  <c r="E423" i="1"/>
  <c r="C503" i="1"/>
  <c r="E433" i="1"/>
  <c r="C377" i="1"/>
  <c r="F318" i="1"/>
  <c r="E401" i="1"/>
  <c r="E528" i="1"/>
  <c r="C331" i="1"/>
  <c r="C354" i="1" s="1"/>
  <c r="C489" i="1"/>
  <c r="H155" i="1"/>
  <c r="I155" i="1"/>
  <c r="E195" i="1"/>
  <c r="C476" i="1"/>
  <c r="C360" i="1"/>
  <c r="F155" i="1"/>
  <c r="E142" i="1"/>
  <c r="E222" i="1"/>
  <c r="D374" i="1"/>
  <c r="E430" i="1"/>
  <c r="K155" i="1"/>
  <c r="H166" i="1"/>
  <c r="F166" i="1"/>
  <c r="I166" i="1"/>
  <c r="G166" i="1"/>
  <c r="J166" i="1"/>
  <c r="K166" i="1"/>
  <c r="G155" i="1"/>
  <c r="F145" i="1"/>
  <c r="F340" i="1" l="1"/>
  <c r="D394" i="1"/>
  <c r="D396" i="1" s="1"/>
  <c r="D340" i="1"/>
  <c r="C209" i="1"/>
  <c r="E15" i="9"/>
  <c r="C235" i="1"/>
  <c r="E340" i="1"/>
  <c r="E27" i="9"/>
  <c r="E15" i="1"/>
  <c r="F15" i="1" s="1"/>
  <c r="B10" i="1" s="1"/>
  <c r="B10" i="6" s="1"/>
  <c r="F15" i="9"/>
  <c r="D216" i="1"/>
  <c r="F56" i="9"/>
  <c r="D209" i="1"/>
  <c r="E235" i="1"/>
  <c r="E424" i="1"/>
  <c r="E427" i="1" s="1"/>
  <c r="E434" i="1" s="1"/>
  <c r="C398" i="1"/>
  <c r="D235" i="1"/>
  <c r="H30" i="1"/>
  <c r="I30" i="1" s="1"/>
  <c r="J30" i="1" s="1"/>
  <c r="E53" i="1"/>
  <c r="F53" i="1" s="1"/>
  <c r="F27" i="9"/>
  <c r="E76" i="1"/>
  <c r="F76" i="1" s="1"/>
  <c r="G76" i="1" s="1"/>
  <c r="H76" i="1" s="1"/>
  <c r="I76" i="1" s="1"/>
  <c r="J76" i="1" s="1"/>
  <c r="G15" i="9"/>
  <c r="G27" i="9"/>
  <c r="E56" i="9"/>
  <c r="F66" i="9"/>
  <c r="F34" i="9"/>
  <c r="D218" i="1"/>
  <c r="F16" i="9"/>
  <c r="E209" i="1"/>
  <c r="G56" i="9"/>
  <c r="D64" i="9"/>
  <c r="B66" i="9"/>
  <c r="C216" i="1"/>
  <c r="E65" i="9"/>
  <c r="C18" i="1" s="1"/>
  <c r="D273" i="1"/>
  <c r="C304" i="1" s="1"/>
  <c r="E319" i="1"/>
  <c r="H33" i="1"/>
  <c r="H34" i="1" s="1"/>
  <c r="H20" i="1"/>
  <c r="H145" i="1" s="1"/>
  <c r="H58" i="1"/>
  <c r="I58" i="1" s="1"/>
  <c r="J58" i="1" s="1"/>
  <c r="G57" i="1"/>
  <c r="G145" i="1"/>
  <c r="F222" i="1"/>
  <c r="G61" i="1"/>
  <c r="G63" i="1" s="1"/>
  <c r="G60" i="1"/>
  <c r="G62" i="1" s="1"/>
  <c r="F127" i="1"/>
  <c r="B152" i="1" s="1"/>
  <c r="F433" i="1"/>
  <c r="G319" i="1"/>
  <c r="E374" i="1"/>
  <c r="F339" i="1"/>
  <c r="F360" i="1"/>
  <c r="H59" i="1"/>
  <c r="I55" i="1"/>
  <c r="J55" i="1" s="1"/>
  <c r="J56" i="1" s="1"/>
  <c r="H56" i="1"/>
  <c r="E396" i="1"/>
  <c r="E398" i="1" s="1"/>
  <c r="D79" i="1"/>
  <c r="D81" i="1" s="1"/>
  <c r="F153" i="1"/>
  <c r="D398" i="1"/>
  <c r="F528" i="1"/>
  <c r="F391" i="1"/>
  <c r="E445" i="1"/>
  <c r="E447" i="1" s="1"/>
  <c r="G130" i="1"/>
  <c r="G132" i="1" s="1"/>
  <c r="G168" i="1" s="1"/>
  <c r="G172" i="1" s="1"/>
  <c r="H168" i="1" s="1"/>
  <c r="F489" i="1"/>
  <c r="E97" i="1"/>
  <c r="D261" i="1"/>
  <c r="F430" i="1"/>
  <c r="F238" i="1"/>
  <c r="F142" i="1"/>
  <c r="F503" i="1"/>
  <c r="F164" i="1"/>
  <c r="F195" i="1"/>
  <c r="F116" i="1"/>
  <c r="F175" i="1" s="1"/>
  <c r="E185" i="1" s="1"/>
  <c r="F443" i="1"/>
  <c r="F476" i="1"/>
  <c r="F423" i="1"/>
  <c r="F542" i="1"/>
  <c r="C296" i="1"/>
  <c r="F331" i="1" s="1"/>
  <c r="F354" i="1" s="1"/>
  <c r="F401" i="1"/>
  <c r="F167" i="1"/>
  <c r="D266" i="1"/>
  <c r="C300" i="1" s="1"/>
  <c r="G178" i="1"/>
  <c r="F319" i="1"/>
  <c r="I129" i="1"/>
  <c r="I130" i="1" s="1"/>
  <c r="I134" i="1" s="1"/>
  <c r="I135" i="1" s="1"/>
  <c r="C189" i="1"/>
  <c r="C188" i="1"/>
  <c r="J129" i="1"/>
  <c r="J130" i="1" s="1"/>
  <c r="J134" i="1" s="1"/>
  <c r="J135" i="1" s="1"/>
  <c r="G485" i="1"/>
  <c r="F490" i="1"/>
  <c r="F133" i="1"/>
  <c r="D268" i="1"/>
  <c r="F157" i="1"/>
  <c r="F211" i="1"/>
  <c r="C79" i="1"/>
  <c r="C81" i="1" s="1"/>
  <c r="D188" i="1"/>
  <c r="D190" i="1" s="1"/>
  <c r="E188" i="1"/>
  <c r="E190" i="1" s="1"/>
  <c r="E191" i="1" s="1"/>
  <c r="G167" i="1"/>
  <c r="G156" i="1"/>
  <c r="F148" i="1"/>
  <c r="F147" i="1"/>
  <c r="L13" i="1" l="1"/>
  <c r="M32" i="1"/>
  <c r="B12" i="1"/>
  <c r="G15" i="1"/>
  <c r="H15" i="1" s="1"/>
  <c r="I15" i="1" s="1"/>
  <c r="J15" i="1" s="1"/>
  <c r="B11" i="1"/>
  <c r="B20" i="6" s="1"/>
  <c r="G53" i="1"/>
  <c r="M53" i="1"/>
  <c r="B25" i="6"/>
  <c r="C218" i="1"/>
  <c r="E66" i="9"/>
  <c r="E34" i="9"/>
  <c r="E16" i="9"/>
  <c r="D523" i="1"/>
  <c r="C375" i="1"/>
  <c r="C378" i="1" s="1"/>
  <c r="C380" i="1" s="1"/>
  <c r="C381" i="1" s="1"/>
  <c r="C384" i="1" s="1"/>
  <c r="D66" i="9"/>
  <c r="G65" i="9"/>
  <c r="E18" i="1" s="1"/>
  <c r="F18" i="1" s="1"/>
  <c r="G18" i="1" s="1"/>
  <c r="H18" i="1" s="1"/>
  <c r="I18" i="1" s="1"/>
  <c r="J18" i="1" s="1"/>
  <c r="E216" i="1"/>
  <c r="I33" i="1"/>
  <c r="J33" i="1" s="1"/>
  <c r="J34" i="1" s="1"/>
  <c r="H137" i="1"/>
  <c r="H167" i="1" s="1"/>
  <c r="I20" i="1"/>
  <c r="I145" i="1" s="1"/>
  <c r="H178" i="1"/>
  <c r="H57" i="1"/>
  <c r="H61" i="1"/>
  <c r="H63" i="1" s="1"/>
  <c r="H60" i="1"/>
  <c r="H62" i="1" s="1"/>
  <c r="D399" i="1"/>
  <c r="C386" i="1" s="1"/>
  <c r="C388" i="1" s="1"/>
  <c r="E399" i="1"/>
  <c r="D386" i="1" s="1"/>
  <c r="D388" i="1" s="1"/>
  <c r="C82" i="1"/>
  <c r="D82" i="1"/>
  <c r="I59" i="1"/>
  <c r="I56" i="1"/>
  <c r="G133" i="1"/>
  <c r="E269" i="1" s="1"/>
  <c r="G66" i="1"/>
  <c r="G65" i="1"/>
  <c r="E268" i="1"/>
  <c r="D317" i="1" s="1"/>
  <c r="G430" i="1"/>
  <c r="G164" i="1"/>
  <c r="G238" i="1"/>
  <c r="G127" i="1"/>
  <c r="B163" i="1" s="1"/>
  <c r="G195" i="1"/>
  <c r="G503" i="1"/>
  <c r="G153" i="1"/>
  <c r="G542" i="1"/>
  <c r="G489" i="1"/>
  <c r="G423" i="1"/>
  <c r="G443" i="1"/>
  <c r="G360" i="1"/>
  <c r="F374" i="1"/>
  <c r="G401" i="1"/>
  <c r="G528" i="1"/>
  <c r="G142" i="1"/>
  <c r="G433" i="1"/>
  <c r="G116" i="1"/>
  <c r="G175" i="1" s="1"/>
  <c r="F185" i="1" s="1"/>
  <c r="G250" i="1"/>
  <c r="G339" i="1"/>
  <c r="F97" i="1"/>
  <c r="G222" i="1"/>
  <c r="G476" i="1"/>
  <c r="E261" i="1"/>
  <c r="G391" i="1"/>
  <c r="D296" i="1"/>
  <c r="G331" i="1" s="1"/>
  <c r="G354" i="1" s="1"/>
  <c r="G170" i="1"/>
  <c r="G202" i="1"/>
  <c r="E491" i="1"/>
  <c r="F149" i="1"/>
  <c r="F150" i="1" s="1"/>
  <c r="E428" i="1"/>
  <c r="E435" i="1" s="1"/>
  <c r="E79" i="1"/>
  <c r="E81" i="1" s="1"/>
  <c r="E192" i="1"/>
  <c r="F254" i="1" s="1"/>
  <c r="F161" i="1"/>
  <c r="G157" i="1" s="1"/>
  <c r="G158" i="1" s="1"/>
  <c r="F159" i="1"/>
  <c r="F213" i="1" s="1"/>
  <c r="C190" i="1"/>
  <c r="D267" i="1"/>
  <c r="C312" i="1" s="1"/>
  <c r="G490" i="1"/>
  <c r="H485" i="1"/>
  <c r="D191" i="1"/>
  <c r="E344" i="1" s="1"/>
  <c r="F426" i="1"/>
  <c r="C317" i="1"/>
  <c r="F408" i="1"/>
  <c r="D269" i="1"/>
  <c r="F135" i="1"/>
  <c r="F251" i="1"/>
  <c r="D264" i="1"/>
  <c r="L17" i="1" l="1"/>
  <c r="B28" i="6"/>
  <c r="L21" i="1"/>
  <c r="E449" i="1"/>
  <c r="E543" i="1" s="1"/>
  <c r="B26" i="6"/>
  <c r="M54" i="1"/>
  <c r="H53" i="1"/>
  <c r="I53" i="1" s="1"/>
  <c r="J53" i="1" s="1"/>
  <c r="E492" i="1"/>
  <c r="C390" i="1"/>
  <c r="G16" i="9"/>
  <c r="G34" i="9"/>
  <c r="G66" i="9"/>
  <c r="E218" i="1"/>
  <c r="I34" i="1"/>
  <c r="H156" i="1"/>
  <c r="I178" i="1"/>
  <c r="I202" i="1" s="1"/>
  <c r="J20" i="1"/>
  <c r="J145" i="1" s="1"/>
  <c r="I137" i="1"/>
  <c r="I156" i="1" s="1"/>
  <c r="H202" i="1"/>
  <c r="J59" i="1"/>
  <c r="I57" i="1"/>
  <c r="J57" i="1" s="1"/>
  <c r="H65" i="1"/>
  <c r="I61" i="1"/>
  <c r="I60" i="1"/>
  <c r="I62" i="1" s="1"/>
  <c r="G135" i="1"/>
  <c r="G408" i="1"/>
  <c r="G67" i="1"/>
  <c r="H339" i="1"/>
  <c r="H476" i="1"/>
  <c r="F261" i="1"/>
  <c r="H116" i="1"/>
  <c r="H175" i="1" s="1"/>
  <c r="G185" i="1" s="1"/>
  <c r="H503" i="1"/>
  <c r="H423" i="1"/>
  <c r="H360" i="1"/>
  <c r="E296" i="1"/>
  <c r="H331" i="1" s="1"/>
  <c r="H354" i="1" s="1"/>
  <c r="H401" i="1"/>
  <c r="H250" i="1"/>
  <c r="H164" i="1"/>
  <c r="H222" i="1"/>
  <c r="H127" i="1"/>
  <c r="H391" i="1"/>
  <c r="H153" i="1"/>
  <c r="H430" i="1"/>
  <c r="G97" i="1"/>
  <c r="H433" i="1"/>
  <c r="H489" i="1"/>
  <c r="H238" i="1"/>
  <c r="H528" i="1"/>
  <c r="G374" i="1"/>
  <c r="H195" i="1"/>
  <c r="H443" i="1"/>
  <c r="H142" i="1"/>
  <c r="H542" i="1"/>
  <c r="D279" i="1"/>
  <c r="C322" i="1" s="1"/>
  <c r="E436" i="1"/>
  <c r="E548" i="1" s="1"/>
  <c r="E544" i="1"/>
  <c r="D192" i="1"/>
  <c r="D278" i="1"/>
  <c r="D344" i="1"/>
  <c r="D345" i="1" s="1"/>
  <c r="D347" i="1" s="1"/>
  <c r="E345" i="1"/>
  <c r="H490" i="1"/>
  <c r="I485" i="1"/>
  <c r="G159" i="1"/>
  <c r="G160" i="1" s="1"/>
  <c r="G161" i="1" s="1"/>
  <c r="H157" i="1" s="1"/>
  <c r="D318" i="1"/>
  <c r="D319" i="1" s="1"/>
  <c r="G403" i="1"/>
  <c r="F342" i="1"/>
  <c r="G251" i="1"/>
  <c r="F403" i="1"/>
  <c r="C318" i="1"/>
  <c r="C319" i="1" s="1"/>
  <c r="F427" i="1"/>
  <c r="F187" i="1"/>
  <c r="F445" i="1"/>
  <c r="F344" i="1"/>
  <c r="D280" i="1"/>
  <c r="E82" i="1"/>
  <c r="F524" i="1"/>
  <c r="E377" i="1"/>
  <c r="F444" i="1"/>
  <c r="F214" i="1"/>
  <c r="F79" i="1"/>
  <c r="G146" i="1"/>
  <c r="H170" i="1"/>
  <c r="H169" i="1"/>
  <c r="E545" i="1" l="1"/>
  <c r="E431" i="1"/>
  <c r="E523" i="1"/>
  <c r="D375" i="1"/>
  <c r="D378" i="1" s="1"/>
  <c r="D380" i="1" s="1"/>
  <c r="D381" i="1" s="1"/>
  <c r="F81" i="1"/>
  <c r="F176" i="1"/>
  <c r="I167" i="1"/>
  <c r="J137" i="1"/>
  <c r="J156" i="1" s="1"/>
  <c r="J178" i="1"/>
  <c r="J202" i="1" s="1"/>
  <c r="J61" i="1"/>
  <c r="J63" i="1" s="1"/>
  <c r="I63" i="1"/>
  <c r="J60" i="1"/>
  <c r="J62" i="1" s="1"/>
  <c r="G77" i="1"/>
  <c r="H66" i="1"/>
  <c r="H67" i="1" s="1"/>
  <c r="H77" i="1" s="1"/>
  <c r="I65" i="1"/>
  <c r="H374" i="1"/>
  <c r="I503" i="1"/>
  <c r="I443" i="1"/>
  <c r="H97" i="1"/>
  <c r="I423" i="1"/>
  <c r="I238" i="1"/>
  <c r="I142" i="1"/>
  <c r="I195" i="1"/>
  <c r="I250" i="1"/>
  <c r="I489" i="1"/>
  <c r="I360" i="1"/>
  <c r="I528" i="1"/>
  <c r="I153" i="1"/>
  <c r="I127" i="1"/>
  <c r="I222" i="1"/>
  <c r="I542" i="1"/>
  <c r="I339" i="1"/>
  <c r="G261" i="1"/>
  <c r="I430" i="1"/>
  <c r="I116" i="1"/>
  <c r="I175" i="1" s="1"/>
  <c r="H185" i="1" s="1"/>
  <c r="I433" i="1"/>
  <c r="I476" i="1"/>
  <c r="I164" i="1"/>
  <c r="F296" i="1"/>
  <c r="I331" i="1" s="1"/>
  <c r="I354" i="1" s="1"/>
  <c r="I401" i="1"/>
  <c r="I391" i="1"/>
  <c r="F410" i="1"/>
  <c r="E264" i="1"/>
  <c r="C321" i="1"/>
  <c r="C192" i="1"/>
  <c r="F409" i="1"/>
  <c r="F447" i="1"/>
  <c r="F449" i="1" s="1"/>
  <c r="F543" i="1" s="1"/>
  <c r="F434" i="1"/>
  <c r="F491" i="1"/>
  <c r="F492" i="1" s="1"/>
  <c r="F428" i="1"/>
  <c r="F436" i="1" s="1"/>
  <c r="F548" i="1" s="1"/>
  <c r="C323" i="1"/>
  <c r="F404" i="1"/>
  <c r="F405" i="1" s="1"/>
  <c r="J485" i="1"/>
  <c r="J490" i="1" s="1"/>
  <c r="I490" i="1"/>
  <c r="E362" i="1"/>
  <c r="E361" i="1"/>
  <c r="E347" i="1"/>
  <c r="G342" i="1"/>
  <c r="H251" i="1"/>
  <c r="H171" i="1"/>
  <c r="H172" i="1" s="1"/>
  <c r="I168" i="1" s="1"/>
  <c r="I66" i="1"/>
  <c r="E363" i="1"/>
  <c r="F179" i="1"/>
  <c r="F203" i="1" s="1"/>
  <c r="F82" i="1"/>
  <c r="F117" i="1"/>
  <c r="F121" i="1" s="1"/>
  <c r="F180" i="1"/>
  <c r="F204" i="1" s="1"/>
  <c r="F196" i="1"/>
  <c r="K145" i="1"/>
  <c r="G148" i="1"/>
  <c r="G147" i="1"/>
  <c r="H159" i="1"/>
  <c r="H158" i="1"/>
  <c r="E526" i="1" l="1"/>
  <c r="E511" i="1" s="1"/>
  <c r="E525" i="1"/>
  <c r="E510" i="1" s="1"/>
  <c r="D384" i="1"/>
  <c r="F197" i="1"/>
  <c r="F198" i="1" s="1"/>
  <c r="Q225" i="1" s="1"/>
  <c r="I169" i="1"/>
  <c r="J167" i="1"/>
  <c r="K167" i="1" s="1"/>
  <c r="J66" i="1"/>
  <c r="J65" i="1"/>
  <c r="G79" i="1"/>
  <c r="G196" i="1" s="1"/>
  <c r="G226" i="1" s="1"/>
  <c r="I67" i="1"/>
  <c r="I77" i="1" s="1"/>
  <c r="C324" i="1"/>
  <c r="C326" i="1" s="1"/>
  <c r="J503" i="1"/>
  <c r="J542" i="1"/>
  <c r="G296" i="1"/>
  <c r="J331" i="1" s="1"/>
  <c r="J354" i="1" s="1"/>
  <c r="J423" i="1"/>
  <c r="J116" i="1"/>
  <c r="J175" i="1" s="1"/>
  <c r="I185" i="1" s="1"/>
  <c r="J127" i="1"/>
  <c r="H261" i="1"/>
  <c r="J528" i="1"/>
  <c r="J430" i="1"/>
  <c r="J360" i="1"/>
  <c r="J142" i="1"/>
  <c r="K142" i="1" s="1"/>
  <c r="J250" i="1"/>
  <c r="J391" i="1"/>
  <c r="J476" i="1"/>
  <c r="J401" i="1"/>
  <c r="J489" i="1"/>
  <c r="J443" i="1"/>
  <c r="J153" i="1"/>
  <c r="K153" i="1" s="1"/>
  <c r="I374" i="1"/>
  <c r="J339" i="1"/>
  <c r="J222" i="1"/>
  <c r="J195" i="1"/>
  <c r="J433" i="1"/>
  <c r="J238" i="1"/>
  <c r="J164" i="1"/>
  <c r="K164" i="1" s="1"/>
  <c r="F411" i="1"/>
  <c r="F422" i="1"/>
  <c r="E364" i="1"/>
  <c r="H160" i="1"/>
  <c r="H161" i="1" s="1"/>
  <c r="I157" i="1" s="1"/>
  <c r="I251" i="1"/>
  <c r="H342" i="1"/>
  <c r="I170" i="1"/>
  <c r="F264" i="1"/>
  <c r="F435" i="1"/>
  <c r="G149" i="1"/>
  <c r="F241" i="1" s="1"/>
  <c r="E356" i="1"/>
  <c r="E355" i="1"/>
  <c r="E357" i="1"/>
  <c r="D276" i="1"/>
  <c r="C311" i="1" s="1"/>
  <c r="C313" i="1" s="1"/>
  <c r="F123" i="1"/>
  <c r="F124" i="1"/>
  <c r="K156" i="1"/>
  <c r="F200" i="1"/>
  <c r="E278" i="1"/>
  <c r="G213" i="1"/>
  <c r="F226" i="1"/>
  <c r="F522" i="1"/>
  <c r="E518" i="1" l="1"/>
  <c r="E520" i="1" s="1"/>
  <c r="E530" i="1" s="1"/>
  <c r="E534" i="1" s="1"/>
  <c r="E536" i="1" s="1"/>
  <c r="D390" i="1"/>
  <c r="I171" i="1"/>
  <c r="I172" i="1" s="1"/>
  <c r="J168" i="1" s="1"/>
  <c r="J169" i="1" s="1"/>
  <c r="J67" i="1"/>
  <c r="J77" i="1" s="1"/>
  <c r="G179" i="1"/>
  <c r="G203" i="1" s="1"/>
  <c r="G81" i="1"/>
  <c r="G176" i="1"/>
  <c r="G200" i="1" s="1"/>
  <c r="G180" i="1"/>
  <c r="G204" i="1" s="1"/>
  <c r="G117" i="1"/>
  <c r="G121" i="1" s="1"/>
  <c r="E276" i="1" s="1"/>
  <c r="D311" i="1" s="1"/>
  <c r="G82" i="1"/>
  <c r="G197" i="1"/>
  <c r="G522" i="1"/>
  <c r="F414" i="1"/>
  <c r="F417" i="1" s="1"/>
  <c r="E279" i="1"/>
  <c r="D322" i="1" s="1"/>
  <c r="G150" i="1"/>
  <c r="H146" i="1" s="1"/>
  <c r="G264" i="1"/>
  <c r="I79" i="1"/>
  <c r="I81" i="1" s="1"/>
  <c r="F544" i="1"/>
  <c r="F545" i="1" s="1"/>
  <c r="J251" i="1"/>
  <c r="J342" i="1" s="1"/>
  <c r="I342" i="1"/>
  <c r="H79" i="1"/>
  <c r="H81" i="1" s="1"/>
  <c r="G444" i="1"/>
  <c r="F377" i="1"/>
  <c r="G524" i="1"/>
  <c r="F395" i="1"/>
  <c r="F247" i="1"/>
  <c r="G426" i="1" s="1"/>
  <c r="D321" i="1"/>
  <c r="G409" i="1"/>
  <c r="E265" i="1"/>
  <c r="D299" i="1" s="1"/>
  <c r="D265" i="1"/>
  <c r="D270" i="1" s="1"/>
  <c r="F242" i="1"/>
  <c r="F227" i="1"/>
  <c r="F125" i="1"/>
  <c r="F205" i="1"/>
  <c r="F177" i="1"/>
  <c r="F230" i="1"/>
  <c r="I159" i="1"/>
  <c r="I158" i="1"/>
  <c r="E547" i="1" l="1"/>
  <c r="E549" i="1" s="1"/>
  <c r="E551" i="1" s="1"/>
  <c r="Q235" i="1"/>
  <c r="Q236" i="1" s="1"/>
  <c r="J170" i="1"/>
  <c r="J171" i="1" s="1"/>
  <c r="J172" i="1" s="1"/>
  <c r="K168" i="1" s="1"/>
  <c r="K169" i="1" s="1"/>
  <c r="H264" i="1"/>
  <c r="G123" i="1"/>
  <c r="G230" i="1" s="1"/>
  <c r="G124" i="1"/>
  <c r="G205" i="1" s="1"/>
  <c r="F383" i="1" s="1"/>
  <c r="J79" i="1"/>
  <c r="J81" i="1" s="1"/>
  <c r="G198" i="1"/>
  <c r="G227" i="1"/>
  <c r="G242" i="1"/>
  <c r="G410" i="1"/>
  <c r="G411" i="1" s="1"/>
  <c r="I176" i="1"/>
  <c r="I200" i="1" s="1"/>
  <c r="I117" i="1"/>
  <c r="I121" i="1" s="1"/>
  <c r="G276" i="1" s="1"/>
  <c r="F311" i="1" s="1"/>
  <c r="I180" i="1"/>
  <c r="I204" i="1" s="1"/>
  <c r="I196" i="1"/>
  <c r="I226" i="1" s="1"/>
  <c r="I179" i="1"/>
  <c r="I203" i="1" s="1"/>
  <c r="I160" i="1"/>
  <c r="I161" i="1" s="1"/>
  <c r="J157" i="1" s="1"/>
  <c r="I82" i="1"/>
  <c r="H179" i="1"/>
  <c r="H203" i="1" s="1"/>
  <c r="H196" i="1"/>
  <c r="H180" i="1"/>
  <c r="H204" i="1" s="1"/>
  <c r="H176" i="1"/>
  <c r="H200" i="1" s="1"/>
  <c r="H82" i="1"/>
  <c r="H117" i="1"/>
  <c r="H121" i="1" s="1"/>
  <c r="F276" i="1" s="1"/>
  <c r="E311" i="1" s="1"/>
  <c r="D274" i="1"/>
  <c r="C305" i="1" s="1"/>
  <c r="G445" i="1"/>
  <c r="G447" i="1" s="1"/>
  <c r="E383" i="1"/>
  <c r="F231" i="1"/>
  <c r="F233" i="1" s="1"/>
  <c r="C299" i="1"/>
  <c r="F201" i="1"/>
  <c r="F182" i="1"/>
  <c r="F243" i="1" s="1"/>
  <c r="H148" i="1"/>
  <c r="H147" i="1"/>
  <c r="G422" i="1"/>
  <c r="E387" i="1"/>
  <c r="R235" i="1" l="1"/>
  <c r="R236" i="1" s="1"/>
  <c r="R225" i="1"/>
  <c r="J180" i="1"/>
  <c r="J204" i="1" s="1"/>
  <c r="J82" i="1"/>
  <c r="J176" i="1"/>
  <c r="J200" i="1" s="1"/>
  <c r="G177" i="1"/>
  <c r="G201" i="1" s="1"/>
  <c r="J117" i="1"/>
  <c r="J121" i="1" s="1"/>
  <c r="H276" i="1" s="1"/>
  <c r="G311" i="1" s="1"/>
  <c r="J196" i="1"/>
  <c r="J522" i="1" s="1"/>
  <c r="J179" i="1"/>
  <c r="J203" i="1" s="1"/>
  <c r="G125" i="1"/>
  <c r="G231" i="1" s="1"/>
  <c r="E274" i="1"/>
  <c r="D305" i="1" s="1"/>
  <c r="I197" i="1"/>
  <c r="I522" i="1"/>
  <c r="K170" i="1"/>
  <c r="K171" i="1" s="1"/>
  <c r="K172" i="1" s="1"/>
  <c r="H123" i="1"/>
  <c r="I123" i="1" s="1"/>
  <c r="H124" i="1"/>
  <c r="H205" i="1" s="1"/>
  <c r="H522" i="1"/>
  <c r="H226" i="1"/>
  <c r="H197" i="1"/>
  <c r="H198" i="1" s="1"/>
  <c r="S225" i="1" s="1"/>
  <c r="H149" i="1"/>
  <c r="H150" i="1" s="1"/>
  <c r="G449" i="1"/>
  <c r="G543" i="1" s="1"/>
  <c r="F206" i="1"/>
  <c r="H213" i="1"/>
  <c r="F278" i="1"/>
  <c r="J159" i="1"/>
  <c r="J158" i="1"/>
  <c r="G182" i="1" l="1"/>
  <c r="G243" i="1" s="1"/>
  <c r="J197" i="1"/>
  <c r="J198" i="1" s="1"/>
  <c r="J226" i="1"/>
  <c r="H265" i="1" s="1"/>
  <c r="G299" i="1" s="1"/>
  <c r="I198" i="1"/>
  <c r="K522" i="1"/>
  <c r="I227" i="1"/>
  <c r="I242" i="1"/>
  <c r="H177" i="1"/>
  <c r="H182" i="1" s="1"/>
  <c r="H243" i="1" s="1"/>
  <c r="I124" i="1"/>
  <c r="I205" i="1" s="1"/>
  <c r="H383" i="1" s="1"/>
  <c r="H230" i="1"/>
  <c r="F279" i="1"/>
  <c r="H410" i="1" s="1"/>
  <c r="G241" i="1"/>
  <c r="G395" i="1" s="1"/>
  <c r="G383" i="1"/>
  <c r="G265" i="1"/>
  <c r="F299" i="1" s="1"/>
  <c r="F265" i="1"/>
  <c r="E299" i="1" s="1"/>
  <c r="H125" i="1"/>
  <c r="H231" i="1" s="1"/>
  <c r="H227" i="1"/>
  <c r="H242" i="1"/>
  <c r="E321" i="1"/>
  <c r="H409" i="1"/>
  <c r="G206" i="1"/>
  <c r="H444" i="1"/>
  <c r="H524" i="1"/>
  <c r="G377" i="1"/>
  <c r="F207" i="1"/>
  <c r="J160" i="1"/>
  <c r="J161" i="1" s="1"/>
  <c r="I230" i="1"/>
  <c r="J124" i="1"/>
  <c r="J205" i="1" s="1"/>
  <c r="J123" i="1"/>
  <c r="I177" i="1"/>
  <c r="I146" i="1"/>
  <c r="S235" i="1" l="1"/>
  <c r="S236" i="1" s="1"/>
  <c r="T235" i="1"/>
  <c r="T236" i="1" s="1"/>
  <c r="T225" i="1"/>
  <c r="U225" i="1"/>
  <c r="J227" i="1"/>
  <c r="J242" i="1"/>
  <c r="H201" i="1"/>
  <c r="H206" i="1" s="1"/>
  <c r="G247" i="1"/>
  <c r="E322" i="1"/>
  <c r="I125" i="1"/>
  <c r="I231" i="1" s="1"/>
  <c r="F274" i="1"/>
  <c r="E305" i="1" s="1"/>
  <c r="G274" i="1"/>
  <c r="F305" i="1" s="1"/>
  <c r="I148" i="1"/>
  <c r="I147" i="1"/>
  <c r="H411" i="1"/>
  <c r="H422" i="1"/>
  <c r="K157" i="1"/>
  <c r="I201" i="1"/>
  <c r="I182" i="1"/>
  <c r="I243" i="1" s="1"/>
  <c r="J230" i="1"/>
  <c r="J177" i="1"/>
  <c r="I383" i="1"/>
  <c r="G207" i="1"/>
  <c r="D275" i="1"/>
  <c r="F209" i="1"/>
  <c r="Q226" i="1" s="1"/>
  <c r="U235" i="1" l="1"/>
  <c r="U236" i="1" s="1"/>
  <c r="H274" i="1"/>
  <c r="G305" i="1" s="1"/>
  <c r="H426" i="1"/>
  <c r="H445" i="1" s="1"/>
  <c r="H447" i="1" s="1"/>
  <c r="J125" i="1"/>
  <c r="J231" i="1" s="1"/>
  <c r="I149" i="1"/>
  <c r="I150" i="1" s="1"/>
  <c r="J146" i="1" s="1"/>
  <c r="H207" i="1"/>
  <c r="C306" i="1"/>
  <c r="K159" i="1"/>
  <c r="K158" i="1"/>
  <c r="I206" i="1"/>
  <c r="F216" i="1"/>
  <c r="G209" i="1"/>
  <c r="R226" i="1" s="1"/>
  <c r="E275" i="1"/>
  <c r="J201" i="1"/>
  <c r="J182" i="1"/>
  <c r="J243" i="1" s="1"/>
  <c r="G278" i="1"/>
  <c r="I213" i="1"/>
  <c r="H241" i="1" l="1"/>
  <c r="H247" i="1" s="1"/>
  <c r="G279" i="1"/>
  <c r="F322" i="1" s="1"/>
  <c r="I207" i="1"/>
  <c r="K160" i="1"/>
  <c r="K161" i="1" s="1"/>
  <c r="I409" i="1"/>
  <c r="F321" i="1"/>
  <c r="D290" i="1"/>
  <c r="D306" i="1"/>
  <c r="F217" i="1"/>
  <c r="F218" i="1" s="1"/>
  <c r="H449" i="1"/>
  <c r="H543" i="1" s="1"/>
  <c r="J148" i="1"/>
  <c r="J147" i="1"/>
  <c r="J206" i="1"/>
  <c r="I444" i="1"/>
  <c r="H377" i="1"/>
  <c r="I524" i="1"/>
  <c r="H209" i="1"/>
  <c r="S226" i="1" s="1"/>
  <c r="F275" i="1"/>
  <c r="Q228" i="1" l="1"/>
  <c r="Q229" i="1" s="1"/>
  <c r="Q227" i="1"/>
  <c r="I209" i="1"/>
  <c r="H395" i="1"/>
  <c r="I410" i="1"/>
  <c r="I411" i="1" s="1"/>
  <c r="J149" i="1"/>
  <c r="J150" i="1" s="1"/>
  <c r="G275" i="1"/>
  <c r="F306" i="1" s="1"/>
  <c r="J207" i="1"/>
  <c r="J209" i="1" s="1"/>
  <c r="U226" i="1" s="1"/>
  <c r="F253" i="1"/>
  <c r="F523" i="1"/>
  <c r="F431" i="1"/>
  <c r="E375" i="1"/>
  <c r="I422" i="1"/>
  <c r="E290" i="1"/>
  <c r="E306" i="1"/>
  <c r="I426" i="1"/>
  <c r="F244" i="1"/>
  <c r="D277" i="1"/>
  <c r="E376" i="1"/>
  <c r="H278" i="1"/>
  <c r="J213" i="1"/>
  <c r="T226" i="1" l="1"/>
  <c r="F290" i="1"/>
  <c r="H275" i="1"/>
  <c r="I241" i="1"/>
  <c r="I395" i="1" s="1"/>
  <c r="H279" i="1"/>
  <c r="G322" i="1" s="1"/>
  <c r="K146" i="1"/>
  <c r="I445" i="1"/>
  <c r="I447" i="1" s="1"/>
  <c r="I449" i="1" s="1"/>
  <c r="I543" i="1" s="1"/>
  <c r="E378" i="1"/>
  <c r="F525" i="1"/>
  <c r="F510" i="1" s="1"/>
  <c r="F526" i="1"/>
  <c r="F511" i="1" s="1"/>
  <c r="J524" i="1"/>
  <c r="I377" i="1"/>
  <c r="J444" i="1"/>
  <c r="C307" i="1"/>
  <c r="C308" i="1" s="1"/>
  <c r="D281" i="1"/>
  <c r="D282" i="1" s="1"/>
  <c r="J409" i="1"/>
  <c r="G321" i="1"/>
  <c r="F186" i="1"/>
  <c r="F343" i="1"/>
  <c r="F255" i="1"/>
  <c r="Q224" i="1" s="1"/>
  <c r="G290" i="1" l="1"/>
  <c r="I275" i="1"/>
  <c r="H290" i="1" s="1"/>
  <c r="J410" i="1"/>
  <c r="J411" i="1" s="1"/>
  <c r="I247" i="1"/>
  <c r="G306" i="1"/>
  <c r="E380" i="1"/>
  <c r="F418" i="1" s="1"/>
  <c r="F419" i="1" s="1"/>
  <c r="F345" i="1"/>
  <c r="F362" i="1" s="1"/>
  <c r="F189" i="1"/>
  <c r="G252" i="1" s="1"/>
  <c r="F188" i="1"/>
  <c r="J422" i="1"/>
  <c r="G424" i="1"/>
  <c r="G427" i="1" s="1"/>
  <c r="G340" i="1"/>
  <c r="D291" i="1"/>
  <c r="F518" i="1"/>
  <c r="F520" i="1" s="1"/>
  <c r="F530" i="1" s="1"/>
  <c r="F534" i="1" s="1"/>
  <c r="F536" i="1" s="1"/>
  <c r="K148" i="1"/>
  <c r="K147" i="1"/>
  <c r="J426" i="1" l="1"/>
  <c r="K149" i="1"/>
  <c r="J241" i="1" s="1"/>
  <c r="J395" i="1" s="1"/>
  <c r="F363" i="1"/>
  <c r="F347" i="1"/>
  <c r="F361" i="1"/>
  <c r="E381" i="1"/>
  <c r="G434" i="1"/>
  <c r="G491" i="1"/>
  <c r="G492" i="1" s="1"/>
  <c r="G428" i="1"/>
  <c r="F190" i="1"/>
  <c r="F547" i="1"/>
  <c r="F549" i="1" s="1"/>
  <c r="F551" i="1" s="1"/>
  <c r="D283" i="1"/>
  <c r="D284" i="1"/>
  <c r="D285" i="1" s="1"/>
  <c r="F240" i="1" s="1"/>
  <c r="E272" i="1" s="1"/>
  <c r="J445" i="1" l="1"/>
  <c r="J447" i="1" s="1"/>
  <c r="J449" i="1" s="1"/>
  <c r="J543" i="1" s="1"/>
  <c r="J247" i="1"/>
  <c r="K150" i="1"/>
  <c r="F364" i="1"/>
  <c r="F191" i="1"/>
  <c r="F192" i="1" s="1"/>
  <c r="G254" i="1" s="1"/>
  <c r="G212" i="1"/>
  <c r="E273" i="1" s="1"/>
  <c r="D303" i="1"/>
  <c r="F245" i="1"/>
  <c r="G435" i="1"/>
  <c r="D286" i="1"/>
  <c r="D288" i="1" s="1"/>
  <c r="F224" i="1" s="1"/>
  <c r="F225" i="1"/>
  <c r="E384" i="1"/>
  <c r="G436" i="1"/>
  <c r="G548" i="1" s="1"/>
  <c r="F357" i="1"/>
  <c r="F349" i="1"/>
  <c r="F355" i="1"/>
  <c r="F356" i="1"/>
  <c r="G187" i="1" l="1"/>
  <c r="F248" i="1"/>
  <c r="F394" i="1"/>
  <c r="F396" i="1" s="1"/>
  <c r="G544" i="1"/>
  <c r="G545" i="1" s="1"/>
  <c r="G232" i="1"/>
  <c r="D304" i="1"/>
  <c r="C301" i="1"/>
  <c r="C302" i="1" s="1"/>
  <c r="Q237" i="1"/>
  <c r="G344" i="1"/>
  <c r="E280" i="1"/>
  <c r="F228" i="1" l="1"/>
  <c r="E262" i="1"/>
  <c r="D297" i="1" s="1"/>
  <c r="F335" i="1"/>
  <c r="C309" i="1"/>
  <c r="F334" i="1"/>
  <c r="G233" i="1"/>
  <c r="G211" i="1"/>
  <c r="F387" i="1"/>
  <c r="G210" i="1"/>
  <c r="F257" i="1"/>
  <c r="D323" i="1"/>
  <c r="D324" i="1" s="1"/>
  <c r="D326" i="1" s="1"/>
  <c r="G404" i="1"/>
  <c r="G405" i="1" s="1"/>
  <c r="Q232" i="1" l="1"/>
  <c r="Q234" i="1"/>
  <c r="Q233" i="1"/>
  <c r="C328" i="1"/>
  <c r="C315" i="1"/>
  <c r="G414" i="1"/>
  <c r="G417" i="1" s="1"/>
  <c r="E266" i="1"/>
  <c r="G214" i="1"/>
  <c r="F235" i="1"/>
  <c r="Q223" i="1" s="1"/>
  <c r="F392" i="1"/>
  <c r="F398" i="1" s="1"/>
  <c r="E267" i="1"/>
  <c r="D312" i="1" s="1"/>
  <c r="D313" i="1" s="1"/>
  <c r="D300" i="1" l="1"/>
  <c r="E270" i="1"/>
  <c r="F399" i="1"/>
  <c r="E386" i="1" s="1"/>
  <c r="E388" i="1" s="1"/>
  <c r="G216" i="1"/>
  <c r="E390" i="1" l="1"/>
  <c r="G217" i="1"/>
  <c r="G218" i="1" s="1"/>
  <c r="R228" i="1" l="1"/>
  <c r="R229" i="1" s="1"/>
  <c r="R227" i="1"/>
  <c r="F421" i="1"/>
  <c r="F375" i="1"/>
  <c r="G253" i="1"/>
  <c r="G431" i="1"/>
  <c r="G523" i="1"/>
  <c r="F376" i="1"/>
  <c r="E277" i="1"/>
  <c r="G244" i="1"/>
  <c r="F378" i="1" l="1"/>
  <c r="F380" i="1" s="1"/>
  <c r="G418" i="1" s="1"/>
  <c r="G419" i="1" s="1"/>
  <c r="G255" i="1"/>
  <c r="R224" i="1" s="1"/>
  <c r="G186" i="1"/>
  <c r="G343" i="1"/>
  <c r="G525" i="1"/>
  <c r="G510" i="1" s="1"/>
  <c r="G526" i="1"/>
  <c r="G511" i="1" s="1"/>
  <c r="D307" i="1"/>
  <c r="D308" i="1" s="1"/>
  <c r="E281" i="1"/>
  <c r="E282" i="1" s="1"/>
  <c r="G518" i="1" l="1"/>
  <c r="G520" i="1" s="1"/>
  <c r="G530" i="1" s="1"/>
  <c r="G534" i="1" s="1"/>
  <c r="G536" i="1" s="1"/>
  <c r="E291" i="1"/>
  <c r="G333" i="1"/>
  <c r="G345" i="1"/>
  <c r="F381" i="1"/>
  <c r="G189" i="1"/>
  <c r="H252" i="1" s="1"/>
  <c r="G188" i="1"/>
  <c r="H424" i="1"/>
  <c r="H427" i="1" s="1"/>
  <c r="H340" i="1"/>
  <c r="G547" i="1" l="1"/>
  <c r="G549" i="1" s="1"/>
  <c r="G551" i="1" s="1"/>
  <c r="G190" i="1"/>
  <c r="G191" i="1" s="1"/>
  <c r="G192" i="1" s="1"/>
  <c r="H254" i="1" s="1"/>
  <c r="F384" i="1"/>
  <c r="G362" i="1"/>
  <c r="G347" i="1"/>
  <c r="G363" i="1"/>
  <c r="G361" i="1"/>
  <c r="H428" i="1"/>
  <c r="H491" i="1"/>
  <c r="H492" i="1" s="1"/>
  <c r="H434" i="1"/>
  <c r="E284" i="1"/>
  <c r="E285" i="1" s="1"/>
  <c r="G240" i="1" s="1"/>
  <c r="F272" i="1" s="1"/>
  <c r="E283" i="1"/>
  <c r="G364" i="1" l="1"/>
  <c r="H187" i="1"/>
  <c r="E286" i="1"/>
  <c r="G225" i="1"/>
  <c r="G349" i="1"/>
  <c r="G357" i="1"/>
  <c r="G355" i="1"/>
  <c r="G356" i="1"/>
  <c r="H212" i="1"/>
  <c r="F273" i="1" s="1"/>
  <c r="E303" i="1"/>
  <c r="G245" i="1"/>
  <c r="H435" i="1"/>
  <c r="H436" i="1"/>
  <c r="H548" i="1" s="1"/>
  <c r="F280" i="1"/>
  <c r="H344" i="1"/>
  <c r="G248" i="1" l="1"/>
  <c r="G394" i="1"/>
  <c r="G396" i="1" s="1"/>
  <c r="D301" i="1"/>
  <c r="D302" i="1" s="1"/>
  <c r="E288" i="1"/>
  <c r="G224" i="1" s="1"/>
  <c r="R237" i="1" s="1"/>
  <c r="E304" i="1"/>
  <c r="H404" i="1"/>
  <c r="H405" i="1" s="1"/>
  <c r="E323" i="1"/>
  <c r="E324" i="1" s="1"/>
  <c r="E326" i="1" s="1"/>
  <c r="H232" i="1"/>
  <c r="H544" i="1"/>
  <c r="H545" i="1" s="1"/>
  <c r="F262" i="1" l="1"/>
  <c r="E297" i="1" s="1"/>
  <c r="G228" i="1"/>
  <c r="G387" i="1"/>
  <c r="H233" i="1"/>
  <c r="H211" i="1"/>
  <c r="H210" i="1"/>
  <c r="H414" i="1"/>
  <c r="H417" i="1" s="1"/>
  <c r="D309" i="1"/>
  <c r="G332" i="1"/>
  <c r="G335" i="1"/>
  <c r="G334" i="1"/>
  <c r="G257" i="1"/>
  <c r="R232" i="1" l="1"/>
  <c r="R234" i="1"/>
  <c r="R233" i="1"/>
  <c r="D315" i="1"/>
  <c r="D328" i="1"/>
  <c r="F267" i="1"/>
  <c r="E312" i="1" s="1"/>
  <c r="E313" i="1" s="1"/>
  <c r="G392" i="1"/>
  <c r="G398" i="1" s="1"/>
  <c r="G235" i="1"/>
  <c r="R223" i="1" s="1"/>
  <c r="F266" i="1"/>
  <c r="H214" i="1"/>
  <c r="E300" i="1" l="1"/>
  <c r="F270" i="1"/>
  <c r="G399" i="1"/>
  <c r="F386" i="1" s="1"/>
  <c r="F388" i="1" s="1"/>
  <c r="H216" i="1"/>
  <c r="H217" i="1" l="1"/>
  <c r="F390" i="1"/>
  <c r="G421" i="1" l="1"/>
  <c r="H218" i="1"/>
  <c r="G376" i="1"/>
  <c r="F277" i="1"/>
  <c r="H244" i="1"/>
  <c r="S227" i="1" l="1"/>
  <c r="S228" i="1"/>
  <c r="S229" i="1" s="1"/>
  <c r="E307" i="1"/>
  <c r="E308" i="1" s="1"/>
  <c r="F281" i="1"/>
  <c r="F282" i="1" s="1"/>
  <c r="H431" i="1"/>
  <c r="H523" i="1"/>
  <c r="H253" i="1"/>
  <c r="G375" i="1"/>
  <c r="G378" i="1" s="1"/>
  <c r="G380" i="1" l="1"/>
  <c r="H418" i="1" s="1"/>
  <c r="H419" i="1" s="1"/>
  <c r="H526" i="1"/>
  <c r="H511" i="1" s="1"/>
  <c r="H525" i="1"/>
  <c r="H510" i="1" s="1"/>
  <c r="H186" i="1"/>
  <c r="H255" i="1"/>
  <c r="S224" i="1" s="1"/>
  <c r="H343" i="1"/>
  <c r="F291" i="1"/>
  <c r="H333" i="1"/>
  <c r="G381" i="1" l="1"/>
  <c r="F284" i="1"/>
  <c r="F285" i="1" s="1"/>
  <c r="H240" i="1" s="1"/>
  <c r="G272" i="1" s="1"/>
  <c r="F283" i="1"/>
  <c r="H345" i="1"/>
  <c r="H362" i="1" s="1"/>
  <c r="I424" i="1"/>
  <c r="I427" i="1" s="1"/>
  <c r="I340" i="1"/>
  <c r="H189" i="1"/>
  <c r="I252" i="1" s="1"/>
  <c r="H188" i="1"/>
  <c r="H518" i="1"/>
  <c r="H520" i="1" s="1"/>
  <c r="H530" i="1" s="1"/>
  <c r="H534" i="1" s="1"/>
  <c r="H536" i="1" s="1"/>
  <c r="G384" i="1" l="1"/>
  <c r="H190" i="1"/>
  <c r="H191" i="1" s="1"/>
  <c r="G280" i="1" s="1"/>
  <c r="H363" i="1"/>
  <c r="H361" i="1"/>
  <c r="H347" i="1"/>
  <c r="H225" i="1"/>
  <c r="F286" i="1"/>
  <c r="H245" i="1"/>
  <c r="F303" i="1"/>
  <c r="I212" i="1"/>
  <c r="G273" i="1" s="1"/>
  <c r="I491" i="1"/>
  <c r="I492" i="1" s="1"/>
  <c r="I428" i="1"/>
  <c r="I434" i="1"/>
  <c r="H547" i="1"/>
  <c r="H549" i="1" s="1"/>
  <c r="H551" i="1" s="1"/>
  <c r="H364" i="1" l="1"/>
  <c r="I344" i="1"/>
  <c r="H192" i="1"/>
  <c r="I436" i="1"/>
  <c r="I548" i="1" s="1"/>
  <c r="I435" i="1"/>
  <c r="I544" i="1" s="1"/>
  <c r="I545" i="1" s="1"/>
  <c r="H248" i="1"/>
  <c r="H394" i="1"/>
  <c r="H396" i="1" s="1"/>
  <c r="E301" i="1"/>
  <c r="E302" i="1" s="1"/>
  <c r="F288" i="1"/>
  <c r="H224" i="1" s="1"/>
  <c r="S237" i="1" s="1"/>
  <c r="I232" i="1"/>
  <c r="I404" i="1"/>
  <c r="I405" i="1" s="1"/>
  <c r="F323" i="1"/>
  <c r="F324" i="1" s="1"/>
  <c r="F326" i="1" s="1"/>
  <c r="H355" i="1"/>
  <c r="H349" i="1"/>
  <c r="H357" i="1"/>
  <c r="H356" i="1"/>
  <c r="F304" i="1"/>
  <c r="I254" i="1" l="1"/>
  <c r="I187" i="1" s="1"/>
  <c r="I414" i="1"/>
  <c r="I417" i="1" s="1"/>
  <c r="H387" i="1"/>
  <c r="I233" i="1"/>
  <c r="I211" i="1"/>
  <c r="H257" i="1"/>
  <c r="I210" i="1"/>
  <c r="H228" i="1"/>
  <c r="G262" i="1"/>
  <c r="F297" i="1" s="1"/>
  <c r="H335" i="1"/>
  <c r="E309" i="1"/>
  <c r="H332" i="1"/>
  <c r="H334" i="1"/>
  <c r="S233" i="1" l="1"/>
  <c r="S232" i="1"/>
  <c r="S234" i="1"/>
  <c r="E328" i="1"/>
  <c r="E315" i="1"/>
  <c r="G267" i="1"/>
  <c r="F312" i="1" s="1"/>
  <c r="F313" i="1" s="1"/>
  <c r="H392" i="1"/>
  <c r="H398" i="1" s="1"/>
  <c r="H235" i="1"/>
  <c r="G266" i="1"/>
  <c r="I214" i="1"/>
  <c r="S223" i="1" l="1"/>
  <c r="F300" i="1"/>
  <c r="G270" i="1"/>
  <c r="I216" i="1"/>
  <c r="H399" i="1"/>
  <c r="G386" i="1" s="1"/>
  <c r="G388" i="1" s="1"/>
  <c r="I217" i="1" l="1"/>
  <c r="G390" i="1"/>
  <c r="H421" i="1" l="1"/>
  <c r="H376" i="1"/>
  <c r="I244" i="1"/>
  <c r="G277" i="1"/>
  <c r="I218" i="1"/>
  <c r="T228" i="1" l="1"/>
  <c r="T229" i="1" s="1"/>
  <c r="T227" i="1"/>
  <c r="I253" i="1"/>
  <c r="I431" i="1"/>
  <c r="I523" i="1"/>
  <c r="H375" i="1"/>
  <c r="H378" i="1" s="1"/>
  <c r="F307" i="1"/>
  <c r="F308" i="1" s="1"/>
  <c r="G281" i="1"/>
  <c r="G282" i="1" s="1"/>
  <c r="G291" i="1" l="1"/>
  <c r="H380" i="1"/>
  <c r="I418" i="1" s="1"/>
  <c r="I419" i="1" s="1"/>
  <c r="I333" i="1"/>
  <c r="I526" i="1"/>
  <c r="I511" i="1" s="1"/>
  <c r="I525" i="1"/>
  <c r="I510" i="1" s="1"/>
  <c r="I186" i="1"/>
  <c r="I343" i="1"/>
  <c r="I255" i="1"/>
  <c r="T224" i="1" s="1"/>
  <c r="I518" i="1" l="1"/>
  <c r="I520" i="1" s="1"/>
  <c r="I530" i="1" s="1"/>
  <c r="I534" i="1" s="1"/>
  <c r="I536" i="1" s="1"/>
  <c r="I547" i="1" s="1"/>
  <c r="I549" i="1" s="1"/>
  <c r="I551" i="1" s="1"/>
  <c r="H381" i="1"/>
  <c r="I188" i="1"/>
  <c r="I189" i="1"/>
  <c r="J252" i="1" s="1"/>
  <c r="J340" i="1"/>
  <c r="J424" i="1"/>
  <c r="J427" i="1" s="1"/>
  <c r="I345" i="1"/>
  <c r="I362" i="1" s="1"/>
  <c r="G283" i="1"/>
  <c r="G284" i="1"/>
  <c r="G285" i="1" s="1"/>
  <c r="I240" i="1" s="1"/>
  <c r="H272" i="1" s="1"/>
  <c r="H384" i="1" l="1"/>
  <c r="J434" i="1"/>
  <c r="J491" i="1"/>
  <c r="J492" i="1" s="1"/>
  <c r="J428" i="1"/>
  <c r="J212" i="1"/>
  <c r="H273" i="1" s="1"/>
  <c r="G303" i="1"/>
  <c r="I245" i="1"/>
  <c r="G286" i="1"/>
  <c r="I225" i="1"/>
  <c r="I347" i="1"/>
  <c r="I363" i="1"/>
  <c r="I361" i="1"/>
  <c r="I190" i="1"/>
  <c r="I364" i="1" l="1"/>
  <c r="J435" i="1"/>
  <c r="J544" i="1" s="1"/>
  <c r="J545" i="1" s="1"/>
  <c r="I248" i="1"/>
  <c r="I394" i="1"/>
  <c r="I396" i="1" s="1"/>
  <c r="J436" i="1"/>
  <c r="J548" i="1" s="1"/>
  <c r="J232" i="1"/>
  <c r="I191" i="1"/>
  <c r="I192" i="1" s="1"/>
  <c r="J254" i="1" s="1"/>
  <c r="I349" i="1"/>
  <c r="I357" i="1"/>
  <c r="I355" i="1"/>
  <c r="I356" i="1"/>
  <c r="G304" i="1"/>
  <c r="F301" i="1"/>
  <c r="F302" i="1" s="1"/>
  <c r="G288" i="1"/>
  <c r="I224" i="1" s="1"/>
  <c r="T237" i="1" s="1"/>
  <c r="J344" i="1" l="1"/>
  <c r="H280" i="1"/>
  <c r="I332" i="1"/>
  <c r="I335" i="1"/>
  <c r="F309" i="1"/>
  <c r="I334" i="1"/>
  <c r="I228" i="1"/>
  <c r="H262" i="1"/>
  <c r="G297" i="1" s="1"/>
  <c r="J210" i="1"/>
  <c r="I257" i="1"/>
  <c r="J211" i="1"/>
  <c r="I387" i="1"/>
  <c r="J233" i="1"/>
  <c r="T234" i="1" l="1"/>
  <c r="T233" i="1"/>
  <c r="T232" i="1"/>
  <c r="J214" i="1"/>
  <c r="H266" i="1"/>
  <c r="F315" i="1"/>
  <c r="F328" i="1"/>
  <c r="H267" i="1"/>
  <c r="G312" i="1" s="1"/>
  <c r="G313" i="1" s="1"/>
  <c r="J404" i="1"/>
  <c r="J405" i="1" s="1"/>
  <c r="G323" i="1"/>
  <c r="G324" i="1" s="1"/>
  <c r="G326" i="1" s="1"/>
  <c r="I235" i="1"/>
  <c r="I392" i="1"/>
  <c r="I398" i="1" s="1"/>
  <c r="T223" i="1" l="1"/>
  <c r="G300" i="1"/>
  <c r="H270" i="1"/>
  <c r="J414" i="1"/>
  <c r="J417" i="1" s="1"/>
  <c r="J216" i="1"/>
  <c r="I399" i="1"/>
  <c r="H386" i="1" s="1"/>
  <c r="H388" i="1" s="1"/>
  <c r="H390" i="1" s="1"/>
  <c r="J217" i="1" l="1"/>
  <c r="J218" i="1" s="1"/>
  <c r="I421" i="1"/>
  <c r="U228" i="1" l="1"/>
  <c r="U229" i="1" s="1"/>
  <c r="U227" i="1"/>
  <c r="I375" i="1"/>
  <c r="J431" i="1"/>
  <c r="J253" i="1"/>
  <c r="J523" i="1"/>
  <c r="J244" i="1"/>
  <c r="H277" i="1"/>
  <c r="I376" i="1"/>
  <c r="J526" i="1" l="1"/>
  <c r="J511" i="1" s="1"/>
  <c r="J525" i="1"/>
  <c r="J510" i="1" s="1"/>
  <c r="K523" i="1"/>
  <c r="K525" i="1" s="1"/>
  <c r="G307" i="1"/>
  <c r="G308" i="1" s="1"/>
  <c r="H281" i="1"/>
  <c r="H282" i="1" s="1"/>
  <c r="I378" i="1"/>
  <c r="J343" i="1"/>
  <c r="J255" i="1"/>
  <c r="U224" i="1" s="1"/>
  <c r="J518" i="1" l="1"/>
  <c r="J520" i="1" s="1"/>
  <c r="J530" i="1" s="1"/>
  <c r="J534" i="1" s="1"/>
  <c r="J536" i="1" s="1"/>
  <c r="J547" i="1" s="1"/>
  <c r="J549" i="1" s="1"/>
  <c r="J551" i="1" s="1"/>
  <c r="H291" i="1"/>
  <c r="J333" i="1"/>
  <c r="J345" i="1"/>
  <c r="J362" i="1" s="1"/>
  <c r="I380" i="1"/>
  <c r="J418" i="1" s="1"/>
  <c r="J419" i="1" s="1"/>
  <c r="I381" i="1" l="1"/>
  <c r="I384" i="1" s="1"/>
  <c r="J363" i="1"/>
  <c r="J361" i="1"/>
  <c r="J347" i="1"/>
  <c r="H284" i="1"/>
  <c r="H285" i="1" s="1"/>
  <c r="J240" i="1" s="1"/>
  <c r="H283" i="1"/>
  <c r="J364" i="1" l="1"/>
  <c r="J225" i="1"/>
  <c r="H286" i="1"/>
  <c r="J245" i="1"/>
  <c r="J355" i="1"/>
  <c r="J349" i="1"/>
  <c r="J357" i="1"/>
  <c r="J356" i="1"/>
  <c r="J394" i="1" l="1"/>
  <c r="J396" i="1" s="1"/>
  <c r="J248" i="1"/>
  <c r="G301" i="1"/>
  <c r="G302" i="1" s="1"/>
  <c r="H288" i="1"/>
  <c r="J224" i="1" s="1"/>
  <c r="U237" i="1" s="1"/>
  <c r="J257" i="1" l="1"/>
  <c r="J335" i="1"/>
  <c r="G309" i="1"/>
  <c r="J332" i="1"/>
  <c r="J334" i="1"/>
  <c r="J228" i="1"/>
  <c r="U234" i="1" l="1"/>
  <c r="U233" i="1"/>
  <c r="U232" i="1"/>
  <c r="J392" i="1"/>
  <c r="J398" i="1" s="1"/>
  <c r="J235" i="1"/>
  <c r="G328" i="1"/>
  <c r="G315" i="1"/>
  <c r="U223" i="1" l="1"/>
  <c r="J399" i="1"/>
  <c r="I386" i="1" s="1"/>
  <c r="I388" i="1" s="1"/>
  <c r="I390" i="1" s="1"/>
  <c r="J4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Jairo Gutiérrez C.</author>
    <author>Jairo Gutiérrez C</author>
    <author>Jairo Gutiérrez Carmona</author>
  </authors>
  <commentList>
    <comment ref="B418" authorId="0" shapeId="0" xr:uid="{00000000-0006-0000-0200-000008000000}">
      <text>
        <r>
          <rPr>
            <sz val="8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Tahoma"/>
            <family val="2"/>
          </rPr>
          <t xml:space="preserve">   Impuestos ajustados
-  Impuestos causados</t>
        </r>
      </text>
    </comment>
    <comment ref="D447" authorId="1" shapeId="0" xr:uid="{00000000-0006-0000-0200-000009000000}">
      <text>
        <r>
          <rPr>
            <b/>
            <sz val="12"/>
            <color indexed="81"/>
            <rFont val="Tahoma"/>
            <family val="2"/>
          </rPr>
          <t>Considerar el caso de que la deuda sea cero</t>
        </r>
      </text>
    </comment>
    <comment ref="E457" authorId="0" shapeId="0" xr:uid="{00000000-0006-0000-0200-00000A000000}">
      <text>
        <r>
          <rPr>
            <sz val="10"/>
            <color indexed="81"/>
            <rFont val="Tahoma"/>
            <family val="2"/>
          </rPr>
          <t>Tasa promedio de 2012 a 2021</t>
        </r>
      </text>
    </comment>
    <comment ref="E458" authorId="0" shapeId="0" xr:uid="{00000000-0006-0000-0200-00000B000000}">
      <text>
        <r>
          <rPr>
            <sz val="10"/>
            <color indexed="81"/>
            <rFont val="Tahoma"/>
            <family val="2"/>
          </rPr>
          <t>Tasa promedio de 2012 a 2021</t>
        </r>
      </text>
    </comment>
    <comment ref="E461" authorId="0" shapeId="0" xr:uid="{00000000-0006-0000-0200-00000C000000}">
      <text>
        <r>
          <rPr>
            <sz val="10"/>
            <color indexed="81"/>
            <rFont val="Tahoma"/>
            <family val="2"/>
          </rPr>
          <t>Tasa promedio de 2012 a 2021</t>
        </r>
      </text>
    </comment>
    <comment ref="E464" authorId="0" shapeId="0" xr:uid="{00000000-0006-0000-0200-00000D000000}">
      <text>
        <r>
          <rPr>
            <sz val="10"/>
            <color indexed="81"/>
            <rFont val="Tahoma"/>
            <family val="2"/>
          </rPr>
          <t>Tasa promedio de 2012 a 2021</t>
        </r>
      </text>
    </comment>
    <comment ref="E495" authorId="0" shapeId="0" xr:uid="{00000000-0006-0000-0200-00000E000000}">
      <text>
        <r>
          <rPr>
            <sz val="10"/>
            <color indexed="81"/>
            <rFont val="Tahoma"/>
            <family val="2"/>
          </rPr>
          <t>Tasa promedio de 2012 a 2021</t>
        </r>
      </text>
    </comment>
    <comment ref="E499" authorId="2" shapeId="0" xr:uid="{00000000-0006-0000-0200-00000F000000}">
      <text>
        <r>
          <rPr>
            <sz val="12"/>
            <color indexed="81"/>
            <rFont val="Tahoma"/>
            <family val="2"/>
          </rPr>
          <t>La empresa Ibbotson Associates agrega una prima de riesgo por tamaño según la siguiente escala:
Grandes       0.0%
Medianas     0.9%
Pequeñas    1.7%
Micros          4.0%</t>
        </r>
      </text>
    </comment>
  </commentList>
</comments>
</file>

<file path=xl/sharedStrings.xml><?xml version="1.0" encoding="utf-8"?>
<sst xmlns="http://schemas.openxmlformats.org/spreadsheetml/2006/main" count="897" uniqueCount="632">
  <si>
    <t>Gastos de personal</t>
  </si>
  <si>
    <t>Impuestos</t>
  </si>
  <si>
    <t>Depreciaciones</t>
  </si>
  <si>
    <t>Clase</t>
  </si>
  <si>
    <t>Ventas</t>
  </si>
  <si>
    <t>Costo ventas</t>
  </si>
  <si>
    <t>Gastos</t>
  </si>
  <si>
    <t>SALDO INICIAL</t>
  </si>
  <si>
    <t>Gasto financiero</t>
  </si>
  <si>
    <t>Capital</t>
  </si>
  <si>
    <t>VARIABLES</t>
  </si>
  <si>
    <t>Distribución  utilidades</t>
  </si>
  <si>
    <t>ESTADO DE RESULTADOS PROYECTADO</t>
  </si>
  <si>
    <t>Utilidad Bruta</t>
  </si>
  <si>
    <t>Total gastos</t>
  </si>
  <si>
    <t>UTILIDAD NETA</t>
  </si>
  <si>
    <t>Disponible</t>
  </si>
  <si>
    <t>Inventarios</t>
  </si>
  <si>
    <t>Activo corriente</t>
  </si>
  <si>
    <t>Plazo ctas por cobrar</t>
  </si>
  <si>
    <t>Plazo inventarios</t>
  </si>
  <si>
    <t>Depreciación acumulada</t>
  </si>
  <si>
    <t>Costo de ventas</t>
  </si>
  <si>
    <t>TOTAL ACTIVOS</t>
  </si>
  <si>
    <t>Pasivo corriente</t>
  </si>
  <si>
    <t>Cuota</t>
  </si>
  <si>
    <t>Plazo ctas por pagar</t>
  </si>
  <si>
    <t>Materias primas</t>
  </si>
  <si>
    <t>Total pasivo corriente</t>
  </si>
  <si>
    <t>TOTAL PASIVOS</t>
  </si>
  <si>
    <t>Utilidad del ejercicio</t>
  </si>
  <si>
    <t>TOTAL PATRIMONIO</t>
  </si>
  <si>
    <t>PASIVO Y PATRIMONIO</t>
  </si>
  <si>
    <t>Pago a proveedores</t>
  </si>
  <si>
    <t>Distribución utilidades</t>
  </si>
  <si>
    <t>SALDO ACUMULADO</t>
  </si>
  <si>
    <t>Compra de activos</t>
  </si>
  <si>
    <t>Impuestos por pagar</t>
  </si>
  <si>
    <t>COMPRA DE ACTIVOS</t>
  </si>
  <si>
    <t>Crédito de tesorería</t>
  </si>
  <si>
    <t>ACTIVO</t>
  </si>
  <si>
    <t>PASIVO</t>
  </si>
  <si>
    <t>PATRIMONIO</t>
  </si>
  <si>
    <t>Ventas de contado</t>
  </si>
  <si>
    <t>Pago crédito de tesorería</t>
  </si>
  <si>
    <t>Créditos bancos</t>
  </si>
  <si>
    <t>Cuentas por cobrar (clientes)</t>
  </si>
  <si>
    <t>Cuentas por pagar (proveedores)</t>
  </si>
  <si>
    <t>Obligaciones financieras corto plazo</t>
  </si>
  <si>
    <t>Obligaciones financieras largo plazo</t>
  </si>
  <si>
    <t>UTILIDAD OPERACIONAL</t>
  </si>
  <si>
    <t>UTILIDAD ANTES DE IMPUESTOS</t>
  </si>
  <si>
    <t>ESTADO DE RESULTADOS</t>
  </si>
  <si>
    <t>Inflación estimada</t>
  </si>
  <si>
    <t>Gasto depreciación</t>
  </si>
  <si>
    <t>Recaudo de cartera</t>
  </si>
  <si>
    <t>SALDO FINAL EN CAJA</t>
  </si>
  <si>
    <t>Índice de liquidez</t>
  </si>
  <si>
    <t>Margen bruto</t>
  </si>
  <si>
    <t>Margen operacional</t>
  </si>
  <si>
    <t>Margen neto</t>
  </si>
  <si>
    <t>Saldo final</t>
  </si>
  <si>
    <t>Activo fijo bruto</t>
  </si>
  <si>
    <t>Saldo inicial</t>
  </si>
  <si>
    <t>Pago impuesto de renta</t>
  </si>
  <si>
    <t>Pago de gastos de admón. y ventas</t>
  </si>
  <si>
    <t>Ingresos no operacionales</t>
  </si>
  <si>
    <t>Neto otros ingresos y egresos</t>
  </si>
  <si>
    <t>Variación costo de ventas</t>
  </si>
  <si>
    <t>Pago intereses deuda financiera</t>
  </si>
  <si>
    <t>Inversiones temporales</t>
  </si>
  <si>
    <t>Venta de inversiones temporales</t>
  </si>
  <si>
    <t>SOBRANTE (FALTANTE)</t>
  </si>
  <si>
    <t>Compra de inversiones temporales</t>
  </si>
  <si>
    <t>Endeudamiento financiero</t>
  </si>
  <si>
    <t>Valores en millones de pesos</t>
  </si>
  <si>
    <t>Abono a capital deuda financiera</t>
  </si>
  <si>
    <t>Resultados del ejercicio</t>
  </si>
  <si>
    <t>TOTAL FINANCIACIÓN</t>
  </si>
  <si>
    <t>Otros gastos de admón y ventas</t>
  </si>
  <si>
    <t>Total gastos de admón y ventas</t>
  </si>
  <si>
    <t>MOVIMIENTO NETO DE TESORERÍA</t>
  </si>
  <si>
    <t>Movimiento neto de tesorería</t>
  </si>
  <si>
    <t>Activo no corriente</t>
  </si>
  <si>
    <t>Criterio</t>
  </si>
  <si>
    <t>% de las ventas</t>
  </si>
  <si>
    <t>Tasa impositiva efectiva</t>
  </si>
  <si>
    <t>Abono capital</t>
  </si>
  <si>
    <t>AMORTIZACIÓN DEUDA FINANCIERA</t>
  </si>
  <si>
    <t>DEUDA ACTUAL</t>
  </si>
  <si>
    <t>Plazo</t>
  </si>
  <si>
    <t>Interés</t>
  </si>
  <si>
    <t>Valor</t>
  </si>
  <si>
    <t>GASTOS DE ADMINISTRACIÓN</t>
  </si>
  <si>
    <t>Compras para reposición activos</t>
  </si>
  <si>
    <t>Aportes de los socios</t>
  </si>
  <si>
    <t>Plazo promedio depreciación activos fijos</t>
  </si>
  <si>
    <t>Tasa de interés del crédito</t>
  </si>
  <si>
    <t>Reserva legal</t>
  </si>
  <si>
    <t>Para reserva legal</t>
  </si>
  <si>
    <t>Utilidades distribuidas</t>
  </si>
  <si>
    <t>Utilidades retenidas</t>
  </si>
  <si>
    <t>Cambio en el costo de ventas</t>
  </si>
  <si>
    <t>Plazo del crédito</t>
  </si>
  <si>
    <t>ENTRADAS</t>
  </si>
  <si>
    <t>TOTAL ENTRADAS</t>
  </si>
  <si>
    <t>SALIDAS</t>
  </si>
  <si>
    <t>TOTAL SALIDAS</t>
  </si>
  <si>
    <t>Plazo de CxP</t>
  </si>
  <si>
    <t>Incremento real del precio de venta</t>
  </si>
  <si>
    <t>EBITDA</t>
  </si>
  <si>
    <t>% de los activos fijos brutos</t>
  </si>
  <si>
    <t>Mantenimiento - % de activos fijos brutos</t>
  </si>
  <si>
    <t>Endeudamiento corto plazo</t>
  </si>
  <si>
    <t>EBIT</t>
  </si>
  <si>
    <t>Cobertura de intereses</t>
  </si>
  <si>
    <t>MEDIR VALOR CREADO</t>
  </si>
  <si>
    <t>K / (D + K)</t>
  </si>
  <si>
    <t>Mantenimiento y reparaciones</t>
  </si>
  <si>
    <t>Arrendamientos</t>
  </si>
  <si>
    <t>Servicios</t>
  </si>
  <si>
    <t>Arrendamiento</t>
  </si>
  <si>
    <t>Arrendamiento mensual adicional</t>
  </si>
  <si>
    <t>D / (D + K)</t>
  </si>
  <si>
    <r>
      <t xml:space="preserve">Deuda                      </t>
    </r>
    <r>
      <rPr>
        <b/>
        <sz val="14"/>
        <color rgb="FFFF3300"/>
        <rFont val="Arial"/>
        <family val="2"/>
      </rPr>
      <t>D</t>
    </r>
  </si>
  <si>
    <r>
      <t xml:space="preserve">Gasto financiero        </t>
    </r>
    <r>
      <rPr>
        <b/>
        <sz val="14"/>
        <color rgb="FFFF0000"/>
        <rFont val="Arial"/>
        <family val="2"/>
      </rPr>
      <t>I</t>
    </r>
  </si>
  <si>
    <t>Costo de capital - WACC</t>
  </si>
  <si>
    <t>Costo de la deuda después de impuestos</t>
  </si>
  <si>
    <t>Aporte de la deuda financiera</t>
  </si>
  <si>
    <r>
      <t>id * (1 - t</t>
    </r>
    <r>
      <rPr>
        <b/>
        <vertAlign val="subscript"/>
        <sz val="14"/>
        <color rgb="FFFF0000"/>
        <rFont val="Arial"/>
        <family val="2"/>
      </rPr>
      <t>x</t>
    </r>
    <r>
      <rPr>
        <b/>
        <sz val="14"/>
        <color rgb="FFFF0000"/>
        <rFont val="Arial"/>
        <family val="2"/>
      </rPr>
      <t>)</t>
    </r>
  </si>
  <si>
    <t>Costo del patrimonio</t>
  </si>
  <si>
    <r>
      <rPr>
        <b/>
        <sz val="14"/>
        <color rgb="FF008000"/>
        <rFont val="Arial"/>
        <family val="2"/>
      </rPr>
      <t>i</t>
    </r>
    <r>
      <rPr>
        <b/>
        <vertAlign val="subscript"/>
        <sz val="14"/>
        <color rgb="FF008000"/>
        <rFont val="Arial"/>
        <family val="2"/>
      </rPr>
      <t>d</t>
    </r>
    <r>
      <rPr>
        <b/>
        <sz val="14"/>
        <color rgb="FF008000"/>
        <rFont val="Arial"/>
        <family val="2"/>
      </rPr>
      <t xml:space="preserve"> (1 - t</t>
    </r>
    <r>
      <rPr>
        <b/>
        <vertAlign val="subscript"/>
        <sz val="14"/>
        <color rgb="FF008000"/>
        <rFont val="Arial"/>
        <family val="2"/>
      </rPr>
      <t>x</t>
    </r>
    <r>
      <rPr>
        <b/>
        <sz val="14"/>
        <color rgb="FF008000"/>
        <rFont val="Arial"/>
        <family val="2"/>
      </rPr>
      <t>) * D / (D + K)</t>
    </r>
  </si>
  <si>
    <r>
      <rPr>
        <b/>
        <sz val="14"/>
        <color rgb="FF008000"/>
        <rFont val="Arial"/>
        <family val="2"/>
      </rPr>
      <t>i</t>
    </r>
    <r>
      <rPr>
        <b/>
        <vertAlign val="subscript"/>
        <sz val="14"/>
        <color rgb="FF008000"/>
        <rFont val="Arial"/>
        <family val="2"/>
      </rPr>
      <t>k</t>
    </r>
    <r>
      <rPr>
        <b/>
        <sz val="14"/>
        <color rgb="FF008000"/>
        <rFont val="Arial"/>
        <family val="2"/>
      </rPr>
      <t xml:space="preserve"> * K / (D + K)</t>
    </r>
  </si>
  <si>
    <t>COSTO DE CAPITAL</t>
  </si>
  <si>
    <t>FLUJO DE CAJA DEL PROPIETARIO  -  EQUITY CASH FLOW</t>
  </si>
  <si>
    <t>(-) Aportes de los socios</t>
  </si>
  <si>
    <t>(+) Distribución de utilidades</t>
  </si>
  <si>
    <t>FCP</t>
  </si>
  <si>
    <t>FLUJO DE CAJA DE LA DEUDA  -  DEBT CASH FLOW</t>
  </si>
  <si>
    <t>(-) Créditos recibidos</t>
  </si>
  <si>
    <t>(+) Abonos a capital</t>
  </si>
  <si>
    <t>(+) Pago de intereses</t>
  </si>
  <si>
    <t>FCD</t>
  </si>
  <si>
    <t>FLUJO DE CAJA DEL CAPITAL  -  CAPITAL CASH FLOW</t>
  </si>
  <si>
    <t>FCC = FCP + FCD</t>
  </si>
  <si>
    <t>FLUJO DE CAJA LIBRE OPERACIONAL  -  FREE CASH FLOW  -  FLUJO DE CAJA LIBRE</t>
  </si>
  <si>
    <t>Flujo de caja del capital</t>
  </si>
  <si>
    <t>(-) Ahorro de impuestos</t>
  </si>
  <si>
    <t>WACC</t>
  </si>
  <si>
    <t>Nombre escenario ==&gt;</t>
  </si>
  <si>
    <t>Tasa de crecimiento real</t>
  </si>
  <si>
    <t>Número de acciones en circulación</t>
  </si>
  <si>
    <t>Compras menores y reposición equipos</t>
  </si>
  <si>
    <t>Plazo CxC</t>
  </si>
  <si>
    <t>Rotación activo fijo</t>
  </si>
  <si>
    <t>Rotación activos</t>
  </si>
  <si>
    <t>Endeudamiento</t>
  </si>
  <si>
    <t>ROE</t>
  </si>
  <si>
    <t>ROA</t>
  </si>
  <si>
    <t>% utilidades distribuidas</t>
  </si>
  <si>
    <t>Número de año ==&gt;</t>
  </si>
  <si>
    <r>
      <t xml:space="preserve">Costo de la deuda </t>
    </r>
    <r>
      <rPr>
        <b/>
        <u/>
        <sz val="12"/>
        <rFont val="Arial"/>
        <family val="2"/>
      </rPr>
      <t>antes</t>
    </r>
    <r>
      <rPr>
        <sz val="12"/>
        <rFont val="Arial"/>
        <family val="2"/>
      </rPr>
      <t xml:space="preserve"> de impuestos      </t>
    </r>
    <r>
      <rPr>
        <b/>
        <sz val="14"/>
        <color rgb="FFFF0000"/>
        <rFont val="Arial"/>
        <family val="2"/>
      </rPr>
      <t>i</t>
    </r>
    <r>
      <rPr>
        <b/>
        <vertAlign val="subscript"/>
        <sz val="14"/>
        <color rgb="FFFF0000"/>
        <rFont val="Arial"/>
        <family val="2"/>
      </rPr>
      <t>d</t>
    </r>
    <r>
      <rPr>
        <b/>
        <sz val="14"/>
        <color rgb="FFFF0000"/>
        <rFont val="Arial"/>
        <family val="2"/>
      </rPr>
      <t xml:space="preserve">  =  I / D</t>
    </r>
  </si>
  <si>
    <r>
      <t xml:space="preserve">Costo de la deuda </t>
    </r>
    <r>
      <rPr>
        <b/>
        <u/>
        <sz val="12"/>
        <rFont val="Arial"/>
        <family val="2"/>
      </rPr>
      <t>después</t>
    </r>
    <r>
      <rPr>
        <sz val="12"/>
        <rFont val="Arial"/>
        <family val="2"/>
      </rPr>
      <t xml:space="preserve"> de impuestos </t>
    </r>
    <r>
      <rPr>
        <b/>
        <sz val="14"/>
        <color rgb="FFFF0000"/>
        <rFont val="Arial"/>
        <family val="2"/>
      </rPr>
      <t>i</t>
    </r>
    <r>
      <rPr>
        <b/>
        <vertAlign val="subscript"/>
        <sz val="14"/>
        <color rgb="FFFF0000"/>
        <rFont val="Arial"/>
        <family val="2"/>
      </rPr>
      <t>d</t>
    </r>
    <r>
      <rPr>
        <b/>
        <sz val="14"/>
        <color rgb="FFFF0000"/>
        <rFont val="Arial"/>
        <family val="2"/>
      </rPr>
      <t xml:space="preserve"> * (1 - t</t>
    </r>
    <r>
      <rPr>
        <b/>
        <vertAlign val="subscript"/>
        <sz val="14"/>
        <color rgb="FFFF0000"/>
        <rFont val="Arial"/>
        <family val="2"/>
      </rPr>
      <t>x</t>
    </r>
    <r>
      <rPr>
        <b/>
        <sz val="14"/>
        <color rgb="FFFF0000"/>
        <rFont val="Arial"/>
        <family val="2"/>
      </rPr>
      <t>)</t>
    </r>
  </si>
  <si>
    <t>Financiado con deuda financiera</t>
  </si>
  <si>
    <t>Financiado con aportes de los socios</t>
  </si>
  <si>
    <r>
      <t xml:space="preserve">(+) Impuestos </t>
    </r>
    <r>
      <rPr>
        <b/>
        <u/>
        <sz val="12"/>
        <rFont val="Arial"/>
        <family val="2"/>
      </rPr>
      <t>CAUSADOS</t>
    </r>
  </si>
  <si>
    <t>(+) Gastos financiero</t>
  </si>
  <si>
    <r>
      <t xml:space="preserve">(-) Impuestos </t>
    </r>
    <r>
      <rPr>
        <b/>
        <u/>
        <sz val="12"/>
        <rFont val="Arial"/>
        <family val="2"/>
      </rPr>
      <t>AJUSTADOS</t>
    </r>
  </si>
  <si>
    <t>(+) Depreciación</t>
  </si>
  <si>
    <t>1  Flujo operativo o flujo bruto</t>
  </si>
  <si>
    <t>(-) Inversión en capital de trabajo</t>
  </si>
  <si>
    <t>(-) Inversión en activos no corrientes (1)</t>
  </si>
  <si>
    <t>2  Financiación de inversiones</t>
  </si>
  <si>
    <t>Dias de costos y gastos</t>
  </si>
  <si>
    <t>% de ventas</t>
  </si>
  <si>
    <t>% de activo fijo bruto</t>
  </si>
  <si>
    <t>ENTORNO MACROECONÓMICO</t>
  </si>
  <si>
    <t>Tasa de interés</t>
  </si>
  <si>
    <t>Costos y gastos por pagar</t>
  </si>
  <si>
    <t>Gastos admon y ventas pendientes de pago</t>
  </si>
  <si>
    <t>UTILIDAD NETA DEL EJERCICIO</t>
  </si>
  <si>
    <t>1 ACTIVO CORRIENTE</t>
  </si>
  <si>
    <t>a PASIVO CORRIENTE</t>
  </si>
  <si>
    <t>b (-) OBLIGACIONES FINANCIERAS CP</t>
  </si>
  <si>
    <t>2 DEUDA OPERACIONAL (a - b)</t>
  </si>
  <si>
    <t>CAPITAL DE TRABAJO OPERATIVO (1 - 2)</t>
  </si>
  <si>
    <t>VARIACIÓN DEL CAPITAL DE TRABAJO</t>
  </si>
  <si>
    <t>VARIACIÓN DEL CAPITAL DE TRABAJO OPERATIVO</t>
  </si>
  <si>
    <t>PRUEBA</t>
  </si>
  <si>
    <t>Flujo de Caja Libre - FCL</t>
  </si>
  <si>
    <t>MÉTODO DE CAJA</t>
  </si>
  <si>
    <r>
      <rPr>
        <b/>
        <sz val="14"/>
        <color rgb="FFFF0000"/>
        <rFont val="Arial"/>
        <family val="2"/>
      </rPr>
      <t>D</t>
    </r>
    <r>
      <rPr>
        <sz val="12"/>
        <rFont val="Arial"/>
        <family val="2"/>
      </rPr>
      <t xml:space="preserve">  Deuda financiera al </t>
    </r>
    <r>
      <rPr>
        <b/>
        <sz val="14"/>
        <color rgb="FFFF0000"/>
        <rFont val="Arial"/>
        <family val="2"/>
      </rPr>
      <t>inicio</t>
    </r>
    <r>
      <rPr>
        <sz val="12"/>
        <rFont val="Arial"/>
        <family val="2"/>
      </rPr>
      <t xml:space="preserve"> del año + Deudas contratadas </t>
    </r>
    <r>
      <rPr>
        <b/>
        <sz val="14"/>
        <color rgb="FFFF0000"/>
        <rFont val="Arial"/>
        <family val="2"/>
      </rPr>
      <t>durante</t>
    </r>
    <r>
      <rPr>
        <sz val="12"/>
        <rFont val="Arial"/>
        <family val="2"/>
      </rPr>
      <t xml:space="preserve"> el año          </t>
    </r>
    <r>
      <rPr>
        <b/>
        <sz val="14"/>
        <color rgb="FFFF3300"/>
        <rFont val="Arial"/>
        <family val="2"/>
      </rPr>
      <t>D</t>
    </r>
  </si>
  <si>
    <t>D + K</t>
  </si>
  <si>
    <t>% de D en el total de recursos</t>
  </si>
  <si>
    <t>% del K en el total de recursos</t>
  </si>
  <si>
    <r>
      <t>i</t>
    </r>
    <r>
      <rPr>
        <b/>
        <vertAlign val="subscript"/>
        <sz val="16"/>
        <color rgb="FFFF0000"/>
        <rFont val="Arial"/>
        <family val="2"/>
      </rPr>
      <t>k</t>
    </r>
  </si>
  <si>
    <t>Costo de ventas (% de ventas)</t>
  </si>
  <si>
    <t>Participación en el mercado</t>
  </si>
  <si>
    <t>INFORMACIÓN</t>
  </si>
  <si>
    <t>Valor ventas ($ millones)</t>
  </si>
  <si>
    <t>Tamaño del mercado (und millones)</t>
  </si>
  <si>
    <t>INDICADORES</t>
  </si>
  <si>
    <t>INFORMACIÓN MACROECONÓMICA</t>
  </si>
  <si>
    <t>Gastos de investigación y desarrollo</t>
  </si>
  <si>
    <t>Campaña publicitaria</t>
  </si>
  <si>
    <t>&lt;==    1 = SI      0 = NO</t>
  </si>
  <si>
    <t>Inversión en equipos</t>
  </si>
  <si>
    <t>Inversiones en ampliación planta</t>
  </si>
  <si>
    <t>Inversión en lanzamiento nuevo producto</t>
  </si>
  <si>
    <t>Decisión (0 = NO    1 = SI)</t>
  </si>
  <si>
    <t>% inversión financiado con deuda</t>
  </si>
  <si>
    <t>Comisión al distribuidor</t>
  </si>
  <si>
    <t>Para los próximos años se tienen los siguientes planes:</t>
  </si>
  <si>
    <t>% de ventas a crédito actuales</t>
  </si>
  <si>
    <t>Inversión en apertura tienda virtual</t>
  </si>
  <si>
    <t>Prima de riesgo del mercado</t>
  </si>
  <si>
    <t>ESTADO DE SITUACIÓN FINANCIERA</t>
  </si>
  <si>
    <t>Return On Investment: ROI</t>
  </si>
  <si>
    <t>EBIT (1 - tx)  UODI    NOPAT</t>
  </si>
  <si>
    <t>COSTO DE LA DEUDA</t>
  </si>
  <si>
    <t>COSTO DEL PATRIMONIO</t>
  </si>
  <si>
    <t>AÑO</t>
  </si>
  <si>
    <t>Rentabilidad Bonos del Tesoro USA (1)</t>
  </si>
  <si>
    <t>Inflación USA (2)</t>
  </si>
  <si>
    <t>Inflación Colombia (3)</t>
  </si>
  <si>
    <t>Riesgo país (4)</t>
  </si>
  <si>
    <t>Prima de riesgo del mercado (4)</t>
  </si>
  <si>
    <t>Variación real PIB (3)</t>
  </si>
  <si>
    <r>
      <t xml:space="preserve">Tasa libre de riesgo </t>
    </r>
    <r>
      <rPr>
        <b/>
        <u/>
        <sz val="12"/>
        <rFont val="Arial"/>
        <family val="2"/>
      </rPr>
      <t>nominal</t>
    </r>
    <r>
      <rPr>
        <sz val="12"/>
        <rFont val="Arial"/>
        <family val="2"/>
      </rPr>
      <t xml:space="preserve"> en dólares </t>
    </r>
    <r>
      <rPr>
        <b/>
        <sz val="12"/>
        <rFont val="Arial"/>
        <family val="2"/>
      </rPr>
      <t>R</t>
    </r>
    <r>
      <rPr>
        <b/>
        <vertAlign val="subscript"/>
        <sz val="12"/>
        <rFont val="Arial"/>
        <family val="2"/>
      </rPr>
      <t>f  USA</t>
    </r>
  </si>
  <si>
    <t>Fuente: www.damodaran.com</t>
  </si>
  <si>
    <t>Inflación en USA</t>
  </si>
  <si>
    <r>
      <t xml:space="preserve">Tasa libre de riesgo </t>
    </r>
    <r>
      <rPr>
        <b/>
        <u/>
        <sz val="12"/>
        <rFont val="Arial"/>
        <family val="2"/>
      </rPr>
      <t>real</t>
    </r>
    <r>
      <rPr>
        <sz val="12"/>
        <rFont val="Arial"/>
        <family val="2"/>
      </rPr>
      <t xml:space="preserve"> en dólares</t>
    </r>
  </si>
  <si>
    <t>Inflación COLOMBIA</t>
  </si>
  <si>
    <r>
      <t xml:space="preserve">Tasa libre de riesgo  </t>
    </r>
    <r>
      <rPr>
        <b/>
        <u/>
        <sz val="12"/>
        <rFont val="Arial"/>
        <family val="2"/>
      </rPr>
      <t>nominal</t>
    </r>
    <r>
      <rPr>
        <sz val="12"/>
        <rFont val="Arial"/>
        <family val="2"/>
      </rPr>
      <t xml:space="preserve"> COLOMBIA</t>
    </r>
  </si>
  <si>
    <t>Riesgo país Colombia</t>
  </si>
  <si>
    <t>FUENTES:</t>
  </si>
  <si>
    <t>(1) www.damodaran.com archivo Historical Returns on Stocks, Bonds and Bills - United States</t>
  </si>
  <si>
    <r>
      <t xml:space="preserve">1 Tasa libre de riesgo  COLOMBIA    </t>
    </r>
    <r>
      <rPr>
        <b/>
        <sz val="12"/>
        <rFont val="Arial"/>
        <family val="2"/>
      </rPr>
      <t>R</t>
    </r>
    <r>
      <rPr>
        <b/>
        <vertAlign val="subscript"/>
        <sz val="12"/>
        <rFont val="Arial"/>
        <family val="2"/>
      </rPr>
      <t>f  COL</t>
    </r>
  </si>
  <si>
    <t>(2) Fondo Monetario Internacional</t>
  </si>
  <si>
    <t>(3) DANE</t>
  </si>
  <si>
    <t>(4) www.damodaran.com archivo Risk Premiums for Other Markets</t>
  </si>
  <si>
    <r>
      <t>TASA LIBRE DE RIESGO      R</t>
    </r>
    <r>
      <rPr>
        <b/>
        <vertAlign val="subscript"/>
        <sz val="16"/>
        <rFont val="Arial"/>
        <family val="2"/>
      </rPr>
      <t>f</t>
    </r>
  </si>
  <si>
    <r>
      <t>PRIMA DE RIESGO DEL MERCADO      (R</t>
    </r>
    <r>
      <rPr>
        <b/>
        <vertAlign val="subscript"/>
        <sz val="16"/>
        <rFont val="Arial"/>
        <family val="2"/>
      </rPr>
      <t>m</t>
    </r>
    <r>
      <rPr>
        <b/>
        <sz val="14"/>
        <rFont val="Arial"/>
        <family val="2"/>
      </rPr>
      <t xml:space="preserve">  -  R</t>
    </r>
    <r>
      <rPr>
        <b/>
        <vertAlign val="subscript"/>
        <sz val="16"/>
        <rFont val="Arial"/>
        <family val="2"/>
      </rPr>
      <t>f</t>
    </r>
    <r>
      <rPr>
        <b/>
        <sz val="14"/>
        <rFont val="Arial"/>
        <family val="2"/>
      </rPr>
      <t>)</t>
    </r>
  </si>
  <si>
    <r>
      <t>RIESGO COMPAÑÍA R</t>
    </r>
    <r>
      <rPr>
        <b/>
        <vertAlign val="subscript"/>
        <sz val="16"/>
        <rFont val="Arial"/>
        <family val="2"/>
      </rPr>
      <t>C</t>
    </r>
  </si>
  <si>
    <r>
      <t xml:space="preserve">Costo del patrimonio    </t>
    </r>
    <r>
      <rPr>
        <b/>
        <sz val="16"/>
        <rFont val="Arial"/>
        <family val="2"/>
      </rPr>
      <t xml:space="preserve"> </t>
    </r>
    <r>
      <rPr>
        <b/>
        <sz val="16"/>
        <color rgb="FFFF0000"/>
        <rFont val="Arial"/>
        <family val="2"/>
      </rPr>
      <t>i</t>
    </r>
    <r>
      <rPr>
        <b/>
        <vertAlign val="subscript"/>
        <sz val="16"/>
        <color rgb="FFFF0000"/>
        <rFont val="Arial"/>
        <family val="2"/>
      </rPr>
      <t>k</t>
    </r>
  </si>
  <si>
    <t>VALOR A FINANCIAR</t>
  </si>
  <si>
    <t>FINANCIACIÓN DE LAS INVERSIONES</t>
  </si>
  <si>
    <t>Gastos desarrollo de planes</t>
  </si>
  <si>
    <t>Inversión en equipos de planes</t>
  </si>
  <si>
    <t>Riesgo adicional por PRODUCTO 3</t>
  </si>
  <si>
    <t>Riesgo adicional por apertura tienda virtual</t>
  </si>
  <si>
    <t>Riesgo adicional por ampliación planta</t>
  </si>
  <si>
    <t>PRIMA DE RIESGO COMPAÑÍA</t>
  </si>
  <si>
    <t>Valor básico riesgo compañía</t>
  </si>
  <si>
    <t>FCL</t>
  </si>
  <si>
    <t>(1 - 2) FCL</t>
  </si>
  <si>
    <t>las estrategias que debe seguir en los próximos años. La información que ofrece es la siguiente:</t>
  </si>
  <si>
    <t>% de gastos</t>
  </si>
  <si>
    <t>Mercado nuevo que actualmente tiene alto crecimiento. Debido a ser pioneros puede ganarse participación en el mercado</t>
  </si>
  <si>
    <t>0 NO AMPLIAR</t>
  </si>
  <si>
    <t>1 DEUDA 25%</t>
  </si>
  <si>
    <t>FINANCIACIÓN DE NUEVAS INVERSIONES</t>
  </si>
  <si>
    <t>1 AMPLIAR</t>
  </si>
  <si>
    <t>Distribución de utilidades</t>
  </si>
  <si>
    <t>Crecimiento mercado PTO 1</t>
  </si>
  <si>
    <t>AÑO ==&gt;</t>
  </si>
  <si>
    <t>C Contable: VCK al inicio del año</t>
  </si>
  <si>
    <t>INDICADORES UTILIZADOS:</t>
  </si>
  <si>
    <t>Ver nota</t>
  </si>
  <si>
    <t>Factor</t>
  </si>
  <si>
    <t>Puntaje 0-4 según riesgo de la empresa</t>
  </si>
  <si>
    <t>Tamaño de la compañía</t>
  </si>
  <si>
    <t>Nivel de la gerencia</t>
  </si>
  <si>
    <t>Dependencia de empleados claves</t>
  </si>
  <si>
    <t>Concentración proveedores</t>
  </si>
  <si>
    <t>Concentración de clientes</t>
  </si>
  <si>
    <t>Sistema de auditoría</t>
  </si>
  <si>
    <t>Sistemas de Calidad</t>
  </si>
  <si>
    <t xml:space="preserve">Riesgo geográfico </t>
  </si>
  <si>
    <t>TOTAL PUNTAJE</t>
  </si>
  <si>
    <t>Fuente: Titman, Sheridan. Valoración. Pearson - 2009 Pág. 135</t>
  </si>
  <si>
    <t>Prima básica de riesgo compañía</t>
  </si>
  <si>
    <t>Ajuste por características de la empresa</t>
  </si>
  <si>
    <t>Variación real precio de venta</t>
  </si>
  <si>
    <t>Gastos bancarios</t>
  </si>
  <si>
    <t>Crecimiento de la economía - PIB</t>
  </si>
  <si>
    <t>Gradiente real - g</t>
  </si>
  <si>
    <t>0 DEUDA 0%</t>
  </si>
  <si>
    <t>Producto 3</t>
  </si>
  <si>
    <t>HIPÓTESIS SOBRE ENTORNO MACROECONÓMICO</t>
  </si>
  <si>
    <t>VENTAS POR PRODUCTO - VALOR</t>
  </si>
  <si>
    <t>RESUMEN DE VENTAS</t>
  </si>
  <si>
    <t>MEZCAL DE VENTAS</t>
  </si>
  <si>
    <t>VENTAS TOTALES</t>
  </si>
  <si>
    <t>MOVIMIENTOS DE OPERACIÓN</t>
  </si>
  <si>
    <t>Recaudo por ventas</t>
  </si>
  <si>
    <t>Rendimiento inversiones temporales</t>
  </si>
  <si>
    <t>TOTAL ENTRADAS DE OPERACIÓN</t>
  </si>
  <si>
    <t>Pago de impuestos</t>
  </si>
  <si>
    <t>TOTAL SALIDAS DE OPERACIÓN</t>
  </si>
  <si>
    <t>FLUJO NETO DE OPERACIÓN</t>
  </si>
  <si>
    <t>MOVIMIENTOS DE INVERSIÓN</t>
  </si>
  <si>
    <t>Compra activos</t>
  </si>
  <si>
    <t>FLUJO NETO DE INVERSIÓN</t>
  </si>
  <si>
    <t>FLUJO DEL PERIODO DESPUÉS DE INVERSIONES</t>
  </si>
  <si>
    <t>MOVIMIENTOS DE FINANCIACIÓN</t>
  </si>
  <si>
    <t>Créditos recibidos</t>
  </si>
  <si>
    <t>Aportes</t>
  </si>
  <si>
    <t>TOTAL ENTRADAS DE FINANCIACIÓN</t>
  </si>
  <si>
    <t>Pago de Intereses</t>
  </si>
  <si>
    <t>TOTAL SALIDAS DE FINANCIACIÓN</t>
  </si>
  <si>
    <t>FLUJO NETO DE FINANCIACIÓN</t>
  </si>
  <si>
    <t>SALDO FINAL</t>
  </si>
  <si>
    <t>INDICADORES FINANCIEROS</t>
  </si>
  <si>
    <t>Crecimiento % entradas de operación</t>
  </si>
  <si>
    <t>Crecimiento % salidas de operación</t>
  </si>
  <si>
    <t>Salidas operación / entradas operación</t>
  </si>
  <si>
    <t>Pago a socios / entradas de operación</t>
  </si>
  <si>
    <t>D  /  K</t>
  </si>
  <si>
    <t>ESTADO DE SITUACIÓN FINANCIERA PROYECTADO</t>
  </si>
  <si>
    <t>Aporte del patrimonio</t>
  </si>
  <si>
    <t>Esperado</t>
  </si>
  <si>
    <t>Expansión</t>
  </si>
  <si>
    <t>Recesión</t>
  </si>
  <si>
    <t>Ajuste macro</t>
  </si>
  <si>
    <t>POLÍTICA SOBRE FINANCIACIÓN DE NUEVAS INVERSIONES</t>
  </si>
  <si>
    <t>Ajuste por características empresa</t>
  </si>
  <si>
    <t>Número del escenario</t>
  </si>
  <si>
    <t>Número de escenario</t>
  </si>
  <si>
    <t>Barreras de entrada</t>
  </si>
  <si>
    <t>PROMEDIO</t>
  </si>
  <si>
    <t xml:space="preserve">Facilidad de acceso a capital </t>
  </si>
  <si>
    <t>Capacidad de distribución</t>
  </si>
  <si>
    <t>Capacidad de innovación</t>
  </si>
  <si>
    <t>NewRiskfreerate (nyu.edu)</t>
  </si>
  <si>
    <t>Fuente metodología: www.damodaran.com</t>
  </si>
  <si>
    <t>ESTADO DE CAMBIOS EN EL PATRIMONIO</t>
  </si>
  <si>
    <t>PATRIMONIO INICIAL</t>
  </si>
  <si>
    <t>Variación del capital</t>
  </si>
  <si>
    <t>Variación neta</t>
  </si>
  <si>
    <t>PATRIMONIO FINAL</t>
  </si>
  <si>
    <t>ANÁLISIS VERTICAL DEL ESTADO DE CAMBIOS EN EL PATRIMONIO</t>
  </si>
  <si>
    <t>PRESENTACIÓN CLASIFICADA DEL FLUJO DE TESORERÍA</t>
  </si>
  <si>
    <t>Inversiones en activos fijos 2021</t>
  </si>
  <si>
    <t>DTF real (promedio año)</t>
  </si>
  <si>
    <t>Margen</t>
  </si>
  <si>
    <t>Plazo restante</t>
  </si>
  <si>
    <t>Margen sobre DTF en créditos</t>
  </si>
  <si>
    <t>Rentabilidad real inversiones temporales</t>
  </si>
  <si>
    <t>POLÍTICA DE INVERSIONES PERMANENTES</t>
  </si>
  <si>
    <t>millones</t>
  </si>
  <si>
    <t>se invierte el excedente al año siguiente</t>
  </si>
  <si>
    <t>Rentabilidad inversiones permanentes</t>
  </si>
  <si>
    <t>Inversiones permanentes</t>
  </si>
  <si>
    <r>
      <t xml:space="preserve">sobre el saldo de inversiones del </t>
    </r>
    <r>
      <rPr>
        <b/>
        <sz val="14"/>
        <color rgb="FF0000CC"/>
        <rFont val="Arial"/>
        <family val="2"/>
      </rPr>
      <t>mismo año</t>
    </r>
  </si>
  <si>
    <t>Actualización digital</t>
  </si>
  <si>
    <t>Apalancamiento operativo</t>
  </si>
  <si>
    <t>Crecimiento de la demanda</t>
  </si>
  <si>
    <t>Favorabilidad de aranceles/subsidios</t>
  </si>
  <si>
    <t>Favorabilidad de legislación/impuestos</t>
  </si>
  <si>
    <t>Evolución del precio</t>
  </si>
  <si>
    <t>Exigencias de innovación</t>
  </si>
  <si>
    <t>Puntaje ENTRE -2 y 2 (expectativas de riesgo del sector)
-2 perjudicial para el sector &lt;=========&gt; favorable para el sector +2</t>
  </si>
  <si>
    <t>UAII</t>
  </si>
  <si>
    <t>Ejemplo apalancamiento operativo</t>
  </si>
  <si>
    <t>Tabla para clasificar apalancamiento</t>
  </si>
  <si>
    <t>Tabla para clasificar cobertura intereses</t>
  </si>
  <si>
    <t>Ampliación</t>
  </si>
  <si>
    <t>Tienda</t>
  </si>
  <si>
    <t>Porcentaje de impuestos que se paga en el mismo año</t>
  </si>
  <si>
    <t>Proyecciones Investigaciones Económicas Bancolombia</t>
  </si>
  <si>
    <t>&lt;== Fuente: Investigaciones Económicas Bancolombia</t>
  </si>
  <si>
    <t>Ciclo de caja del año siguiente</t>
  </si>
  <si>
    <t>EFECTIVO MÍNIMO a fin de año</t>
  </si>
  <si>
    <t>PIB para escenario esperado ==&gt;</t>
  </si>
  <si>
    <t>Utilidades (pérdidas) acumuladas</t>
  </si>
  <si>
    <t>Gasto crédito de tesorería</t>
  </si>
  <si>
    <t>Pago intereses crédito de tesorería</t>
  </si>
  <si>
    <t>Financiado con flujo operativo</t>
  </si>
  <si>
    <t>Variación del capital (aportes)</t>
  </si>
  <si>
    <t>Aportes del año / Variación patrimonio</t>
  </si>
  <si>
    <t>Utilidad / Variación patrimonio</t>
  </si>
  <si>
    <t>Distribución utilidad / Variación patrimonio</t>
  </si>
  <si>
    <t>FINANCIACIÓN DEL PATRIMONIO</t>
  </si>
  <si>
    <t>Estructura de capital</t>
  </si>
  <si>
    <r>
      <rPr>
        <b/>
        <sz val="12"/>
        <rFont val="Symbol"/>
        <family val="1"/>
        <charset val="2"/>
      </rPr>
      <t>b</t>
    </r>
    <r>
      <rPr>
        <b/>
        <vertAlign val="subscript"/>
        <sz val="12"/>
        <rFont val="Arial"/>
        <family val="2"/>
      </rPr>
      <t>U</t>
    </r>
    <r>
      <rPr>
        <b/>
        <sz val="12"/>
        <rFont val="Arial"/>
        <family val="2"/>
      </rPr>
      <t xml:space="preserve"> esperado según expectativas de riesgo del sector</t>
    </r>
  </si>
  <si>
    <r>
      <rPr>
        <b/>
        <sz val="12"/>
        <rFont val="Symbol"/>
        <family val="1"/>
        <charset val="2"/>
      </rPr>
      <t>b</t>
    </r>
    <r>
      <rPr>
        <b/>
        <vertAlign val="subscript"/>
        <sz val="12"/>
        <rFont val="Arial"/>
        <family val="2"/>
      </rPr>
      <t>L</t>
    </r>
    <r>
      <rPr>
        <b/>
        <sz val="12"/>
        <rFont val="Arial"/>
        <family val="2"/>
      </rPr>
      <t xml:space="preserve"> del sector </t>
    </r>
    <r>
      <rPr>
        <sz val="12"/>
        <rFont val="Arial"/>
        <family val="2"/>
      </rPr>
      <t>(</t>
    </r>
    <r>
      <rPr>
        <sz val="12"/>
        <rFont val="Symbol"/>
        <family val="1"/>
        <charset val="2"/>
      </rPr>
      <t>b</t>
    </r>
    <r>
      <rPr>
        <vertAlign val="subscript"/>
        <sz val="12"/>
        <rFont val="Arial"/>
        <family val="2"/>
      </rPr>
      <t>U</t>
    </r>
    <r>
      <rPr>
        <sz val="12"/>
        <rFont val="Arial"/>
        <family val="2"/>
      </rPr>
      <t xml:space="preserve"> esperado ajustado con el riesgo financiero)</t>
    </r>
  </si>
  <si>
    <r>
      <rPr>
        <b/>
        <sz val="14"/>
        <rFont val="Symbol"/>
        <family val="1"/>
        <charset val="2"/>
      </rPr>
      <t>b</t>
    </r>
    <r>
      <rPr>
        <b/>
        <vertAlign val="subscript"/>
        <sz val="14"/>
        <rFont val="Arial"/>
        <family val="2"/>
      </rPr>
      <t>L</t>
    </r>
    <r>
      <rPr>
        <b/>
        <sz val="14"/>
        <rFont val="Arial"/>
        <family val="2"/>
      </rPr>
      <t xml:space="preserve">  </t>
    </r>
    <r>
      <rPr>
        <b/>
        <sz val="13"/>
        <rFont val="Arial"/>
        <family val="2"/>
      </rPr>
      <t>RIESGO OPERATIVO Y FINANCIERO DEL SECTOR</t>
    </r>
  </si>
  <si>
    <r>
      <t xml:space="preserve">BETA DESAPALANCADO     </t>
    </r>
    <r>
      <rPr>
        <b/>
        <sz val="14"/>
        <color theme="0"/>
        <rFont val="Symbol"/>
        <family val="1"/>
        <charset val="2"/>
      </rPr>
      <t>b</t>
    </r>
    <r>
      <rPr>
        <b/>
        <vertAlign val="subscript"/>
        <sz val="16"/>
        <color theme="0"/>
        <rFont val="Arial"/>
        <family val="2"/>
      </rPr>
      <t>U</t>
    </r>
  </si>
  <si>
    <r>
      <t xml:space="preserve">Para calcular </t>
    </r>
    <r>
      <rPr>
        <sz val="12"/>
        <color rgb="FFFF0000"/>
        <rFont val="Symbol"/>
        <family val="1"/>
        <charset val="2"/>
      </rPr>
      <t>b</t>
    </r>
    <r>
      <rPr>
        <vertAlign val="subscript"/>
        <sz val="12"/>
        <color rgb="FFFF0000"/>
        <rFont val="Arial"/>
        <family val="2"/>
      </rPr>
      <t>L</t>
    </r>
    <r>
      <rPr>
        <sz val="12"/>
        <color rgb="FFFF0000"/>
        <rFont val="Arial"/>
        <family val="2"/>
      </rPr>
      <t xml:space="preserve"> se ajusta </t>
    </r>
    <r>
      <rPr>
        <sz val="12"/>
        <color rgb="FFFF0000"/>
        <rFont val="Symbol"/>
        <family val="1"/>
        <charset val="2"/>
      </rPr>
      <t>b</t>
    </r>
    <r>
      <rPr>
        <vertAlign val="subscript"/>
        <sz val="12"/>
        <color rgb="FFFF0000"/>
        <rFont val="Arial"/>
        <family val="2"/>
      </rPr>
      <t>U</t>
    </r>
    <r>
      <rPr>
        <sz val="12"/>
        <color rgb="FFFF0000"/>
        <rFont val="Arial"/>
        <family val="2"/>
      </rPr>
      <t xml:space="preserve"> con el riesgo esperado del sector y con el riesgo financiero de la empresa</t>
    </r>
  </si>
  <si>
    <t>&lt;== Solo incluye riesgo operativo actual</t>
  </si>
  <si>
    <t>Estructura de capital de la empresa   D / K</t>
  </si>
  <si>
    <r>
      <t xml:space="preserve">Ajustes a </t>
    </r>
    <r>
      <rPr>
        <b/>
        <sz val="14"/>
        <color theme="0"/>
        <rFont val="Symbol"/>
        <family val="1"/>
        <charset val="2"/>
      </rPr>
      <t>b</t>
    </r>
    <r>
      <rPr>
        <b/>
        <vertAlign val="subscript"/>
        <sz val="14"/>
        <color theme="0"/>
        <rFont val="Arial"/>
        <family val="2"/>
      </rPr>
      <t>U</t>
    </r>
    <r>
      <rPr>
        <b/>
        <sz val="14"/>
        <color theme="0"/>
        <rFont val="Arial"/>
        <family val="2"/>
      </rPr>
      <t xml:space="preserve"> por riesgo </t>
    </r>
    <r>
      <rPr>
        <b/>
        <u/>
        <sz val="14"/>
        <color theme="0"/>
        <rFont val="Arial"/>
        <family val="2"/>
      </rPr>
      <t>operativo</t>
    </r>
    <r>
      <rPr>
        <b/>
        <sz val="14"/>
        <color theme="0"/>
        <rFont val="Arial"/>
        <family val="2"/>
      </rPr>
      <t xml:space="preserve"> esperado del </t>
    </r>
    <r>
      <rPr>
        <b/>
        <u/>
        <sz val="14"/>
        <color theme="0"/>
        <rFont val="Arial"/>
        <family val="2"/>
      </rPr>
      <t>sector</t>
    </r>
  </si>
  <si>
    <r>
      <t xml:space="preserve">Ajustes a </t>
    </r>
    <r>
      <rPr>
        <b/>
        <sz val="14"/>
        <color theme="0"/>
        <rFont val="Symbol"/>
        <family val="1"/>
        <charset val="2"/>
      </rPr>
      <t>b</t>
    </r>
    <r>
      <rPr>
        <b/>
        <vertAlign val="subscript"/>
        <sz val="14"/>
        <color theme="0"/>
        <rFont val="Arial"/>
        <family val="2"/>
      </rPr>
      <t>U</t>
    </r>
    <r>
      <rPr>
        <b/>
        <sz val="14"/>
        <color theme="0"/>
        <rFont val="Arial"/>
        <family val="2"/>
      </rPr>
      <t xml:space="preserve"> por riesgo </t>
    </r>
    <r>
      <rPr>
        <b/>
        <u/>
        <sz val="14"/>
        <color theme="0"/>
        <rFont val="Arial"/>
        <family val="2"/>
      </rPr>
      <t>financiero</t>
    </r>
    <r>
      <rPr>
        <b/>
        <sz val="14"/>
        <color theme="0"/>
        <rFont val="Arial"/>
        <family val="2"/>
      </rPr>
      <t xml:space="preserve"> de la </t>
    </r>
    <r>
      <rPr>
        <b/>
        <u/>
        <sz val="14"/>
        <color theme="0"/>
        <rFont val="Arial"/>
        <family val="2"/>
      </rPr>
      <t>empresa</t>
    </r>
  </si>
  <si>
    <r>
      <rPr>
        <sz val="12"/>
        <rFont val="Symbol"/>
        <family val="1"/>
        <charset val="2"/>
      </rPr>
      <t>b</t>
    </r>
    <r>
      <rPr>
        <vertAlign val="subscript"/>
        <sz val="12"/>
        <rFont val="Arial"/>
        <family val="2"/>
      </rPr>
      <t>U</t>
    </r>
    <r>
      <rPr>
        <sz val="12"/>
        <rFont val="Arial"/>
        <family val="2"/>
      </rPr>
      <t xml:space="preserve"> esperado</t>
    </r>
  </si>
  <si>
    <r>
      <rPr>
        <b/>
        <sz val="14"/>
        <color rgb="FFFF0000"/>
        <rFont val="Arial"/>
        <family val="2"/>
      </rPr>
      <t>K</t>
    </r>
    <r>
      <rPr>
        <sz val="12"/>
        <rFont val="Arial"/>
        <family val="2"/>
      </rPr>
      <t xml:space="preserve">  Patrimonio al </t>
    </r>
    <r>
      <rPr>
        <b/>
        <sz val="14"/>
        <color rgb="FFFF0000"/>
        <rFont val="Arial"/>
        <family val="2"/>
      </rPr>
      <t>inicio</t>
    </r>
    <r>
      <rPr>
        <sz val="12"/>
        <rFont val="Arial"/>
        <family val="2"/>
      </rPr>
      <t xml:space="preserve"> del año + Aportes efectuados </t>
    </r>
    <r>
      <rPr>
        <b/>
        <sz val="14"/>
        <color rgb="FFFF0000"/>
        <rFont val="Arial"/>
        <family val="2"/>
      </rPr>
      <t>durante</t>
    </r>
    <r>
      <rPr>
        <sz val="12"/>
        <rFont val="Arial"/>
        <family val="2"/>
      </rPr>
      <t xml:space="preserve"> el año                         </t>
    </r>
    <r>
      <rPr>
        <b/>
        <sz val="14"/>
        <color rgb="FFFF3300"/>
        <rFont val="Arial"/>
        <family val="2"/>
      </rPr>
      <t>K</t>
    </r>
  </si>
  <si>
    <t>0 NO AMPLIACION</t>
  </si>
  <si>
    <t>1 AMPLIACION</t>
  </si>
  <si>
    <t>ENTRADAS QUE SE MODIFICAN CON LA AMPLIACION DE LOS SERVICIOS OFRECIDOS</t>
  </si>
  <si>
    <t>Somos una institución privada prestadora de servicios de salud de primer nivel de complejidad, con atención ambulatoria, con acciones dirigidas a la promoción, prevención, diagnóstico, control y dispensación.</t>
  </si>
  <si>
    <t>FORMULAR ESTRATEGIAS TODOMED</t>
  </si>
  <si>
    <t>Actualmente la empresa presta sus servicios entre otros clientes a la EPS EMSSANAR SAS, compañía que se encuentra intervenida por la Superintendecia de Salud</t>
  </si>
  <si>
    <t>Participación en el mercado del valle Del Cauca</t>
  </si>
  <si>
    <t>Prestacion de servicios a particulares</t>
  </si>
  <si>
    <t>SERVICIOS TRADICIONALES</t>
  </si>
  <si>
    <t>NUEVOS SERVICIOS</t>
  </si>
  <si>
    <t>Estas inversiones generan una rentabilidad real del</t>
  </si>
  <si>
    <t>Se hacen inversiones permanentes cuando el saldo de las inversiones temporales supera los</t>
  </si>
  <si>
    <t>Dado que la EPS EMSSANAR SAS tiene un peso del 90% de la facturaacion de Todomed, es necesario diseñar otras lineas de negocio que le permitan no solo permanecer en el mercado si no crecer rapidamente</t>
  </si>
  <si>
    <t>AMPLIACIÓN DE PORTAFOLIO DE SERVICIOS DE SALUD MENTAL ==&gt;</t>
  </si>
  <si>
    <t>INVERSIÓN AMPLIACIÓN DE PORTAFOLIO DE SERVICIOS DE SALUD MENTAL</t>
  </si>
  <si>
    <t>DECISIÓN DE RECUDO DE CARTERA POR DESCUENTO POR PRONTO PAGO ==&gt;</t>
  </si>
  <si>
    <t>Participación en el mercado Salud Mental</t>
  </si>
  <si>
    <t>0 NO HACERLO</t>
  </si>
  <si>
    <t>1 HACERLO</t>
  </si>
  <si>
    <t>Gastos por hacer el descuento</t>
  </si>
  <si>
    <t>Tamaño del mercado</t>
  </si>
  <si>
    <t xml:space="preserve">Cantidad vendida </t>
  </si>
  <si>
    <t>ENTRADAS QUE SE MODIFICAN CON AMPLIACIÓN DE PORTAFOLIO DE SERVICIOS DE SALUD MENTAL</t>
  </si>
  <si>
    <t>Participación en el mercado del valle Del Cauca atencion a particulares</t>
  </si>
  <si>
    <t>Cantidad de pacientes membresía de plan complementario</t>
  </si>
  <si>
    <t>Precio de venta membresía de plan complementario</t>
  </si>
  <si>
    <t>Cantidad atencion de servicios domiciliarios</t>
  </si>
  <si>
    <t>Precio Atencion de servicios a particulares domiciliarios</t>
  </si>
  <si>
    <t>Ventas membresía de plan complementario</t>
  </si>
  <si>
    <t>Ventas Atencion de servicios a particulares domiciliarios</t>
  </si>
  <si>
    <t>PLAN</t>
  </si>
  <si>
    <t>VALOR UNITARIO</t>
  </si>
  <si>
    <t>No. PACIENTES</t>
  </si>
  <si>
    <t>VALOR ANUAL</t>
  </si>
  <si>
    <t>TOTAL ANUAL</t>
  </si>
  <si>
    <t>SERVICIO</t>
  </si>
  <si>
    <t>Consulta domiciliaria Medico General</t>
  </si>
  <si>
    <t>Valoración por Enfermera profesional</t>
  </si>
  <si>
    <t>Consulta domiciliaria Nutricionista</t>
  </si>
  <si>
    <t>Consulta domiciliaria Psicología / Seguimiento</t>
  </si>
  <si>
    <t>Consulta domiciliaria Trabajo Social / seguimiento</t>
  </si>
  <si>
    <t>Cuidados Básicos de Enfermería (6) horas (TURNOS)</t>
  </si>
  <si>
    <t>Cuidados Básicos de Enfermería (8) horas (TURNOS)</t>
  </si>
  <si>
    <t>Cuidados Básicos de Enfermería (12) Horas (TURNOS)</t>
  </si>
  <si>
    <t>Cuidados Básicos de Enfermería (24) Horas</t>
  </si>
  <si>
    <t>Terapia Fisica domiciliaria por sesion</t>
  </si>
  <si>
    <t>Terapia respiratoria domiciliaria por sesion</t>
  </si>
  <si>
    <t>Terapia fonoaudiologica domiciliaria por sesion</t>
  </si>
  <si>
    <t>Terapia ocupacional domiciliaria por sesion</t>
  </si>
  <si>
    <r>
      <t>Curaciones menores (incluye insumos) GRADO</t>
    </r>
    <r>
      <rPr>
        <i/>
        <sz val="12"/>
        <color rgb="FF000000"/>
        <rFont val="Times New Roman"/>
        <family val="1"/>
      </rPr>
      <t xml:space="preserve"> I</t>
    </r>
  </si>
  <si>
    <t>Curaciones mayores (incluye insumos y apositos especializados) GRADO II</t>
  </si>
  <si>
    <t xml:space="preserve">Terapia enterostomal (incluye insumos y apositos especializados) </t>
  </si>
  <si>
    <t>Aplicación de medicamentos 1 vez al dia</t>
  </si>
  <si>
    <t>Aplicación de medicamentos 2 vez al dia</t>
  </si>
  <si>
    <t>Aplicación de medicamentos 3 vez al dia</t>
  </si>
  <si>
    <t>Aplicación de medicamentos 4 vez al dia</t>
  </si>
  <si>
    <t>Via intramuscular o subcutanea</t>
  </si>
  <si>
    <t xml:space="preserve">Membresía Todomed </t>
  </si>
  <si>
    <t>DECISIÓN DE AMPLIACIÓN DE SERVICIOS OFRECIDOS A PARTICULARES==&gt;</t>
  </si>
  <si>
    <t>INDICADORES DE RENTABILIDAD</t>
  </si>
  <si>
    <t>MB</t>
  </si>
  <si>
    <t>MO</t>
  </si>
  <si>
    <t>MN</t>
  </si>
  <si>
    <t>MARGEN EBITDA</t>
  </si>
  <si>
    <t>INDICADORES DE LIQUIDEZ</t>
  </si>
  <si>
    <t>KP (CAPITAL DE TRABAJO)</t>
  </si>
  <si>
    <t>RC (RAZON CORRIENTE)</t>
  </si>
  <si>
    <t>PA (PRUEBA ACIDA)</t>
  </si>
  <si>
    <t>KTNO (CAPITAL DE TRABAJO NETRO OPERATIVO)</t>
  </si>
  <si>
    <t>PKT</t>
  </si>
  <si>
    <t>PDC</t>
  </si>
  <si>
    <t xml:space="preserve">FLUJO DE TESORERÍA </t>
  </si>
  <si>
    <t xml:space="preserve">EBIT (1 - tx)  UODI  </t>
  </si>
  <si>
    <t>1 REALISTA</t>
  </si>
  <si>
    <t>2 OPTIMISTA</t>
  </si>
  <si>
    <t>3 PESIMISTA</t>
  </si>
  <si>
    <r>
      <t xml:space="preserve">Crecimiento </t>
    </r>
    <r>
      <rPr>
        <b/>
        <u/>
        <sz val="12"/>
        <rFont val="Arial"/>
        <family val="2"/>
      </rPr>
      <t>REAL</t>
    </r>
    <r>
      <rPr>
        <sz val="12"/>
        <rFont val="Arial"/>
        <family val="2"/>
      </rPr>
      <t xml:space="preserve"> mercado 
PTO 3</t>
    </r>
  </si>
  <si>
    <t>Nombre escenario</t>
  </si>
  <si>
    <t>3 DEUDA 50%</t>
  </si>
  <si>
    <t xml:space="preserve">Crecimiento mercado </t>
  </si>
  <si>
    <r>
      <t xml:space="preserve">Crecimiento </t>
    </r>
    <r>
      <rPr>
        <b/>
        <u/>
        <sz val="12"/>
        <rFont val="Arial"/>
        <family val="2"/>
      </rPr>
      <t>REAL</t>
    </r>
    <r>
      <rPr>
        <sz val="12"/>
        <rFont val="Arial"/>
        <family val="2"/>
      </rPr>
      <t xml:space="preserve"> mercado 
</t>
    </r>
  </si>
  <si>
    <t>2 DEUDA 50%</t>
  </si>
  <si>
    <t>NO AMPLIAR</t>
  </si>
  <si>
    <t>AMPLIAR</t>
  </si>
  <si>
    <t>OPTIMIZAR SEDE SALUD MENTAL</t>
  </si>
  <si>
    <t>AMPLIAR LOS SERVICIOS OFRECIDOS A PARTICULARES</t>
  </si>
  <si>
    <t xml:space="preserve">NO HACER DESCUENTO POR PRONTO PAGO </t>
  </si>
  <si>
    <t>En esta región se prestan en este memento el 100% de los servicios de la empresa. Dada la coyuntura actual del sector salud se tiene una perspectiva de alto crecimiento  en el mercado</t>
  </si>
  <si>
    <r>
      <t xml:space="preserve">Tasa de crecimiento </t>
    </r>
    <r>
      <rPr>
        <b/>
        <u/>
        <sz val="12"/>
        <rFont val="Arial"/>
        <family val="2"/>
      </rPr>
      <t>REAL*</t>
    </r>
    <r>
      <rPr>
        <sz val="12"/>
        <rFont val="Arial"/>
        <family val="2"/>
      </rPr>
      <t xml:space="preserve"> del mercado</t>
    </r>
  </si>
  <si>
    <r>
      <t xml:space="preserve">Tasa de crecimiento </t>
    </r>
    <r>
      <rPr>
        <b/>
        <u/>
        <sz val="12"/>
        <rFont val="Arial"/>
        <family val="2"/>
      </rPr>
      <t>NOMINAL</t>
    </r>
    <r>
      <rPr>
        <sz val="12"/>
        <rFont val="Arial"/>
        <family val="2"/>
      </rPr>
      <t xml:space="preserve"> del mercado</t>
    </r>
  </si>
  <si>
    <r>
      <t>Utilidades del ejercicio (</t>
    </r>
    <r>
      <rPr>
        <b/>
        <sz val="12"/>
        <rFont val="Arial"/>
        <family val="2"/>
      </rPr>
      <t>año anterior</t>
    </r>
    <r>
      <rPr>
        <sz val="12"/>
        <rFont val="Arial"/>
        <family val="2"/>
      </rPr>
      <t>)</t>
    </r>
  </si>
  <si>
    <r>
      <t>Utilidades (pérdidas) acumuladas (</t>
    </r>
    <r>
      <rPr>
        <b/>
        <sz val="12"/>
        <rFont val="Arial"/>
        <family val="2"/>
      </rPr>
      <t>año anterior</t>
    </r>
    <r>
      <rPr>
        <sz val="12"/>
        <rFont val="Arial"/>
        <family val="2"/>
      </rPr>
      <t>)</t>
    </r>
  </si>
  <si>
    <t>DISPONIBLE PARA DISTRIBUIR - BRUTO</t>
  </si>
  <si>
    <t>DISPONIBLE PARA DISTRIBUIR - NETO</t>
  </si>
  <si>
    <t>DISTRIBUCIÓN Y RETENCIÓN DE UTILIDADES</t>
  </si>
  <si>
    <t xml:space="preserve">ESCENARIO REALISTA MENSUAL </t>
  </si>
  <si>
    <t xml:space="preserve">ESCENARIO REALISTA ANUAL </t>
  </si>
  <si>
    <t xml:space="preserve">ESCENARIO OPTIMISTA MENSUAL </t>
  </si>
  <si>
    <t xml:space="preserve">ESCENARIO OPTIMISTA ANUAL </t>
  </si>
  <si>
    <t>Resumen PyG Sede Salud Mental</t>
  </si>
  <si>
    <t>Resumen PyG Proyectado Sede Salud Mental</t>
  </si>
  <si>
    <t>COMPORTAMIENTO DE PACIENTES 2021</t>
  </si>
  <si>
    <t>VENTAS (Datos Dpto Facturación)</t>
  </si>
  <si>
    <t>EMSSANAR SALUD MENTAL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</si>
  <si>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</si>
  <si>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</si>
  <si>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</si>
  <si>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</si>
  <si>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</si>
  <si>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</si>
  <si>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</si>
  <si>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</si>
  <si>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</si>
  <si>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</si>
  <si>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</si>
  <si>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</si>
  <si>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</si>
  <si>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COSTOS</t>
  </si>
  <si>
    <t xml:space="preserve">CAPACIDAD INSTALADA </t>
  </si>
  <si>
    <t>Servicios Personal Asistencial</t>
  </si>
  <si>
    <t>PACIENTES ATENDIDOS</t>
  </si>
  <si>
    <t>Servicio Asistencial / Administrativos</t>
  </si>
  <si>
    <t>FACTURACIÓN PAC PROMEDIO 2021</t>
  </si>
  <si>
    <t>Medicamentos</t>
  </si>
  <si>
    <t xml:space="preserve">FACTURACIÓN CAPACIDAD INSTALADA </t>
  </si>
  <si>
    <t>Insumos</t>
  </si>
  <si>
    <t>Suministros</t>
  </si>
  <si>
    <t>Hospitalaria</t>
  </si>
  <si>
    <t>Laboratorio</t>
  </si>
  <si>
    <t xml:space="preserve">Internacion </t>
  </si>
  <si>
    <t>Alimentación Pacientes</t>
  </si>
  <si>
    <t>Dotación (Camas ** Equipos)</t>
  </si>
  <si>
    <t>Equipos</t>
  </si>
  <si>
    <t>5 años</t>
  </si>
  <si>
    <t>Transporte Pacientes</t>
  </si>
  <si>
    <t>Muebles y enseres</t>
  </si>
  <si>
    <t>10 años</t>
  </si>
  <si>
    <t>UTILIDAD OPERATIVA</t>
  </si>
  <si>
    <t>Contruccion</t>
  </si>
  <si>
    <t>20 años</t>
  </si>
  <si>
    <t>GASTOS ADMINISTRATIVOS</t>
  </si>
  <si>
    <t>Personal Administrativo</t>
  </si>
  <si>
    <t xml:space="preserve">Inversion </t>
  </si>
  <si>
    <t>Servicios Administrativos</t>
  </si>
  <si>
    <t xml:space="preserve">Lote </t>
  </si>
  <si>
    <t>TOTAL COSTOS Y GASTOS ADMINISTRATIVOS</t>
  </si>
  <si>
    <t xml:space="preserve">Construucion </t>
  </si>
  <si>
    <t>UTILIDAD ANTES DE IMPUESTOS</t>
  </si>
  <si>
    <t>Impuesto de Renta (35%)</t>
  </si>
  <si>
    <t>Camillas</t>
  </si>
  <si>
    <t>MM</t>
  </si>
  <si>
    <t>TOTAL IMPUESTOS</t>
  </si>
  <si>
    <t>UTILIDAD NETA DICIEMBRE 2023</t>
  </si>
  <si>
    <t>UTILIDAD NETA A DICIEMBRE 2023</t>
  </si>
  <si>
    <t>UTILIDAD NETA MENSUAL</t>
  </si>
  <si>
    <t>UTILIDAD NETA AÑO</t>
  </si>
  <si>
    <t xml:space="preserve">Tasa de crecimiento </t>
  </si>
  <si>
    <t>A 31 de dciembre</t>
  </si>
  <si>
    <t>(Miles de de pesos colombianos)</t>
  </si>
  <si>
    <t>ANALISIS DE ESTRUCTURA (VERTICAL)</t>
  </si>
  <si>
    <t>ANALISIS DE TENDENCIA $ (HORIZONTAL)</t>
  </si>
  <si>
    <t>ANALISIS DE TENDENCIA % (HORIZONTAL)</t>
  </si>
  <si>
    <t>Efectivo y equivalentes a efectivo</t>
  </si>
  <si>
    <t xml:space="preserve">Inversiones </t>
  </si>
  <si>
    <t>Deudores, neto</t>
  </si>
  <si>
    <t xml:space="preserve">   Clientes locales</t>
  </si>
  <si>
    <t xml:space="preserve">   Cuentas por cobrar</t>
  </si>
  <si>
    <t xml:space="preserve">   Anticipos y avances</t>
  </si>
  <si>
    <t xml:space="preserve">   Ingresos por cobrar </t>
  </si>
  <si>
    <t xml:space="preserve">   Anticipo de impuestos y contribuciones</t>
  </si>
  <si>
    <t xml:space="preserve">  Cuentas por cobrar a trabajadores</t>
  </si>
  <si>
    <t xml:space="preserve">  Deudores varios</t>
  </si>
  <si>
    <t>Deterioro de cartera</t>
  </si>
  <si>
    <t>Inventarios netos</t>
  </si>
  <si>
    <t>TOTAL ACTIVOS CORRIENTES</t>
  </si>
  <si>
    <t>PP&amp;E , neto</t>
  </si>
  <si>
    <t>TOTAL ACTIVOS NO CORRIENTES</t>
  </si>
  <si>
    <t xml:space="preserve">Obligaciones financieras </t>
  </si>
  <si>
    <t>Proveedores</t>
  </si>
  <si>
    <t>Deudas con accionistas</t>
  </si>
  <si>
    <t>Dividendos o participaciones por pagar</t>
  </si>
  <si>
    <t>Retenciòn por pagar</t>
  </si>
  <si>
    <t>Impuestos, gravamenes y tasas</t>
  </si>
  <si>
    <t>Obligaciones laborales</t>
  </si>
  <si>
    <t>Anticipos y avances</t>
  </si>
  <si>
    <t>TOTAL PASIVOS CORRIENTES</t>
  </si>
  <si>
    <t>Capital social</t>
  </si>
  <si>
    <t>Revalorización Patrimonio</t>
  </si>
  <si>
    <t>Utilidad de ejercicios anteriores</t>
  </si>
  <si>
    <t xml:space="preserve">Utilidad ejercicio </t>
  </si>
  <si>
    <t>TOTAL PASIVO Y PATRIMONIO</t>
  </si>
  <si>
    <t>Ingresos operacionales</t>
  </si>
  <si>
    <t xml:space="preserve">  Administraciòn</t>
  </si>
  <si>
    <t xml:space="preserve">  Ventas</t>
  </si>
  <si>
    <t>Total gastos operacionales</t>
  </si>
  <si>
    <t xml:space="preserve">Utilidad Operacional </t>
  </si>
  <si>
    <t>Otros ingresos (egresos) no operacionales:</t>
  </si>
  <si>
    <t>Ingresos financieros</t>
  </si>
  <si>
    <t>Gastos financieros</t>
  </si>
  <si>
    <t>Gastos  no operacionales</t>
  </si>
  <si>
    <t>Utilidad antes de la provis. Impuestos</t>
  </si>
  <si>
    <t>Provisión impuestos renta</t>
  </si>
  <si>
    <t>Utilidad neta consolidada</t>
  </si>
  <si>
    <t>**** Gasto depreciacón</t>
  </si>
  <si>
    <t xml:space="preserve">INIDCADORES DE ACTIVIDAD </t>
  </si>
  <si>
    <t>CARTERA NETA</t>
  </si>
  <si>
    <t>ROTACION DE CARTERA</t>
  </si>
  <si>
    <t>DIAS DE CARTERA</t>
  </si>
  <si>
    <t>ROTACION DE INVENTARIOS</t>
  </si>
  <si>
    <t>DIAS DE INVENTARIO</t>
  </si>
  <si>
    <t>ROTACION DE PROVEEDORES</t>
  </si>
  <si>
    <t>DIAS DE PROVEEDORES</t>
  </si>
  <si>
    <t>CICLO OPERACIONAL</t>
  </si>
  <si>
    <t>CICLO DE CAJA</t>
  </si>
  <si>
    <t>ROTACION DEL ACTIVO TOTAL</t>
  </si>
  <si>
    <t>ROTACION DEL ACTIVO FIJO</t>
  </si>
  <si>
    <t>ROTACION DEL ACTIVO CORRIENTE</t>
  </si>
  <si>
    <t>ROTACION DEL PATRIMONIO (equitim)</t>
  </si>
  <si>
    <t>INDICADORES DE ENDEUDAMIENTO</t>
  </si>
  <si>
    <t>NIVEL DE ENDEUDAMIENTO</t>
  </si>
  <si>
    <t>CONCENTRACION DEL ENDEUDAMIENTO</t>
  </si>
  <si>
    <t>COBERTURA DE INTERES 1</t>
  </si>
  <si>
    <t>COBERTURA DE INTERES 2</t>
  </si>
  <si>
    <t>ENDEUDAMIENTO FINANCIERO 1</t>
  </si>
  <si>
    <t>ENDEUDAMIENTO FINANCIERO 2</t>
  </si>
  <si>
    <t>IMPACTO DE LA CARGA FINANCIERA</t>
  </si>
  <si>
    <t>LEVERAGE TOTAL</t>
  </si>
  <si>
    <t>LEVERAGE CP</t>
  </si>
  <si>
    <t>LEVERAGE FINANCIERO</t>
  </si>
  <si>
    <t>INDUCTORES DE VALOR</t>
  </si>
  <si>
    <t>TRR</t>
  </si>
  <si>
    <t>Kd</t>
  </si>
  <si>
    <t>Kdt = Kd*(1-TAX)</t>
  </si>
  <si>
    <t>UAII (EBIT)</t>
  </si>
  <si>
    <t>UODI  (UAII*(1-TAX)</t>
  </si>
  <si>
    <t>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</si>
</sst>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#,##0_ ;\(#,##0\)"/>
    <numFmt numFmtId="166" formatCode="#,##0.0%_ ;\(#,##0.0%\)"/>
    <numFmt numFmtId="167" formatCode="0.0%"/>
    <numFmt numFmtId="168" formatCode="#,##0.0_ ;\(#,##0.0\)"/>
    <numFmt numFmtId="169" formatCode="_-* #,##0\ _€_-;\-* #,##0\ _€_-;_-* &quot;-&quot;??\ _€_-;_-@_-"/>
    <numFmt numFmtId="170" formatCode="mmm\-yyyy"/>
    <numFmt numFmtId="171" formatCode="#,##0%_ ;\(#,##0%\)"/>
    <numFmt numFmtId="172" formatCode="_ [$€-2]\ * #,##0.00_ ;_ [$€-2]\ * \-#,##0.00_ ;_ [$€-2]\ * &quot;-&quot;??_ "/>
    <numFmt numFmtId="173" formatCode="#,##0.0_);\(#,##0.0\)"/>
    <numFmt numFmtId="174" formatCode="0.0"/>
    <numFmt numFmtId="175" formatCode="0.0%\ ;\(0.0%\)"/>
    <numFmt numFmtId="176" formatCode="_ * #,##0.00_ ;_ * \-#,##0.00_ ;_ * &quot;-&quot;??_ ;_ @_ "/>
    <numFmt numFmtId="177" formatCode="&quot;D = &quot;#,##0.0%_ ;\(#,##0.0%\)"/>
    <numFmt numFmtId="178" formatCode="_ * #,##0_ ;_ * \-#,##0_ ;_ * &quot;-&quot;??_ ;_ @_ "/>
    <numFmt numFmtId="179" formatCode="#,##0\ ;\(#,##0\)"/>
    <numFmt numFmtId="180" formatCode="#,##0.00%_ ;\(#,##0.00%\)"/>
    <numFmt numFmtId="181" formatCode="#,##0.0"/>
    <numFmt numFmtId="182" formatCode="&quot;Año &quot;0"/>
    <numFmt numFmtId="183" formatCode="&quot;Rf = &quot;0.0%"/>
    <numFmt numFmtId="184" formatCode="#,##0.0000"/>
    <numFmt numFmtId="185" formatCode="_(* #,##0.00_);_(* \(#,##0.00\);_(* &quot;-&quot;??_);_(@_)"/>
    <numFmt numFmtId="186" formatCode="_-&quot;$&quot;\ * #,##0.00_-;\-&quot;$&quot;\ * #,##0.00_-;_-&quot;$&quot;\ * &quot;-&quot;_-;_-@_-"/>
    <numFmt numFmtId="187" formatCode="_-&quot;$&quot;\ * #,##0.0000000_-;\-&quot;$&quot;\ * #,##0.0000000_-;_-&quot;$&quot;\ * &quot;-&quot;??_-;_-@_-"/>
    <numFmt numFmtId="188" formatCode="_-&quot;$&quot;\ * #,##0_-;\-&quot;$&quot;\ * #,##0_-;_-&quot;$&quot;\ * &quot;-&quot;??_-;_-@_-"/>
    <numFmt numFmtId="189" formatCode="0.00&quot;VECES&quot;"/>
    <numFmt numFmtId="190" formatCode="0&quot;DIAS&quot;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rgb="FF008000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4"/>
      <color rgb="FF00800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b/>
      <sz val="14"/>
      <color rgb="FFFF3300"/>
      <name val="Arial"/>
      <family val="2"/>
    </font>
    <font>
      <b/>
      <sz val="18"/>
      <color rgb="FF0000CC"/>
      <name val="Arial"/>
      <family val="2"/>
    </font>
    <font>
      <b/>
      <vertAlign val="subscript"/>
      <sz val="14"/>
      <color rgb="FFFF0000"/>
      <name val="Arial"/>
      <family val="2"/>
    </font>
    <font>
      <b/>
      <u/>
      <sz val="12"/>
      <name val="Arial"/>
      <family val="2"/>
    </font>
    <font>
      <b/>
      <vertAlign val="subscript"/>
      <sz val="12"/>
      <name val="Arial"/>
      <family val="2"/>
    </font>
    <font>
      <b/>
      <vertAlign val="subscript"/>
      <sz val="14"/>
      <color rgb="FF008000"/>
      <name val="Arial"/>
      <family val="2"/>
    </font>
    <font>
      <b/>
      <sz val="12"/>
      <color indexed="81"/>
      <name val="Tahoma"/>
      <family val="2"/>
    </font>
    <font>
      <b/>
      <sz val="16"/>
      <name val="Arial"/>
      <family val="2"/>
    </font>
    <font>
      <b/>
      <vertAlign val="subscript"/>
      <sz val="14"/>
      <name val="Arial"/>
      <family val="2"/>
    </font>
    <font>
      <b/>
      <sz val="14"/>
      <color rgb="FF0000CC"/>
      <name val="Arial"/>
      <family val="2"/>
    </font>
    <font>
      <b/>
      <sz val="12"/>
      <color rgb="FF008000"/>
      <name val="Arial"/>
      <family val="2"/>
    </font>
    <font>
      <b/>
      <sz val="14"/>
      <color theme="1"/>
      <name val="Arial"/>
      <family val="2"/>
    </font>
    <font>
      <b/>
      <vertAlign val="subscript"/>
      <sz val="16"/>
      <color rgb="FFFF0000"/>
      <name val="Arial"/>
      <family val="2"/>
    </font>
    <font>
      <sz val="18"/>
      <color theme="0"/>
      <name val="Arial"/>
      <family val="2"/>
    </font>
    <font>
      <b/>
      <sz val="12"/>
      <name val="Symbol"/>
      <family val="1"/>
      <charset val="2"/>
    </font>
    <font>
      <b/>
      <sz val="16"/>
      <color rgb="FF0000CC"/>
      <name val="Arial"/>
      <family val="2"/>
    </font>
    <font>
      <b/>
      <sz val="20"/>
      <color theme="1"/>
      <name val="Arial"/>
      <family val="2"/>
    </font>
    <font>
      <sz val="20"/>
      <color rgb="FFFF0000"/>
      <name val="Arial"/>
      <family val="2"/>
    </font>
    <font>
      <b/>
      <vertAlign val="subscript"/>
      <sz val="16"/>
      <name val="Arial"/>
      <family val="2"/>
    </font>
    <font>
      <b/>
      <sz val="14"/>
      <name val="Symbol"/>
      <family val="1"/>
      <charset val="2"/>
    </font>
    <font>
      <b/>
      <sz val="11"/>
      <color indexed="10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6"/>
      <color rgb="FFFFFF00"/>
      <name val="Arial"/>
      <family val="2"/>
    </font>
    <font>
      <sz val="16"/>
      <color rgb="FFFFFF00"/>
      <name val="Arial"/>
      <family val="2"/>
    </font>
    <font>
      <b/>
      <sz val="11"/>
      <color rgb="FFFF0000"/>
      <name val="Arial"/>
      <family val="2"/>
    </font>
    <font>
      <sz val="9"/>
      <color theme="0"/>
      <name val="Arial"/>
      <family val="2"/>
    </font>
    <font>
      <b/>
      <sz val="10"/>
      <color rgb="FF008000"/>
      <name val="Arial"/>
      <family val="2"/>
    </font>
    <font>
      <sz val="12"/>
      <color indexed="81"/>
      <name val="Tahoma"/>
      <family val="2"/>
    </font>
    <font>
      <u/>
      <sz val="10"/>
      <color theme="10"/>
      <name val="Arial"/>
      <family val="2"/>
    </font>
    <font>
      <i/>
      <sz val="11"/>
      <name val="Arial"/>
      <family val="2"/>
    </font>
    <font>
      <sz val="10"/>
      <color indexed="81"/>
      <name val="Tahoma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333399"/>
      <name val="Arial"/>
      <family val="2"/>
    </font>
    <font>
      <sz val="12"/>
      <color rgb="FFFF0000"/>
      <name val="Arial"/>
      <family val="2"/>
    </font>
    <font>
      <sz val="12"/>
      <name val="Symbol"/>
      <family val="1"/>
      <charset val="2"/>
    </font>
    <font>
      <vertAlign val="subscript"/>
      <sz val="12"/>
      <name val="Arial"/>
      <family val="2"/>
    </font>
    <font>
      <b/>
      <sz val="13"/>
      <name val="Arial"/>
      <family val="2"/>
    </font>
    <font>
      <b/>
      <sz val="14"/>
      <color theme="0"/>
      <name val="Symbol"/>
      <family val="1"/>
      <charset val="2"/>
    </font>
    <font>
      <b/>
      <vertAlign val="subscript"/>
      <sz val="16"/>
      <color theme="0"/>
      <name val="Arial"/>
      <family val="2"/>
    </font>
    <font>
      <sz val="12"/>
      <color rgb="FFFF0000"/>
      <name val="Symbol"/>
      <family val="1"/>
      <charset val="2"/>
    </font>
    <font>
      <vertAlign val="subscript"/>
      <sz val="12"/>
      <color rgb="FFFF0000"/>
      <name val="Arial"/>
      <family val="2"/>
    </font>
    <font>
      <b/>
      <vertAlign val="subscript"/>
      <sz val="14"/>
      <color theme="0"/>
      <name val="Arial"/>
      <family val="2"/>
    </font>
    <font>
      <b/>
      <u/>
      <sz val="14"/>
      <color theme="0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22"/>
      <name val="Arial"/>
      <family val="2"/>
    </font>
    <font>
      <sz val="10"/>
      <color theme="3" tint="-0.49998474074526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3" tint="-0.249977111117893"/>
      </top>
      <bottom style="thin">
        <color theme="4" tint="-0.24997711111789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theme="3" tint="-0.249977111117893"/>
      </top>
      <bottom style="double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theme="4" tint="-0.249977111117893"/>
      </right>
      <top style="medium">
        <color theme="3" tint="-0.249977111117893"/>
      </top>
      <bottom style="thin">
        <color theme="4" tint="-0.249977111117893"/>
      </bottom>
      <diagonal/>
    </border>
    <border>
      <left style="medium">
        <color theme="3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indexed="64"/>
      </top>
      <bottom style="thin">
        <color theme="3" tint="-0.249977111117893"/>
      </bottom>
      <diagonal/>
    </border>
    <border>
      <left style="medium">
        <color theme="3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3" tint="-0.249977111117893"/>
      </left>
      <right style="thin">
        <color theme="6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6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medium">
        <color theme="3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3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medium">
        <color theme="3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</borders>
  <cellStyleXfs count="47">
    <xf numFmtId="0" fontId="0" fillId="0" borderId="0"/>
    <xf numFmtId="172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/>
    <xf numFmtId="0" fontId="14" fillId="0" borderId="0"/>
    <xf numFmtId="0" fontId="17" fillId="0" borderId="0"/>
    <xf numFmtId="0" fontId="13" fillId="0" borderId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27" fillId="0" borderId="0"/>
    <xf numFmtId="0" fontId="14" fillId="0" borderId="0"/>
    <xf numFmtId="9" fontId="8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6" fillId="0" borderId="0"/>
    <xf numFmtId="0" fontId="17" fillId="0" borderId="0"/>
    <xf numFmtId="0" fontId="61" fillId="0" borderId="0" applyNumberFormat="0" applyFill="0" applyBorder="0" applyAlignment="0" applyProtection="0"/>
    <xf numFmtId="0" fontId="64" fillId="0" borderId="0"/>
    <xf numFmtId="9" fontId="64" fillId="0" borderId="0" applyFont="0" applyFill="0" applyBorder="0" applyAlignment="0" applyProtection="0"/>
    <xf numFmtId="0" fontId="65" fillId="0" borderId="0"/>
    <xf numFmtId="185" fontId="65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5" fillId="0" borderId="0"/>
    <xf numFmtId="41" fontId="8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4" fontId="78" fillId="0" borderId="0" applyFont="0" applyFill="0" applyBorder="0" applyAlignment="0" applyProtection="0"/>
    <xf numFmtId="44" fontId="78" fillId="0" borderId="0" applyFont="0" applyFill="0" applyBorder="0" applyAlignment="0" applyProtection="0"/>
    <xf numFmtId="41" fontId="79" fillId="0" borderId="0" applyFont="0" applyFill="0" applyBorder="0" applyAlignment="0" applyProtection="0"/>
    <xf numFmtId="0" fontId="3" fillId="0" borderId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6">
    <xf numFmtId="0" fontId="0" fillId="0" borderId="0" xfId="0"/>
    <xf numFmtId="0" fontId="10" fillId="0" borderId="0" xfId="0" applyFont="1"/>
    <xf numFmtId="0" fontId="14" fillId="0" borderId="0" xfId="0" applyFont="1"/>
    <xf numFmtId="0" fontId="14" fillId="0" borderId="0" xfId="0" quotePrefix="1" applyFont="1" applyAlignment="1">
      <alignment horizontal="left"/>
    </xf>
    <xf numFmtId="167" fontId="0" fillId="0" borderId="0" xfId="7" applyNumberFormat="1" applyFont="1"/>
    <xf numFmtId="174" fontId="0" fillId="0" borderId="0" xfId="0" applyNumberFormat="1"/>
    <xf numFmtId="174" fontId="10" fillId="0" borderId="0" xfId="0" applyNumberFormat="1" applyFont="1"/>
    <xf numFmtId="0" fontId="17" fillId="0" borderId="0" xfId="0" applyFont="1"/>
    <xf numFmtId="0" fontId="15" fillId="0" borderId="0" xfId="0" applyFont="1"/>
    <xf numFmtId="165" fontId="14" fillId="0" borderId="0" xfId="0" applyNumberFormat="1" applyFont="1"/>
    <xf numFmtId="0" fontId="11" fillId="0" borderId="0" xfId="0" applyFont="1"/>
    <xf numFmtId="0" fontId="14" fillId="0" borderId="0" xfId="0" applyFont="1" applyAlignment="1">
      <alignment horizontal="center"/>
    </xf>
    <xf numFmtId="170" fontId="14" fillId="0" borderId="0" xfId="0" applyNumberFormat="1" applyFont="1" applyAlignment="1">
      <alignment horizontal="left"/>
    </xf>
    <xf numFmtId="167" fontId="14" fillId="4" borderId="1" xfId="7" applyNumberFormat="1" applyFont="1" applyFill="1" applyBorder="1"/>
    <xf numFmtId="0" fontId="24" fillId="7" borderId="16" xfId="0" applyFont="1" applyFill="1" applyBorder="1"/>
    <xf numFmtId="1" fontId="24" fillId="7" borderId="16" xfId="0" applyNumberFormat="1" applyFont="1" applyFill="1" applyBorder="1"/>
    <xf numFmtId="0" fontId="10" fillId="0" borderId="0" xfId="0" quotePrefix="1" applyFont="1" applyAlignment="1">
      <alignment horizontal="left"/>
    </xf>
    <xf numFmtId="167" fontId="14" fillId="0" borderId="1" xfId="7" applyNumberFormat="1" applyFont="1" applyFill="1" applyBorder="1"/>
    <xf numFmtId="1" fontId="24" fillId="7" borderId="18" xfId="0" applyNumberFormat="1" applyFont="1" applyFill="1" applyBorder="1" applyAlignment="1">
      <alignment horizontal="right"/>
    </xf>
    <xf numFmtId="0" fontId="14" fillId="0" borderId="1" xfId="0" applyFont="1" applyBorder="1"/>
    <xf numFmtId="167" fontId="15" fillId="0" borderId="1" xfId="7" applyNumberFormat="1" applyFont="1" applyFill="1" applyBorder="1"/>
    <xf numFmtId="0" fontId="8" fillId="0" borderId="0" xfId="0" applyFont="1"/>
    <xf numFmtId="4" fontId="14" fillId="0" borderId="0" xfId="0" applyNumberFormat="1" applyFont="1"/>
    <xf numFmtId="9" fontId="14" fillId="0" borderId="1" xfId="0" applyNumberFormat="1" applyFont="1" applyBorder="1"/>
    <xf numFmtId="167" fontId="14" fillId="0" borderId="1" xfId="0" applyNumberFormat="1" applyFont="1" applyBorder="1"/>
    <xf numFmtId="0" fontId="14" fillId="0" borderId="0" xfId="12" applyFont="1"/>
    <xf numFmtId="0" fontId="17" fillId="0" borderId="0" xfId="12"/>
    <xf numFmtId="3" fontId="14" fillId="0" borderId="0" xfId="0" applyNumberFormat="1" applyFont="1"/>
    <xf numFmtId="3" fontId="14" fillId="0" borderId="0" xfId="0" quotePrefix="1" applyNumberFormat="1" applyFont="1" applyAlignment="1">
      <alignment horizontal="left"/>
    </xf>
    <xf numFmtId="3" fontId="14" fillId="0" borderId="1" xfId="0" quotePrefix="1" applyNumberFormat="1" applyFont="1" applyBorder="1" applyAlignment="1">
      <alignment horizontal="left"/>
    </xf>
    <xf numFmtId="3" fontId="22" fillId="0" borderId="0" xfId="0" applyNumberFormat="1" applyFont="1"/>
    <xf numFmtId="3" fontId="14" fillId="4" borderId="1" xfId="0" applyNumberFormat="1" applyFont="1" applyFill="1" applyBorder="1"/>
    <xf numFmtId="167" fontId="14" fillId="10" borderId="1" xfId="7" applyNumberFormat="1" applyFont="1" applyFill="1" applyBorder="1"/>
    <xf numFmtId="3" fontId="19" fillId="8" borderId="1" xfId="0" applyNumberFormat="1" applyFont="1" applyFill="1" applyBorder="1" applyAlignment="1">
      <alignment horizontal="center"/>
    </xf>
    <xf numFmtId="3" fontId="19" fillId="8" borderId="1" xfId="0" applyNumberFormat="1" applyFont="1" applyFill="1" applyBorder="1" applyAlignment="1">
      <alignment horizontal="right"/>
    </xf>
    <xf numFmtId="9" fontId="14" fillId="0" borderId="3" xfId="0" applyNumberFormat="1" applyFont="1" applyBorder="1"/>
    <xf numFmtId="10" fontId="14" fillId="0" borderId="1" xfId="10" applyNumberFormat="1" applyFont="1" applyFill="1" applyBorder="1"/>
    <xf numFmtId="10" fontId="14" fillId="9" borderId="1" xfId="10" applyNumberFormat="1" applyFont="1" applyFill="1" applyBorder="1"/>
    <xf numFmtId="0" fontId="10" fillId="0" borderId="0" xfId="0" quotePrefix="1" applyFont="1"/>
    <xf numFmtId="3" fontId="14" fillId="0" borderId="0" xfId="0" applyNumberFormat="1" applyFont="1" applyAlignment="1">
      <alignment horizontal="left"/>
    </xf>
    <xf numFmtId="0" fontId="31" fillId="7" borderId="0" xfId="0" applyFont="1" applyFill="1" applyAlignment="1">
      <alignment vertical="center"/>
    </xf>
    <xf numFmtId="3" fontId="19" fillId="5" borderId="1" xfId="0" quotePrefix="1" applyNumberFormat="1" applyFont="1" applyFill="1" applyBorder="1" applyAlignment="1">
      <alignment horizontal="left"/>
    </xf>
    <xf numFmtId="3" fontId="29" fillId="5" borderId="1" xfId="0" applyNumberFormat="1" applyFont="1" applyFill="1" applyBorder="1"/>
    <xf numFmtId="3" fontId="19" fillId="5" borderId="2" xfId="0" quotePrefix="1" applyNumberFormat="1" applyFont="1" applyFill="1" applyBorder="1" applyAlignment="1">
      <alignment horizontal="left"/>
    </xf>
    <xf numFmtId="3" fontId="29" fillId="5" borderId="3" xfId="0" applyNumberFormat="1" applyFont="1" applyFill="1" applyBorder="1"/>
    <xf numFmtId="167" fontId="14" fillId="0" borderId="1" xfId="10" applyNumberFormat="1" applyFont="1" applyFill="1" applyBorder="1"/>
    <xf numFmtId="165" fontId="17" fillId="0" borderId="0" xfId="12" applyNumberFormat="1"/>
    <xf numFmtId="178" fontId="17" fillId="0" borderId="0" xfId="9" applyNumberFormat="1" applyFont="1" applyFill="1"/>
    <xf numFmtId="175" fontId="26" fillId="0" borderId="0" xfId="12" applyNumberFormat="1" applyFont="1"/>
    <xf numFmtId="0" fontId="15" fillId="0" borderId="1" xfId="12" applyFont="1" applyBorder="1"/>
    <xf numFmtId="0" fontId="15" fillId="4" borderId="2" xfId="12" applyFont="1" applyFill="1" applyBorder="1"/>
    <xf numFmtId="0" fontId="15" fillId="4" borderId="1" xfId="12" applyFont="1" applyFill="1" applyBorder="1"/>
    <xf numFmtId="0" fontId="15" fillId="0" borderId="5" xfId="12" applyFont="1" applyBorder="1"/>
    <xf numFmtId="165" fontId="14" fillId="0" borderId="0" xfId="12" applyNumberFormat="1" applyFont="1"/>
    <xf numFmtId="0" fontId="14" fillId="0" borderId="1" xfId="12" quotePrefix="1" applyFont="1" applyBorder="1" applyAlignment="1">
      <alignment horizontal="left"/>
    </xf>
    <xf numFmtId="0" fontId="15" fillId="4" borderId="12" xfId="12" applyFont="1" applyFill="1" applyBorder="1"/>
    <xf numFmtId="0" fontId="14" fillId="0" borderId="2" xfId="12" applyFont="1" applyBorder="1"/>
    <xf numFmtId="0" fontId="15" fillId="4" borderId="14" xfId="12" applyFont="1" applyFill="1" applyBorder="1"/>
    <xf numFmtId="0" fontId="15" fillId="0" borderId="1" xfId="12" quotePrefix="1" applyFont="1" applyBorder="1" applyAlignment="1">
      <alignment horizontal="left"/>
    </xf>
    <xf numFmtId="0" fontId="14" fillId="0" borderId="1" xfId="12" applyFont="1" applyBorder="1"/>
    <xf numFmtId="0" fontId="15" fillId="4" borderId="1" xfId="12" quotePrefix="1" applyFont="1" applyFill="1" applyBorder="1" applyAlignment="1">
      <alignment horizontal="left"/>
    </xf>
    <xf numFmtId="0" fontId="25" fillId="3" borderId="0" xfId="12" quotePrefix="1" applyFont="1" applyFill="1" applyAlignment="1">
      <alignment horizontal="left"/>
    </xf>
    <xf numFmtId="0" fontId="45" fillId="3" borderId="0" xfId="12" applyFont="1" applyFill="1"/>
    <xf numFmtId="3" fontId="14" fillId="0" borderId="1" xfId="12" applyNumberFormat="1" applyFont="1" applyBorder="1"/>
    <xf numFmtId="3" fontId="15" fillId="0" borderId="1" xfId="12" applyNumberFormat="1" applyFont="1" applyBorder="1"/>
    <xf numFmtId="3" fontId="14" fillId="0" borderId="0" xfId="12" applyNumberFormat="1" applyFont="1"/>
    <xf numFmtId="0" fontId="55" fillId="7" borderId="0" xfId="0" quotePrefix="1" applyFont="1" applyFill="1" applyAlignment="1">
      <alignment horizontal="right"/>
    </xf>
    <xf numFmtId="165" fontId="56" fillId="7" borderId="0" xfId="0" quotePrefix="1" applyNumberFormat="1" applyFont="1" applyFill="1" applyAlignment="1">
      <alignment horizontal="left"/>
    </xf>
    <xf numFmtId="0" fontId="30" fillId="7" borderId="0" xfId="0" applyFont="1" applyFill="1" applyAlignment="1">
      <alignment vertical="center"/>
    </xf>
    <xf numFmtId="0" fontId="10" fillId="0" borderId="1" xfId="0" applyFont="1" applyBorder="1" applyAlignment="1">
      <alignment horizontal="right"/>
    </xf>
    <xf numFmtId="167" fontId="14" fillId="9" borderId="1" xfId="10" applyNumberFormat="1" applyFont="1" applyFill="1" applyBorder="1"/>
    <xf numFmtId="0" fontId="14" fillId="0" borderId="0" xfId="0" applyFont="1" applyAlignment="1">
      <alignment horizontal="left"/>
    </xf>
    <xf numFmtId="4" fontId="14" fillId="0" borderId="1" xfId="0" applyNumberFormat="1" applyFont="1" applyBorder="1" applyAlignment="1">
      <alignment wrapText="1"/>
    </xf>
    <xf numFmtId="167" fontId="14" fillId="0" borderId="1" xfId="7" applyNumberFormat="1" applyFont="1" applyFill="1" applyBorder="1" applyAlignment="1">
      <alignment wrapText="1"/>
    </xf>
    <xf numFmtId="0" fontId="62" fillId="0" borderId="1" xfId="0" applyFont="1" applyBorder="1"/>
    <xf numFmtId="3" fontId="62" fillId="0" borderId="1" xfId="0" applyNumberFormat="1" applyFont="1" applyBorder="1" applyAlignment="1">
      <alignment wrapText="1"/>
    </xf>
    <xf numFmtId="0" fontId="62" fillId="6" borderId="1" xfId="0" applyFont="1" applyFill="1" applyBorder="1"/>
    <xf numFmtId="0" fontId="29" fillId="0" borderId="0" xfId="0" applyFont="1"/>
    <xf numFmtId="10" fontId="8" fillId="11" borderId="1" xfId="10" applyNumberFormat="1" applyFont="1" applyFill="1" applyBorder="1"/>
    <xf numFmtId="10" fontId="14" fillId="0" borderId="12" xfId="10" applyNumberFormat="1" applyFont="1" applyFill="1" applyBorder="1"/>
    <xf numFmtId="10" fontId="14" fillId="2" borderId="1" xfId="10" applyNumberFormat="1" applyFont="1" applyFill="1" applyBorder="1"/>
    <xf numFmtId="10" fontId="14" fillId="2" borderId="12" xfId="10" applyNumberFormat="1" applyFont="1" applyFill="1" applyBorder="1"/>
    <xf numFmtId="0" fontId="19" fillId="5" borderId="1" xfId="12" applyFont="1" applyFill="1" applyBorder="1"/>
    <xf numFmtId="181" fontId="19" fillId="5" borderId="1" xfId="12" applyNumberFormat="1" applyFont="1" applyFill="1" applyBorder="1"/>
    <xf numFmtId="167" fontId="19" fillId="3" borderId="1" xfId="10" applyNumberFormat="1" applyFont="1" applyFill="1" applyBorder="1"/>
    <xf numFmtId="167" fontId="15" fillId="0" borderId="1" xfId="10" applyNumberFormat="1" applyFont="1" applyFill="1" applyBorder="1"/>
    <xf numFmtId="167" fontId="14" fillId="4" borderId="1" xfId="10" applyNumberFormat="1" applyFont="1" applyFill="1" applyBorder="1"/>
    <xf numFmtId="0" fontId="66" fillId="0" borderId="0" xfId="0" quotePrefix="1" applyFont="1" applyAlignment="1">
      <alignment horizontal="left"/>
    </xf>
    <xf numFmtId="0" fontId="80" fillId="9" borderId="1" xfId="35" applyFont="1" applyFill="1" applyBorder="1" applyAlignment="1">
      <alignment horizontal="center"/>
    </xf>
    <xf numFmtId="0" fontId="81" fillId="0" borderId="0" xfId="35" applyFont="1"/>
    <xf numFmtId="0" fontId="82" fillId="0" borderId="1" xfId="35" applyFont="1" applyBorder="1" applyAlignment="1">
      <alignment vertical="center" wrapText="1" readingOrder="1"/>
    </xf>
    <xf numFmtId="186" fontId="82" fillId="0" borderId="1" xfId="36" applyNumberFormat="1" applyFont="1" applyBorder="1" applyAlignment="1">
      <alignment horizontal="center" vertical="center" wrapText="1" readingOrder="1"/>
    </xf>
    <xf numFmtId="3" fontId="81" fillId="0" borderId="1" xfId="36" applyNumberFormat="1" applyFont="1" applyBorder="1" applyAlignment="1">
      <alignment horizontal="center"/>
    </xf>
    <xf numFmtId="186" fontId="81" fillId="0" borderId="1" xfId="36" applyNumberFormat="1" applyFont="1" applyBorder="1"/>
    <xf numFmtId="44" fontId="81" fillId="0" borderId="0" xfId="35" applyNumberFormat="1" applyFont="1"/>
    <xf numFmtId="3" fontId="80" fillId="9" borderId="1" xfId="35" applyNumberFormat="1" applyFont="1" applyFill="1" applyBorder="1" applyAlignment="1">
      <alignment horizontal="center"/>
    </xf>
    <xf numFmtId="186" fontId="80" fillId="9" borderId="1" xfId="35" applyNumberFormat="1" applyFont="1" applyFill="1" applyBorder="1"/>
    <xf numFmtId="0" fontId="82" fillId="0" borderId="1" xfId="35" applyFont="1" applyBorder="1" applyAlignment="1">
      <alignment horizontal="left" vertical="center" wrapText="1" readingOrder="1"/>
    </xf>
    <xf numFmtId="44" fontId="82" fillId="0" borderId="1" xfId="37" applyFont="1" applyBorder="1" applyAlignment="1">
      <alignment horizontal="left" vertical="center" wrapText="1" readingOrder="1"/>
    </xf>
    <xf numFmtId="3" fontId="81" fillId="0" borderId="1" xfId="35" applyNumberFormat="1" applyFont="1" applyBorder="1" applyAlignment="1">
      <alignment horizontal="center" vertical="center"/>
    </xf>
    <xf numFmtId="44" fontId="81" fillId="0" borderId="1" xfId="35" applyNumberFormat="1" applyFont="1" applyBorder="1"/>
    <xf numFmtId="10" fontId="81" fillId="0" borderId="0" xfId="38" applyNumberFormat="1" applyFont="1"/>
    <xf numFmtId="187" fontId="81" fillId="0" borderId="0" xfId="35" applyNumberFormat="1" applyFont="1"/>
    <xf numFmtId="0" fontId="8" fillId="10" borderId="0" xfId="0" applyFont="1" applyFill="1"/>
    <xf numFmtId="0" fontId="14" fillId="10" borderId="0" xfId="0" applyFont="1" applyFill="1"/>
    <xf numFmtId="3" fontId="14" fillId="10" borderId="0" xfId="0" applyNumberFormat="1" applyFont="1" applyFill="1"/>
    <xf numFmtId="0" fontId="15" fillId="10" borderId="0" xfId="0" quotePrefix="1" applyFont="1" applyFill="1" applyAlignment="1">
      <alignment horizontal="left"/>
    </xf>
    <xf numFmtId="3" fontId="15" fillId="10" borderId="0" xfId="0" applyNumberFormat="1" applyFont="1" applyFill="1"/>
    <xf numFmtId="0" fontId="15" fillId="10" borderId="0" xfId="0" applyFont="1" applyFill="1"/>
    <xf numFmtId="3" fontId="14" fillId="10" borderId="0" xfId="7" applyNumberFormat="1" applyFont="1" applyFill="1" applyBorder="1"/>
    <xf numFmtId="3" fontId="14" fillId="10" borderId="0" xfId="2" applyNumberFormat="1" applyFont="1" applyFill="1" applyBorder="1"/>
    <xf numFmtId="0" fontId="14" fillId="10" borderId="0" xfId="0" quotePrefix="1" applyFont="1" applyFill="1" applyAlignment="1">
      <alignment horizontal="left"/>
    </xf>
    <xf numFmtId="165" fontId="14" fillId="10" borderId="0" xfId="0" applyNumberFormat="1" applyFont="1" applyFill="1"/>
    <xf numFmtId="168" fontId="14" fillId="10" borderId="0" xfId="0" applyNumberFormat="1" applyFont="1" applyFill="1"/>
    <xf numFmtId="0" fontId="14" fillId="10" borderId="0" xfId="0" applyFont="1" applyFill="1" applyAlignment="1">
      <alignment horizontal="left"/>
    </xf>
    <xf numFmtId="0" fontId="17" fillId="10" borderId="0" xfId="0" applyFont="1" applyFill="1"/>
    <xf numFmtId="0" fontId="10" fillId="12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10" fontId="85" fillId="0" borderId="1" xfId="7" applyNumberFormat="1" applyFont="1" applyFill="1" applyBorder="1" applyAlignment="1">
      <alignment horizontal="center" vertical="center"/>
    </xf>
    <xf numFmtId="41" fontId="85" fillId="0" borderId="1" xfId="27" applyFont="1" applyFill="1" applyBorder="1" applyAlignment="1">
      <alignment horizontal="center" vertical="center"/>
    </xf>
    <xf numFmtId="0" fontId="10" fillId="12" borderId="44" xfId="0" applyFont="1" applyFill="1" applyBorder="1" applyAlignment="1">
      <alignment horizontal="center" vertical="center"/>
    </xf>
    <xf numFmtId="3" fontId="85" fillId="0" borderId="1" xfId="0" applyNumberFormat="1" applyFont="1" applyBorder="1" applyAlignment="1">
      <alignment vertical="center"/>
    </xf>
    <xf numFmtId="4" fontId="85" fillId="0" borderId="1" xfId="0" applyNumberFormat="1" applyFont="1" applyBorder="1" applyAlignment="1">
      <alignment vertical="center"/>
    </xf>
    <xf numFmtId="0" fontId="19" fillId="3" borderId="0" xfId="12" quotePrefix="1" applyFont="1" applyFill="1" applyAlignment="1">
      <alignment horizontal="left"/>
    </xf>
    <xf numFmtId="0" fontId="29" fillId="3" borderId="0" xfId="12" applyFont="1" applyFill="1"/>
    <xf numFmtId="0" fontId="19" fillId="7" borderId="16" xfId="0" applyFont="1" applyFill="1" applyBorder="1"/>
    <xf numFmtId="1" fontId="19" fillId="7" borderId="18" xfId="0" applyNumberFormat="1" applyFont="1" applyFill="1" applyBorder="1" applyAlignment="1">
      <alignment horizontal="right"/>
    </xf>
    <xf numFmtId="1" fontId="19" fillId="7" borderId="16" xfId="0" applyNumberFormat="1" applyFont="1" applyFill="1" applyBorder="1"/>
    <xf numFmtId="178" fontId="14" fillId="0" borderId="0" xfId="9" applyNumberFormat="1" applyFont="1" applyFill="1"/>
    <xf numFmtId="175" fontId="15" fillId="0" borderId="0" xfId="12" applyNumberFormat="1" applyFont="1"/>
    <xf numFmtId="167" fontId="85" fillId="0" borderId="1" xfId="7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15" fillId="10" borderId="42" xfId="0" applyNumberFormat="1" applyFont="1" applyFill="1" applyBorder="1" applyAlignment="1">
      <alignment horizontal="center" vertical="center"/>
    </xf>
    <xf numFmtId="3" fontId="15" fillId="10" borderId="13" xfId="0" applyNumberFormat="1" applyFont="1" applyFill="1" applyBorder="1"/>
    <xf numFmtId="3" fontId="15" fillId="10" borderId="39" xfId="0" applyNumberFormat="1" applyFont="1" applyFill="1" applyBorder="1"/>
    <xf numFmtId="3" fontId="14" fillId="10" borderId="39" xfId="0" applyNumberFormat="1" applyFont="1" applyFill="1" applyBorder="1"/>
    <xf numFmtId="1" fontId="15" fillId="10" borderId="39" xfId="0" applyNumberFormat="1" applyFont="1" applyFill="1" applyBorder="1" applyAlignment="1">
      <alignment horizontal="center" vertical="center"/>
    </xf>
    <xf numFmtId="3" fontId="15" fillId="10" borderId="0" xfId="0" applyNumberFormat="1" applyFont="1" applyFill="1" applyAlignment="1">
      <alignment horizontal="center" vertical="center"/>
    </xf>
    <xf numFmtId="3" fontId="15" fillId="10" borderId="13" xfId="0" applyNumberFormat="1" applyFont="1" applyFill="1" applyBorder="1" applyAlignment="1">
      <alignment horizontal="center" vertical="center"/>
    </xf>
    <xf numFmtId="3" fontId="15" fillId="10" borderId="39" xfId="0" applyNumberFormat="1" applyFont="1" applyFill="1" applyBorder="1" applyAlignment="1">
      <alignment horizontal="center" vertical="center"/>
    </xf>
    <xf numFmtId="3" fontId="14" fillId="10" borderId="20" xfId="0" applyNumberFormat="1" applyFont="1" applyFill="1" applyBorder="1"/>
    <xf numFmtId="3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center" vertical="center"/>
    </xf>
    <xf numFmtId="165" fontId="15" fillId="10" borderId="0" xfId="0" applyNumberFormat="1" applyFont="1" applyFill="1" applyAlignment="1">
      <alignment horizontal="center" vertical="center"/>
    </xf>
    <xf numFmtId="165" fontId="14" fillId="10" borderId="0" xfId="0" applyNumberFormat="1" applyFont="1" applyFill="1" applyAlignment="1">
      <alignment horizontal="center" vertical="center"/>
    </xf>
    <xf numFmtId="3" fontId="14" fillId="10" borderId="0" xfId="0" applyNumberFormat="1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165" fontId="14" fillId="10" borderId="0" xfId="12" applyNumberFormat="1" applyFont="1" applyFill="1" applyAlignment="1">
      <alignment horizontal="center" vertical="center"/>
    </xf>
    <xf numFmtId="178" fontId="14" fillId="10" borderId="0" xfId="9" applyNumberFormat="1" applyFont="1" applyFill="1" applyBorder="1" applyAlignment="1">
      <alignment horizontal="center" vertical="center"/>
    </xf>
    <xf numFmtId="165" fontId="15" fillId="10" borderId="0" xfId="12" applyNumberFormat="1" applyFont="1" applyFill="1" applyAlignment="1">
      <alignment horizontal="center" vertical="center"/>
    </xf>
    <xf numFmtId="3" fontId="14" fillId="10" borderId="0" xfId="12" applyNumberFormat="1" applyFont="1" applyFill="1" applyAlignment="1">
      <alignment horizontal="center" vertical="center"/>
    </xf>
    <xf numFmtId="0" fontId="8" fillId="10" borderId="0" xfId="0" applyFont="1" applyFill="1" applyAlignment="1">
      <alignment horizontal="center"/>
    </xf>
    <xf numFmtId="0" fontId="15" fillId="10" borderId="0" xfId="0" quotePrefix="1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3" fontId="12" fillId="10" borderId="0" xfId="0" applyNumberFormat="1" applyFont="1" applyFill="1" applyAlignment="1">
      <alignment horizontal="center" vertical="center"/>
    </xf>
    <xf numFmtId="0" fontId="14" fillId="10" borderId="0" xfId="0" quotePrefix="1" applyFont="1" applyFill="1" applyAlignment="1">
      <alignment horizontal="center" vertical="center"/>
    </xf>
    <xf numFmtId="3" fontId="18" fillId="10" borderId="0" xfId="0" applyNumberFormat="1" applyFont="1" applyFill="1" applyAlignment="1">
      <alignment horizontal="center" vertical="center"/>
    </xf>
    <xf numFmtId="1" fontId="12" fillId="10" borderId="39" xfId="0" applyNumberFormat="1" applyFont="1" applyFill="1" applyBorder="1" applyAlignment="1">
      <alignment horizontal="center" vertical="center"/>
    </xf>
    <xf numFmtId="3" fontId="12" fillId="10" borderId="13" xfId="0" applyNumberFormat="1" applyFont="1" applyFill="1" applyBorder="1" applyAlignment="1">
      <alignment horizontal="center" vertical="center"/>
    </xf>
    <xf numFmtId="3" fontId="12" fillId="10" borderId="39" xfId="0" applyNumberFormat="1" applyFont="1" applyFill="1" applyBorder="1" applyAlignment="1">
      <alignment horizontal="center" vertical="center"/>
    </xf>
    <xf numFmtId="3" fontId="18" fillId="10" borderId="20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14" fillId="10" borderId="2" xfId="0" quotePrefix="1" applyFont="1" applyFill="1" applyBorder="1" applyAlignment="1">
      <alignment horizontal="center" vertical="center"/>
    </xf>
    <xf numFmtId="3" fontId="18" fillId="10" borderId="1" xfId="0" applyNumberFormat="1" applyFont="1" applyFill="1" applyBorder="1" applyAlignment="1">
      <alignment horizontal="center" vertical="center"/>
    </xf>
    <xf numFmtId="3" fontId="12" fillId="10" borderId="1" xfId="0" applyNumberFormat="1" applyFont="1" applyFill="1" applyBorder="1" applyAlignment="1">
      <alignment horizontal="center" vertical="center"/>
    </xf>
    <xf numFmtId="0" fontId="14" fillId="10" borderId="1" xfId="0" quotePrefix="1" applyFont="1" applyFill="1" applyBorder="1" applyAlignment="1">
      <alignment horizontal="left"/>
    </xf>
    <xf numFmtId="0" fontId="14" fillId="10" borderId="2" xfId="0" quotePrefix="1" applyFont="1" applyFill="1" applyBorder="1" applyAlignment="1">
      <alignment horizontal="left"/>
    </xf>
    <xf numFmtId="1" fontId="24" fillId="10" borderId="22" xfId="0" applyNumberFormat="1" applyFont="1" applyFill="1" applyBorder="1" applyAlignment="1">
      <alignment horizontal="center" vertical="center"/>
    </xf>
    <xf numFmtId="1" fontId="24" fillId="10" borderId="18" xfId="0" applyNumberFormat="1" applyFont="1" applyFill="1" applyBorder="1" applyAlignment="1">
      <alignment horizontal="center" vertical="center"/>
    </xf>
    <xf numFmtId="0" fontId="15" fillId="10" borderId="1" xfId="0" quotePrefix="1" applyFont="1" applyFill="1" applyBorder="1" applyAlignment="1">
      <alignment horizontal="center" vertical="center"/>
    </xf>
    <xf numFmtId="0" fontId="14" fillId="10" borderId="1" xfId="0" quotePrefix="1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30" fillId="10" borderId="0" xfId="0" quotePrefix="1" applyFont="1" applyFill="1" applyAlignment="1">
      <alignment horizontal="center" vertical="center"/>
    </xf>
    <xf numFmtId="0" fontId="15" fillId="10" borderId="10" xfId="0" quotePrefix="1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8" fillId="10" borderId="5" xfId="0" applyFont="1" applyFill="1" applyBorder="1" applyAlignment="1">
      <alignment horizontal="center" vertical="center"/>
    </xf>
    <xf numFmtId="3" fontId="14" fillId="10" borderId="5" xfId="0" applyNumberFormat="1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3" fontId="14" fillId="10" borderId="10" xfId="0" applyNumberFormat="1" applyFont="1" applyFill="1" applyBorder="1" applyAlignment="1">
      <alignment horizontal="center" vertical="center"/>
    </xf>
    <xf numFmtId="0" fontId="20" fillId="10" borderId="1" xfId="0" quotePrefix="1" applyFont="1" applyFill="1" applyBorder="1" applyAlignment="1">
      <alignment horizontal="center" vertical="center"/>
    </xf>
    <xf numFmtId="0" fontId="19" fillId="10" borderId="23" xfId="0" applyFont="1" applyFill="1" applyBorder="1" applyAlignment="1">
      <alignment horizontal="center" vertical="center"/>
    </xf>
    <xf numFmtId="181" fontId="19" fillId="10" borderId="24" xfId="0" applyNumberFormat="1" applyFont="1" applyFill="1" applyBorder="1" applyAlignment="1">
      <alignment horizontal="center" vertical="center"/>
    </xf>
    <xf numFmtId="1" fontId="0" fillId="10" borderId="0" xfId="0" applyNumberFormat="1" applyFill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1" fontId="24" fillId="10" borderId="1" xfId="0" applyNumberFormat="1" applyFont="1" applyFill="1" applyBorder="1" applyAlignment="1">
      <alignment horizontal="center" vertical="center"/>
    </xf>
    <xf numFmtId="1" fontId="24" fillId="10" borderId="25" xfId="0" applyNumberFormat="1" applyFont="1" applyFill="1" applyBorder="1" applyAlignment="1">
      <alignment horizontal="center" vertical="center"/>
    </xf>
    <xf numFmtId="0" fontId="15" fillId="10" borderId="2" xfId="0" quotePrefix="1" applyFont="1" applyFill="1" applyBorder="1" applyAlignment="1">
      <alignment horizontal="center" vertical="center"/>
    </xf>
    <xf numFmtId="165" fontId="15" fillId="10" borderId="1" xfId="0" applyNumberFormat="1" applyFont="1" applyFill="1" applyBorder="1" applyAlignment="1">
      <alignment horizontal="center" vertical="center"/>
    </xf>
    <xf numFmtId="165" fontId="18" fillId="10" borderId="1" xfId="0" applyNumberFormat="1" applyFont="1" applyFill="1" applyBorder="1" applyAlignment="1">
      <alignment horizontal="center" vertical="center" wrapText="1"/>
    </xf>
    <xf numFmtId="167" fontId="18" fillId="10" borderId="0" xfId="7" applyNumberFormat="1" applyFont="1" applyFill="1" applyBorder="1" applyAlignment="1">
      <alignment horizontal="center" vertical="center"/>
    </xf>
    <xf numFmtId="0" fontId="32" fillId="10" borderId="1" xfId="0" quotePrefix="1" applyFont="1" applyFill="1" applyBorder="1" applyAlignment="1">
      <alignment horizontal="center" vertical="center"/>
    </xf>
    <xf numFmtId="0" fontId="47" fillId="10" borderId="0" xfId="0" quotePrefix="1" applyFont="1" applyFill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4" fontId="18" fillId="10" borderId="1" xfId="7" applyNumberFormat="1" applyFont="1" applyFill="1" applyBorder="1" applyAlignment="1">
      <alignment horizontal="center" vertical="center"/>
    </xf>
    <xf numFmtId="167" fontId="18" fillId="10" borderId="1" xfId="7" applyNumberFormat="1" applyFont="1" applyFill="1" applyBorder="1" applyAlignment="1">
      <alignment horizontal="center" vertical="center"/>
    </xf>
    <xf numFmtId="0" fontId="48" fillId="10" borderId="0" xfId="0" quotePrefix="1" applyFont="1" applyFill="1" applyAlignment="1">
      <alignment horizontal="center" vertical="center"/>
    </xf>
    <xf numFmtId="167" fontId="49" fillId="10" borderId="0" xfId="7" applyNumberFormat="1" applyFont="1" applyFill="1" applyBorder="1" applyAlignment="1">
      <alignment horizontal="center" vertical="center"/>
    </xf>
    <xf numFmtId="1" fontId="43" fillId="10" borderId="18" xfId="0" applyNumberFormat="1" applyFont="1" applyFill="1" applyBorder="1" applyAlignment="1">
      <alignment horizontal="center" vertical="center"/>
    </xf>
    <xf numFmtId="0" fontId="14" fillId="10" borderId="1" xfId="0" quotePrefix="1" applyFont="1" applyFill="1" applyBorder="1" applyAlignment="1">
      <alignment horizontal="center" vertical="center" wrapText="1"/>
    </xf>
    <xf numFmtId="0" fontId="14" fillId="10" borderId="13" xfId="0" quotePrefix="1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175" fontId="18" fillId="10" borderId="13" xfId="0" applyNumberFormat="1" applyFont="1" applyFill="1" applyBorder="1" applyAlignment="1">
      <alignment horizontal="center" vertical="center"/>
    </xf>
    <xf numFmtId="165" fontId="52" fillId="10" borderId="3" xfId="0" applyNumberFormat="1" applyFont="1" applyFill="1" applyBorder="1" applyAlignment="1">
      <alignment horizontal="center" vertical="center" wrapText="1"/>
    </xf>
    <xf numFmtId="167" fontId="14" fillId="10" borderId="1" xfId="7" applyNumberFormat="1" applyFont="1" applyFill="1" applyBorder="1" applyAlignment="1">
      <alignment horizontal="center" vertical="center"/>
    </xf>
    <xf numFmtId="0" fontId="12" fillId="10" borderId="0" xfId="0" quotePrefix="1" applyFont="1" applyFill="1" applyAlignment="1">
      <alignment horizontal="center" vertical="center"/>
    </xf>
    <xf numFmtId="182" fontId="19" fillId="10" borderId="12" xfId="0" applyNumberFormat="1" applyFont="1" applyFill="1" applyBorder="1" applyAlignment="1">
      <alignment horizontal="center" vertical="center" wrapText="1"/>
    </xf>
    <xf numFmtId="0" fontId="61" fillId="10" borderId="1" xfId="20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180" fontId="14" fillId="10" borderId="1" xfId="0" applyNumberFormat="1" applyFont="1" applyFill="1" applyBorder="1" applyAlignment="1">
      <alignment horizontal="center" vertical="center"/>
    </xf>
    <xf numFmtId="0" fontId="16" fillId="10" borderId="0" xfId="0" applyFont="1" applyFill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180" fontId="14" fillId="10" borderId="0" xfId="0" applyNumberFormat="1" applyFont="1" applyFill="1" applyAlignment="1">
      <alignment horizontal="center" vertical="center"/>
    </xf>
    <xf numFmtId="0" fontId="57" fillId="10" borderId="12" xfId="0" applyFont="1" applyFill="1" applyBorder="1" applyAlignment="1">
      <alignment horizontal="center" vertical="center"/>
    </xf>
    <xf numFmtId="0" fontId="15" fillId="10" borderId="13" xfId="0" quotePrefix="1" applyFont="1" applyFill="1" applyBorder="1" applyAlignment="1">
      <alignment horizontal="center" vertical="center"/>
    </xf>
    <xf numFmtId="167" fontId="23" fillId="10" borderId="1" xfId="7" applyNumberFormat="1" applyFont="1" applyFill="1" applyBorder="1" applyAlignment="1">
      <alignment horizontal="center" vertical="center"/>
    </xf>
    <xf numFmtId="183" fontId="12" fillId="10" borderId="1" xfId="7" applyNumberFormat="1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67" fillId="10" borderId="0" xfId="0" quotePrefix="1" applyFont="1" applyFill="1" applyAlignment="1">
      <alignment horizontal="center" vertical="center"/>
    </xf>
    <xf numFmtId="0" fontId="23" fillId="10" borderId="0" xfId="0" quotePrefix="1" applyFont="1" applyFill="1" applyAlignment="1">
      <alignment horizontal="center" vertical="center"/>
    </xf>
    <xf numFmtId="0" fontId="19" fillId="10" borderId="1" xfId="0" quotePrefix="1" applyFont="1" applyFill="1" applyBorder="1" applyAlignment="1">
      <alignment horizontal="center" vertical="center"/>
    </xf>
    <xf numFmtId="0" fontId="24" fillId="10" borderId="0" xfId="0" quotePrefix="1" applyFont="1" applyFill="1" applyAlignment="1">
      <alignment horizontal="center" vertical="center"/>
    </xf>
    <xf numFmtId="0" fontId="58" fillId="10" borderId="0" xfId="0" applyFont="1" applyFill="1" applyAlignment="1">
      <alignment horizontal="center" vertical="center"/>
    </xf>
    <xf numFmtId="0" fontId="15" fillId="10" borderId="2" xfId="17" applyFont="1" applyFill="1" applyBorder="1" applyAlignment="1">
      <alignment horizontal="center" vertical="center"/>
    </xf>
    <xf numFmtId="0" fontId="15" fillId="10" borderId="3" xfId="17" applyFont="1" applyFill="1" applyBorder="1" applyAlignment="1">
      <alignment horizontal="center" vertical="center"/>
    </xf>
    <xf numFmtId="0" fontId="33" fillId="10" borderId="0" xfId="0" quotePrefix="1" applyFont="1" applyFill="1" applyAlignment="1">
      <alignment horizontal="center" vertical="center"/>
    </xf>
    <xf numFmtId="0" fontId="14" fillId="10" borderId="2" xfId="17" applyFont="1" applyFill="1" applyBorder="1" applyAlignment="1">
      <alignment horizontal="center" vertical="center"/>
    </xf>
    <xf numFmtId="3" fontId="14" fillId="10" borderId="1" xfId="0" applyNumberFormat="1" applyFont="1" applyFill="1" applyBorder="1" applyAlignment="1" applyProtection="1">
      <alignment horizontal="center" vertical="center"/>
      <protection locked="0"/>
    </xf>
    <xf numFmtId="0" fontId="14" fillId="10" borderId="2" xfId="17" quotePrefix="1" applyFont="1" applyFill="1" applyBorder="1" applyAlignment="1">
      <alignment horizontal="center" vertical="center"/>
    </xf>
    <xf numFmtId="0" fontId="42" fillId="10" borderId="2" xfId="17" applyFont="1" applyFill="1" applyBorder="1" applyAlignment="1">
      <alignment horizontal="center" vertical="center"/>
    </xf>
    <xf numFmtId="0" fontId="59" fillId="10" borderId="1" xfId="0" applyFont="1" applyFill="1" applyBorder="1" applyAlignment="1">
      <alignment horizontal="center" vertical="center"/>
    </xf>
    <xf numFmtId="184" fontId="42" fillId="10" borderId="1" xfId="0" applyNumberFormat="1" applyFont="1" applyFill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>
      <alignment horizontal="center" vertical="center"/>
    </xf>
    <xf numFmtId="4" fontId="12" fillId="10" borderId="1" xfId="7" applyNumberFormat="1" applyFont="1" applyFill="1" applyBorder="1" applyAlignment="1">
      <alignment horizontal="center" vertical="center"/>
    </xf>
    <xf numFmtId="0" fontId="10" fillId="10" borderId="0" xfId="0" quotePrefix="1" applyFont="1" applyFill="1" applyAlignment="1">
      <alignment horizontal="center" vertical="center"/>
    </xf>
    <xf numFmtId="0" fontId="14" fillId="10" borderId="12" xfId="17" applyFont="1" applyFill="1" applyBorder="1" applyAlignment="1">
      <alignment horizontal="center" vertical="center"/>
    </xf>
    <xf numFmtId="179" fontId="14" fillId="10" borderId="1" xfId="0" applyNumberFormat="1" applyFont="1" applyFill="1" applyBorder="1" applyAlignment="1" applyProtection="1">
      <alignment horizontal="center" vertical="center"/>
      <protection locked="0"/>
    </xf>
    <xf numFmtId="0" fontId="14" fillId="10" borderId="15" xfId="17" applyFont="1" applyFill="1" applyBorder="1" applyAlignment="1">
      <alignment horizontal="center" vertical="center"/>
    </xf>
    <xf numFmtId="179" fontId="15" fillId="10" borderId="1" xfId="0" applyNumberFormat="1" applyFont="1" applyFill="1" applyBorder="1" applyAlignment="1">
      <alignment horizontal="center" vertical="center"/>
    </xf>
    <xf numFmtId="0" fontId="15" fillId="10" borderId="5" xfId="0" quotePrefix="1" applyFont="1" applyFill="1" applyBorder="1" applyAlignment="1">
      <alignment horizontal="center" vertical="center"/>
    </xf>
    <xf numFmtId="165" fontId="15" fillId="10" borderId="5" xfId="0" applyNumberFormat="1" applyFont="1" applyFill="1" applyBorder="1" applyAlignment="1">
      <alignment horizontal="center" vertical="center" wrapText="1"/>
    </xf>
    <xf numFmtId="165" fontId="15" fillId="10" borderId="0" xfId="0" applyNumberFormat="1" applyFont="1" applyFill="1" applyAlignment="1">
      <alignment horizontal="center" vertical="center" wrapText="1"/>
    </xf>
    <xf numFmtId="165" fontId="15" fillId="10" borderId="10" xfId="0" applyNumberFormat="1" applyFont="1" applyFill="1" applyBorder="1" applyAlignment="1">
      <alignment horizontal="center" vertical="center" wrapText="1"/>
    </xf>
    <xf numFmtId="167" fontId="19" fillId="10" borderId="1" xfId="7" applyNumberFormat="1" applyFont="1" applyFill="1" applyBorder="1" applyAlignment="1">
      <alignment horizontal="center" vertical="center"/>
    </xf>
    <xf numFmtId="167" fontId="19" fillId="10" borderId="2" xfId="7" applyNumberFormat="1" applyFont="1" applyFill="1" applyBorder="1" applyAlignment="1">
      <alignment horizontal="center" vertical="center"/>
    </xf>
    <xf numFmtId="165" fontId="17" fillId="10" borderId="0" xfId="0" applyNumberFormat="1" applyFont="1" applyFill="1" applyAlignment="1">
      <alignment horizontal="center" vertical="center"/>
    </xf>
    <xf numFmtId="165" fontId="14" fillId="10" borderId="1" xfId="0" applyNumberFormat="1" applyFont="1" applyFill="1" applyBorder="1" applyAlignment="1">
      <alignment horizontal="center" vertical="center" wrapText="1"/>
    </xf>
    <xf numFmtId="3" fontId="14" fillId="10" borderId="1" xfId="0" applyNumberFormat="1" applyFont="1" applyFill="1" applyBorder="1" applyAlignment="1">
      <alignment horizontal="center" vertical="center" wrapText="1"/>
    </xf>
    <xf numFmtId="4" fontId="14" fillId="10" borderId="1" xfId="0" applyNumberFormat="1" applyFont="1" applyFill="1" applyBorder="1" applyAlignment="1">
      <alignment horizontal="center" vertical="center" wrapText="1"/>
    </xf>
    <xf numFmtId="10" fontId="18" fillId="10" borderId="1" xfId="7" applyNumberFormat="1" applyFont="1" applyFill="1" applyBorder="1" applyAlignment="1">
      <alignment horizontal="center" vertical="center"/>
    </xf>
    <xf numFmtId="10" fontId="12" fillId="10" borderId="1" xfId="7" applyNumberFormat="1" applyFont="1" applyFill="1" applyBorder="1" applyAlignment="1">
      <alignment horizontal="center" vertical="center"/>
    </xf>
    <xf numFmtId="167" fontId="12" fillId="10" borderId="1" xfId="7" applyNumberFormat="1" applyFont="1" applyFill="1" applyBorder="1" applyAlignment="1">
      <alignment horizontal="center" vertical="center"/>
    </xf>
    <xf numFmtId="167" fontId="24" fillId="10" borderId="13" xfId="7" applyNumberFormat="1" applyFont="1" applyFill="1" applyBorder="1" applyAlignment="1">
      <alignment horizontal="center" vertical="center"/>
    </xf>
    <xf numFmtId="167" fontId="18" fillId="10" borderId="13" xfId="7" applyNumberFormat="1" applyFont="1" applyFill="1" applyBorder="1" applyAlignment="1">
      <alignment horizontal="center" vertical="center"/>
    </xf>
    <xf numFmtId="167" fontId="18" fillId="10" borderId="3" xfId="7" applyNumberFormat="1" applyFont="1" applyFill="1" applyBorder="1" applyAlignment="1">
      <alignment horizontal="center" vertical="center"/>
    </xf>
    <xf numFmtId="0" fontId="23" fillId="10" borderId="4" xfId="0" quotePrefix="1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167" fontId="18" fillId="10" borderId="1" xfId="0" applyNumberFormat="1" applyFont="1" applyFill="1" applyBorder="1" applyAlignment="1">
      <alignment horizontal="center" vertical="center"/>
    </xf>
    <xf numFmtId="0" fontId="32" fillId="10" borderId="7" xfId="0" quotePrefix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42" fillId="10" borderId="7" xfId="0" quotePrefix="1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167" fontId="28" fillId="10" borderId="1" xfId="0" applyNumberFormat="1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175" fontId="18" fillId="10" borderId="8" xfId="0" applyNumberFormat="1" applyFont="1" applyFill="1" applyBorder="1" applyAlignment="1">
      <alignment horizontal="center" vertical="center"/>
    </xf>
    <xf numFmtId="0" fontId="21" fillId="10" borderId="7" xfId="0" quotePrefix="1" applyFont="1" applyFill="1" applyBorder="1" applyAlignment="1">
      <alignment horizontal="center" vertical="center"/>
    </xf>
    <xf numFmtId="0" fontId="42" fillId="10" borderId="9" xfId="0" quotePrefix="1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28" fillId="10" borderId="9" xfId="0" quotePrefix="1" applyFont="1" applyFill="1" applyBorder="1" applyAlignment="1">
      <alignment horizontal="center" vertical="center"/>
    </xf>
    <xf numFmtId="167" fontId="43" fillId="10" borderId="1" xfId="0" applyNumberFormat="1" applyFont="1" applyFill="1" applyBorder="1" applyAlignment="1">
      <alignment horizontal="center" vertical="center"/>
    </xf>
    <xf numFmtId="0" fontId="14" fillId="10" borderId="36" xfId="0" quotePrefix="1" applyFont="1" applyFill="1" applyBorder="1" applyAlignment="1">
      <alignment horizontal="center" vertical="center"/>
    </xf>
    <xf numFmtId="3" fontId="18" fillId="10" borderId="37" xfId="0" applyNumberFormat="1" applyFont="1" applyFill="1" applyBorder="1" applyAlignment="1">
      <alignment horizontal="center" vertical="center"/>
    </xf>
    <xf numFmtId="0" fontId="15" fillId="10" borderId="36" xfId="0" quotePrefix="1" applyFont="1" applyFill="1" applyBorder="1" applyAlignment="1">
      <alignment horizontal="center" vertical="center" wrapText="1"/>
    </xf>
    <xf numFmtId="3" fontId="12" fillId="10" borderId="40" xfId="0" applyNumberFormat="1" applyFont="1" applyFill="1" applyBorder="1" applyAlignment="1">
      <alignment horizontal="center" vertical="center"/>
    </xf>
    <xf numFmtId="1" fontId="19" fillId="10" borderId="22" xfId="0" quotePrefix="1" applyNumberFormat="1" applyFont="1" applyFill="1" applyBorder="1" applyAlignment="1">
      <alignment horizontal="center" vertical="center"/>
    </xf>
    <xf numFmtId="0" fontId="84" fillId="10" borderId="26" xfId="0" quotePrefix="1" applyFont="1" applyFill="1" applyBorder="1" applyAlignment="1">
      <alignment horizontal="left"/>
    </xf>
    <xf numFmtId="0" fontId="39" fillId="10" borderId="36" xfId="0" quotePrefix="1" applyFont="1" applyFill="1" applyBorder="1" applyAlignment="1">
      <alignment horizontal="center" vertical="center"/>
    </xf>
    <xf numFmtId="1" fontId="12" fillId="10" borderId="40" xfId="0" applyNumberFormat="1" applyFont="1" applyFill="1" applyBorder="1" applyAlignment="1">
      <alignment horizontal="center" vertical="center"/>
    </xf>
    <xf numFmtId="3" fontId="12" fillId="10" borderId="37" xfId="0" applyNumberFormat="1" applyFont="1" applyFill="1" applyBorder="1" applyAlignment="1">
      <alignment horizontal="center" vertical="center"/>
    </xf>
    <xf numFmtId="3" fontId="12" fillId="10" borderId="45" xfId="0" applyNumberFormat="1" applyFont="1" applyFill="1" applyBorder="1" applyAlignment="1">
      <alignment horizontal="center" vertical="center"/>
    </xf>
    <xf numFmtId="0" fontId="14" fillId="10" borderId="36" xfId="0" applyFont="1" applyFill="1" applyBorder="1" applyAlignment="1">
      <alignment horizontal="center" vertical="center"/>
    </xf>
    <xf numFmtId="0" fontId="14" fillId="10" borderId="36" xfId="0" quotePrefix="1" applyFont="1" applyFill="1" applyBorder="1" applyAlignment="1">
      <alignment horizontal="center" vertical="center" wrapText="1"/>
    </xf>
    <xf numFmtId="0" fontId="15" fillId="10" borderId="36" xfId="0" quotePrefix="1" applyFont="1" applyFill="1" applyBorder="1" applyAlignment="1">
      <alignment horizontal="center" vertical="center"/>
    </xf>
    <xf numFmtId="3" fontId="18" fillId="10" borderId="36" xfId="0" applyNumberFormat="1" applyFont="1" applyFill="1" applyBorder="1" applyAlignment="1">
      <alignment horizontal="center" vertical="center"/>
    </xf>
    <xf numFmtId="3" fontId="18" fillId="10" borderId="46" xfId="0" applyNumberFormat="1" applyFont="1" applyFill="1" applyBorder="1" applyAlignment="1">
      <alignment horizontal="center" vertical="center"/>
    </xf>
    <xf numFmtId="0" fontId="15" fillId="10" borderId="38" xfId="0" quotePrefix="1" applyFont="1" applyFill="1" applyBorder="1" applyAlignment="1">
      <alignment horizontal="center" vertical="center"/>
    </xf>
    <xf numFmtId="0" fontId="15" fillId="10" borderId="26" xfId="0" applyFont="1" applyFill="1" applyBorder="1" applyAlignment="1">
      <alignment vertical="center"/>
    </xf>
    <xf numFmtId="0" fontId="15" fillId="10" borderId="36" xfId="0" applyFont="1" applyFill="1" applyBorder="1"/>
    <xf numFmtId="1" fontId="15" fillId="10" borderId="43" xfId="0" applyNumberFormat="1" applyFont="1" applyFill="1" applyBorder="1" applyAlignment="1">
      <alignment horizontal="center" vertical="center"/>
    </xf>
    <xf numFmtId="0" fontId="14" fillId="10" borderId="36" xfId="0" applyFont="1" applyFill="1" applyBorder="1"/>
    <xf numFmtId="3" fontId="14" fillId="10" borderId="37" xfId="0" applyNumberFormat="1" applyFont="1" applyFill="1" applyBorder="1"/>
    <xf numFmtId="0" fontId="15" fillId="10" borderId="36" xfId="0" quotePrefix="1" applyFont="1" applyFill="1" applyBorder="1" applyAlignment="1">
      <alignment horizontal="left"/>
    </xf>
    <xf numFmtId="3" fontId="15" fillId="10" borderId="45" xfId="0" applyNumberFormat="1" applyFont="1" applyFill="1" applyBorder="1"/>
    <xf numFmtId="3" fontId="14" fillId="10" borderId="37" xfId="2" applyNumberFormat="1" applyFont="1" applyFill="1" applyBorder="1"/>
    <xf numFmtId="0" fontId="14" fillId="10" borderId="36" xfId="0" quotePrefix="1" applyFont="1" applyFill="1" applyBorder="1" applyAlignment="1">
      <alignment horizontal="left"/>
    </xf>
    <xf numFmtId="3" fontId="15" fillId="10" borderId="37" xfId="0" applyNumberFormat="1" applyFont="1" applyFill="1" applyBorder="1"/>
    <xf numFmtId="3" fontId="14" fillId="10" borderId="40" xfId="0" applyNumberFormat="1" applyFont="1" applyFill="1" applyBorder="1"/>
    <xf numFmtId="0" fontId="15" fillId="10" borderId="38" xfId="0" applyFont="1" applyFill="1" applyBorder="1"/>
    <xf numFmtId="3" fontId="15" fillId="10" borderId="40" xfId="0" applyNumberFormat="1" applyFont="1" applyFill="1" applyBorder="1"/>
    <xf numFmtId="0" fontId="15" fillId="10" borderId="26" xfId="0" applyFont="1" applyFill="1" applyBorder="1"/>
    <xf numFmtId="1" fontId="15" fillId="10" borderId="40" xfId="0" applyNumberFormat="1" applyFont="1" applyFill="1" applyBorder="1" applyAlignment="1">
      <alignment horizontal="center" vertical="center"/>
    </xf>
    <xf numFmtId="0" fontId="14" fillId="10" borderId="37" xfId="0" applyFont="1" applyFill="1" applyBorder="1"/>
    <xf numFmtId="3" fontId="14" fillId="10" borderId="46" xfId="0" applyNumberFormat="1" applyFont="1" applyFill="1" applyBorder="1"/>
    <xf numFmtId="3" fontId="15" fillId="10" borderId="40" xfId="0" applyNumberFormat="1" applyFont="1" applyFill="1" applyBorder="1" applyAlignment="1">
      <alignment horizontal="center" vertical="center"/>
    </xf>
    <xf numFmtId="0" fontId="15" fillId="10" borderId="39" xfId="0" applyFont="1" applyFill="1" applyBorder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1" fontId="10" fillId="0" borderId="43" xfId="0" applyNumberFormat="1" applyFont="1" applyBorder="1" applyAlignment="1">
      <alignment horizontal="center" vertical="center"/>
    </xf>
    <xf numFmtId="165" fontId="15" fillId="10" borderId="37" xfId="0" applyNumberFormat="1" applyFont="1" applyFill="1" applyBorder="1" applyAlignment="1">
      <alignment horizontal="center" vertical="center"/>
    </xf>
    <xf numFmtId="165" fontId="14" fillId="10" borderId="37" xfId="0" applyNumberFormat="1" applyFont="1" applyFill="1" applyBorder="1" applyAlignment="1">
      <alignment horizontal="center" vertical="center"/>
    </xf>
    <xf numFmtId="0" fontId="14" fillId="10" borderId="36" xfId="0" applyFont="1" applyFill="1" applyBorder="1" applyAlignment="1">
      <alignment horizontal="left"/>
    </xf>
    <xf numFmtId="3" fontId="14" fillId="10" borderId="37" xfId="0" applyNumberFormat="1" applyFont="1" applyFill="1" applyBorder="1" applyAlignment="1">
      <alignment horizontal="center" vertical="center"/>
    </xf>
    <xf numFmtId="165" fontId="15" fillId="10" borderId="36" xfId="0" quotePrefix="1" applyNumberFormat="1" applyFont="1" applyFill="1" applyBorder="1" applyAlignment="1">
      <alignment horizontal="left"/>
    </xf>
    <xf numFmtId="3" fontId="15" fillId="10" borderId="45" xfId="0" applyNumberFormat="1" applyFont="1" applyFill="1" applyBorder="1" applyAlignment="1">
      <alignment horizontal="center" vertical="center"/>
    </xf>
    <xf numFmtId="3" fontId="15" fillId="10" borderId="37" xfId="0" applyNumberFormat="1" applyFont="1" applyFill="1" applyBorder="1" applyAlignment="1">
      <alignment horizontal="center" vertical="center"/>
    </xf>
    <xf numFmtId="3" fontId="15" fillId="10" borderId="13" xfId="12" applyNumberFormat="1" applyFont="1" applyFill="1" applyBorder="1" applyAlignment="1">
      <alignment horizontal="center" vertical="center"/>
    </xf>
    <xf numFmtId="3" fontId="15" fillId="10" borderId="39" xfId="12" applyNumberFormat="1" applyFont="1" applyFill="1" applyBorder="1" applyAlignment="1">
      <alignment horizontal="center" vertical="center"/>
    </xf>
    <xf numFmtId="3" fontId="14" fillId="10" borderId="20" xfId="12" applyNumberFormat="1" applyFont="1" applyFill="1" applyBorder="1" applyAlignment="1">
      <alignment horizontal="center" vertical="center"/>
    </xf>
    <xf numFmtId="0" fontId="15" fillId="10" borderId="26" xfId="12" quotePrefix="1" applyFont="1" applyFill="1" applyBorder="1" applyAlignment="1">
      <alignment horizontal="left"/>
    </xf>
    <xf numFmtId="0" fontId="15" fillId="10" borderId="36" xfId="12" applyFont="1" applyFill="1" applyBorder="1"/>
    <xf numFmtId="165" fontId="15" fillId="10" borderId="37" xfId="12" applyNumberFormat="1" applyFont="1" applyFill="1" applyBorder="1" applyAlignment="1">
      <alignment horizontal="center" vertical="center"/>
    </xf>
    <xf numFmtId="165" fontId="14" fillId="10" borderId="37" xfId="12" applyNumberFormat="1" applyFont="1" applyFill="1" applyBorder="1" applyAlignment="1">
      <alignment horizontal="center" vertical="center"/>
    </xf>
    <xf numFmtId="0" fontId="14" fillId="10" borderId="36" xfId="12" quotePrefix="1" applyFont="1" applyFill="1" applyBorder="1" applyAlignment="1">
      <alignment horizontal="left"/>
    </xf>
    <xf numFmtId="3" fontId="14" fillId="10" borderId="37" xfId="12" applyNumberFormat="1" applyFont="1" applyFill="1" applyBorder="1" applyAlignment="1">
      <alignment horizontal="center" vertical="center"/>
    </xf>
    <xf numFmtId="0" fontId="14" fillId="10" borderId="36" xfId="12" applyFont="1" applyFill="1" applyBorder="1"/>
    <xf numFmtId="0" fontId="15" fillId="10" borderId="36" xfId="12" quotePrefix="1" applyFont="1" applyFill="1" applyBorder="1" applyAlignment="1">
      <alignment horizontal="left"/>
    </xf>
    <xf numFmtId="3" fontId="15" fillId="10" borderId="45" xfId="12" applyNumberFormat="1" applyFont="1" applyFill="1" applyBorder="1" applyAlignment="1">
      <alignment horizontal="center" vertical="center"/>
    </xf>
    <xf numFmtId="3" fontId="14" fillId="10" borderId="46" xfId="12" applyNumberFormat="1" applyFont="1" applyFill="1" applyBorder="1" applyAlignment="1">
      <alignment horizontal="center" vertical="center"/>
    </xf>
    <xf numFmtId="0" fontId="15" fillId="10" borderId="38" xfId="12" applyFont="1" applyFill="1" applyBorder="1" applyAlignment="1">
      <alignment horizontal="left" vertical="center"/>
    </xf>
    <xf numFmtId="3" fontId="15" fillId="10" borderId="40" xfId="12" applyNumberFormat="1" applyFont="1" applyFill="1" applyBorder="1" applyAlignment="1">
      <alignment horizontal="center" vertical="center"/>
    </xf>
    <xf numFmtId="0" fontId="14" fillId="10" borderId="1" xfId="0" applyFont="1" applyFill="1" applyBorder="1"/>
    <xf numFmtId="3" fontId="14" fillId="10" borderId="1" xfId="0" applyNumberFormat="1" applyFont="1" applyFill="1" applyBorder="1"/>
    <xf numFmtId="0" fontId="15" fillId="10" borderId="1" xfId="0" applyFont="1" applyFill="1" applyBorder="1"/>
    <xf numFmtId="3" fontId="15" fillId="10" borderId="1" xfId="0" applyNumberFormat="1" applyFont="1" applyFill="1" applyBorder="1"/>
    <xf numFmtId="3" fontId="14" fillId="10" borderId="1" xfId="0" applyNumberFormat="1" applyFont="1" applyFill="1" applyBorder="1" applyAlignment="1">
      <alignment horizontal="center" vertical="center"/>
    </xf>
    <xf numFmtId="0" fontId="15" fillId="10" borderId="1" xfId="0" quotePrefix="1" applyFont="1" applyFill="1" applyBorder="1" applyAlignment="1">
      <alignment horizontal="left"/>
    </xf>
    <xf numFmtId="3" fontId="14" fillId="10" borderId="1" xfId="7" applyNumberFormat="1" applyFont="1" applyFill="1" applyBorder="1"/>
    <xf numFmtId="0" fontId="10" fillId="10" borderId="0" xfId="0" applyFont="1" applyFill="1"/>
    <xf numFmtId="181" fontId="14" fillId="10" borderId="1" xfId="7" applyNumberFormat="1" applyFont="1" applyFill="1" applyBorder="1"/>
    <xf numFmtId="167" fontId="8" fillId="10" borderId="0" xfId="7" applyNumberFormat="1" applyFont="1" applyFill="1" applyBorder="1"/>
    <xf numFmtId="173" fontId="8" fillId="1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10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8" fillId="10" borderId="0" xfId="0" applyFont="1" applyFill="1" applyAlignment="1">
      <alignment horizontal="left"/>
    </xf>
    <xf numFmtId="0" fontId="8" fillId="10" borderId="36" xfId="0" applyFont="1" applyFill="1" applyBorder="1" applyAlignment="1">
      <alignment horizontal="left" vertical="center"/>
    </xf>
    <xf numFmtId="167" fontId="88" fillId="10" borderId="0" xfId="7" applyNumberFormat="1" applyFont="1" applyFill="1" applyBorder="1"/>
    <xf numFmtId="44" fontId="8" fillId="10" borderId="0" xfId="33" applyFont="1" applyFill="1" applyBorder="1"/>
    <xf numFmtId="1" fontId="8" fillId="10" borderId="0" xfId="0" applyNumberFormat="1" applyFont="1" applyFill="1"/>
    <xf numFmtId="174" fontId="10" fillId="10" borderId="0" xfId="0" applyNumberFormat="1" applyFont="1" applyFill="1"/>
    <xf numFmtId="174" fontId="8" fillId="10" borderId="0" xfId="0" applyNumberFormat="1" applyFont="1" applyFill="1"/>
    <xf numFmtId="0" fontId="8" fillId="10" borderId="0" xfId="0" quotePrefix="1" applyFont="1" applyFill="1" applyAlignment="1">
      <alignment horizontal="left"/>
    </xf>
    <xf numFmtId="167" fontId="10" fillId="10" borderId="0" xfId="7" applyNumberFormat="1" applyFont="1" applyFill="1" applyBorder="1"/>
    <xf numFmtId="3" fontId="8" fillId="10" borderId="0" xfId="0" applyNumberFormat="1" applyFont="1" applyFill="1"/>
    <xf numFmtId="3" fontId="8" fillId="10" borderId="0" xfId="7" applyNumberFormat="1" applyFont="1" applyFill="1" applyBorder="1"/>
    <xf numFmtId="167" fontId="8" fillId="10" borderId="0" xfId="0" applyNumberFormat="1" applyFont="1" applyFill="1"/>
    <xf numFmtId="41" fontId="8" fillId="10" borderId="0" xfId="34" applyFont="1" applyFill="1" applyBorder="1"/>
    <xf numFmtId="4" fontId="8" fillId="10" borderId="0" xfId="7" applyNumberFormat="1" applyFont="1" applyFill="1" applyBorder="1" applyAlignment="1"/>
    <xf numFmtId="0" fontId="8" fillId="10" borderId="0" xfId="7" applyNumberFormat="1" applyFont="1" applyFill="1" applyBorder="1"/>
    <xf numFmtId="0" fontId="12" fillId="10" borderId="12" xfId="0" quotePrefix="1" applyFont="1" applyFill="1" applyBorder="1" applyAlignment="1">
      <alignment horizontal="right" vertical="center" wrapText="1"/>
    </xf>
    <xf numFmtId="0" fontId="15" fillId="10" borderId="1" xfId="0" quotePrefix="1" applyFont="1" applyFill="1" applyBorder="1" applyAlignment="1">
      <alignment horizontal="right" vertical="center" wrapText="1"/>
    </xf>
    <xf numFmtId="0" fontId="87" fillId="10" borderId="0" xfId="0" quotePrefix="1" applyFont="1" applyFill="1"/>
    <xf numFmtId="0" fontId="15" fillId="10" borderId="1" xfId="0" quotePrefix="1" applyFont="1" applyFill="1" applyBorder="1" applyAlignment="1">
      <alignment horizontal="center" vertical="center" wrapText="1"/>
    </xf>
    <xf numFmtId="0" fontId="15" fillId="10" borderId="1" xfId="0" quotePrefix="1" applyFont="1" applyFill="1" applyBorder="1" applyAlignment="1">
      <alignment vertical="center" wrapText="1"/>
    </xf>
    <xf numFmtId="167" fontId="14" fillId="10" borderId="1" xfId="7" applyNumberFormat="1" applyFont="1" applyFill="1" applyBorder="1" applyAlignment="1">
      <alignment horizontal="center"/>
    </xf>
    <xf numFmtId="0" fontId="12" fillId="10" borderId="12" xfId="0" quotePrefix="1" applyFont="1" applyFill="1" applyBorder="1" applyAlignment="1">
      <alignment vertical="center" wrapText="1"/>
    </xf>
    <xf numFmtId="3" fontId="15" fillId="10" borderId="1" xfId="7" applyNumberFormat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vertical="center" wrapText="1"/>
    </xf>
    <xf numFmtId="3" fontId="15" fillId="10" borderId="30" xfId="7" applyNumberFormat="1" applyFont="1" applyFill="1" applyBorder="1" applyAlignment="1">
      <alignment horizontal="center" vertical="center"/>
    </xf>
    <xf numFmtId="0" fontId="14" fillId="10" borderId="29" xfId="0" quotePrefix="1" applyFont="1" applyFill="1" applyBorder="1" applyAlignment="1">
      <alignment horizontal="left"/>
    </xf>
    <xf numFmtId="3" fontId="14" fillId="10" borderId="30" xfId="7" applyNumberFormat="1" applyFont="1" applyFill="1" applyBorder="1"/>
    <xf numFmtId="167" fontId="14" fillId="10" borderId="30" xfId="7" applyNumberFormat="1" applyFont="1" applyFill="1" applyBorder="1"/>
    <xf numFmtId="0" fontId="14" fillId="10" borderId="19" xfId="0" quotePrefix="1" applyFont="1" applyFill="1" applyBorder="1" applyAlignment="1">
      <alignment horizontal="left"/>
    </xf>
    <xf numFmtId="167" fontId="14" fillId="10" borderId="21" xfId="7" applyNumberFormat="1" applyFont="1" applyFill="1" applyBorder="1"/>
    <xf numFmtId="167" fontId="14" fillId="10" borderId="31" xfId="7" applyNumberFormat="1" applyFont="1" applyFill="1" applyBorder="1"/>
    <xf numFmtId="0" fontId="12" fillId="10" borderId="48" xfId="0" quotePrefix="1" applyFont="1" applyFill="1" applyBorder="1" applyAlignment="1">
      <alignment horizontal="right" vertical="center" wrapText="1"/>
    </xf>
    <xf numFmtId="0" fontId="15" fillId="10" borderId="30" xfId="0" quotePrefix="1" applyFont="1" applyFill="1" applyBorder="1" applyAlignment="1">
      <alignment horizontal="center" vertical="center" wrapText="1"/>
    </xf>
    <xf numFmtId="167" fontId="14" fillId="10" borderId="30" xfId="7" applyNumberFormat="1" applyFont="1" applyFill="1" applyBorder="1" applyAlignment="1">
      <alignment horizontal="center"/>
    </xf>
    <xf numFmtId="0" fontId="14" fillId="10" borderId="29" xfId="0" quotePrefix="1" applyFont="1" applyFill="1" applyBorder="1"/>
    <xf numFmtId="167" fontId="14" fillId="10" borderId="21" xfId="7" applyNumberFormat="1" applyFont="1" applyFill="1" applyBorder="1" applyAlignment="1">
      <alignment horizontal="center"/>
    </xf>
    <xf numFmtId="167" fontId="14" fillId="10" borderId="31" xfId="7" applyNumberFormat="1" applyFont="1" applyFill="1" applyBorder="1" applyAlignment="1">
      <alignment horizontal="center"/>
    </xf>
    <xf numFmtId="0" fontId="15" fillId="10" borderId="12" xfId="0" quotePrefix="1" applyFont="1" applyFill="1" applyBorder="1" applyAlignment="1">
      <alignment horizontal="right" vertical="center" wrapText="1"/>
    </xf>
    <xf numFmtId="3" fontId="14" fillId="10" borderId="2" xfId="0" applyNumberFormat="1" applyFont="1" applyFill="1" applyBorder="1"/>
    <xf numFmtId="3" fontId="14" fillId="10" borderId="2" xfId="0" quotePrefix="1" applyNumberFormat="1" applyFont="1" applyFill="1" applyBorder="1" applyAlignment="1">
      <alignment horizontal="left"/>
    </xf>
    <xf numFmtId="167" fontId="14" fillId="10" borderId="34" xfId="7" applyNumberFormat="1" applyFont="1" applyFill="1" applyBorder="1"/>
    <xf numFmtId="0" fontId="12" fillId="10" borderId="12" xfId="0" quotePrefix="1" applyFont="1" applyFill="1" applyBorder="1" applyAlignment="1">
      <alignment horizontal="left" vertical="center"/>
    </xf>
    <xf numFmtId="9" fontId="14" fillId="10" borderId="0" xfId="0" applyNumberFormat="1" applyFont="1" applyFill="1"/>
    <xf numFmtId="0" fontId="15" fillId="10" borderId="12" xfId="0" quotePrefix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/>
    </xf>
    <xf numFmtId="3" fontId="14" fillId="10" borderId="0" xfId="0" quotePrefix="1" applyNumberFormat="1" applyFont="1" applyFill="1" applyAlignment="1">
      <alignment horizontal="left"/>
    </xf>
    <xf numFmtId="0" fontId="8" fillId="0" borderId="1" xfId="0" applyFont="1" applyBorder="1"/>
    <xf numFmtId="167" fontId="8" fillId="0" borderId="1" xfId="0" applyNumberFormat="1" applyFont="1" applyBorder="1"/>
    <xf numFmtId="167" fontId="8" fillId="0" borderId="0" xfId="7" applyNumberFormat="1" applyFont="1" applyAlignment="1">
      <alignment vertical="center"/>
    </xf>
    <xf numFmtId="0" fontId="8" fillId="0" borderId="0" xfId="0" applyFont="1" applyAlignment="1">
      <alignment vertical="center"/>
    </xf>
    <xf numFmtId="167" fontId="8" fillId="0" borderId="0" xfId="7" applyNumberFormat="1" applyFont="1"/>
    <xf numFmtId="173" fontId="8" fillId="0" borderId="0" xfId="0" applyNumberFormat="1" applyFont="1"/>
    <xf numFmtId="165" fontId="8" fillId="0" borderId="0" xfId="0" applyNumberFormat="1" applyFont="1"/>
    <xf numFmtId="174" fontId="8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10" fontId="8" fillId="0" borderId="1" xfId="7" applyNumberFormat="1" applyFont="1" applyBorder="1" applyAlignment="1">
      <alignment horizontal="center" vertical="center"/>
    </xf>
    <xf numFmtId="10" fontId="8" fillId="0" borderId="1" xfId="7" applyNumberFormat="1" applyFont="1" applyFill="1" applyBorder="1" applyAlignment="1">
      <alignment horizontal="center" vertical="center"/>
    </xf>
    <xf numFmtId="167" fontId="8" fillId="0" borderId="0" xfId="7" applyNumberFormat="1" applyFont="1" applyFill="1"/>
    <xf numFmtId="41" fontId="8" fillId="0" borderId="1" xfId="27" applyFont="1" applyFill="1" applyBorder="1" applyAlignment="1">
      <alignment horizontal="center" vertical="center"/>
    </xf>
    <xf numFmtId="167" fontId="8" fillId="0" borderId="1" xfId="7" applyNumberFormat="1" applyFont="1" applyFill="1" applyBorder="1" applyAlignment="1">
      <alignment horizontal="center" vertical="center"/>
    </xf>
    <xf numFmtId="0" fontId="8" fillId="10" borderId="1" xfId="0" applyFont="1" applyFill="1" applyBorder="1"/>
    <xf numFmtId="3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10" fontId="8" fillId="0" borderId="1" xfId="0" applyNumberFormat="1" applyFont="1" applyBorder="1"/>
    <xf numFmtId="0" fontId="14" fillId="10" borderId="2" xfId="0" quotePrefix="1" applyFont="1" applyFill="1" applyBorder="1" applyAlignment="1">
      <alignment vertical="center"/>
    </xf>
    <xf numFmtId="0" fontId="15" fillId="10" borderId="1" xfId="0" applyFont="1" applyFill="1" applyBorder="1" applyAlignment="1">
      <alignment horizontal="center" vertical="center"/>
    </xf>
    <xf numFmtId="167" fontId="14" fillId="10" borderId="3" xfId="7" applyNumberFormat="1" applyFont="1" applyFill="1" applyBorder="1" applyAlignment="1">
      <alignment horizontal="center" vertical="center"/>
    </xf>
    <xf numFmtId="3" fontId="14" fillId="10" borderId="1" xfId="7" applyNumberFormat="1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2" fillId="10" borderId="7" xfId="0" quotePrefix="1" applyFont="1" applyFill="1" applyBorder="1" applyAlignment="1">
      <alignment vertical="center"/>
    </xf>
    <xf numFmtId="0" fontId="15" fillId="10" borderId="11" xfId="0" quotePrefix="1" applyFont="1" applyFill="1" applyBorder="1" applyAlignment="1">
      <alignment horizontal="center" vertical="center" wrapText="1"/>
    </xf>
    <xf numFmtId="0" fontId="15" fillId="10" borderId="14" xfId="0" quotePrefix="1" applyFont="1" applyFill="1" applyBorder="1" applyAlignment="1">
      <alignment horizontal="center" vertical="center" wrapText="1"/>
    </xf>
    <xf numFmtId="0" fontId="15" fillId="10" borderId="49" xfId="0" quotePrefix="1" applyFont="1" applyFill="1" applyBorder="1" applyAlignment="1">
      <alignment horizontal="center" vertical="center" wrapText="1"/>
    </xf>
    <xf numFmtId="0" fontId="15" fillId="10" borderId="14" xfId="0" applyFont="1" applyFill="1" applyBorder="1" applyAlignment="1">
      <alignment horizontal="center"/>
    </xf>
    <xf numFmtId="0" fontId="12" fillId="10" borderId="15" xfId="0" quotePrefix="1" applyFont="1" applyFill="1" applyBorder="1" applyAlignment="1">
      <alignment horizontal="left" vertical="center"/>
    </xf>
    <xf numFmtId="0" fontId="15" fillId="10" borderId="15" xfId="0" quotePrefix="1" applyFont="1" applyFill="1" applyBorder="1" applyAlignment="1">
      <alignment horizontal="center" vertical="center" wrapText="1"/>
    </xf>
    <xf numFmtId="3" fontId="14" fillId="10" borderId="1" xfId="7" applyNumberFormat="1" applyFont="1" applyFill="1" applyBorder="1" applyAlignment="1">
      <alignment horizontal="center"/>
    </xf>
    <xf numFmtId="0" fontId="12" fillId="10" borderId="1" xfId="0" quotePrefix="1" applyFont="1" applyFill="1" applyBorder="1" applyAlignment="1">
      <alignment horizontal="left" vertical="center"/>
    </xf>
    <xf numFmtId="0" fontId="15" fillId="10" borderId="1" xfId="0" quotePrefix="1" applyFont="1" applyFill="1" applyBorder="1" applyAlignment="1">
      <alignment horizontal="left" vertical="center"/>
    </xf>
    <xf numFmtId="3" fontId="14" fillId="10" borderId="1" xfId="0" quotePrefix="1" applyNumberFormat="1" applyFont="1" applyFill="1" applyBorder="1" applyAlignment="1">
      <alignment horizontal="left"/>
    </xf>
    <xf numFmtId="3" fontId="14" fillId="10" borderId="1" xfId="0" applyNumberFormat="1" applyFont="1" applyFill="1" applyBorder="1" applyAlignment="1">
      <alignment horizontal="center"/>
    </xf>
    <xf numFmtId="3" fontId="14" fillId="10" borderId="1" xfId="0" applyNumberFormat="1" applyFont="1" applyFill="1" applyBorder="1" applyAlignment="1">
      <alignment horizontal="left"/>
    </xf>
    <xf numFmtId="0" fontId="0" fillId="13" borderId="36" xfId="0" applyFill="1" applyBorder="1"/>
    <xf numFmtId="0" fontId="48" fillId="13" borderId="0" xfId="0" quotePrefix="1" applyFont="1" applyFill="1" applyAlignment="1">
      <alignment vertical="center"/>
    </xf>
    <xf numFmtId="0" fontId="31" fillId="13" borderId="0" xfId="0" quotePrefix="1" applyFont="1" applyFill="1" applyAlignment="1">
      <alignment vertical="center"/>
    </xf>
    <xf numFmtId="0" fontId="31" fillId="13" borderId="27" xfId="0" quotePrefix="1" applyFont="1" applyFill="1" applyBorder="1" applyAlignment="1">
      <alignment vertical="center"/>
    </xf>
    <xf numFmtId="0" fontId="31" fillId="13" borderId="28" xfId="0" quotePrefix="1" applyFont="1" applyFill="1" applyBorder="1" applyAlignment="1">
      <alignment vertical="center"/>
    </xf>
    <xf numFmtId="0" fontId="16" fillId="0" borderId="26" xfId="0" quotePrefix="1" applyFont="1" applyBorder="1" applyAlignment="1">
      <alignment horizontal="left" vertical="center"/>
    </xf>
    <xf numFmtId="0" fontId="16" fillId="0" borderId="27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36" xfId="0" quotePrefix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7" xfId="0" applyFont="1" applyBorder="1" applyAlignment="1">
      <alignment vertical="center"/>
    </xf>
    <xf numFmtId="4" fontId="14" fillId="10" borderId="1" xfId="0" applyNumberFormat="1" applyFont="1" applyFill="1" applyBorder="1"/>
    <xf numFmtId="3" fontId="12" fillId="10" borderId="1" xfId="7" applyNumberFormat="1" applyFont="1" applyFill="1" applyBorder="1" applyAlignment="1">
      <alignment horizontal="center" vertical="center"/>
    </xf>
    <xf numFmtId="166" fontId="15" fillId="10" borderId="1" xfId="0" applyNumberFormat="1" applyFont="1" applyFill="1" applyBorder="1"/>
    <xf numFmtId="1" fontId="12" fillId="10" borderId="16" xfId="0" applyNumberFormat="1" applyFont="1" applyFill="1" applyBorder="1" applyAlignment="1">
      <alignment horizontal="center" vertical="center"/>
    </xf>
    <xf numFmtId="166" fontId="14" fillId="10" borderId="1" xfId="0" applyNumberFormat="1" applyFont="1" applyFill="1" applyBorder="1" applyAlignment="1">
      <alignment horizontal="center" vertical="center"/>
    </xf>
    <xf numFmtId="4" fontId="14" fillId="10" borderId="1" xfId="0" applyNumberFormat="1" applyFont="1" applyFill="1" applyBorder="1" applyAlignment="1">
      <alignment horizontal="center" vertical="center"/>
    </xf>
    <xf numFmtId="166" fontId="15" fillId="10" borderId="1" xfId="0" applyNumberFormat="1" applyFont="1" applyFill="1" applyBorder="1" applyAlignment="1">
      <alignment horizontal="center" vertical="center"/>
    </xf>
    <xf numFmtId="167" fontId="14" fillId="10" borderId="30" xfId="7" applyNumberFormat="1" applyFont="1" applyFill="1" applyBorder="1" applyAlignment="1">
      <alignment horizontal="center" vertical="center"/>
    </xf>
    <xf numFmtId="0" fontId="14" fillId="10" borderId="51" xfId="0" quotePrefix="1" applyFont="1" applyFill="1" applyBorder="1" applyAlignment="1">
      <alignment horizontal="left"/>
    </xf>
    <xf numFmtId="0" fontId="14" fillId="10" borderId="52" xfId="0" quotePrefix="1" applyFont="1" applyFill="1" applyBorder="1" applyAlignment="1">
      <alignment horizontal="left"/>
    </xf>
    <xf numFmtId="3" fontId="39" fillId="0" borderId="1" xfId="0" applyNumberFormat="1" applyFont="1" applyBorder="1"/>
    <xf numFmtId="3" fontId="14" fillId="0" borderId="1" xfId="0" applyNumberFormat="1" applyFont="1" applyBorder="1"/>
    <xf numFmtId="1" fontId="12" fillId="10" borderId="1" xfId="0" applyNumberFormat="1" applyFont="1" applyFill="1" applyBorder="1"/>
    <xf numFmtId="1" fontId="12" fillId="10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left"/>
    </xf>
    <xf numFmtId="181" fontId="14" fillId="10" borderId="1" xfId="0" applyNumberFormat="1" applyFont="1" applyFill="1" applyBorder="1"/>
    <xf numFmtId="167" fontId="15" fillId="10" borderId="1" xfId="7" applyNumberFormat="1" applyFont="1" applyFill="1" applyBorder="1" applyAlignment="1">
      <alignment horizontal="center" vertical="center"/>
    </xf>
    <xf numFmtId="181" fontId="14" fillId="10" borderId="1" xfId="0" applyNumberFormat="1" applyFont="1" applyFill="1" applyBorder="1" applyAlignment="1">
      <alignment horizontal="center" vertical="center"/>
    </xf>
    <xf numFmtId="3" fontId="14" fillId="10" borderId="0" xfId="0" applyNumberFormat="1" applyFont="1" applyFill="1" applyAlignment="1">
      <alignment horizontal="left"/>
    </xf>
    <xf numFmtId="3" fontId="14" fillId="10" borderId="27" xfId="0" applyNumberFormat="1" applyFont="1" applyFill="1" applyBorder="1" applyAlignment="1">
      <alignment horizontal="center"/>
    </xf>
    <xf numFmtId="3" fontId="14" fillId="10" borderId="28" xfId="0" applyNumberFormat="1" applyFont="1" applyFill="1" applyBorder="1" applyAlignment="1">
      <alignment horizontal="center"/>
    </xf>
    <xf numFmtId="1" fontId="12" fillId="14" borderId="1" xfId="0" applyNumberFormat="1" applyFont="1" applyFill="1" applyBorder="1" applyAlignment="1">
      <alignment horizontal="center" vertical="center"/>
    </xf>
    <xf numFmtId="169" fontId="16" fillId="0" borderId="0" xfId="2" applyNumberFormat="1" applyFont="1" applyFill="1" applyBorder="1" applyAlignment="1">
      <alignment vertical="center"/>
    </xf>
    <xf numFmtId="0" fontId="12" fillId="10" borderId="1" xfId="0" quotePrefix="1" applyFont="1" applyFill="1" applyBorder="1"/>
    <xf numFmtId="0" fontId="12" fillId="10" borderId="1" xfId="0" quotePrefix="1" applyFont="1" applyFill="1" applyBorder="1" applyAlignment="1">
      <alignment horizontal="left"/>
    </xf>
    <xf numFmtId="0" fontId="12" fillId="10" borderId="1" xfId="0" quotePrefix="1" applyFont="1" applyFill="1" applyBorder="1" applyAlignment="1">
      <alignment vertical="center"/>
    </xf>
    <xf numFmtId="0" fontId="12" fillId="10" borderId="1" xfId="0" quotePrefix="1" applyFont="1" applyFill="1" applyBorder="1" applyAlignment="1">
      <alignment wrapText="1"/>
    </xf>
    <xf numFmtId="9" fontId="8" fillId="0" borderId="0" xfId="0" applyNumberFormat="1" applyFont="1"/>
    <xf numFmtId="0" fontId="10" fillId="10" borderId="26" xfId="0" quotePrefix="1" applyFont="1" applyFill="1" applyBorder="1" applyAlignment="1">
      <alignment horizontal="left" vertical="center"/>
    </xf>
    <xf numFmtId="0" fontId="89" fillId="10" borderId="36" xfId="0" applyFont="1" applyFill="1" applyBorder="1" applyAlignment="1">
      <alignment horizontal="left" vertical="center"/>
    </xf>
    <xf numFmtId="1" fontId="10" fillId="10" borderId="42" xfId="0" applyNumberFormat="1" applyFont="1" applyFill="1" applyBorder="1" applyAlignment="1">
      <alignment horizontal="center" vertical="center"/>
    </xf>
    <xf numFmtId="1" fontId="10" fillId="10" borderId="43" xfId="0" applyNumberFormat="1" applyFont="1" applyFill="1" applyBorder="1" applyAlignment="1">
      <alignment horizontal="center" vertical="center"/>
    </xf>
    <xf numFmtId="0" fontId="10" fillId="10" borderId="36" xfId="0" applyFont="1" applyFill="1" applyBorder="1" applyAlignment="1">
      <alignment horizontal="left" vertical="center"/>
    </xf>
    <xf numFmtId="165" fontId="8" fillId="10" borderId="0" xfId="0" applyNumberFormat="1" applyFont="1" applyFill="1" applyAlignment="1">
      <alignment horizontal="center" vertical="center"/>
    </xf>
    <xf numFmtId="0" fontId="8" fillId="10" borderId="37" xfId="0" applyFont="1" applyFill="1" applyBorder="1" applyAlignment="1">
      <alignment horizontal="center" vertical="center"/>
    </xf>
    <xf numFmtId="3" fontId="8" fillId="10" borderId="0" xfId="0" applyNumberFormat="1" applyFont="1" applyFill="1" applyAlignment="1">
      <alignment horizontal="center" vertical="center"/>
    </xf>
    <xf numFmtId="3" fontId="8" fillId="10" borderId="37" xfId="0" applyNumberFormat="1" applyFont="1" applyFill="1" applyBorder="1" applyAlignment="1">
      <alignment horizontal="center" vertical="center"/>
    </xf>
    <xf numFmtId="0" fontId="8" fillId="10" borderId="36" xfId="0" quotePrefix="1" applyFont="1" applyFill="1" applyBorder="1" applyAlignment="1">
      <alignment horizontal="left" vertical="center"/>
    </xf>
    <xf numFmtId="3" fontId="10" fillId="10" borderId="13" xfId="0" applyNumberFormat="1" applyFont="1" applyFill="1" applyBorder="1" applyAlignment="1">
      <alignment horizontal="center" vertical="center"/>
    </xf>
    <xf numFmtId="3" fontId="10" fillId="10" borderId="45" xfId="0" applyNumberFormat="1" applyFont="1" applyFill="1" applyBorder="1" applyAlignment="1">
      <alignment horizontal="center" vertical="center"/>
    </xf>
    <xf numFmtId="0" fontId="10" fillId="10" borderId="36" xfId="0" quotePrefix="1" applyFont="1" applyFill="1" applyBorder="1" applyAlignment="1">
      <alignment horizontal="left" vertical="center"/>
    </xf>
    <xf numFmtId="3" fontId="10" fillId="10" borderId="0" xfId="0" applyNumberFormat="1" applyFont="1" applyFill="1" applyAlignment="1">
      <alignment horizontal="center" vertical="center"/>
    </xf>
    <xf numFmtId="3" fontId="10" fillId="10" borderId="37" xfId="0" applyNumberFormat="1" applyFont="1" applyFill="1" applyBorder="1" applyAlignment="1">
      <alignment horizontal="center" vertical="center"/>
    </xf>
    <xf numFmtId="3" fontId="10" fillId="10" borderId="39" xfId="0" applyNumberFormat="1" applyFont="1" applyFill="1" applyBorder="1" applyAlignment="1">
      <alignment horizontal="center" vertical="center"/>
    </xf>
    <xf numFmtId="3" fontId="10" fillId="10" borderId="40" xfId="0" applyNumberFormat="1" applyFont="1" applyFill="1" applyBorder="1" applyAlignment="1">
      <alignment horizontal="center" vertical="center"/>
    </xf>
    <xf numFmtId="3" fontId="8" fillId="10" borderId="0" xfId="7" applyNumberFormat="1" applyFont="1" applyFill="1" applyBorder="1" applyAlignment="1">
      <alignment vertical="center"/>
    </xf>
    <xf numFmtId="3" fontId="8" fillId="10" borderId="20" xfId="0" applyNumberFormat="1" applyFont="1" applyFill="1" applyBorder="1" applyAlignment="1">
      <alignment horizontal="center" vertical="center"/>
    </xf>
    <xf numFmtId="3" fontId="8" fillId="10" borderId="46" xfId="0" applyNumberFormat="1" applyFont="1" applyFill="1" applyBorder="1" applyAlignment="1">
      <alignment horizontal="center" vertical="center"/>
    </xf>
    <xf numFmtId="0" fontId="10" fillId="10" borderId="38" xfId="0" applyFont="1" applyFill="1" applyBorder="1" applyAlignment="1">
      <alignment horizontal="left" vertical="center"/>
    </xf>
    <xf numFmtId="0" fontId="8" fillId="10" borderId="0" xfId="6" applyFont="1" applyFill="1"/>
    <xf numFmtId="167" fontId="8" fillId="10" borderId="0" xfId="7" applyNumberFormat="1" applyFont="1" applyFill="1" applyBorder="1" applyAlignment="1">
      <alignment horizontal="center" vertical="center"/>
    </xf>
    <xf numFmtId="4" fontId="8" fillId="10" borderId="0" xfId="7" applyNumberFormat="1" applyFont="1" applyFill="1" applyBorder="1" applyAlignment="1">
      <alignment horizontal="center" vertical="center"/>
    </xf>
    <xf numFmtId="1" fontId="10" fillId="10" borderId="0" xfId="0" applyNumberFormat="1" applyFont="1" applyFill="1" applyAlignment="1">
      <alignment horizontal="center" vertical="center"/>
    </xf>
    <xf numFmtId="1" fontId="10" fillId="10" borderId="37" xfId="0" applyNumberFormat="1" applyFont="1" applyFill="1" applyBorder="1" applyAlignment="1">
      <alignment horizontal="center" vertical="center"/>
    </xf>
    <xf numFmtId="167" fontId="8" fillId="10" borderId="37" xfId="7" applyNumberFormat="1" applyFont="1" applyFill="1" applyBorder="1" applyAlignment="1">
      <alignment horizontal="center" vertical="center"/>
    </xf>
    <xf numFmtId="3" fontId="8" fillId="10" borderId="0" xfId="7" applyNumberFormat="1" applyFont="1" applyFill="1" applyBorder="1" applyAlignment="1">
      <alignment horizontal="center" vertical="center"/>
    </xf>
    <xf numFmtId="3" fontId="15" fillId="10" borderId="1" xfId="0" applyNumberFormat="1" applyFont="1" applyFill="1" applyBorder="1" applyAlignment="1">
      <alignment horizontal="right"/>
    </xf>
    <xf numFmtId="1" fontId="12" fillId="10" borderId="1" xfId="0" applyNumberFormat="1" applyFont="1" applyFill="1" applyBorder="1" applyAlignment="1">
      <alignment horizontal="right"/>
    </xf>
    <xf numFmtId="3" fontId="15" fillId="14" borderId="1" xfId="0" quotePrefix="1" applyNumberFormat="1" applyFont="1" applyFill="1" applyBorder="1" applyAlignment="1">
      <alignment horizontal="left"/>
    </xf>
    <xf numFmtId="3" fontId="14" fillId="14" borderId="1" xfId="0" applyNumberFormat="1" applyFont="1" applyFill="1" applyBorder="1"/>
    <xf numFmtId="3" fontId="15" fillId="14" borderId="1" xfId="0" applyNumberFormat="1" applyFont="1" applyFill="1" applyBorder="1" applyAlignment="1">
      <alignment horizontal="center"/>
    </xf>
    <xf numFmtId="3" fontId="10" fillId="14" borderId="1" xfId="0" quotePrefix="1" applyNumberFormat="1" applyFont="1" applyFill="1" applyBorder="1" applyAlignment="1">
      <alignment horizontal="left"/>
    </xf>
    <xf numFmtId="3" fontId="29" fillId="0" borderId="0" xfId="0" applyNumberFormat="1" applyFont="1"/>
    <xf numFmtId="1" fontId="12" fillId="14" borderId="1" xfId="0" applyNumberFormat="1" applyFont="1" applyFill="1" applyBorder="1" applyAlignment="1">
      <alignment horizontal="center"/>
    </xf>
    <xf numFmtId="0" fontId="29" fillId="10" borderId="0" xfId="0" quotePrefix="1" applyFont="1" applyFill="1" applyAlignment="1">
      <alignment horizontal="left"/>
    </xf>
    <xf numFmtId="0" fontId="90" fillId="10" borderId="0" xfId="0" applyFont="1" applyFill="1"/>
    <xf numFmtId="166" fontId="29" fillId="10" borderId="0" xfId="0" applyNumberFormat="1" applyFont="1" applyFill="1"/>
    <xf numFmtId="3" fontId="53" fillId="14" borderId="1" xfId="0" quotePrefix="1" applyNumberFormat="1" applyFont="1" applyFill="1" applyBorder="1"/>
    <xf numFmtId="3" fontId="53" fillId="14" borderId="1" xfId="0" quotePrefix="1" applyNumberFormat="1" applyFont="1" applyFill="1" applyBorder="1" applyAlignment="1">
      <alignment horizontal="center" vertical="center"/>
    </xf>
    <xf numFmtId="3" fontId="53" fillId="14" borderId="1" xfId="0" quotePrefix="1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3" fontId="15" fillId="14" borderId="1" xfId="0" applyNumberFormat="1" applyFont="1" applyFill="1" applyBorder="1" applyAlignment="1">
      <alignment vertical="center"/>
    </xf>
    <xf numFmtId="3" fontId="18" fillId="0" borderId="1" xfId="0" quotePrefix="1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10" fontId="18" fillId="0" borderId="1" xfId="7" applyNumberFormat="1" applyFont="1" applyBorder="1" applyAlignment="1">
      <alignment horizontal="center" vertical="center"/>
    </xf>
    <xf numFmtId="3" fontId="53" fillId="14" borderId="12" xfId="0" quotePrefix="1" applyNumberFormat="1" applyFont="1" applyFill="1" applyBorder="1"/>
    <xf numFmtId="3" fontId="14" fillId="14" borderId="1" xfId="0" quotePrefix="1" applyNumberFormat="1" applyFont="1" applyFill="1" applyBorder="1" applyAlignment="1">
      <alignment horizontal="center" vertical="center"/>
    </xf>
    <xf numFmtId="1" fontId="18" fillId="14" borderId="1" xfId="0" applyNumberFormat="1" applyFont="1" applyFill="1" applyBorder="1" applyAlignment="1">
      <alignment horizontal="center" vertical="center"/>
    </xf>
    <xf numFmtId="3" fontId="14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14" fillId="10" borderId="36" xfId="0" quotePrefix="1" applyNumberFormat="1" applyFont="1" applyFill="1" applyBorder="1" applyAlignment="1">
      <alignment horizontal="left" vertical="center"/>
    </xf>
    <xf numFmtId="0" fontId="14" fillId="10" borderId="3" xfId="0" applyFont="1" applyFill="1" applyBorder="1" applyAlignment="1">
      <alignment vertical="center"/>
    </xf>
    <xf numFmtId="0" fontId="14" fillId="10" borderId="12" xfId="0" quotePrefix="1" applyFont="1" applyFill="1" applyBorder="1" applyAlignment="1">
      <alignment horizontal="left" vertical="center"/>
    </xf>
    <xf numFmtId="0" fontId="14" fillId="10" borderId="2" xfId="0" applyFont="1" applyFill="1" applyBorder="1" applyAlignment="1">
      <alignment vertical="center"/>
    </xf>
    <xf numFmtId="166" fontId="14" fillId="10" borderId="13" xfId="0" applyNumberFormat="1" applyFont="1" applyFill="1" applyBorder="1" applyAlignment="1">
      <alignment vertical="center"/>
    </xf>
    <xf numFmtId="0" fontId="14" fillId="10" borderId="2" xfId="0" quotePrefix="1" applyFont="1" applyFill="1" applyBorder="1" applyAlignment="1">
      <alignment horizontal="left" vertical="center"/>
    </xf>
    <xf numFmtId="167" fontId="14" fillId="10" borderId="1" xfId="0" applyNumberFormat="1" applyFont="1" applyFill="1" applyBorder="1" applyAlignment="1">
      <alignment vertical="center"/>
    </xf>
    <xf numFmtId="167" fontId="15" fillId="10" borderId="1" xfId="0" applyNumberFormat="1" applyFont="1" applyFill="1" applyBorder="1" applyAlignment="1">
      <alignment vertical="center"/>
    </xf>
    <xf numFmtId="0" fontId="14" fillId="10" borderId="3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14" fillId="14" borderId="3" xfId="0" applyFont="1" applyFill="1" applyBorder="1" applyAlignment="1">
      <alignment horizontal="center" vertical="center"/>
    </xf>
    <xf numFmtId="0" fontId="15" fillId="14" borderId="1" xfId="0" quotePrefix="1" applyFont="1" applyFill="1" applyBorder="1" applyAlignment="1">
      <alignment horizontal="center" vertical="center" wrapText="1"/>
    </xf>
    <xf numFmtId="3" fontId="14" fillId="10" borderId="3" xfId="0" applyNumberFormat="1" applyFont="1" applyFill="1" applyBorder="1" applyAlignment="1">
      <alignment horizontal="center" vertical="center"/>
    </xf>
    <xf numFmtId="165" fontId="14" fillId="10" borderId="1" xfId="0" applyNumberFormat="1" applyFont="1" applyFill="1" applyBorder="1" applyAlignment="1">
      <alignment horizontal="center" vertical="center"/>
    </xf>
    <xf numFmtId="171" fontId="14" fillId="10" borderId="1" xfId="0" applyNumberFormat="1" applyFont="1" applyFill="1" applyBorder="1" applyAlignment="1">
      <alignment horizontal="center" vertical="center"/>
    </xf>
    <xf numFmtId="167" fontId="14" fillId="10" borderId="1" xfId="0" applyNumberFormat="1" applyFont="1" applyFill="1" applyBorder="1" applyAlignment="1">
      <alignment horizontal="center" vertical="center"/>
    </xf>
    <xf numFmtId="166" fontId="14" fillId="10" borderId="3" xfId="0" applyNumberFormat="1" applyFont="1" applyFill="1" applyBorder="1" applyAlignment="1">
      <alignment horizontal="center" vertical="center"/>
    </xf>
    <xf numFmtId="9" fontId="14" fillId="10" borderId="3" xfId="7" applyFont="1" applyFill="1" applyBorder="1" applyAlignment="1">
      <alignment horizontal="center" vertical="center"/>
    </xf>
    <xf numFmtId="9" fontId="14" fillId="10" borderId="1" xfId="0" applyNumberFormat="1" applyFont="1" applyFill="1" applyBorder="1" applyAlignment="1">
      <alignment horizontal="center" vertical="center"/>
    </xf>
    <xf numFmtId="166" fontId="15" fillId="10" borderId="3" xfId="0" applyNumberFormat="1" applyFont="1" applyFill="1" applyBorder="1" applyAlignment="1">
      <alignment horizontal="center" vertical="center"/>
    </xf>
    <xf numFmtId="167" fontId="15" fillId="10" borderId="0" xfId="0" applyNumberFormat="1" applyFont="1" applyFill="1" applyAlignment="1">
      <alignment horizontal="center" vertical="center"/>
    </xf>
    <xf numFmtId="0" fontId="12" fillId="14" borderId="16" xfId="0" applyFont="1" applyFill="1" applyBorder="1" applyAlignment="1">
      <alignment horizontal="center" vertical="center"/>
    </xf>
    <xf numFmtId="1" fontId="12" fillId="14" borderId="16" xfId="0" applyNumberFormat="1" applyFont="1" applyFill="1" applyBorder="1" applyAlignment="1">
      <alignment horizontal="center" vertical="center"/>
    </xf>
    <xf numFmtId="1" fontId="12" fillId="14" borderId="17" xfId="0" applyNumberFormat="1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left" vertical="center"/>
    </xf>
    <xf numFmtId="0" fontId="39" fillId="10" borderId="0" xfId="0" applyFont="1" applyFill="1"/>
    <xf numFmtId="3" fontId="18" fillId="10" borderId="1" xfId="0" applyNumberFormat="1" applyFont="1" applyFill="1" applyBorder="1"/>
    <xf numFmtId="3" fontId="12" fillId="10" borderId="1" xfId="0" applyNumberFormat="1" applyFont="1" applyFill="1" applyBorder="1"/>
    <xf numFmtId="167" fontId="8" fillId="10" borderId="0" xfId="7" applyNumberFormat="1" applyFont="1" applyFill="1"/>
    <xf numFmtId="0" fontId="14" fillId="10" borderId="1" xfId="0" quotePrefix="1" applyFont="1" applyFill="1" applyBorder="1" applyAlignment="1">
      <alignment horizontal="left" vertical="center"/>
    </xf>
    <xf numFmtId="3" fontId="15" fillId="10" borderId="1" xfId="0" applyNumberFormat="1" applyFont="1" applyFill="1" applyBorder="1" applyAlignment="1">
      <alignment horizontal="center" vertical="center"/>
    </xf>
    <xf numFmtId="0" fontId="39" fillId="14" borderId="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9" fontId="14" fillId="0" borderId="14" xfId="0" applyNumberFormat="1" applyFont="1" applyBorder="1"/>
    <xf numFmtId="166" fontId="15" fillId="5" borderId="14" xfId="0" applyNumberFormat="1" applyFont="1" applyFill="1" applyBorder="1"/>
    <xf numFmtId="0" fontId="8" fillId="0" borderId="14" xfId="0" applyFont="1" applyBorder="1"/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right" wrapText="1"/>
    </xf>
    <xf numFmtId="165" fontId="14" fillId="10" borderId="0" xfId="0" quotePrefix="1" applyNumberFormat="1" applyFont="1" applyFill="1" applyAlignment="1">
      <alignment horizontal="left"/>
    </xf>
    <xf numFmtId="0" fontId="39" fillId="10" borderId="0" xfId="0" applyFont="1" applyFill="1" applyAlignment="1">
      <alignment horizontal="left"/>
    </xf>
    <xf numFmtId="165" fontId="19" fillId="10" borderId="0" xfId="0" applyNumberFormat="1" applyFont="1" applyFill="1"/>
    <xf numFmtId="166" fontId="15" fillId="10" borderId="0" xfId="0" applyNumberFormat="1" applyFont="1" applyFill="1" applyAlignment="1">
      <alignment horizontal="center"/>
    </xf>
    <xf numFmtId="169" fontId="14" fillId="10" borderId="1" xfId="2" applyNumberFormat="1" applyFont="1" applyFill="1" applyBorder="1"/>
    <xf numFmtId="167" fontId="14" fillId="10" borderId="1" xfId="0" applyNumberFormat="1" applyFont="1" applyFill="1" applyBorder="1"/>
    <xf numFmtId="1" fontId="14" fillId="10" borderId="6" xfId="0" applyNumberFormat="1" applyFont="1" applyFill="1" applyBorder="1" applyAlignment="1">
      <alignment horizontal="right"/>
    </xf>
    <xf numFmtId="1" fontId="14" fillId="10" borderId="12" xfId="0" applyNumberFormat="1" applyFont="1" applyFill="1" applyBorder="1" applyAlignment="1">
      <alignment horizontal="right"/>
    </xf>
    <xf numFmtId="167" fontId="15" fillId="10" borderId="12" xfId="7" applyNumberFormat="1" applyFont="1" applyFill="1" applyBorder="1" applyAlignment="1">
      <alignment horizontal="right"/>
    </xf>
    <xf numFmtId="165" fontId="18" fillId="10" borderId="1" xfId="0" applyNumberFormat="1" applyFont="1" applyFill="1" applyBorder="1"/>
    <xf numFmtId="1" fontId="14" fillId="10" borderId="1" xfId="0" applyNumberFormat="1" applyFont="1" applyFill="1" applyBorder="1" applyAlignment="1">
      <alignment horizontal="right"/>
    </xf>
    <xf numFmtId="167" fontId="15" fillId="10" borderId="1" xfId="7" applyNumberFormat="1" applyFont="1" applyFill="1" applyBorder="1" applyAlignment="1">
      <alignment horizontal="right"/>
    </xf>
    <xf numFmtId="169" fontId="8" fillId="0" borderId="0" xfId="2" applyNumberFormat="1" applyFont="1"/>
    <xf numFmtId="3" fontId="18" fillId="10" borderId="1" xfId="0" applyNumberFormat="1" applyFont="1" applyFill="1" applyBorder="1" applyAlignment="1">
      <alignment horizontal="center"/>
    </xf>
    <xf numFmtId="0" fontId="12" fillId="14" borderId="26" xfId="0" quotePrefix="1" applyFont="1" applyFill="1" applyBorder="1" applyAlignment="1">
      <alignment vertical="center"/>
    </xf>
    <xf numFmtId="1" fontId="12" fillId="14" borderId="50" xfId="0" applyNumberFormat="1" applyFont="1" applyFill="1" applyBorder="1" applyAlignment="1">
      <alignment horizontal="center" vertical="center"/>
    </xf>
    <xf numFmtId="1" fontId="12" fillId="14" borderId="53" xfId="0" applyNumberFormat="1" applyFont="1" applyFill="1" applyBorder="1" applyAlignment="1">
      <alignment horizontal="center" vertical="center"/>
    </xf>
    <xf numFmtId="3" fontId="18" fillId="10" borderId="30" xfId="0" applyNumberFormat="1" applyFont="1" applyFill="1" applyBorder="1"/>
    <xf numFmtId="0" fontId="15" fillId="10" borderId="51" xfId="0" quotePrefix="1" applyFont="1" applyFill="1" applyBorder="1" applyAlignment="1">
      <alignment horizontal="left"/>
    </xf>
    <xf numFmtId="3" fontId="12" fillId="10" borderId="30" xfId="0" applyNumberFormat="1" applyFont="1" applyFill="1" applyBorder="1"/>
    <xf numFmtId="0" fontId="14" fillId="10" borderId="51" xfId="0" applyFont="1" applyFill="1" applyBorder="1"/>
    <xf numFmtId="3" fontId="18" fillId="10" borderId="21" xfId="0" applyNumberFormat="1" applyFont="1" applyFill="1" applyBorder="1"/>
    <xf numFmtId="3" fontId="18" fillId="10" borderId="31" xfId="0" applyNumberFormat="1" applyFont="1" applyFill="1" applyBorder="1"/>
    <xf numFmtId="0" fontId="39" fillId="14" borderId="26" xfId="0" quotePrefix="1" applyFont="1" applyFill="1" applyBorder="1" applyAlignment="1">
      <alignment vertical="center"/>
    </xf>
    <xf numFmtId="3" fontId="18" fillId="10" borderId="30" xfId="0" applyNumberFormat="1" applyFont="1" applyFill="1" applyBorder="1" applyAlignment="1">
      <alignment horizontal="center"/>
    </xf>
    <xf numFmtId="0" fontId="8" fillId="10" borderId="36" xfId="0" applyFont="1" applyFill="1" applyBorder="1"/>
    <xf numFmtId="167" fontId="8" fillId="10" borderId="0" xfId="7" applyNumberFormat="1" applyFont="1" applyFill="1" applyBorder="1" applyAlignment="1">
      <alignment horizontal="center"/>
    </xf>
    <xf numFmtId="169" fontId="8" fillId="10" borderId="0" xfId="2" applyNumberFormat="1" applyFont="1" applyFill="1" applyBorder="1" applyAlignment="1">
      <alignment horizontal="center"/>
    </xf>
    <xf numFmtId="167" fontId="8" fillId="10" borderId="37" xfId="7" applyNumberFormat="1" applyFont="1" applyFill="1" applyBorder="1" applyAlignment="1">
      <alignment horizontal="center"/>
    </xf>
    <xf numFmtId="0" fontId="14" fillId="10" borderId="52" xfId="0" quotePrefix="1" applyFont="1" applyFill="1" applyBorder="1"/>
    <xf numFmtId="3" fontId="14" fillId="10" borderId="21" xfId="0" applyNumberFormat="1" applyFont="1" applyFill="1" applyBorder="1" applyAlignment="1">
      <alignment horizontal="center"/>
    </xf>
    <xf numFmtId="3" fontId="18" fillId="10" borderId="21" xfId="0" applyNumberFormat="1" applyFont="1" applyFill="1" applyBorder="1" applyAlignment="1">
      <alignment horizontal="center"/>
    </xf>
    <xf numFmtId="3" fontId="18" fillId="10" borderId="31" xfId="0" applyNumberFormat="1" applyFont="1" applyFill="1" applyBorder="1" applyAlignment="1">
      <alignment horizontal="center"/>
    </xf>
    <xf numFmtId="0" fontId="17" fillId="0" borderId="26" xfId="0" applyFont="1" applyBorder="1"/>
    <xf numFmtId="0" fontId="17" fillId="10" borderId="27" xfId="0" applyFont="1" applyFill="1" applyBorder="1"/>
    <xf numFmtId="0" fontId="17" fillId="0" borderId="28" xfId="0" applyFont="1" applyBorder="1"/>
    <xf numFmtId="0" fontId="17" fillId="0" borderId="36" xfId="0" applyFont="1" applyBorder="1"/>
    <xf numFmtId="0" fontId="9" fillId="0" borderId="37" xfId="0" applyFont="1" applyBorder="1"/>
    <xf numFmtId="0" fontId="17" fillId="0" borderId="38" xfId="0" applyFont="1" applyBorder="1"/>
    <xf numFmtId="0" fontId="17" fillId="0" borderId="39" xfId="0" applyFont="1" applyBorder="1"/>
    <xf numFmtId="0" fontId="9" fillId="0" borderId="40" xfId="0" applyFont="1" applyBorder="1"/>
    <xf numFmtId="0" fontId="0" fillId="17" borderId="0" xfId="0" applyFill="1"/>
    <xf numFmtId="0" fontId="2" fillId="0" borderId="0" xfId="39"/>
    <xf numFmtId="0" fontId="91" fillId="0" borderId="1" xfId="39" applyFont="1" applyBorder="1"/>
    <xf numFmtId="188" fontId="91" fillId="0" borderId="1" xfId="40" applyNumberFormat="1" applyFont="1" applyBorder="1" applyAlignment="1">
      <alignment horizontal="right"/>
    </xf>
    <xf numFmtId="0" fontId="54" fillId="0" borderId="0" xfId="39" applyFont="1"/>
    <xf numFmtId="0" fontId="2" fillId="0" borderId="0" xfId="39" applyAlignment="1">
      <alignment horizontal="center" vertical="center"/>
    </xf>
    <xf numFmtId="0" fontId="54" fillId="0" borderId="1" xfId="39" applyFont="1" applyBorder="1"/>
    <xf numFmtId="188" fontId="54" fillId="0" borderId="1" xfId="40" applyNumberFormat="1" applyFont="1" applyBorder="1" applyAlignment="1">
      <alignment horizontal="right"/>
    </xf>
    <xf numFmtId="0" fontId="2" fillId="14" borderId="0" xfId="39" applyFill="1"/>
    <xf numFmtId="44" fontId="54" fillId="0" borderId="1" xfId="40" applyFont="1" applyBorder="1" applyAlignment="1">
      <alignment horizontal="right"/>
    </xf>
    <xf numFmtId="188" fontId="0" fillId="0" borderId="0" xfId="40" applyNumberFormat="1" applyFont="1"/>
    <xf numFmtId="188" fontId="0" fillId="0" borderId="0" xfId="40" applyNumberFormat="1" applyFont="1" applyAlignment="1">
      <alignment horizontal="center" vertical="center"/>
    </xf>
    <xf numFmtId="167" fontId="0" fillId="0" borderId="0" xfId="41" applyNumberFormat="1" applyFont="1"/>
    <xf numFmtId="10" fontId="2" fillId="0" borderId="0" xfId="39" applyNumberFormat="1"/>
    <xf numFmtId="188" fontId="2" fillId="0" borderId="0" xfId="39" applyNumberFormat="1"/>
    <xf numFmtId="188" fontId="91" fillId="0" borderId="1" xfId="39" applyNumberFormat="1" applyFont="1" applyBorder="1" applyAlignment="1">
      <alignment horizontal="right"/>
    </xf>
    <xf numFmtId="188" fontId="54" fillId="0" borderId="1" xfId="39" applyNumberFormat="1" applyFont="1" applyBorder="1" applyAlignment="1">
      <alignment horizontal="right"/>
    </xf>
    <xf numFmtId="9" fontId="0" fillId="0" borderId="0" xfId="41" applyFont="1"/>
    <xf numFmtId="0" fontId="2" fillId="0" borderId="0" xfId="39" applyAlignment="1">
      <alignment horizontal="right"/>
    </xf>
    <xf numFmtId="3" fontId="29" fillId="10" borderId="0" xfId="0" quotePrefix="1" applyNumberFormat="1" applyFont="1" applyFill="1" applyAlignment="1">
      <alignment horizontal="left" vertical="center"/>
    </xf>
    <xf numFmtId="0" fontId="90" fillId="10" borderId="0" xfId="0" applyFont="1" applyFill="1" applyAlignment="1">
      <alignment horizontal="center" vertical="center"/>
    </xf>
    <xf numFmtId="167" fontId="19" fillId="10" borderId="0" xfId="0" applyNumberFormat="1" applyFont="1" applyFill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1" fontId="12" fillId="14" borderId="54" xfId="0" applyNumberFormat="1" applyFont="1" applyFill="1" applyBorder="1" applyAlignment="1">
      <alignment horizontal="center" vertical="center"/>
    </xf>
    <xf numFmtId="1" fontId="12" fillId="14" borderId="33" xfId="0" applyNumberFormat="1" applyFont="1" applyFill="1" applyBorder="1" applyAlignment="1">
      <alignment horizontal="center" vertical="center"/>
    </xf>
    <xf numFmtId="1" fontId="12" fillId="14" borderId="34" xfId="0" applyNumberFormat="1" applyFont="1" applyFill="1" applyBorder="1" applyAlignment="1">
      <alignment horizontal="center" vertical="center"/>
    </xf>
    <xf numFmtId="3" fontId="14" fillId="10" borderId="51" xfId="0" applyNumberFormat="1" applyFont="1" applyFill="1" applyBorder="1" applyAlignment="1">
      <alignment horizontal="left" vertical="center"/>
    </xf>
    <xf numFmtId="3" fontId="14" fillId="10" borderId="51" xfId="0" quotePrefix="1" applyNumberFormat="1" applyFont="1" applyFill="1" applyBorder="1" applyAlignment="1">
      <alignment horizontal="left" vertical="center"/>
    </xf>
    <xf numFmtId="181" fontId="14" fillId="10" borderId="30" xfId="0" applyNumberFormat="1" applyFont="1" applyFill="1" applyBorder="1" applyAlignment="1">
      <alignment horizontal="center" vertical="center"/>
    </xf>
    <xf numFmtId="3" fontId="14" fillId="10" borderId="52" xfId="0" quotePrefix="1" applyNumberFormat="1" applyFont="1" applyFill="1" applyBorder="1" applyAlignment="1">
      <alignment horizontal="left" vertical="center"/>
    </xf>
    <xf numFmtId="181" fontId="14" fillId="10" borderId="21" xfId="0" applyNumberFormat="1" applyFont="1" applyFill="1" applyBorder="1" applyAlignment="1">
      <alignment horizontal="center" vertical="center"/>
    </xf>
    <xf numFmtId="181" fontId="14" fillId="10" borderId="31" xfId="0" applyNumberFormat="1" applyFont="1" applyFill="1" applyBorder="1" applyAlignment="1">
      <alignment horizontal="center" vertical="center"/>
    </xf>
    <xf numFmtId="0" fontId="91" fillId="0" borderId="0" xfId="42" applyFont="1" applyAlignment="1">
      <alignment vertical="center"/>
    </xf>
    <xf numFmtId="0" fontId="54" fillId="0" borderId="0" xfId="42" applyFont="1" applyAlignment="1">
      <alignment vertical="center"/>
    </xf>
    <xf numFmtId="0" fontId="8" fillId="0" borderId="55" xfId="42" applyFont="1" applyBorder="1" applyAlignment="1">
      <alignment vertical="center"/>
    </xf>
    <xf numFmtId="0" fontId="10" fillId="0" borderId="39" xfId="42" applyFont="1" applyBorder="1" applyAlignment="1">
      <alignment horizontal="center" vertical="center"/>
    </xf>
    <xf numFmtId="1" fontId="10" fillId="0" borderId="39" xfId="43" applyNumberFormat="1" applyFont="1" applyFill="1" applyBorder="1" applyAlignment="1">
      <alignment horizontal="center" vertical="center"/>
    </xf>
    <xf numFmtId="0" fontId="54" fillId="0" borderId="7" xfId="42" applyFont="1" applyBorder="1" applyAlignment="1">
      <alignment vertical="center"/>
    </xf>
    <xf numFmtId="3" fontId="54" fillId="0" borderId="0" xfId="42" applyNumberFormat="1" applyFont="1" applyAlignment="1">
      <alignment vertical="center"/>
    </xf>
    <xf numFmtId="3" fontId="54" fillId="0" borderId="0" xfId="44" applyNumberFormat="1" applyFont="1" applyFill="1" applyBorder="1" applyAlignment="1">
      <alignment vertical="center"/>
    </xf>
    <xf numFmtId="10" fontId="54" fillId="0" borderId="0" xfId="43" applyNumberFormat="1" applyFont="1" applyFill="1" applyAlignment="1">
      <alignment vertical="center"/>
    </xf>
    <xf numFmtId="0" fontId="54" fillId="10" borderId="7" xfId="42" applyFont="1" applyFill="1" applyBorder="1" applyAlignment="1">
      <alignment vertical="center"/>
    </xf>
    <xf numFmtId="0" fontId="91" fillId="0" borderId="2" xfId="42" applyFont="1" applyBorder="1" applyAlignment="1">
      <alignment vertical="center"/>
    </xf>
    <xf numFmtId="3" fontId="91" fillId="0" borderId="13" xfId="44" applyNumberFormat="1" applyFont="1" applyFill="1" applyBorder="1" applyAlignment="1">
      <alignment vertical="center"/>
    </xf>
    <xf numFmtId="10" fontId="91" fillId="0" borderId="56" xfId="43" applyNumberFormat="1" applyFont="1" applyFill="1" applyBorder="1" applyAlignment="1">
      <alignment vertical="center"/>
    </xf>
    <xf numFmtId="10" fontId="91" fillId="0" borderId="0" xfId="43" applyNumberFormat="1" applyFont="1" applyFill="1" applyAlignment="1">
      <alignment vertical="center"/>
    </xf>
    <xf numFmtId="3" fontId="91" fillId="0" borderId="56" xfId="44" applyNumberFormat="1" applyFont="1" applyFill="1" applyBorder="1" applyAlignment="1">
      <alignment vertical="center"/>
    </xf>
    <xf numFmtId="0" fontId="91" fillId="0" borderId="57" xfId="42" applyFont="1" applyBorder="1" applyAlignment="1">
      <alignment vertical="center"/>
    </xf>
    <xf numFmtId="3" fontId="91" fillId="0" borderId="58" xfId="44" applyNumberFormat="1" applyFont="1" applyFill="1" applyBorder="1" applyAlignment="1">
      <alignment vertical="center"/>
    </xf>
    <xf numFmtId="10" fontId="91" fillId="0" borderId="59" xfId="43" applyNumberFormat="1" applyFont="1" applyFill="1" applyBorder="1" applyAlignment="1">
      <alignment vertical="center"/>
    </xf>
    <xf numFmtId="9" fontId="91" fillId="0" borderId="58" xfId="44" applyNumberFormat="1" applyFont="1" applyFill="1" applyBorder="1" applyAlignment="1">
      <alignment vertical="center"/>
    </xf>
    <xf numFmtId="3" fontId="54" fillId="0" borderId="0" xfId="43" applyNumberFormat="1" applyFont="1" applyFill="1" applyBorder="1" applyAlignment="1">
      <alignment vertical="center"/>
    </xf>
    <xf numFmtId="3" fontId="91" fillId="0" borderId="13" xfId="42" applyNumberFormat="1" applyFont="1" applyBorder="1" applyAlignment="1">
      <alignment vertical="center"/>
    </xf>
    <xf numFmtId="3" fontId="91" fillId="0" borderId="58" xfId="42" applyNumberFormat="1" applyFont="1" applyBorder="1" applyAlignment="1">
      <alignment vertical="center"/>
    </xf>
    <xf numFmtId="9" fontId="91" fillId="0" borderId="58" xfId="43" applyFont="1" applyFill="1" applyBorder="1" applyAlignment="1">
      <alignment vertical="center"/>
    </xf>
    <xf numFmtId="0" fontId="91" fillId="0" borderId="10" xfId="42" applyFont="1" applyBorder="1" applyAlignment="1">
      <alignment vertical="center"/>
    </xf>
    <xf numFmtId="10" fontId="91" fillId="0" borderId="60" xfId="43" applyNumberFormat="1" applyFont="1" applyFill="1" applyBorder="1" applyAlignment="1">
      <alignment horizontal="center" vertical="center"/>
    </xf>
    <xf numFmtId="10" fontId="54" fillId="0" borderId="60" xfId="43" applyNumberFormat="1" applyFont="1" applyFill="1" applyBorder="1" applyAlignment="1">
      <alignment vertical="center"/>
    </xf>
    <xf numFmtId="0" fontId="91" fillId="0" borderId="7" xfId="42" applyFont="1" applyBorder="1" applyAlignment="1">
      <alignment vertical="center"/>
    </xf>
    <xf numFmtId="3" fontId="91" fillId="0" borderId="0" xfId="44" applyNumberFormat="1" applyFont="1" applyFill="1" applyBorder="1" applyAlignment="1">
      <alignment vertical="center"/>
    </xf>
    <xf numFmtId="10" fontId="54" fillId="0" borderId="0" xfId="43" applyNumberFormat="1" applyFont="1" applyFill="1" applyBorder="1" applyAlignment="1">
      <alignment vertical="center"/>
    </xf>
    <xf numFmtId="167" fontId="54" fillId="0" borderId="0" xfId="43" applyNumberFormat="1" applyFont="1" applyFill="1" applyAlignment="1">
      <alignment vertical="center"/>
    </xf>
    <xf numFmtId="41" fontId="54" fillId="0" borderId="0" xfId="45" applyFont="1" applyFill="1" applyAlignment="1">
      <alignment vertical="center"/>
    </xf>
    <xf numFmtId="3" fontId="54" fillId="0" borderId="0" xfId="44" applyNumberFormat="1" applyFont="1" applyFill="1" applyAlignment="1">
      <alignment vertical="center"/>
    </xf>
    <xf numFmtId="9" fontId="54" fillId="0" borderId="0" xfId="43" applyFont="1" applyFill="1" applyAlignment="1">
      <alignment vertical="center"/>
    </xf>
    <xf numFmtId="0" fontId="10" fillId="13" borderId="61" xfId="42" applyFont="1" applyFill="1" applyBorder="1" applyAlignment="1">
      <alignment horizontal="center" vertical="center"/>
    </xf>
    <xf numFmtId="0" fontId="10" fillId="13" borderId="44" xfId="42" applyFont="1" applyFill="1" applyBorder="1" applyAlignment="1">
      <alignment horizontal="center" vertical="center"/>
    </xf>
    <xf numFmtId="0" fontId="85" fillId="10" borderId="62" xfId="42" applyFont="1" applyFill="1" applyBorder="1"/>
    <xf numFmtId="3" fontId="85" fillId="0" borderId="63" xfId="42" applyNumberFormat="1" applyFont="1" applyBorder="1" applyAlignment="1">
      <alignment vertical="center"/>
    </xf>
    <xf numFmtId="4" fontId="85" fillId="0" borderId="63" xfId="42" applyNumberFormat="1" applyFont="1" applyBorder="1" applyAlignment="1">
      <alignment vertical="center"/>
    </xf>
    <xf numFmtId="4" fontId="85" fillId="0" borderId="64" xfId="42" applyNumberFormat="1" applyFont="1" applyBorder="1" applyAlignment="1">
      <alignment vertical="center"/>
    </xf>
    <xf numFmtId="0" fontId="85" fillId="10" borderId="65" xfId="42" applyFont="1" applyFill="1" applyBorder="1"/>
    <xf numFmtId="4" fontId="85" fillId="0" borderId="66" xfId="42" applyNumberFormat="1" applyFont="1" applyBorder="1" applyAlignment="1">
      <alignment vertical="center"/>
    </xf>
    <xf numFmtId="0" fontId="85" fillId="10" borderId="67" xfId="42" applyFont="1" applyFill="1" applyBorder="1"/>
    <xf numFmtId="3" fontId="85" fillId="0" borderId="68" xfId="42" applyNumberFormat="1" applyFont="1" applyBorder="1" applyAlignment="1">
      <alignment vertical="center"/>
    </xf>
    <xf numFmtId="0" fontId="85" fillId="10" borderId="1" xfId="42" applyFont="1" applyFill="1" applyBorder="1"/>
    <xf numFmtId="10" fontId="85" fillId="0" borderId="1" xfId="42" applyNumberFormat="1" applyFont="1" applyBorder="1" applyAlignment="1">
      <alignment vertical="center"/>
    </xf>
    <xf numFmtId="4" fontId="85" fillId="0" borderId="1" xfId="42" applyNumberFormat="1" applyFont="1" applyBorder="1" applyAlignment="1">
      <alignment vertical="center"/>
    </xf>
    <xf numFmtId="0" fontId="85" fillId="10" borderId="0" xfId="42" applyFont="1" applyFill="1"/>
    <xf numFmtId="4" fontId="85" fillId="0" borderId="0" xfId="42" applyNumberFormat="1" applyFont="1" applyAlignment="1">
      <alignment vertical="center"/>
    </xf>
    <xf numFmtId="0" fontId="54" fillId="0" borderId="0" xfId="42" applyFont="1"/>
    <xf numFmtId="3" fontId="85" fillId="0" borderId="69" xfId="42" applyNumberFormat="1" applyFont="1" applyBorder="1" applyAlignment="1">
      <alignment vertical="center"/>
    </xf>
    <xf numFmtId="189" fontId="85" fillId="0" borderId="69" xfId="42" applyNumberFormat="1" applyFont="1" applyBorder="1" applyAlignment="1">
      <alignment vertical="center"/>
    </xf>
    <xf numFmtId="0" fontId="85" fillId="10" borderId="70" xfId="42" applyFont="1" applyFill="1" applyBorder="1"/>
    <xf numFmtId="190" fontId="85" fillId="0" borderId="71" xfId="42" applyNumberFormat="1" applyFont="1" applyBorder="1" applyAlignment="1">
      <alignment vertical="center"/>
    </xf>
    <xf numFmtId="190" fontId="85" fillId="0" borderId="69" xfId="42" applyNumberFormat="1" applyFont="1" applyBorder="1" applyAlignment="1">
      <alignment vertical="center"/>
    </xf>
    <xf numFmtId="190" fontId="85" fillId="0" borderId="72" xfId="42" applyNumberFormat="1" applyFont="1" applyBorder="1" applyAlignment="1">
      <alignment vertical="center"/>
    </xf>
    <xf numFmtId="190" fontId="85" fillId="0" borderId="73" xfId="42" applyNumberFormat="1" applyFont="1" applyBorder="1" applyAlignment="1">
      <alignment vertical="center"/>
    </xf>
    <xf numFmtId="0" fontId="85" fillId="10" borderId="74" xfId="42" applyFont="1" applyFill="1" applyBorder="1"/>
    <xf numFmtId="189" fontId="85" fillId="0" borderId="75" xfId="42" applyNumberFormat="1" applyFont="1" applyBorder="1" applyAlignment="1">
      <alignment vertical="center"/>
    </xf>
    <xf numFmtId="10" fontId="85" fillId="0" borderId="69" xfId="43" applyNumberFormat="1" applyFont="1" applyFill="1" applyBorder="1" applyAlignment="1">
      <alignment vertical="center"/>
    </xf>
    <xf numFmtId="43" fontId="85" fillId="0" borderId="69" xfId="46" applyFont="1" applyFill="1" applyBorder="1" applyAlignment="1">
      <alignment vertical="center"/>
    </xf>
    <xf numFmtId="43" fontId="85" fillId="0" borderId="75" xfId="46" applyFont="1" applyFill="1" applyBorder="1" applyAlignment="1">
      <alignment vertical="center"/>
    </xf>
    <xf numFmtId="43" fontId="85" fillId="0" borderId="0" xfId="46" applyFont="1" applyFill="1" applyBorder="1" applyAlignment="1">
      <alignment vertical="center"/>
    </xf>
    <xf numFmtId="0" fontId="85" fillId="10" borderId="76" xfId="42" applyFont="1" applyFill="1" applyBorder="1"/>
    <xf numFmtId="10" fontId="85" fillId="0" borderId="77" xfId="43" applyNumberFormat="1" applyFont="1" applyFill="1" applyBorder="1" applyAlignment="1">
      <alignment vertical="center"/>
    </xf>
    <xf numFmtId="41" fontId="85" fillId="0" borderId="69" xfId="45" applyFont="1" applyFill="1" applyBorder="1" applyAlignment="1">
      <alignment vertical="center"/>
    </xf>
    <xf numFmtId="10" fontId="85" fillId="0" borderId="75" xfId="43" applyNumberFormat="1" applyFont="1" applyFill="1" applyBorder="1" applyAlignment="1">
      <alignment vertical="center"/>
    </xf>
    <xf numFmtId="0" fontId="85" fillId="10" borderId="78" xfId="42" applyFont="1" applyFill="1" applyBorder="1"/>
    <xf numFmtId="10" fontId="92" fillId="0" borderId="1" xfId="43" applyNumberFormat="1" applyFont="1" applyFill="1" applyBorder="1" applyAlignment="1">
      <alignment vertical="center"/>
    </xf>
    <xf numFmtId="10" fontId="92" fillId="0" borderId="1" xfId="42" applyNumberFormat="1" applyFont="1" applyBorder="1" applyAlignment="1">
      <alignment vertical="center"/>
    </xf>
    <xf numFmtId="3" fontId="92" fillId="0" borderId="1" xfId="42" applyNumberFormat="1" applyFont="1" applyBorder="1" applyAlignment="1">
      <alignment vertical="center"/>
    </xf>
    <xf numFmtId="0" fontId="8" fillId="10" borderId="0" xfId="0" quotePrefix="1" applyFont="1" applyFill="1" applyAlignment="1">
      <alignment horizontal="left" vertical="center"/>
    </xf>
    <xf numFmtId="0" fontId="10" fillId="10" borderId="42" xfId="0" applyFont="1" applyFill="1" applyBorder="1" applyAlignment="1">
      <alignment horizontal="center" vertical="center"/>
    </xf>
    <xf numFmtId="0" fontId="10" fillId="10" borderId="43" xfId="0" applyFont="1" applyFill="1" applyBorder="1" applyAlignment="1">
      <alignment horizontal="center" vertical="center"/>
    </xf>
    <xf numFmtId="0" fontId="10" fillId="10" borderId="39" xfId="0" applyFont="1" applyFill="1" applyBorder="1" applyAlignment="1">
      <alignment horizontal="center" vertical="center"/>
    </xf>
    <xf numFmtId="0" fontId="10" fillId="10" borderId="40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181" fontId="8" fillId="10" borderId="0" xfId="7" applyNumberFormat="1" applyFont="1" applyFill="1" applyBorder="1" applyAlignment="1">
      <alignment horizontal="right" vertical="center"/>
    </xf>
    <xf numFmtId="0" fontId="91" fillId="0" borderId="1" xfId="42" applyFont="1" applyBorder="1" applyAlignment="1">
      <alignment horizontal="center" vertical="center" wrapText="1"/>
    </xf>
    <xf numFmtId="0" fontId="91" fillId="0" borderId="2" xfId="42" applyFont="1" applyBorder="1" applyAlignment="1">
      <alignment horizontal="center" vertical="center" wrapText="1"/>
    </xf>
    <xf numFmtId="0" fontId="91" fillId="0" borderId="13" xfId="42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wrapText="1"/>
    </xf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10" borderId="2" xfId="0" quotePrefix="1" applyFont="1" applyFill="1" applyBorder="1" applyAlignment="1">
      <alignment horizontal="center" vertical="center"/>
    </xf>
    <xf numFmtId="0" fontId="15" fillId="10" borderId="13" xfId="0" quotePrefix="1" applyFont="1" applyFill="1" applyBorder="1" applyAlignment="1">
      <alignment horizontal="center" vertical="center"/>
    </xf>
    <xf numFmtId="0" fontId="15" fillId="10" borderId="3" xfId="0" quotePrefix="1" applyFont="1" applyFill="1" applyBorder="1" applyAlignment="1">
      <alignment horizontal="center" vertical="center"/>
    </xf>
    <xf numFmtId="0" fontId="15" fillId="10" borderId="2" xfId="0" quotePrefix="1" applyFont="1" applyFill="1" applyBorder="1" applyAlignment="1">
      <alignment horizontal="center" vertical="center" wrapText="1"/>
    </xf>
    <xf numFmtId="0" fontId="15" fillId="10" borderId="13" xfId="0" quotePrefix="1" applyFont="1" applyFill="1" applyBorder="1" applyAlignment="1">
      <alignment horizontal="center" vertical="center" wrapText="1"/>
    </xf>
    <xf numFmtId="0" fontId="15" fillId="10" borderId="3" xfId="0" quotePrefix="1" applyFont="1" applyFill="1" applyBorder="1" applyAlignment="1">
      <alignment horizontal="center" vertical="center" wrapText="1"/>
    </xf>
    <xf numFmtId="0" fontId="15" fillId="10" borderId="42" xfId="0" applyFont="1" applyFill="1" applyBorder="1" applyAlignment="1">
      <alignment horizontal="center" vertical="center"/>
    </xf>
    <xf numFmtId="0" fontId="15" fillId="10" borderId="43" xfId="0" applyFont="1" applyFill="1" applyBorder="1" applyAlignment="1">
      <alignment horizontal="center" vertical="center"/>
    </xf>
    <xf numFmtId="0" fontId="12" fillId="10" borderId="42" xfId="0" applyFont="1" applyFill="1" applyBorder="1" applyAlignment="1">
      <alignment horizontal="center" vertical="center"/>
    </xf>
    <xf numFmtId="0" fontId="12" fillId="10" borderId="43" xfId="0" applyFont="1" applyFill="1" applyBorder="1" applyAlignment="1">
      <alignment horizontal="center" vertical="center"/>
    </xf>
    <xf numFmtId="1" fontId="12" fillId="10" borderId="42" xfId="0" applyNumberFormat="1" applyFont="1" applyFill="1" applyBorder="1" applyAlignment="1">
      <alignment horizontal="center" vertical="center"/>
    </xf>
    <xf numFmtId="1" fontId="12" fillId="10" borderId="4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7" fillId="10" borderId="12" xfId="0" applyFont="1" applyFill="1" applyBorder="1" applyAlignment="1">
      <alignment horizontal="left" vertical="center"/>
    </xf>
    <xf numFmtId="0" fontId="87" fillId="10" borderId="14" xfId="0" applyFont="1" applyFill="1" applyBorder="1" applyAlignment="1">
      <alignment horizontal="left" vertical="center"/>
    </xf>
    <xf numFmtId="0" fontId="87" fillId="10" borderId="1" xfId="0" quotePrefix="1" applyFont="1" applyFill="1" applyBorder="1" applyAlignment="1">
      <alignment horizontal="left" vertical="center"/>
    </xf>
    <xf numFmtId="0" fontId="87" fillId="10" borderId="1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center" vertical="center" wrapText="1"/>
    </xf>
    <xf numFmtId="0" fontId="16" fillId="10" borderId="2" xfId="0" quotePrefix="1" applyFont="1" applyFill="1" applyBorder="1" applyAlignment="1">
      <alignment horizontal="center" vertical="center" wrapText="1"/>
    </xf>
    <xf numFmtId="0" fontId="16" fillId="10" borderId="3" xfId="0" quotePrefix="1" applyFont="1" applyFill="1" applyBorder="1" applyAlignment="1">
      <alignment horizontal="center" vertical="center" wrapText="1"/>
    </xf>
    <xf numFmtId="0" fontId="14" fillId="10" borderId="2" xfId="0" quotePrefix="1" applyFont="1" applyFill="1" applyBorder="1" applyAlignment="1">
      <alignment horizontal="center" vertical="center" wrapText="1"/>
    </xf>
    <xf numFmtId="0" fontId="14" fillId="10" borderId="13" xfId="0" quotePrefix="1" applyFont="1" applyFill="1" applyBorder="1" applyAlignment="1">
      <alignment horizontal="center" vertical="center" wrapText="1"/>
    </xf>
    <xf numFmtId="0" fontId="14" fillId="10" borderId="3" xfId="0" quotePrefix="1" applyFont="1" applyFill="1" applyBorder="1" applyAlignment="1">
      <alignment horizontal="center" vertical="center" wrapText="1"/>
    </xf>
    <xf numFmtId="174" fontId="10" fillId="0" borderId="42" xfId="0" applyNumberFormat="1" applyFont="1" applyBorder="1" applyAlignment="1">
      <alignment horizontal="center" vertical="center"/>
    </xf>
    <xf numFmtId="174" fontId="10" fillId="0" borderId="43" xfId="0" applyNumberFormat="1" applyFont="1" applyBorder="1" applyAlignment="1">
      <alignment horizontal="center" vertical="center"/>
    </xf>
    <xf numFmtId="1" fontId="15" fillId="10" borderId="42" xfId="0" applyNumberFormat="1" applyFont="1" applyFill="1" applyBorder="1" applyAlignment="1">
      <alignment horizontal="center" vertical="center"/>
    </xf>
    <xf numFmtId="1" fontId="15" fillId="10" borderId="43" xfId="0" applyNumberFormat="1" applyFont="1" applyFill="1" applyBorder="1" applyAlignment="1">
      <alignment horizontal="center" vertical="center"/>
    </xf>
    <xf numFmtId="0" fontId="10" fillId="0" borderId="1" xfId="0" quotePrefix="1" applyFont="1" applyBorder="1" applyAlignment="1">
      <alignment horizontal="right" wrapText="1"/>
    </xf>
    <xf numFmtId="0" fontId="15" fillId="10" borderId="1" xfId="0" quotePrefix="1" applyFont="1" applyFill="1" applyBorder="1" applyAlignment="1">
      <alignment horizontal="left" vertical="center"/>
    </xf>
    <xf numFmtId="0" fontId="15" fillId="10" borderId="2" xfId="0" quotePrefix="1" applyFont="1" applyFill="1" applyBorder="1" applyAlignment="1">
      <alignment horizontal="left" vertical="center"/>
    </xf>
    <xf numFmtId="3" fontId="53" fillId="14" borderId="1" xfId="0" quotePrefix="1" applyNumberFormat="1" applyFont="1" applyFill="1" applyBorder="1" applyAlignment="1">
      <alignment horizontal="left" vertical="center"/>
    </xf>
    <xf numFmtId="3" fontId="15" fillId="15" borderId="1" xfId="0" applyNumberFormat="1" applyFont="1" applyFill="1" applyBorder="1" applyAlignment="1">
      <alignment horizontal="center" vertical="center"/>
    </xf>
    <xf numFmtId="0" fontId="87" fillId="14" borderId="41" xfId="0" quotePrefix="1" applyFont="1" applyFill="1" applyBorder="1" applyAlignment="1">
      <alignment horizontal="center"/>
    </xf>
    <xf numFmtId="0" fontId="87" fillId="14" borderId="42" xfId="0" quotePrefix="1" applyFont="1" applyFill="1" applyBorder="1" applyAlignment="1">
      <alignment horizontal="center"/>
    </xf>
    <xf numFmtId="0" fontId="87" fillId="14" borderId="43" xfId="0" quotePrefix="1" applyFont="1" applyFill="1" applyBorder="1" applyAlignment="1">
      <alignment horizontal="center"/>
    </xf>
    <xf numFmtId="0" fontId="14" fillId="10" borderId="2" xfId="0" quotePrefix="1" applyFont="1" applyFill="1" applyBorder="1" applyAlignment="1">
      <alignment horizontal="left" vertical="center"/>
    </xf>
    <xf numFmtId="0" fontId="14" fillId="10" borderId="3" xfId="0" quotePrefix="1" applyFont="1" applyFill="1" applyBorder="1" applyAlignment="1">
      <alignment horizontal="left" vertical="center"/>
    </xf>
    <xf numFmtId="0" fontId="87" fillId="14" borderId="1" xfId="0" quotePrefix="1" applyFont="1" applyFill="1" applyBorder="1" applyAlignment="1">
      <alignment horizontal="center"/>
    </xf>
    <xf numFmtId="3" fontId="26" fillId="15" borderId="1" xfId="0" quotePrefix="1" applyNumberFormat="1" applyFont="1" applyFill="1" applyBorder="1" applyAlignment="1">
      <alignment horizontal="center" vertical="center"/>
    </xf>
    <xf numFmtId="3" fontId="11" fillId="10" borderId="1" xfId="0" quotePrefix="1" applyNumberFormat="1" applyFont="1" applyFill="1" applyBorder="1" applyAlignment="1">
      <alignment horizontal="center" vertical="center" wrapText="1"/>
    </xf>
    <xf numFmtId="0" fontId="87" fillId="14" borderId="35" xfId="0" quotePrefix="1" applyFont="1" applyFill="1" applyBorder="1" applyAlignment="1">
      <alignment horizontal="center"/>
    </xf>
    <xf numFmtId="0" fontId="87" fillId="14" borderId="32" xfId="0" quotePrefix="1" applyFont="1" applyFill="1" applyBorder="1" applyAlignment="1">
      <alignment horizontal="center"/>
    </xf>
    <xf numFmtId="0" fontId="87" fillId="14" borderId="47" xfId="0" quotePrefix="1" applyFont="1" applyFill="1" applyBorder="1" applyAlignment="1">
      <alignment horizontal="center"/>
    </xf>
    <xf numFmtId="0" fontId="80" fillId="9" borderId="2" xfId="35" applyFont="1" applyFill="1" applyBorder="1" applyAlignment="1">
      <alignment horizontal="center"/>
    </xf>
    <xf numFmtId="0" fontId="80" fillId="9" borderId="3" xfId="35" applyFont="1" applyFill="1" applyBorder="1" applyAlignment="1">
      <alignment horizontal="center"/>
    </xf>
    <xf numFmtId="0" fontId="2" fillId="14" borderId="0" xfId="39" applyFill="1" applyAlignment="1">
      <alignment horizontal="center"/>
    </xf>
    <xf numFmtId="0" fontId="86" fillId="14" borderId="1" xfId="39" applyFont="1" applyFill="1" applyBorder="1" applyAlignment="1">
      <alignment horizontal="center"/>
    </xf>
    <xf numFmtId="0" fontId="86" fillId="16" borderId="1" xfId="39" applyFont="1" applyFill="1" applyBorder="1" applyAlignment="1">
      <alignment horizontal="center"/>
    </xf>
    <xf numFmtId="0" fontId="91" fillId="16" borderId="1" xfId="39" applyFont="1" applyFill="1" applyBorder="1" applyAlignment="1">
      <alignment horizontal="center"/>
    </xf>
  </cellXfs>
  <cellStyles count="47">
    <cellStyle name="Euro" xfId="1" xr:uid="{00000000-0005-0000-0000-000000000000}"/>
    <cellStyle name="Euro 2" xfId="25" xr:uid="{DF306424-2966-4231-B039-CF414BBB503E}"/>
    <cellStyle name="Hipervínculo" xfId="20" builtinId="8"/>
    <cellStyle name="Millares" xfId="2" builtinId="3"/>
    <cellStyle name="Millares [0]" xfId="34" builtinId="6"/>
    <cellStyle name="Millares [0] 2" xfId="27" xr:uid="{CE079902-82AF-4266-82EB-9AE6B013AB47}"/>
    <cellStyle name="Millares [0] 3" xfId="45" xr:uid="{63DDB122-1CF8-4432-B374-44D3A98890FE}"/>
    <cellStyle name="Millares 2" xfId="9" xr:uid="{00000000-0005-0000-0000-000004000000}"/>
    <cellStyle name="Millares 2 2" xfId="44" xr:uid="{9226DCA2-AE1A-49BB-B232-353DE3E47F0E}"/>
    <cellStyle name="Millares 3" xfId="24" xr:uid="{00000000-0005-0000-0000-000005000000}"/>
    <cellStyle name="Millares 3 2" xfId="31" xr:uid="{0330664D-BE76-4C44-BE08-803E35A719DE}"/>
    <cellStyle name="Millares 4" xfId="46" xr:uid="{8D1A239A-F745-4662-A12A-C43510026984}"/>
    <cellStyle name="Moneda" xfId="33" builtinId="4"/>
    <cellStyle name="Moneda [0] 2" xfId="36" xr:uid="{5A3B847D-8813-4BF3-A6A4-5BB4DFF8CE5E}"/>
    <cellStyle name="Moneda 2" xfId="32" xr:uid="{EE44D73C-2B85-4121-BB4F-8EFF43B39C89}"/>
    <cellStyle name="Moneda 3" xfId="37" xr:uid="{3BB5F89F-A9C1-4A56-BCC6-412938E2B308}"/>
    <cellStyle name="Moneda 4" xfId="40" xr:uid="{EA6E3914-2181-4FD0-86F2-D654973BFF29}"/>
    <cellStyle name="Normal" xfId="0" builtinId="0"/>
    <cellStyle name="Normal 10" xfId="42" xr:uid="{F83E1CA1-5261-4F96-9C5C-DF7639976CCC}"/>
    <cellStyle name="Normal 16" xfId="19" xr:uid="{00000000-0005-0000-0000-000007000000}"/>
    <cellStyle name="Normal 2" xfId="3" xr:uid="{00000000-0005-0000-0000-000008000000}"/>
    <cellStyle name="Normal 2 2" xfId="12" xr:uid="{00000000-0005-0000-0000-000009000000}"/>
    <cellStyle name="Normal 2 3" xfId="14" xr:uid="{00000000-0005-0000-0000-00000A000000}"/>
    <cellStyle name="Normal 3" xfId="4" xr:uid="{00000000-0005-0000-0000-00000B000000}"/>
    <cellStyle name="Normal 4" xfId="5" xr:uid="{00000000-0005-0000-0000-00000C000000}"/>
    <cellStyle name="Normal 4 2" xfId="23" xr:uid="{00000000-0005-0000-0000-00000D000000}"/>
    <cellStyle name="Normal 4 2 2" xfId="30" xr:uid="{CA91E183-10E0-423E-BBA2-1B762E3C78E9}"/>
    <cellStyle name="Normal 5" xfId="13" xr:uid="{00000000-0005-0000-0000-00000E000000}"/>
    <cellStyle name="Normal 5 2" xfId="11" xr:uid="{00000000-0005-0000-0000-00000F000000}"/>
    <cellStyle name="Normal 5 3" xfId="18" xr:uid="{00000000-0005-0000-0000-000010000000}"/>
    <cellStyle name="Normal 5 3 2" xfId="29" xr:uid="{27C8B5EC-969C-450C-BCDE-CF8A996ABCF1}"/>
    <cellStyle name="Normal 5 4" xfId="26" xr:uid="{19FBEE1B-30DD-42DC-B73B-6329898FA61A}"/>
    <cellStyle name="Normal 6" xfId="16" xr:uid="{00000000-0005-0000-0000-000011000000}"/>
    <cellStyle name="Normal 6 2" xfId="28" xr:uid="{63444CC8-F497-4682-A3CF-D210514C3366}"/>
    <cellStyle name="Normal 7" xfId="21" xr:uid="{00000000-0005-0000-0000-000012000000}"/>
    <cellStyle name="Normal 8" xfId="35" xr:uid="{0E82D7B2-CA46-42BF-9652-271D08EE65FC}"/>
    <cellStyle name="Normal 9" xfId="39" xr:uid="{6E6FA752-E269-4F09-A66B-C5322BD1D6C8}"/>
    <cellStyle name="Normal_1-Modelo DM Panama Combinado (solo jugos)" xfId="17" xr:uid="{00000000-0005-0000-0000-000013000000}"/>
    <cellStyle name="Normal_COSTO DEUDA Y PROPIETARIO" xfId="6" xr:uid="{00000000-0005-0000-0000-000014000000}"/>
    <cellStyle name="Porcentaje" xfId="7" builtinId="5"/>
    <cellStyle name="Porcentaje 2" xfId="10" xr:uid="{00000000-0005-0000-0000-00001B000000}"/>
    <cellStyle name="Porcentaje 3" xfId="15" xr:uid="{00000000-0005-0000-0000-00001C000000}"/>
    <cellStyle name="Porcentaje 4" xfId="22" xr:uid="{00000000-0005-0000-0000-00001D000000}"/>
    <cellStyle name="Porcentaje 5" xfId="38" xr:uid="{1465198E-412C-430A-9E68-0AE343579C7F}"/>
    <cellStyle name="Porcentaje 6" xfId="41" xr:uid="{F942CF13-08B9-4A44-B22C-8939552801CE}"/>
    <cellStyle name="Porcentaje 7" xfId="43" xr:uid="{772FD55B-BC45-4287-A958-844573A60790}"/>
    <cellStyle name="Porcentual 2" xfId="8" xr:uid="{00000000-0005-0000-0000-00001E000000}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rgb="FF008000"/>
        </patternFill>
      </fill>
    </dxf>
    <dxf>
      <fill>
        <patternFill>
          <bgColor rgb="FF008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00CC"/>
        </patternFill>
      </fill>
    </dxf>
    <dxf>
      <fill>
        <patternFill>
          <bgColor rgb="FF0000CC"/>
        </patternFill>
      </fill>
    </dxf>
    <dxf>
      <fill>
        <patternFill>
          <bgColor rgb="FF0000CC"/>
        </patternFill>
      </fill>
    </dxf>
    <dxf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00CC"/>
        </patternFill>
      </fill>
    </dxf>
    <dxf>
      <fill>
        <patternFill>
          <bgColor rgb="FF008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CC"/>
      <color rgb="FFFFFF99"/>
      <color rgb="FF008000"/>
      <color rgb="FFCC3300"/>
      <color rgb="FF993300"/>
      <color rgb="FFCCFF99"/>
      <color rgb="FFCCECFF"/>
      <color rgb="FF99CCFF"/>
      <color rgb="FFCC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CAPITAL DE TRABAJO NETO OPERATIVO </a:t>
            </a:r>
            <a:endParaRPr lang="es-CO"/>
          </a:p>
        </c:rich>
      </c:tx>
      <c:layout>
        <c:manualLayout>
          <c:xMode val="edge"/>
          <c:yMode val="edge"/>
          <c:x val="0.22298191944857593"/>
          <c:y val="4.25253832006943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902533316385393"/>
          <c:y val="0.22888362834556455"/>
          <c:w val="0.7740178868970512"/>
          <c:h val="0.714910296480899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Financieros'!$B$61:$E$61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Financieros'!$B$65:$E$65</c:f>
              <c:numCache>
                <c:formatCode>#,##0</c:formatCode>
                <c:ptCount val="4"/>
                <c:pt idx="0">
                  <c:v>9866079273</c:v>
                </c:pt>
                <c:pt idx="1">
                  <c:v>12353450126</c:v>
                </c:pt>
                <c:pt idx="2">
                  <c:v>13109362257</c:v>
                </c:pt>
                <c:pt idx="3">
                  <c:v>16342146090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1-416F-B551-5EF53B964A4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72752447"/>
        <c:axId val="972751199"/>
      </c:barChart>
      <c:catAx>
        <c:axId val="972752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2751199"/>
        <c:crosses val="autoZero"/>
        <c:auto val="1"/>
        <c:lblAlgn val="ctr"/>
        <c:lblOffset val="100"/>
        <c:noMultiLvlLbl val="0"/>
      </c:catAx>
      <c:valAx>
        <c:axId val="972751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2752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CARTERA NETA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'Indicadores Financieros'!$B$78:$E$78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Financieros'!$B$79:$E$79</c:f>
              <c:numCache>
                <c:formatCode>#,##0</c:formatCode>
                <c:ptCount val="4"/>
                <c:pt idx="0">
                  <c:v>12371873332</c:v>
                </c:pt>
                <c:pt idx="1">
                  <c:v>15341824109</c:v>
                </c:pt>
                <c:pt idx="2">
                  <c:v>14785522158</c:v>
                </c:pt>
                <c:pt idx="3">
                  <c:v>18264240965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D-4DD2-9E3C-15BFD609A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09060223"/>
        <c:axId val="909059807"/>
      </c:barChart>
      <c:catAx>
        <c:axId val="909060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9059807"/>
        <c:crosses val="autoZero"/>
        <c:auto val="1"/>
        <c:lblAlgn val="ctr"/>
        <c:lblOffset val="100"/>
        <c:noMultiLvlLbl val="0"/>
      </c:catAx>
      <c:valAx>
        <c:axId val="909059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9060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CICLO OPERACIONAL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'Indicadores Financieros'!$B$78:$E$78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Financieros'!$B$86:$E$86</c:f>
              <c:numCache>
                <c:formatCode>0"DIAS"</c:formatCode>
                <c:ptCount val="4"/>
                <c:pt idx="0">
                  <c:v>158.0528344194517</c:v>
                </c:pt>
                <c:pt idx="1">
                  <c:v>185.34079880261947</c:v>
                </c:pt>
                <c:pt idx="2">
                  <c:v>161.868789359266</c:v>
                </c:pt>
                <c:pt idx="3">
                  <c:v>174.77814499646414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E-4D4E-80A7-94B27CFA1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79396607"/>
        <c:axId val="979410751"/>
      </c:barChart>
      <c:catAx>
        <c:axId val="979396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410751"/>
        <c:crosses val="autoZero"/>
        <c:auto val="1"/>
        <c:lblAlgn val="ctr"/>
        <c:lblOffset val="100"/>
        <c:noMultiLvlLbl val="0"/>
      </c:catAx>
      <c:valAx>
        <c:axId val="97941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DIAS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396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ROTACION DE PROVEEDORES</a:t>
            </a:r>
          </a:p>
        </c:rich>
      </c:tx>
      <c:layout>
        <c:manualLayout>
          <c:xMode val="edge"/>
          <c:yMode val="edge"/>
          <c:x val="0.3233930636344341"/>
          <c:y val="7.15787193536970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'Indicadores Financieros'!$B$78:$E$78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Financieros'!$B$85:$E$85</c:f>
              <c:numCache>
                <c:formatCode>0"DIAS"</c:formatCode>
                <c:ptCount val="4"/>
                <c:pt idx="0">
                  <c:v>57.768116695220158</c:v>
                </c:pt>
                <c:pt idx="1">
                  <c:v>65.489722221000392</c:v>
                </c:pt>
                <c:pt idx="2">
                  <c:v>34.954152181709752</c:v>
                </c:pt>
                <c:pt idx="3">
                  <c:v>34.9830385557621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E-42F2-B967-5AC003BCC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68025663"/>
        <c:axId val="768026495"/>
      </c:barChart>
      <c:catAx>
        <c:axId val="76802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8026495"/>
        <c:crosses val="autoZero"/>
        <c:auto val="1"/>
        <c:lblAlgn val="ctr"/>
        <c:lblOffset val="100"/>
        <c:noMultiLvlLbl val="0"/>
      </c:catAx>
      <c:valAx>
        <c:axId val="768026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DIAS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802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NIVEL DE ENDEUDAMIENTO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Financieros'!$B$97:$E$97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Financieros'!$B$98:$E$98</c:f>
              <c:numCache>
                <c:formatCode>0.00%</c:formatCode>
                <c:ptCount val="4"/>
                <c:pt idx="0">
                  <c:v>0.66509792073660812</c:v>
                </c:pt>
                <c:pt idx="1">
                  <c:v>0.71792734442465944</c:v>
                </c:pt>
                <c:pt idx="2">
                  <c:v>0.53307111015923414</c:v>
                </c:pt>
                <c:pt idx="3">
                  <c:v>0.62493961879812432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1-452E-B553-3050A042D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1289449391"/>
        <c:axId val="1289450639"/>
      </c:barChart>
      <c:catAx>
        <c:axId val="1289449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9450639"/>
        <c:crosses val="autoZero"/>
        <c:auto val="1"/>
        <c:lblAlgn val="ctr"/>
        <c:lblOffset val="100"/>
        <c:noMultiLvlLbl val="0"/>
      </c:catAx>
      <c:valAx>
        <c:axId val="1289450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9449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Financieros'!$B$113:$E$113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Financieros'!$B$114:$E$114</c:f>
              <c:numCache>
                <c:formatCode>0.00%</c:formatCode>
                <c:ptCount val="4"/>
                <c:pt idx="0">
                  <c:v>0.14789215748863546</c:v>
                </c:pt>
                <c:pt idx="1">
                  <c:v>8.4208924364486626E-2</c:v>
                </c:pt>
                <c:pt idx="2">
                  <c:v>0.21768214177275083</c:v>
                </c:pt>
                <c:pt idx="3">
                  <c:v>0.14699086756787524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A-43CB-A940-1CBCF9A6C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110095"/>
        <c:axId val="846108847"/>
      </c:lineChart>
      <c:catAx>
        <c:axId val="846110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6108847"/>
        <c:crosses val="autoZero"/>
        <c:auto val="1"/>
        <c:lblAlgn val="ctr"/>
        <c:lblOffset val="100"/>
        <c:noMultiLvlLbl val="0"/>
      </c:catAx>
      <c:valAx>
        <c:axId val="84610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6110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Financieros'!$B$113:$E$113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'Indicadores Financieros'!$B$115:$E$115</c:f>
              <c:numCache>
                <c:formatCode>0.00%</c:formatCode>
                <c:ptCount val="4"/>
                <c:pt idx="0">
                  <c:v>0.44159820629934654</c:v>
                </c:pt>
                <c:pt idx="1">
                  <c:v>0.29853629091670225</c:v>
                </c:pt>
                <c:pt idx="2">
                  <c:v>0.46619977154762415</c:v>
                </c:pt>
                <c:pt idx="3">
                  <c:v>0.39191254244675239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C-48A6-8783-048305B66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8787567"/>
        <c:axId val="848787151"/>
      </c:lineChart>
      <c:catAx>
        <c:axId val="84878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8787151"/>
        <c:crosses val="autoZero"/>
        <c:auto val="1"/>
        <c:lblAlgn val="ctr"/>
        <c:lblOffset val="100"/>
        <c:noMultiLvlLbl val="0"/>
      </c:catAx>
      <c:valAx>
        <c:axId val="848787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878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VT"/><Relationship Id="rId2" Type="http://schemas.openxmlformats.org/officeDocument/2006/relationships/hyperlink" Target="#WACC"/><Relationship Id="rId1" Type="http://schemas.openxmlformats.org/officeDocument/2006/relationships/hyperlink" Target="#FCL"/><Relationship Id="rId6" Type="http://schemas.openxmlformats.org/officeDocument/2006/relationships/image" Target="../media/image2.png"/><Relationship Id="rId5" Type="http://schemas.openxmlformats.org/officeDocument/2006/relationships/hyperlink" Target="#VMK"/><Relationship Id="rId4" Type="http://schemas.openxmlformats.org/officeDocument/2006/relationships/hyperlink" Target="#VME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626689</xdr:colOff>
      <xdr:row>56</xdr:row>
      <xdr:rowOff>33618</xdr:rowOff>
    </xdr:from>
    <xdr:to>
      <xdr:col>14</xdr:col>
      <xdr:colOff>437029</xdr:colOff>
      <xdr:row>67</xdr:row>
      <xdr:rowOff>100852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452998</xdr:colOff>
      <xdr:row>72</xdr:row>
      <xdr:rowOff>0</xdr:rowOff>
    </xdr:from>
    <xdr:to>
      <xdr:col>11</xdr:col>
      <xdr:colOff>425825</xdr:colOff>
      <xdr:row>82</xdr:row>
      <xdr:rowOff>78442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784412</xdr:colOff>
      <xdr:row>72</xdr:row>
      <xdr:rowOff>0</xdr:rowOff>
    </xdr:from>
    <xdr:to>
      <xdr:col>14</xdr:col>
      <xdr:colOff>818029</xdr:colOff>
      <xdr:row>82</xdr:row>
      <xdr:rowOff>78441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347385</xdr:colOff>
      <xdr:row>83</xdr:row>
      <xdr:rowOff>123265</xdr:rowOff>
    </xdr:from>
    <xdr:to>
      <xdr:col>13</xdr:col>
      <xdr:colOff>246531</xdr:colOff>
      <xdr:row>92</xdr:row>
      <xdr:rowOff>11206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257734</xdr:colOff>
      <xdr:row>94</xdr:row>
      <xdr:rowOff>123264</xdr:rowOff>
    </xdr:from>
    <xdr:to>
      <xdr:col>14</xdr:col>
      <xdr:colOff>310402</xdr:colOff>
      <xdr:row>109</xdr:row>
      <xdr:rowOff>128866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313763</xdr:colOff>
      <xdr:row>111</xdr:row>
      <xdr:rowOff>101973</xdr:rowOff>
    </xdr:from>
    <xdr:to>
      <xdr:col>13</xdr:col>
      <xdr:colOff>369794</xdr:colOff>
      <xdr:row>120</xdr:row>
      <xdr:rowOff>78442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33617</xdr:colOff>
      <xdr:row>111</xdr:row>
      <xdr:rowOff>57149</xdr:rowOff>
    </xdr:from>
    <xdr:to>
      <xdr:col>18</xdr:col>
      <xdr:colOff>414618</xdr:colOff>
      <xdr:row>120</xdr:row>
      <xdr:rowOff>44823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368</xdr:row>
      <xdr:rowOff>22860</xdr:rowOff>
    </xdr:from>
    <xdr:to>
      <xdr:col>2</xdr:col>
      <xdr:colOff>0</xdr:colOff>
      <xdr:row>368</xdr:row>
      <xdr:rowOff>202860</xdr:rowOff>
    </xdr:to>
    <xdr:sp macro="" textlink="">
      <xdr:nvSpPr>
        <xdr:cNvPr id="79" name="56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3169920" y="89352120"/>
          <a:ext cx="1980000" cy="180000"/>
        </a:xfrm>
        <a:prstGeom prst="roundRect">
          <a:avLst/>
        </a:prstGeom>
        <a:solidFill>
          <a:srgbClr val="800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Flujo de caja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libre - </a:t>
          </a:r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FCL</a:t>
          </a:r>
        </a:p>
      </xdr:txBody>
    </xdr:sp>
    <xdr:clientData/>
  </xdr:twoCellAnchor>
  <xdr:twoCellAnchor>
    <xdr:from>
      <xdr:col>2</xdr:col>
      <xdr:colOff>0</xdr:colOff>
      <xdr:row>369</xdr:row>
      <xdr:rowOff>20954</xdr:rowOff>
    </xdr:from>
    <xdr:to>
      <xdr:col>2</xdr:col>
      <xdr:colOff>0</xdr:colOff>
      <xdr:row>369</xdr:row>
      <xdr:rowOff>200954</xdr:rowOff>
    </xdr:to>
    <xdr:sp macro="" textlink="">
      <xdr:nvSpPr>
        <xdr:cNvPr id="80" name="58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3169920" y="89601674"/>
          <a:ext cx="1980000" cy="180000"/>
        </a:xfrm>
        <a:prstGeom prst="roundRect">
          <a:avLst/>
        </a:prstGeom>
        <a:solidFill>
          <a:srgbClr val="800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Costo de capital - WACC</a:t>
          </a:r>
        </a:p>
      </xdr:txBody>
    </xdr:sp>
    <xdr:clientData/>
  </xdr:twoCellAnchor>
  <xdr:twoCellAnchor>
    <xdr:from>
      <xdr:col>2</xdr:col>
      <xdr:colOff>0</xdr:colOff>
      <xdr:row>370</xdr:row>
      <xdr:rowOff>19050</xdr:rowOff>
    </xdr:from>
    <xdr:to>
      <xdr:col>2</xdr:col>
      <xdr:colOff>0</xdr:colOff>
      <xdr:row>370</xdr:row>
      <xdr:rowOff>199050</xdr:rowOff>
    </xdr:to>
    <xdr:sp macro="" textlink="">
      <xdr:nvSpPr>
        <xdr:cNvPr id="81" name="58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3169920" y="89851230"/>
          <a:ext cx="1980000" cy="180000"/>
        </a:xfrm>
        <a:prstGeom prst="roundRect">
          <a:avLst/>
        </a:prstGeom>
        <a:solidFill>
          <a:srgbClr val="800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Valor de continuidad - VC</a:t>
          </a:r>
        </a:p>
      </xdr:txBody>
    </xdr:sp>
    <xdr:clientData/>
  </xdr:twoCellAnchor>
  <xdr:twoCellAnchor>
    <xdr:from>
      <xdr:col>2</xdr:col>
      <xdr:colOff>190500</xdr:colOff>
      <xdr:row>368</xdr:row>
      <xdr:rowOff>1904</xdr:rowOff>
    </xdr:from>
    <xdr:to>
      <xdr:col>5</xdr:col>
      <xdr:colOff>75840</xdr:colOff>
      <xdr:row>368</xdr:row>
      <xdr:rowOff>182879</xdr:rowOff>
    </xdr:to>
    <xdr:sp macro="" textlink="">
      <xdr:nvSpPr>
        <xdr:cNvPr id="82" name="56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5608320" y="110781464"/>
          <a:ext cx="2880000" cy="180975"/>
        </a:xfrm>
        <a:prstGeom prst="roundRect">
          <a:avLst/>
        </a:prstGeom>
        <a:solidFill>
          <a:srgbClr val="800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Valor de mercado de la empresa - VME</a:t>
          </a:r>
        </a:p>
      </xdr:txBody>
    </xdr:sp>
    <xdr:clientData/>
  </xdr:twoCellAnchor>
  <xdr:twoCellAnchor>
    <xdr:from>
      <xdr:col>2</xdr:col>
      <xdr:colOff>190500</xdr:colOff>
      <xdr:row>369</xdr:row>
      <xdr:rowOff>0</xdr:rowOff>
    </xdr:from>
    <xdr:to>
      <xdr:col>5</xdr:col>
      <xdr:colOff>75840</xdr:colOff>
      <xdr:row>369</xdr:row>
      <xdr:rowOff>180000</xdr:rowOff>
    </xdr:to>
    <xdr:sp macro="" textlink="">
      <xdr:nvSpPr>
        <xdr:cNvPr id="83" name="56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5608320" y="111031020"/>
          <a:ext cx="2880000" cy="180000"/>
        </a:xfrm>
        <a:prstGeom prst="roundRect">
          <a:avLst/>
        </a:prstGeom>
        <a:solidFill>
          <a:srgbClr val="800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Valor de mercado del patrimonio - VMK</a:t>
          </a:r>
        </a:p>
      </xdr:txBody>
    </xdr:sp>
    <xdr:clientData/>
  </xdr:twoCellAnchor>
  <xdr:twoCellAnchor>
    <xdr:from>
      <xdr:col>2</xdr:col>
      <xdr:colOff>0</xdr:colOff>
      <xdr:row>439</xdr:row>
      <xdr:rowOff>107219</xdr:rowOff>
    </xdr:from>
    <xdr:to>
      <xdr:col>3</xdr:col>
      <xdr:colOff>197257</xdr:colOff>
      <xdr:row>441</xdr:row>
      <xdr:rowOff>95789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pSpPr/>
      </xdr:nvGrpSpPr>
      <xdr:grpSpPr>
        <a:xfrm>
          <a:off x="4422321" y="70185643"/>
          <a:ext cx="1898150" cy="0"/>
          <a:chOff x="3847395" y="70185643"/>
          <a:chExt cx="3048002" cy="74060957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69" name="Object 445" hidden="1">
                <a:extLst>
                  <a:ext uri="{63B3BB69-23CF-44E3-9099-C40C66FF867C}">
                    <a14:compatExt spid="_x0000_s1469"/>
                  </a:ext>
                  <a:ext uri="{FF2B5EF4-FFF2-40B4-BE49-F238E27FC236}">
                    <a16:creationId xmlns:a16="http://schemas.microsoft.com/office/drawing/2014/main" id="{00000000-0008-0000-0200-0000BD050000}"/>
                  </a:ext>
                </a:extLst>
              </xdr:cNvPr>
              <xdr:cNvSpPr/>
            </xdr:nvSpPr>
            <xdr:spPr bwMode="auto">
              <a:xfrm>
                <a:off x="3847395" y="70185643"/>
                <a:ext cx="3048002" cy="0"/>
              </a:xfrm>
              <a:prstGeom prst="rect">
                <a:avLst/>
              </a:prstGeom>
              <a:solidFill>
                <a:srgbClr val="CCECFF"/>
              </a:solidFill>
              <a:ln w="9525">
                <a:solidFill>
                  <a:srgbClr val="FF0000" mc:Ignorable="a14" a14:legacySpreadsheetColorIndex="10"/>
                </a:solidFill>
                <a:miter lim="800000"/>
                <a:headEnd/>
                <a:tailEnd/>
              </a:ln>
            </xdr:spPr>
          </xdr:sp>
        </mc:Choice>
        <mc:Fallback/>
      </mc:AlternateContent>
      <xdr:sp macro="" textlink="">
        <xdr:nvSpPr>
          <xdr:cNvPr id="108" name="Elipse 107">
            <a:extLst>
              <a:ext uri="{FF2B5EF4-FFF2-40B4-BE49-F238E27FC236}">
                <a16:creationId xmlns:a16="http://schemas.microsoft.com/office/drawing/2014/main" id="{00000000-0008-0000-0200-00006C000000}"/>
              </a:ext>
            </a:extLst>
          </xdr:cNvPr>
          <xdr:cNvSpPr/>
        </xdr:nvSpPr>
        <xdr:spPr>
          <a:xfrm>
            <a:off x="5074920" y="143911320"/>
            <a:ext cx="800100" cy="33528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2</xdr:col>
      <xdr:colOff>0</xdr:colOff>
      <xdr:row>451</xdr:row>
      <xdr:rowOff>306705</xdr:rowOff>
    </xdr:from>
    <xdr:to>
      <xdr:col>3</xdr:col>
      <xdr:colOff>273458</xdr:colOff>
      <xdr:row>454</xdr:row>
      <xdr:rowOff>85379</xdr:rowOff>
    </xdr:to>
    <xdr:grpSp>
      <xdr:nvGrpSpPr>
        <xdr:cNvPr id="36" name="Grupo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pSpPr/>
      </xdr:nvGrpSpPr>
      <xdr:grpSpPr>
        <a:xfrm>
          <a:off x="4422321" y="70185643"/>
          <a:ext cx="1974351" cy="0"/>
          <a:chOff x="3885497" y="70185643"/>
          <a:chExt cx="3047999" cy="76941317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70" name="Object 446" hidden="1">
                <a:extLst>
                  <a:ext uri="{63B3BB69-23CF-44E3-9099-C40C66FF867C}">
                    <a14:compatExt spid="_x0000_s1470"/>
                  </a:ext>
                  <a:ext uri="{FF2B5EF4-FFF2-40B4-BE49-F238E27FC236}">
                    <a16:creationId xmlns:a16="http://schemas.microsoft.com/office/drawing/2014/main" id="{00000000-0008-0000-0200-0000BE050000}"/>
                  </a:ext>
                </a:extLst>
              </xdr:cNvPr>
              <xdr:cNvSpPr/>
            </xdr:nvSpPr>
            <xdr:spPr bwMode="auto">
              <a:xfrm>
                <a:off x="3885497" y="70185643"/>
                <a:ext cx="3047999" cy="0"/>
              </a:xfrm>
              <a:prstGeom prst="rect">
                <a:avLst/>
              </a:prstGeom>
              <a:solidFill>
                <a:srgbClr val="CCECFF"/>
              </a:solidFill>
              <a:ln w="9525">
                <a:solidFill>
                  <a:srgbClr val="FF0000" mc:Ignorable="a14" a14:legacySpreadsheetColorIndex="10"/>
                </a:solidFill>
                <a:miter lim="800000"/>
                <a:headEnd/>
                <a:tailEnd/>
              </a:ln>
            </xdr:spPr>
          </xdr:sp>
        </mc:Choice>
        <mc:Fallback/>
      </mc:AlternateContent>
      <xdr:sp macro="" textlink="">
        <xdr:nvSpPr>
          <xdr:cNvPr id="110" name="Elipse 109">
            <a:extLst>
              <a:ext uri="{FF2B5EF4-FFF2-40B4-BE49-F238E27FC236}">
                <a16:creationId xmlns:a16="http://schemas.microsoft.com/office/drawing/2014/main" id="{00000000-0008-0000-0200-00006E000000}"/>
              </a:ext>
            </a:extLst>
          </xdr:cNvPr>
          <xdr:cNvSpPr/>
        </xdr:nvSpPr>
        <xdr:spPr>
          <a:xfrm>
            <a:off x="6454140" y="146563080"/>
            <a:ext cx="251460" cy="56388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 editAs="oneCell">
    <xdr:from>
      <xdr:col>6</xdr:col>
      <xdr:colOff>774789</xdr:colOff>
      <xdr:row>0</xdr:row>
      <xdr:rowOff>0</xdr:rowOff>
    </xdr:from>
    <xdr:to>
      <xdr:col>9</xdr:col>
      <xdr:colOff>739231</xdr:colOff>
      <xdr:row>2</xdr:row>
      <xdr:rowOff>370114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5703" y="0"/>
          <a:ext cx="4242528" cy="1132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people.stern.nyu.edu/adamodar/pdfiles/papers/riskfreerate.pdf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8"/>
  <sheetViews>
    <sheetView showGridLines="0" topLeftCell="A40" zoomScaleNormal="100" workbookViewId="0">
      <selection activeCell="H46" sqref="H46"/>
    </sheetView>
  </sheetViews>
  <sheetFormatPr baseColWidth="10" defaultColWidth="10.7109375" defaultRowHeight="12.75" x14ac:dyDescent="0.2"/>
  <cols>
    <col min="1" max="1" width="29.5703125" style="346" customWidth="1"/>
    <col min="2" max="4" width="20" style="21" bestFit="1" customWidth="1"/>
    <col min="5" max="6" width="6.7109375" style="21" customWidth="1"/>
    <col min="7" max="7" width="13.7109375" style="21" bestFit="1" customWidth="1"/>
    <col min="8" max="8" width="35.85546875" style="346" customWidth="1"/>
    <col min="9" max="9" width="14.5703125" style="21" customWidth="1"/>
    <col min="10" max="10" width="13" style="21" customWidth="1"/>
    <col min="11" max="12" width="18" style="21" customWidth="1"/>
    <col min="13" max="16" width="18.28515625" style="21" customWidth="1"/>
    <col min="17" max="16384" width="10.7109375" style="21"/>
  </cols>
  <sheetData>
    <row r="1" spans="1:14" ht="13.5" thickBot="1" x14ac:dyDescent="0.25">
      <c r="A1" s="468"/>
      <c r="B1" s="704" t="s">
        <v>216</v>
      </c>
      <c r="C1" s="704"/>
      <c r="D1" s="705"/>
      <c r="E1" s="103"/>
      <c r="F1" s="103"/>
      <c r="G1" s="103"/>
      <c r="H1" s="347"/>
      <c r="I1" s="103"/>
      <c r="N1" s="467"/>
    </row>
    <row r="2" spans="1:14" ht="13.5" thickBot="1" x14ac:dyDescent="0.25">
      <c r="A2" s="469" t="s">
        <v>40</v>
      </c>
      <c r="B2" s="470">
        <v>2019</v>
      </c>
      <c r="C2" s="470">
        <f>+B2+1</f>
        <v>2020</v>
      </c>
      <c r="D2" s="471">
        <f>+C2+1</f>
        <v>2021</v>
      </c>
      <c r="E2" s="350"/>
      <c r="F2" s="103"/>
      <c r="G2" s="103"/>
      <c r="H2" s="347"/>
      <c r="I2" s="103"/>
      <c r="N2" s="467"/>
    </row>
    <row r="3" spans="1:14" x14ac:dyDescent="0.2">
      <c r="A3" s="472" t="s">
        <v>18</v>
      </c>
      <c r="B3" s="473"/>
      <c r="C3" s="473"/>
      <c r="D3" s="474"/>
      <c r="E3" s="103"/>
      <c r="F3" s="103"/>
      <c r="G3" s="103"/>
      <c r="H3" s="347"/>
      <c r="I3" s="103"/>
      <c r="N3" s="467"/>
    </row>
    <row r="4" spans="1:14" ht="18" customHeight="1" x14ac:dyDescent="0.2">
      <c r="A4" s="348" t="s">
        <v>16</v>
      </c>
      <c r="B4" s="475">
        <v>24854083</v>
      </c>
      <c r="C4" s="475">
        <v>181874202</v>
      </c>
      <c r="D4" s="476">
        <v>12647152</v>
      </c>
      <c r="E4" s="710">
        <f>(B4+B5)/((B42+B54-B52)/360)</f>
        <v>0.41727196935996375</v>
      </c>
      <c r="F4" s="710">
        <f>(C4+C5)/((C42+C54-C52)/360)</f>
        <v>32.109318920292402</v>
      </c>
      <c r="G4" s="710">
        <f>(D4+D5)/((D42+D54-D52)/360)</f>
        <v>43.667058179001252</v>
      </c>
      <c r="H4" s="703" t="s">
        <v>173</v>
      </c>
      <c r="I4" s="703"/>
      <c r="N4" s="467"/>
    </row>
    <row r="5" spans="1:14" ht="18" customHeight="1" x14ac:dyDescent="0.2">
      <c r="A5" s="348" t="s">
        <v>70</v>
      </c>
      <c r="B5" s="475">
        <v>3557611</v>
      </c>
      <c r="C5" s="475">
        <v>2139918988</v>
      </c>
      <c r="D5" s="476">
        <v>3776260528</v>
      </c>
      <c r="E5" s="710"/>
      <c r="F5" s="710"/>
      <c r="G5" s="710"/>
      <c r="H5" s="703"/>
      <c r="I5" s="703"/>
      <c r="N5" s="467"/>
    </row>
    <row r="6" spans="1:14" ht="18" customHeight="1" x14ac:dyDescent="0.2">
      <c r="A6" s="477" t="s">
        <v>46</v>
      </c>
      <c r="B6" s="475">
        <v>15558266089</v>
      </c>
      <c r="C6" s="475">
        <v>15001964138</v>
      </c>
      <c r="D6" s="476">
        <v>18480682945</v>
      </c>
      <c r="E6" s="351">
        <f>B6/(B41*MODELO!$C$106/360)</f>
        <v>187.95558105944951</v>
      </c>
      <c r="F6" s="351">
        <f>C6/(C41*MODELO!$C$106/360)</f>
        <v>164.23835067030606</v>
      </c>
      <c r="G6" s="351">
        <f>D6/(D41*MODELO!$C$106/360)</f>
        <v>176.84936864250861</v>
      </c>
      <c r="H6" s="347" t="s">
        <v>153</v>
      </c>
      <c r="I6" s="103"/>
      <c r="N6" s="467"/>
    </row>
    <row r="7" spans="1:14" ht="18" customHeight="1" x14ac:dyDescent="0.2">
      <c r="A7" s="348" t="s">
        <v>17</v>
      </c>
      <c r="B7" s="475">
        <v>0</v>
      </c>
      <c r="C7" s="475">
        <v>0</v>
      </c>
      <c r="D7" s="476">
        <v>0</v>
      </c>
      <c r="E7" s="351">
        <f>B7/(B42*MODELO!$C$114/360)</f>
        <v>0</v>
      </c>
      <c r="F7" s="351">
        <f>C7/(C42*MODELO!$C$114/360)</f>
        <v>0</v>
      </c>
      <c r="G7" s="351">
        <f>D7/(D42*MODELO!$C$114/360)</f>
        <v>0</v>
      </c>
      <c r="H7" s="347" t="s">
        <v>20</v>
      </c>
      <c r="I7" s="103"/>
      <c r="N7" s="467"/>
    </row>
    <row r="8" spans="1:14" ht="18" customHeight="1" x14ac:dyDescent="0.2">
      <c r="A8" s="472" t="s">
        <v>18</v>
      </c>
      <c r="B8" s="478">
        <f>SUM(B4:B7)</f>
        <v>15586677783</v>
      </c>
      <c r="C8" s="478">
        <f t="shared" ref="C8:D8" si="0">SUM(C4:C7)</f>
        <v>17323757328</v>
      </c>
      <c r="D8" s="479">
        <f t="shared" si="0"/>
        <v>22269590625</v>
      </c>
      <c r="E8" s="352">
        <f>B8/B24</f>
        <v>1.3333289682808764</v>
      </c>
      <c r="F8" s="352">
        <f>C8/C24</f>
        <v>1.7635578518717046</v>
      </c>
      <c r="G8" s="352">
        <f>D8/D24</f>
        <v>1.4705245299081862</v>
      </c>
      <c r="H8" s="347" t="s">
        <v>57</v>
      </c>
      <c r="I8" s="103"/>
      <c r="N8" s="467"/>
    </row>
    <row r="9" spans="1:14" x14ac:dyDescent="0.2">
      <c r="A9" s="348"/>
      <c r="B9" s="475"/>
      <c r="C9" s="475"/>
      <c r="D9" s="476"/>
      <c r="E9" s="103"/>
      <c r="F9" s="103"/>
      <c r="G9" s="103"/>
      <c r="H9" s="347"/>
      <c r="I9" s="103"/>
      <c r="N9" s="467"/>
    </row>
    <row r="10" spans="1:14" ht="18" customHeight="1" x14ac:dyDescent="0.2">
      <c r="A10" s="477" t="s">
        <v>62</v>
      </c>
      <c r="B10" s="475">
        <v>1391433023</v>
      </c>
      <c r="C10" s="475">
        <v>1924834777</v>
      </c>
      <c r="D10" s="476">
        <v>2974040180</v>
      </c>
      <c r="E10" s="353">
        <f>B41/B10</f>
        <v>21.416384893432273</v>
      </c>
      <c r="F10" s="353">
        <f>C41/C10</f>
        <v>17.083725789312254</v>
      </c>
      <c r="G10" s="353">
        <f>D41/D10</f>
        <v>12.649407155285978</v>
      </c>
      <c r="H10" s="347" t="s">
        <v>154</v>
      </c>
      <c r="I10" s="103"/>
      <c r="N10" s="467"/>
    </row>
    <row r="11" spans="1:14" ht="18" customHeight="1" x14ac:dyDescent="0.2">
      <c r="A11" s="348" t="s">
        <v>21</v>
      </c>
      <c r="B11" s="475">
        <v>-695061137</v>
      </c>
      <c r="C11" s="475">
        <v>-821057557</v>
      </c>
      <c r="D11" s="476">
        <v>-1010925434</v>
      </c>
      <c r="E11" s="103"/>
      <c r="F11" s="103"/>
      <c r="G11" s="103"/>
      <c r="H11" s="347"/>
      <c r="I11" s="103"/>
      <c r="N11" s="467"/>
    </row>
    <row r="12" spans="1:14" ht="18" customHeight="1" x14ac:dyDescent="0.2">
      <c r="A12" s="348" t="s">
        <v>353</v>
      </c>
      <c r="B12" s="475">
        <v>0</v>
      </c>
      <c r="C12" s="475">
        <v>0</v>
      </c>
      <c r="D12" s="476">
        <v>0</v>
      </c>
      <c r="E12" s="103"/>
      <c r="F12" s="103"/>
      <c r="G12" s="103"/>
      <c r="H12" s="347"/>
      <c r="I12" s="103"/>
      <c r="N12" s="467"/>
    </row>
    <row r="13" spans="1:14" ht="18" customHeight="1" x14ac:dyDescent="0.2">
      <c r="A13" s="480" t="s">
        <v>83</v>
      </c>
      <c r="B13" s="481">
        <f>SUM(B10:B12)</f>
        <v>696371886</v>
      </c>
      <c r="C13" s="481">
        <f t="shared" ref="C13:D13" si="1">SUM(C10:C12)</f>
        <v>1103777220</v>
      </c>
      <c r="D13" s="482">
        <f t="shared" si="1"/>
        <v>1963114746</v>
      </c>
      <c r="E13" s="103"/>
      <c r="F13" s="103"/>
      <c r="G13" s="103"/>
      <c r="H13" s="347"/>
      <c r="I13" s="103"/>
      <c r="N13" s="467"/>
    </row>
    <row r="14" spans="1:14" x14ac:dyDescent="0.2">
      <c r="A14" s="348"/>
      <c r="B14" s="475"/>
      <c r="C14" s="475"/>
      <c r="D14" s="476"/>
      <c r="E14" s="103"/>
      <c r="F14" s="103"/>
      <c r="G14" s="103"/>
      <c r="H14" s="347"/>
      <c r="I14" s="103"/>
      <c r="N14" s="467"/>
    </row>
    <row r="15" spans="1:14" x14ac:dyDescent="0.2">
      <c r="A15" s="472" t="s">
        <v>23</v>
      </c>
      <c r="B15" s="478">
        <f>B8+B13</f>
        <v>16283049669</v>
      </c>
      <c r="C15" s="478">
        <f t="shared" ref="C15:D15" si="2">C8+C13</f>
        <v>18427534548</v>
      </c>
      <c r="D15" s="479">
        <f t="shared" si="2"/>
        <v>24232705371</v>
      </c>
      <c r="E15" s="352">
        <f>+B41/B15</f>
        <v>1.8300911548978951</v>
      </c>
      <c r="F15" s="352">
        <f>+C41/C15</f>
        <v>1.7844682062239812</v>
      </c>
      <c r="G15" s="352">
        <f>+D41/D15</f>
        <v>1.5524409906795131</v>
      </c>
      <c r="H15" s="354" t="s">
        <v>155</v>
      </c>
      <c r="I15" s="103"/>
      <c r="N15" s="467"/>
    </row>
    <row r="16" spans="1:14" ht="13.5" thickBot="1" x14ac:dyDescent="0.25">
      <c r="A16" s="348"/>
      <c r="B16" s="706"/>
      <c r="C16" s="706"/>
      <c r="D16" s="707"/>
      <c r="E16" s="355">
        <f>B66/B15</f>
        <v>8.4208924364486626E-2</v>
      </c>
      <c r="F16" s="355">
        <f>C66/C15</f>
        <v>0.21768214177275083</v>
      </c>
      <c r="G16" s="355">
        <f>D66/D15</f>
        <v>0.14699086756787524</v>
      </c>
      <c r="H16" s="347" t="s">
        <v>158</v>
      </c>
      <c r="I16" s="103"/>
      <c r="N16" s="467"/>
    </row>
    <row r="17" spans="1:14" ht="13.5" thickBot="1" x14ac:dyDescent="0.25">
      <c r="A17" s="469" t="s">
        <v>41</v>
      </c>
      <c r="B17" s="470">
        <v>2019</v>
      </c>
      <c r="C17" s="470">
        <v>2020</v>
      </c>
      <c r="D17" s="471">
        <v>2021</v>
      </c>
      <c r="E17" s="103"/>
      <c r="F17" s="103"/>
      <c r="G17" s="103"/>
      <c r="H17" s="347"/>
      <c r="I17" s="103"/>
      <c r="N17" s="467"/>
    </row>
    <row r="18" spans="1:14" x14ac:dyDescent="0.2">
      <c r="A18" s="472" t="s">
        <v>24</v>
      </c>
      <c r="B18" s="473"/>
      <c r="C18" s="473"/>
      <c r="D18" s="474"/>
      <c r="E18" s="103"/>
      <c r="F18" s="103"/>
      <c r="G18" s="103"/>
      <c r="H18" s="347"/>
      <c r="I18" s="103"/>
      <c r="N18" s="467"/>
    </row>
    <row r="19" spans="1:14" ht="18" customHeight="1" x14ac:dyDescent="0.2">
      <c r="A19" s="348" t="s">
        <v>39</v>
      </c>
      <c r="B19" s="475">
        <v>0</v>
      </c>
      <c r="C19" s="475">
        <v>0</v>
      </c>
      <c r="D19" s="476">
        <v>0</v>
      </c>
      <c r="E19" s="103"/>
      <c r="F19" s="356"/>
      <c r="G19" s="103"/>
      <c r="H19" s="347"/>
      <c r="I19" s="103"/>
      <c r="N19" s="467"/>
    </row>
    <row r="20" spans="1:14" ht="18" customHeight="1" x14ac:dyDescent="0.2">
      <c r="A20" s="348" t="s">
        <v>48</v>
      </c>
      <c r="B20" s="475">
        <v>1270296297</v>
      </c>
      <c r="C20" s="475">
        <v>2809701809</v>
      </c>
      <c r="D20" s="476">
        <v>6527657956</v>
      </c>
      <c r="E20" s="103"/>
      <c r="F20" s="103"/>
      <c r="G20" s="103"/>
      <c r="H20" s="347"/>
      <c r="I20" s="103"/>
      <c r="N20" s="467"/>
    </row>
    <row r="21" spans="1:14" ht="18" customHeight="1" x14ac:dyDescent="0.2">
      <c r="A21" s="477" t="s">
        <v>47</v>
      </c>
      <c r="B21" s="475">
        <v>2988373983</v>
      </c>
      <c r="C21" s="475">
        <v>1676159901</v>
      </c>
      <c r="D21" s="476">
        <v>1927669375</v>
      </c>
      <c r="E21" s="353">
        <f>B21/(B42*40%/360)</f>
        <v>163.72430555250097</v>
      </c>
      <c r="F21" s="353">
        <f>C21/(C42*40%/360)</f>
        <v>87.385380454274383</v>
      </c>
      <c r="G21" s="353">
        <f>D21/(D42*40%/360)</f>
        <v>87.71124275068216</v>
      </c>
      <c r="H21" s="347" t="s">
        <v>108</v>
      </c>
      <c r="I21" s="103"/>
      <c r="N21" s="467"/>
    </row>
    <row r="22" spans="1:14" ht="18" customHeight="1" x14ac:dyDescent="0.2">
      <c r="A22" s="348" t="s">
        <v>178</v>
      </c>
      <c r="B22" s="475">
        <v>6308103951</v>
      </c>
      <c r="C22" s="475">
        <v>3374610589</v>
      </c>
      <c r="D22" s="476">
        <v>4196159602</v>
      </c>
      <c r="E22" s="342">
        <f>B22/(B54-B52)</f>
        <v>0.78023608283040191</v>
      </c>
      <c r="F22" s="342">
        <f>C22/(C54-C52)</f>
        <v>0.3848723445320168</v>
      </c>
      <c r="G22" s="342">
        <f>D22/(D54-D52)</f>
        <v>0.36625892535189508</v>
      </c>
      <c r="H22" s="347" t="s">
        <v>257</v>
      </c>
      <c r="I22" s="103"/>
      <c r="N22" s="467"/>
    </row>
    <row r="23" spans="1:14" ht="18" customHeight="1" x14ac:dyDescent="0.2">
      <c r="A23" s="348" t="s">
        <v>37</v>
      </c>
      <c r="B23" s="475">
        <v>1123272377</v>
      </c>
      <c r="C23" s="475">
        <v>1962714000</v>
      </c>
      <c r="D23" s="476">
        <v>2492490724</v>
      </c>
      <c r="E23" s="103"/>
      <c r="F23" s="103"/>
      <c r="G23" s="103"/>
      <c r="H23" s="347"/>
      <c r="I23" s="103"/>
      <c r="N23" s="467"/>
    </row>
    <row r="24" spans="1:14" ht="18" customHeight="1" x14ac:dyDescent="0.2">
      <c r="A24" s="472" t="s">
        <v>28</v>
      </c>
      <c r="B24" s="478">
        <f>SUM(B19:B23)</f>
        <v>11690046608</v>
      </c>
      <c r="C24" s="478">
        <f t="shared" ref="C24:D24" si="3">SUM(C19:C23)</f>
        <v>9823186299</v>
      </c>
      <c r="D24" s="479">
        <f t="shared" si="3"/>
        <v>15143977657</v>
      </c>
      <c r="E24" s="349">
        <f>+B24/B27</f>
        <v>1</v>
      </c>
      <c r="F24" s="349">
        <f>+C24/C27</f>
        <v>1</v>
      </c>
      <c r="G24" s="355">
        <f>+D24/D27</f>
        <v>1</v>
      </c>
      <c r="H24" s="354" t="s">
        <v>113</v>
      </c>
      <c r="I24" s="103"/>
      <c r="N24" s="467"/>
    </row>
    <row r="25" spans="1:14" ht="7.15" customHeight="1" x14ac:dyDescent="0.2">
      <c r="A25" s="348"/>
      <c r="B25" s="475"/>
      <c r="C25" s="475"/>
      <c r="D25" s="476"/>
      <c r="E25" s="103"/>
      <c r="F25" s="103"/>
      <c r="G25" s="103"/>
      <c r="H25" s="347"/>
      <c r="I25" s="103"/>
      <c r="N25" s="467"/>
    </row>
    <row r="26" spans="1:14" ht="18" customHeight="1" thickBot="1" x14ac:dyDescent="0.25">
      <c r="A26" s="480" t="s">
        <v>49</v>
      </c>
      <c r="B26" s="483">
        <v>0</v>
      </c>
      <c r="C26" s="483">
        <v>0</v>
      </c>
      <c r="D26" s="484">
        <v>0</v>
      </c>
      <c r="E26" s="342">
        <f>(B26+B20)/B27</f>
        <v>0.10866477607802537</v>
      </c>
      <c r="F26" s="342">
        <f>(C26+C20)/C27</f>
        <v>0.28602753968801625</v>
      </c>
      <c r="G26" s="342">
        <f>(D26+D20)/D27</f>
        <v>0.4310398564925722</v>
      </c>
      <c r="H26" s="347" t="s">
        <v>74</v>
      </c>
      <c r="I26" s="103"/>
      <c r="N26" s="467"/>
    </row>
    <row r="27" spans="1:14" ht="18" customHeight="1" thickBot="1" x14ac:dyDescent="0.25">
      <c r="A27" s="472" t="s">
        <v>29</v>
      </c>
      <c r="B27" s="483">
        <v>11690046608</v>
      </c>
      <c r="C27" s="483">
        <v>9823186299</v>
      </c>
      <c r="D27" s="484">
        <v>15143977657</v>
      </c>
      <c r="E27" s="342">
        <f>B27/B15</f>
        <v>0.71792734442465944</v>
      </c>
      <c r="F27" s="342">
        <f>C27/C15</f>
        <v>0.53307111015923414</v>
      </c>
      <c r="G27" s="342">
        <f>D27/D15</f>
        <v>0.62493961879812432</v>
      </c>
      <c r="H27" s="347" t="s">
        <v>156</v>
      </c>
      <c r="I27" s="103"/>
      <c r="N27" s="467"/>
    </row>
    <row r="28" spans="1:14" ht="7.9" customHeight="1" x14ac:dyDescent="0.2">
      <c r="A28" s="348"/>
      <c r="B28" s="475"/>
      <c r="C28" s="475"/>
      <c r="D28" s="476"/>
      <c r="E28" s="103"/>
      <c r="F28" s="103"/>
      <c r="G28" s="103"/>
      <c r="H28" s="347"/>
      <c r="I28" s="103"/>
      <c r="N28" s="467"/>
    </row>
    <row r="29" spans="1:14" x14ac:dyDescent="0.2">
      <c r="A29" s="469" t="s">
        <v>42</v>
      </c>
      <c r="B29" s="475"/>
      <c r="C29" s="475"/>
      <c r="D29" s="476"/>
      <c r="E29" s="103"/>
      <c r="F29" s="103"/>
      <c r="G29" s="103"/>
      <c r="H29" s="347"/>
      <c r="I29" s="103"/>
      <c r="N29" s="467"/>
    </row>
    <row r="30" spans="1:14" ht="18" customHeight="1" x14ac:dyDescent="0.2">
      <c r="A30" s="348" t="s">
        <v>9</v>
      </c>
      <c r="B30" s="475">
        <v>94664183</v>
      </c>
      <c r="C30" s="475">
        <v>94664183</v>
      </c>
      <c r="D30" s="476">
        <v>94664183</v>
      </c>
      <c r="E30" s="342"/>
      <c r="F30" s="342"/>
      <c r="G30" s="342"/>
      <c r="H30" s="347"/>
      <c r="I30" s="103"/>
      <c r="N30" s="467"/>
    </row>
    <row r="31" spans="1:14" ht="18" customHeight="1" x14ac:dyDescent="0.2">
      <c r="A31" s="348" t="s">
        <v>98</v>
      </c>
      <c r="B31" s="475">
        <v>49553859</v>
      </c>
      <c r="C31" s="475">
        <v>49553859</v>
      </c>
      <c r="D31" s="476">
        <v>49553859</v>
      </c>
      <c r="E31" s="342"/>
      <c r="F31" s="357"/>
      <c r="G31" s="357"/>
      <c r="H31" s="347"/>
      <c r="I31" s="103"/>
      <c r="N31" s="467"/>
    </row>
    <row r="32" spans="1:14" ht="18" customHeight="1" x14ac:dyDescent="0.2">
      <c r="A32" s="348" t="s">
        <v>30</v>
      </c>
      <c r="B32" s="475">
        <v>1371178098</v>
      </c>
      <c r="C32" s="475">
        <v>4011345188</v>
      </c>
      <c r="D32" s="476">
        <v>3561986386</v>
      </c>
      <c r="E32" s="342"/>
      <c r="F32" s="357">
        <f>(B32+B33-(C31-B31))-C33</f>
        <v>0</v>
      </c>
      <c r="G32" s="485">
        <f>(C32+C33-(D31-C31))-D33</f>
        <v>3077606921</v>
      </c>
      <c r="H32" s="347" t="s">
        <v>100</v>
      </c>
      <c r="I32" s="103"/>
      <c r="N32" s="467"/>
    </row>
    <row r="33" spans="1:14" ht="18" customHeight="1" x14ac:dyDescent="0.2">
      <c r="A33" s="477" t="s">
        <v>101</v>
      </c>
      <c r="B33" s="475">
        <v>3077606921</v>
      </c>
      <c r="C33" s="475">
        <v>4448785019</v>
      </c>
      <c r="D33" s="476">
        <v>5382523286</v>
      </c>
      <c r="E33" s="342"/>
      <c r="F33" s="342">
        <f>F32/(B32+B33-(C31-B31))</f>
        <v>0</v>
      </c>
      <c r="G33" s="342">
        <f>G32/(C32+C33-(D31-C31))</f>
        <v>0.36377772512928419</v>
      </c>
      <c r="H33" s="347" t="s">
        <v>159</v>
      </c>
      <c r="I33" s="103"/>
      <c r="N33" s="467"/>
    </row>
    <row r="34" spans="1:14" x14ac:dyDescent="0.2">
      <c r="A34" s="472" t="s">
        <v>31</v>
      </c>
      <c r="B34" s="478">
        <f>SUM(B30:B33)</f>
        <v>4593003061</v>
      </c>
      <c r="C34" s="478">
        <f t="shared" ref="C34:D34" si="4">SUM(C30:C33)</f>
        <v>8604348249</v>
      </c>
      <c r="D34" s="479">
        <f t="shared" si="4"/>
        <v>9088727714</v>
      </c>
      <c r="E34" s="342">
        <f>B66/B34</f>
        <v>0.29853629091670225</v>
      </c>
      <c r="F34" s="342">
        <f>C66/C34</f>
        <v>0.46619977154762415</v>
      </c>
      <c r="G34" s="342">
        <f>D66/D34</f>
        <v>0.39191254244675239</v>
      </c>
      <c r="H34" s="347" t="s">
        <v>157</v>
      </c>
      <c r="I34" s="103"/>
      <c r="N34" s="467"/>
    </row>
    <row r="35" spans="1:14" ht="6.6" customHeight="1" thickBot="1" x14ac:dyDescent="0.25">
      <c r="A35" s="348"/>
      <c r="B35" s="486"/>
      <c r="C35" s="486"/>
      <c r="D35" s="487"/>
      <c r="E35" s="103"/>
      <c r="F35" s="103"/>
      <c r="G35" s="103"/>
      <c r="H35" s="347"/>
      <c r="I35" s="103"/>
      <c r="N35" s="467"/>
    </row>
    <row r="36" spans="1:14" ht="13.5" thickBot="1" x14ac:dyDescent="0.25">
      <c r="A36" s="488" t="s">
        <v>32</v>
      </c>
      <c r="B36" s="483">
        <f>B27+B34</f>
        <v>16283049669</v>
      </c>
      <c r="C36" s="483">
        <f>C27+C34</f>
        <v>18427534548</v>
      </c>
      <c r="D36" s="484">
        <f t="shared" ref="D36" si="5">D27+D34</f>
        <v>24232705371</v>
      </c>
      <c r="E36" s="103"/>
      <c r="F36" s="103"/>
      <c r="G36" s="103"/>
      <c r="H36" s="347"/>
      <c r="I36" s="103"/>
      <c r="N36" s="467"/>
    </row>
    <row r="37" spans="1:14" s="103" customFormat="1" ht="19.149999999999999" customHeight="1" x14ac:dyDescent="0.2">
      <c r="A37" s="489"/>
    </row>
    <row r="38" spans="1:14" ht="13.5" thickBot="1" x14ac:dyDescent="0.25">
      <c r="A38" s="345"/>
      <c r="B38" s="490"/>
      <c r="C38" s="490"/>
      <c r="D38" s="491"/>
      <c r="E38" s="103"/>
      <c r="F38" s="103"/>
      <c r="G38" s="103"/>
      <c r="H38" s="347"/>
      <c r="I38" s="103"/>
      <c r="N38" s="467"/>
    </row>
    <row r="39" spans="1:14" x14ac:dyDescent="0.2">
      <c r="A39" s="468"/>
      <c r="B39" s="708" t="s">
        <v>52</v>
      </c>
      <c r="C39" s="708"/>
      <c r="D39" s="709"/>
      <c r="E39" s="103"/>
      <c r="F39" s="103"/>
      <c r="G39" s="103"/>
      <c r="H39" s="347"/>
      <c r="I39" s="103"/>
      <c r="N39" s="467"/>
    </row>
    <row r="40" spans="1:14" x14ac:dyDescent="0.2">
      <c r="A40" s="348"/>
      <c r="B40" s="492">
        <v>2019</v>
      </c>
      <c r="C40" s="492">
        <v>2020</v>
      </c>
      <c r="D40" s="493">
        <v>2021</v>
      </c>
      <c r="E40" s="103"/>
      <c r="F40" s="103"/>
      <c r="G40" s="103"/>
      <c r="H40" s="347"/>
      <c r="I40" s="103"/>
      <c r="N40" s="467"/>
    </row>
    <row r="41" spans="1:14" ht="18" customHeight="1" x14ac:dyDescent="0.2">
      <c r="A41" s="348" t="s">
        <v>4</v>
      </c>
      <c r="B41" s="475">
        <v>29799465174</v>
      </c>
      <c r="C41" s="475">
        <v>32883349520</v>
      </c>
      <c r="D41" s="476">
        <v>37619845133</v>
      </c>
      <c r="E41" s="342"/>
      <c r="F41" s="342"/>
      <c r="G41" s="342"/>
      <c r="H41" s="347"/>
      <c r="I41" s="103"/>
      <c r="N41" s="467"/>
    </row>
    <row r="42" spans="1:14" ht="18" customHeight="1" x14ac:dyDescent="0.2">
      <c r="A42" s="477" t="s">
        <v>22</v>
      </c>
      <c r="B42" s="475">
        <v>16427228539</v>
      </c>
      <c r="C42" s="475">
        <v>17263115444</v>
      </c>
      <c r="D42" s="476">
        <v>19779704210</v>
      </c>
      <c r="E42" s="342">
        <f>+B42/B$41</f>
        <v>0.55125917338049202</v>
      </c>
      <c r="F42" s="342">
        <f>+C42/C$41</f>
        <v>0.52498044438874425</v>
      </c>
      <c r="G42" s="342">
        <f>+D42/D$41</f>
        <v>0.5257784592167104</v>
      </c>
      <c r="H42" s="347" t="s">
        <v>174</v>
      </c>
      <c r="I42" s="103"/>
      <c r="N42" s="467"/>
    </row>
    <row r="43" spans="1:14" ht="7.9" customHeight="1" x14ac:dyDescent="0.2">
      <c r="A43" s="348"/>
      <c r="B43" s="475"/>
      <c r="C43" s="475"/>
      <c r="D43" s="476"/>
      <c r="E43" s="103"/>
      <c r="F43" s="103"/>
      <c r="G43" s="103"/>
      <c r="H43" s="347"/>
      <c r="I43" s="103"/>
      <c r="N43" s="467"/>
    </row>
    <row r="44" spans="1:14" ht="18" customHeight="1" x14ac:dyDescent="0.2">
      <c r="A44" s="480" t="s">
        <v>13</v>
      </c>
      <c r="B44" s="478">
        <f>B41-B42</f>
        <v>13372236635</v>
      </c>
      <c r="C44" s="478">
        <f t="shared" ref="C44:D44" si="6">C41-C42</f>
        <v>15620234076</v>
      </c>
      <c r="D44" s="479">
        <f t="shared" si="6"/>
        <v>17840140923</v>
      </c>
      <c r="E44" s="355">
        <f>B44/B41</f>
        <v>0.44874082661950798</v>
      </c>
      <c r="F44" s="355">
        <f>C44/C41</f>
        <v>0.47501955561125575</v>
      </c>
      <c r="G44" s="355">
        <f>D44/D41</f>
        <v>0.47422154078328965</v>
      </c>
      <c r="H44" s="347" t="s">
        <v>58</v>
      </c>
      <c r="I44" s="103"/>
      <c r="N44" s="467"/>
    </row>
    <row r="45" spans="1:14" ht="9" customHeight="1" x14ac:dyDescent="0.2">
      <c r="A45" s="348"/>
      <c r="B45" s="475"/>
      <c r="C45" s="475"/>
      <c r="D45" s="476"/>
      <c r="E45" s="358"/>
      <c r="F45" s="358"/>
      <c r="G45" s="358"/>
      <c r="H45" s="347"/>
      <c r="I45" s="103"/>
      <c r="N45" s="467"/>
    </row>
    <row r="46" spans="1:14" x14ac:dyDescent="0.2">
      <c r="A46" s="472" t="s">
        <v>6</v>
      </c>
      <c r="B46" s="490"/>
      <c r="C46" s="490"/>
      <c r="D46" s="494"/>
      <c r="E46" s="358"/>
      <c r="F46" s="358"/>
      <c r="G46" s="358"/>
      <c r="H46" s="347"/>
      <c r="I46" s="103"/>
      <c r="N46" s="467"/>
    </row>
    <row r="47" spans="1:14" ht="18" customHeight="1" x14ac:dyDescent="0.2">
      <c r="A47" s="348" t="s">
        <v>0</v>
      </c>
      <c r="B47" s="475">
        <v>3719622990</v>
      </c>
      <c r="C47" s="475">
        <v>4115663263</v>
      </c>
      <c r="D47" s="476">
        <v>5003544779</v>
      </c>
      <c r="E47" s="342">
        <f>+B47/B$41</f>
        <v>0.12482180362234711</v>
      </c>
      <c r="F47" s="342">
        <f>+C47/C$41</f>
        <v>0.12515949023066553</v>
      </c>
      <c r="G47" s="342">
        <f>+D47/D$41</f>
        <v>0.13300280108306209</v>
      </c>
      <c r="H47" s="347" t="s">
        <v>174</v>
      </c>
      <c r="I47" s="103"/>
      <c r="N47" s="467"/>
    </row>
    <row r="48" spans="1:14" ht="18" customHeight="1" x14ac:dyDescent="0.2">
      <c r="A48" s="477" t="s">
        <v>118</v>
      </c>
      <c r="B48" s="475">
        <v>103825515</v>
      </c>
      <c r="C48" s="475">
        <v>324066552</v>
      </c>
      <c r="D48" s="476">
        <v>1972994809</v>
      </c>
      <c r="E48" s="342">
        <f>+B48/B$10</f>
        <v>7.461768786840127E-2</v>
      </c>
      <c r="F48" s="342">
        <f>+C48/C$10</f>
        <v>0.16836071120092819</v>
      </c>
      <c r="G48" s="342">
        <f>+D48/D$10</f>
        <v>0.66340556602701983</v>
      </c>
      <c r="H48" s="354" t="s">
        <v>175</v>
      </c>
      <c r="I48" s="103"/>
      <c r="N48" s="467"/>
    </row>
    <row r="49" spans="1:14" ht="18" customHeight="1" x14ac:dyDescent="0.2">
      <c r="A49" s="477" t="s">
        <v>119</v>
      </c>
      <c r="B49" s="475">
        <v>837074255</v>
      </c>
      <c r="C49" s="475">
        <v>928340398</v>
      </c>
      <c r="D49" s="476">
        <v>944376723</v>
      </c>
      <c r="E49" s="342">
        <f t="shared" ref="E49:G51" si="7">+B49/B$41</f>
        <v>2.8090244241374719E-2</v>
      </c>
      <c r="F49" s="342">
        <f t="shared" si="7"/>
        <v>2.8231321065251384E-2</v>
      </c>
      <c r="G49" s="342">
        <f t="shared" si="7"/>
        <v>2.5103152861509149E-2</v>
      </c>
      <c r="H49" s="347" t="s">
        <v>174</v>
      </c>
      <c r="I49" s="103"/>
      <c r="N49" s="467"/>
    </row>
    <row r="50" spans="1:14" ht="18" customHeight="1" x14ac:dyDescent="0.2">
      <c r="A50" s="477" t="s">
        <v>120</v>
      </c>
      <c r="B50" s="475">
        <v>534254580</v>
      </c>
      <c r="C50" s="475">
        <v>542695815</v>
      </c>
      <c r="D50" s="476">
        <v>500123365</v>
      </c>
      <c r="E50" s="342">
        <f t="shared" si="7"/>
        <v>1.7928327803216296E-2</v>
      </c>
      <c r="F50" s="342">
        <f t="shared" si="7"/>
        <v>1.6503665925818374E-2</v>
      </c>
      <c r="G50" s="342">
        <f t="shared" si="7"/>
        <v>1.329413673107584E-2</v>
      </c>
      <c r="H50" s="347" t="s">
        <v>174</v>
      </c>
      <c r="I50" s="103"/>
      <c r="N50" s="467"/>
    </row>
    <row r="51" spans="1:14" ht="18" customHeight="1" x14ac:dyDescent="0.2">
      <c r="A51" s="348" t="s">
        <v>79</v>
      </c>
      <c r="B51" s="475">
        <v>2779996535</v>
      </c>
      <c r="C51" s="475">
        <v>2658058389</v>
      </c>
      <c r="D51" s="476">
        <v>2765372431</v>
      </c>
      <c r="E51" s="342">
        <f t="shared" si="7"/>
        <v>9.3290148624061348E-2</v>
      </c>
      <c r="F51" s="342">
        <f t="shared" si="7"/>
        <v>8.083295734162789E-2</v>
      </c>
      <c r="G51" s="342">
        <f t="shared" si="7"/>
        <v>7.3508341706973818E-2</v>
      </c>
      <c r="H51" s="347" t="s">
        <v>174</v>
      </c>
      <c r="I51" s="103"/>
      <c r="N51" s="467"/>
    </row>
    <row r="52" spans="1:14" ht="18" customHeight="1" x14ac:dyDescent="0.2">
      <c r="A52" s="348" t="s">
        <v>2</v>
      </c>
      <c r="B52" s="475">
        <v>176499899</v>
      </c>
      <c r="C52" s="475">
        <v>125996417</v>
      </c>
      <c r="D52" s="476">
        <v>207758977</v>
      </c>
      <c r="E52" s="350"/>
      <c r="F52" s="359"/>
      <c r="G52" s="342"/>
      <c r="H52" s="347"/>
      <c r="I52" s="103"/>
      <c r="N52" s="467"/>
    </row>
    <row r="53" spans="1:14" ht="18" customHeight="1" x14ac:dyDescent="0.2">
      <c r="A53" s="348" t="s">
        <v>284</v>
      </c>
      <c r="B53" s="475">
        <v>110091834</v>
      </c>
      <c r="C53" s="475">
        <v>199305164</v>
      </c>
      <c r="D53" s="476">
        <v>270399759</v>
      </c>
      <c r="E53" s="360"/>
      <c r="F53" s="360"/>
      <c r="G53" s="360"/>
      <c r="H53" s="347"/>
      <c r="I53" s="103"/>
      <c r="N53" s="467"/>
    </row>
    <row r="54" spans="1:14" ht="18" customHeight="1" x14ac:dyDescent="0.2">
      <c r="A54" s="480" t="s">
        <v>14</v>
      </c>
      <c r="B54" s="478">
        <f>SUM(B47:B53)</f>
        <v>8261365608</v>
      </c>
      <c r="C54" s="478">
        <f t="shared" ref="C54:D54" si="8">SUM(C47:C53)</f>
        <v>8894125998</v>
      </c>
      <c r="D54" s="479">
        <f t="shared" si="8"/>
        <v>11664570843</v>
      </c>
      <c r="E54" s="361"/>
      <c r="F54" s="342"/>
      <c r="G54" s="342"/>
      <c r="H54" s="347"/>
      <c r="I54" s="103"/>
      <c r="N54" s="467"/>
    </row>
    <row r="55" spans="1:14" ht="7.9" customHeight="1" x14ac:dyDescent="0.2">
      <c r="A55" s="348"/>
      <c r="B55" s="475"/>
      <c r="C55" s="475"/>
      <c r="D55" s="476"/>
      <c r="E55" s="103"/>
      <c r="F55" s="103"/>
      <c r="G55" s="103"/>
      <c r="H55" s="347"/>
      <c r="I55" s="103"/>
      <c r="N55" s="467"/>
    </row>
    <row r="56" spans="1:14" x14ac:dyDescent="0.2">
      <c r="A56" s="472" t="s">
        <v>50</v>
      </c>
      <c r="B56" s="478">
        <f>B44-B54</f>
        <v>5110871027</v>
      </c>
      <c r="C56" s="478">
        <f t="shared" ref="C56:D56" si="9">C44-C54</f>
        <v>6726108078</v>
      </c>
      <c r="D56" s="479">
        <f t="shared" si="9"/>
        <v>6175570080</v>
      </c>
      <c r="E56" s="355">
        <f>+B56/B41</f>
        <v>0.17150881726089598</v>
      </c>
      <c r="F56" s="355">
        <f>+C56/C41</f>
        <v>0.20454449367784477</v>
      </c>
      <c r="G56" s="355">
        <f>+D56/D41</f>
        <v>0.16415724355501959</v>
      </c>
      <c r="H56" s="354" t="s">
        <v>59</v>
      </c>
      <c r="I56" s="103"/>
      <c r="N56" s="467"/>
    </row>
    <row r="57" spans="1:14" ht="7.9" customHeight="1" x14ac:dyDescent="0.2">
      <c r="A57" s="348"/>
      <c r="B57" s="495"/>
      <c r="C57" s="490"/>
      <c r="D57" s="494"/>
      <c r="E57" s="103"/>
      <c r="F57" s="103"/>
      <c r="G57" s="103"/>
      <c r="H57" s="347"/>
      <c r="I57" s="103"/>
      <c r="N57" s="467"/>
    </row>
    <row r="58" spans="1:14" ht="18" customHeight="1" x14ac:dyDescent="0.2">
      <c r="A58" s="348" t="s">
        <v>66</v>
      </c>
      <c r="B58" s="475">
        <v>25467277</v>
      </c>
      <c r="C58" s="475">
        <v>133076018</v>
      </c>
      <c r="D58" s="476">
        <v>59268379</v>
      </c>
      <c r="E58" s="360"/>
      <c r="F58" s="360"/>
      <c r="G58" s="360"/>
      <c r="H58" s="347"/>
      <c r="I58" s="103"/>
      <c r="N58" s="467"/>
    </row>
    <row r="59" spans="1:14" ht="18" customHeight="1" x14ac:dyDescent="0.2">
      <c r="A59" s="348" t="s">
        <v>352</v>
      </c>
      <c r="B59" s="475">
        <v>0</v>
      </c>
      <c r="C59" s="475">
        <v>0</v>
      </c>
      <c r="D59" s="476">
        <v>0</v>
      </c>
      <c r="E59" s="342"/>
      <c r="F59" s="342"/>
      <c r="G59" s="342"/>
      <c r="H59" s="347"/>
      <c r="I59" s="103"/>
      <c r="N59" s="467"/>
    </row>
    <row r="60" spans="1:14" ht="18" customHeight="1" x14ac:dyDescent="0.2">
      <c r="A60" s="348" t="s">
        <v>376</v>
      </c>
      <c r="B60" s="475">
        <v>0</v>
      </c>
      <c r="C60" s="475">
        <v>0</v>
      </c>
      <c r="D60" s="476">
        <v>0</v>
      </c>
      <c r="E60" s="342"/>
      <c r="F60" s="342"/>
      <c r="G60" s="342"/>
      <c r="H60" s="347"/>
      <c r="I60" s="103"/>
      <c r="N60" s="467"/>
    </row>
    <row r="61" spans="1:14" ht="18" customHeight="1" x14ac:dyDescent="0.2">
      <c r="A61" s="348" t="s">
        <v>8</v>
      </c>
      <c r="B61" s="475">
        <v>1983088829</v>
      </c>
      <c r="C61" s="475">
        <v>960147055</v>
      </c>
      <c r="D61" s="476">
        <v>1072539349</v>
      </c>
      <c r="E61" s="342"/>
      <c r="F61" s="342"/>
      <c r="G61" s="342"/>
      <c r="H61" s="347"/>
      <c r="I61" s="103"/>
      <c r="N61" s="467"/>
    </row>
    <row r="62" spans="1:14" ht="18" customHeight="1" x14ac:dyDescent="0.2">
      <c r="A62" s="480" t="s">
        <v>67</v>
      </c>
      <c r="B62" s="478">
        <f>B58-B61</f>
        <v>-1957621552</v>
      </c>
      <c r="C62" s="478">
        <f t="shared" ref="C62:D62" si="10">C58-C61</f>
        <v>-827071037</v>
      </c>
      <c r="D62" s="479">
        <f t="shared" si="10"/>
        <v>-1013270970</v>
      </c>
      <c r="E62" s="342"/>
      <c r="F62" s="342"/>
      <c r="G62" s="342"/>
      <c r="H62" s="347"/>
      <c r="I62" s="103"/>
      <c r="N62" s="467"/>
    </row>
    <row r="63" spans="1:14" ht="7.9" customHeight="1" x14ac:dyDescent="0.2">
      <c r="A63" s="348"/>
      <c r="B63" s="475"/>
      <c r="C63" s="475"/>
      <c r="D63" s="476"/>
      <c r="E63" s="103"/>
      <c r="F63" s="103"/>
      <c r="G63" s="103"/>
      <c r="H63" s="347"/>
      <c r="I63" s="103"/>
      <c r="N63" s="467"/>
    </row>
    <row r="64" spans="1:14" x14ac:dyDescent="0.2">
      <c r="A64" s="472" t="s">
        <v>51</v>
      </c>
      <c r="B64" s="478">
        <f>B56+B62</f>
        <v>3153249475</v>
      </c>
      <c r="C64" s="478">
        <f t="shared" ref="C64:D64" si="11">C56+C62</f>
        <v>5899037041</v>
      </c>
      <c r="D64" s="479">
        <f t="shared" si="11"/>
        <v>5162299110</v>
      </c>
      <c r="E64" s="342"/>
      <c r="F64" s="342"/>
      <c r="G64" s="342"/>
      <c r="H64" s="347"/>
      <c r="I64" s="103"/>
      <c r="N64" s="467"/>
    </row>
    <row r="65" spans="1:14" ht="18" customHeight="1" x14ac:dyDescent="0.2">
      <c r="A65" s="348" t="s">
        <v>1</v>
      </c>
      <c r="B65" s="475">
        <v>1782071377</v>
      </c>
      <c r="C65" s="475">
        <v>1887691853</v>
      </c>
      <c r="D65" s="476">
        <v>1600312724</v>
      </c>
      <c r="E65" s="342">
        <f>B65/B64</f>
        <v>0.5651539439327109</v>
      </c>
      <c r="F65" s="342">
        <f>C65/C64</f>
        <v>0.31999999997965772</v>
      </c>
      <c r="G65" s="342">
        <f>D65/D64</f>
        <v>0.30999999998062877</v>
      </c>
      <c r="H65" s="347" t="s">
        <v>86</v>
      </c>
      <c r="I65" s="103"/>
      <c r="N65" s="467"/>
    </row>
    <row r="66" spans="1:14" ht="13.5" thickBot="1" x14ac:dyDescent="0.25">
      <c r="A66" s="488" t="s">
        <v>15</v>
      </c>
      <c r="B66" s="483">
        <f>B64-B65</f>
        <v>1371178098</v>
      </c>
      <c r="C66" s="483">
        <f>C64-C65</f>
        <v>4011345188</v>
      </c>
      <c r="D66" s="484">
        <f>D64-D65</f>
        <v>3561986386</v>
      </c>
      <c r="E66" s="355">
        <f>B66/B41</f>
        <v>4.6013513665216763E-2</v>
      </c>
      <c r="F66" s="355">
        <f>C66/C41</f>
        <v>0.12198712255758062</v>
      </c>
      <c r="G66" s="355">
        <f>D66/D41</f>
        <v>9.4683706788453462E-2</v>
      </c>
      <c r="H66" s="347" t="s">
        <v>60</v>
      </c>
      <c r="I66" s="103"/>
      <c r="N66" s="467"/>
    </row>
    <row r="67" spans="1:14" x14ac:dyDescent="0.2">
      <c r="A67" s="345"/>
      <c r="B67" s="153"/>
      <c r="C67" s="153"/>
      <c r="D67" s="153"/>
      <c r="E67" s="103"/>
      <c r="F67" s="103"/>
      <c r="G67" s="103"/>
      <c r="H67" s="347"/>
      <c r="I67" s="103"/>
      <c r="N67" s="467"/>
    </row>
    <row r="68" spans="1:14" x14ac:dyDescent="0.2">
      <c r="A68" s="345"/>
      <c r="B68" s="153"/>
      <c r="C68" s="153"/>
      <c r="D68" s="153"/>
      <c r="E68" s="103"/>
      <c r="F68" s="103"/>
      <c r="G68" s="103"/>
      <c r="H68" s="347"/>
      <c r="I68" s="103"/>
      <c r="N68" s="467"/>
    </row>
  </sheetData>
  <mergeCells count="7">
    <mergeCell ref="H4:I5"/>
    <mergeCell ref="B1:D1"/>
    <mergeCell ref="B16:D16"/>
    <mergeCell ref="B39:D39"/>
    <mergeCell ref="G4:G5"/>
    <mergeCell ref="F4:F5"/>
    <mergeCell ref="E4:E5"/>
  </mergeCells>
  <pageMargins left="0.59055118110236227" right="0.39370078740157483" top="0.70866141732283472" bottom="0.43307086614173229" header="0" footer="0"/>
  <pageSetup scale="1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75B9-FA60-4DE5-8ACB-3C0E3710C012}">
  <sheetPr>
    <tabColor rgb="FF92D050"/>
    <pageSetUpPr autoPageBreaks="0"/>
  </sheetPr>
  <dimension ref="A1:O132"/>
  <sheetViews>
    <sheetView showGridLines="0" tabSelected="1" topLeftCell="A105" zoomScale="85" zoomScaleNormal="85" zoomScalePageLayoutView="115" workbookViewId="0">
      <pane xSplit="1" topLeftCell="B1" activePane="topRight" state="frozen"/>
      <selection pane="topRight" activeCell="G79" sqref="G79"/>
    </sheetView>
  </sheetViews>
  <sheetFormatPr baseColWidth="10" defaultColWidth="11.42578125" defaultRowHeight="12.75" x14ac:dyDescent="0.2"/>
  <cols>
    <col min="1" max="1" width="57.5703125" style="634" bestFit="1" customWidth="1"/>
    <col min="2" max="2" width="22.5703125" style="634" customWidth="1"/>
    <col min="3" max="3" width="18.7109375" style="634" bestFit="1" customWidth="1"/>
    <col min="4" max="4" width="14.85546875" style="634" customWidth="1"/>
    <col min="5" max="5" width="14.28515625" style="634" customWidth="1"/>
    <col min="6" max="6" width="9.42578125" style="641" bestFit="1" customWidth="1"/>
    <col min="7" max="9" width="9.42578125" style="634" bestFit="1" customWidth="1"/>
    <col min="10" max="11" width="13.42578125" style="634" bestFit="1" customWidth="1"/>
    <col min="12" max="12" width="12.7109375" style="634" bestFit="1" customWidth="1"/>
    <col min="13" max="13" width="11.28515625" style="641" customWidth="1"/>
    <col min="14" max="14" width="15.140625" style="665" customWidth="1"/>
    <col min="15" max="15" width="13.85546875" style="665" customWidth="1"/>
    <col min="16" max="25" width="11.42578125" style="634"/>
    <col min="26" max="26" width="38" style="634" bestFit="1" customWidth="1"/>
    <col min="27" max="16384" width="11.42578125" style="634"/>
  </cols>
  <sheetData>
    <row r="1" spans="1:15" x14ac:dyDescent="0.2">
      <c r="A1" s="633" t="s">
        <v>216</v>
      </c>
      <c r="B1" s="633" t="s">
        <v>553</v>
      </c>
      <c r="C1" s="633"/>
      <c r="D1" s="634" t="s">
        <v>554</v>
      </c>
      <c r="E1" s="633"/>
      <c r="F1" s="711" t="s">
        <v>555</v>
      </c>
      <c r="G1" s="711"/>
      <c r="H1" s="711"/>
      <c r="I1" s="711"/>
      <c r="J1" s="712" t="s">
        <v>556</v>
      </c>
      <c r="K1" s="713"/>
      <c r="L1" s="713"/>
      <c r="M1" s="712" t="s">
        <v>557</v>
      </c>
      <c r="N1" s="713"/>
      <c r="O1" s="713"/>
    </row>
    <row r="2" spans="1:15" ht="13.5" thickBot="1" x14ac:dyDescent="0.25">
      <c r="A2" s="635"/>
      <c r="B2" s="636">
        <v>2018</v>
      </c>
      <c r="C2" s="636">
        <v>2019</v>
      </c>
      <c r="D2" s="636">
        <v>2020</v>
      </c>
      <c r="E2" s="636">
        <v>2021</v>
      </c>
      <c r="F2" s="637">
        <v>2018</v>
      </c>
      <c r="G2" s="636">
        <v>2019</v>
      </c>
      <c r="H2" s="636">
        <v>2020</v>
      </c>
      <c r="I2" s="636">
        <v>2021</v>
      </c>
      <c r="J2" s="636">
        <v>2019</v>
      </c>
      <c r="K2" s="636">
        <v>2020</v>
      </c>
      <c r="L2" s="636">
        <v>2021</v>
      </c>
      <c r="M2" s="636">
        <v>2019</v>
      </c>
      <c r="N2" s="636">
        <v>2020</v>
      </c>
      <c r="O2" s="636">
        <v>2021</v>
      </c>
    </row>
    <row r="3" spans="1:15" x14ac:dyDescent="0.2">
      <c r="A3" s="638" t="s">
        <v>558</v>
      </c>
      <c r="B3" s="639">
        <v>260164855</v>
      </c>
      <c r="C3" s="639">
        <v>24854083</v>
      </c>
      <c r="D3" s="640">
        <v>181874202</v>
      </c>
      <c r="E3" s="640">
        <v>12647152</v>
      </c>
      <c r="F3" s="641">
        <f>B3/$B$18</f>
        <v>1.8659749972234439E-2</v>
      </c>
      <c r="G3" s="641">
        <f>C3/$C$18</f>
        <v>1.5263776445586668E-3</v>
      </c>
      <c r="H3" s="641">
        <f>D3/$D$18</f>
        <v>9.8696980611407623E-3</v>
      </c>
      <c r="I3" s="641">
        <f>E3/$E$18</f>
        <v>5.2190425321372593E-4</v>
      </c>
      <c r="J3" s="639">
        <f>C3-B3</f>
        <v>-235310772</v>
      </c>
      <c r="K3" s="639">
        <f t="shared" ref="J3:L4" si="0">D3-C3</f>
        <v>157020119</v>
      </c>
      <c r="L3" s="639">
        <f t="shared" si="0"/>
        <v>-169227050</v>
      </c>
      <c r="M3" s="641">
        <f>J3/B3</f>
        <v>-0.90446794591068036</v>
      </c>
      <c r="N3" s="641">
        <f t="shared" ref="M3:O4" si="1">K3/C3</f>
        <v>6.3176790308457571</v>
      </c>
      <c r="O3" s="641">
        <f t="shared" si="1"/>
        <v>-0.93046208939517439</v>
      </c>
    </row>
    <row r="4" spans="1:15" x14ac:dyDescent="0.2">
      <c r="A4" s="638" t="s">
        <v>559</v>
      </c>
      <c r="B4" s="639">
        <v>3132943</v>
      </c>
      <c r="C4" s="639">
        <v>3557611</v>
      </c>
      <c r="D4" s="640">
        <v>2139918988</v>
      </c>
      <c r="E4" s="640">
        <v>3776260528</v>
      </c>
      <c r="F4" s="641">
        <f>B4/$B$18</f>
        <v>2.2470342144123226E-4</v>
      </c>
      <c r="G4" s="641">
        <f>C4/$C$18</f>
        <v>2.1848554615497195E-4</v>
      </c>
      <c r="H4" s="641">
        <f>D4/$D$18</f>
        <v>0.11612616882773677</v>
      </c>
      <c r="I4" s="641">
        <f>E4/$E$18</f>
        <v>0.15583322085528112</v>
      </c>
      <c r="J4" s="639">
        <f t="shared" si="0"/>
        <v>424668</v>
      </c>
      <c r="K4" s="639">
        <f t="shared" si="0"/>
        <v>2136361377</v>
      </c>
      <c r="L4" s="639">
        <f t="shared" si="0"/>
        <v>1636341540</v>
      </c>
      <c r="M4" s="641">
        <f t="shared" si="1"/>
        <v>0.13554922639830982</v>
      </c>
      <c r="N4" s="641">
        <f>K4/C4</f>
        <v>600.50448938908721</v>
      </c>
      <c r="O4" s="641">
        <f t="shared" si="1"/>
        <v>0.76467452701531891</v>
      </c>
    </row>
    <row r="5" spans="1:15" x14ac:dyDescent="0.2">
      <c r="A5" s="638" t="s">
        <v>560</v>
      </c>
      <c r="B5" s="639">
        <f>SUM(B6:B13)</f>
        <v>12588315312</v>
      </c>
      <c r="C5" s="639">
        <f t="shared" ref="C5:E5" si="2">SUM(C6:C13)</f>
        <v>15558266089</v>
      </c>
      <c r="D5" s="639">
        <f t="shared" si="2"/>
        <v>15001964138</v>
      </c>
      <c r="E5" s="639">
        <f t="shared" si="2"/>
        <v>18480682945</v>
      </c>
      <c r="G5" s="641"/>
      <c r="H5" s="641"/>
      <c r="I5" s="641"/>
      <c r="J5" s="639"/>
      <c r="K5" s="639"/>
      <c r="L5" s="639"/>
      <c r="N5" s="641"/>
      <c r="O5" s="641"/>
    </row>
    <row r="6" spans="1:15" x14ac:dyDescent="0.2">
      <c r="A6" s="642" t="s">
        <v>561</v>
      </c>
      <c r="B6" s="640">
        <v>11851282210</v>
      </c>
      <c r="C6" s="640">
        <v>14829052077</v>
      </c>
      <c r="D6" s="640">
        <v>13420176909</v>
      </c>
      <c r="E6" s="640">
        <v>17968801981</v>
      </c>
      <c r="F6" s="641">
        <f>B6/$B$18</f>
        <v>0.85000705759811412</v>
      </c>
      <c r="G6" s="641">
        <f>C6/$C$18</f>
        <v>0.91070483591485019</v>
      </c>
      <c r="H6" s="641">
        <f>D6/$D$18</f>
        <v>0.72826762983638171</v>
      </c>
      <c r="I6" s="641">
        <f>E6/$E$18</f>
        <v>0.74151035577330959</v>
      </c>
      <c r="J6" s="639">
        <f>C6-B6</f>
        <v>2977769867</v>
      </c>
      <c r="K6" s="639">
        <f t="shared" ref="K6:L14" si="3">D6-C6</f>
        <v>-1408875168</v>
      </c>
      <c r="L6" s="639">
        <f t="shared" si="3"/>
        <v>4548625072</v>
      </c>
      <c r="M6" s="641">
        <f t="shared" ref="M6:O14" si="4">J6/B6</f>
        <v>0.25126140903871025</v>
      </c>
      <c r="N6" s="641">
        <f t="shared" si="4"/>
        <v>-9.5007769929217445E-2</v>
      </c>
      <c r="O6" s="641">
        <f t="shared" si="4"/>
        <v>0.33893927798742701</v>
      </c>
    </row>
    <row r="7" spans="1:15" x14ac:dyDescent="0.2">
      <c r="A7" s="642" t="s">
        <v>562</v>
      </c>
      <c r="B7" s="640">
        <v>0</v>
      </c>
      <c r="C7" s="640">
        <v>0</v>
      </c>
      <c r="D7" s="640">
        <v>0</v>
      </c>
      <c r="E7" s="640">
        <v>64630929</v>
      </c>
      <c r="F7" s="641">
        <f t="shared" ref="F7:F14" si="5">B7/$B$18</f>
        <v>0</v>
      </c>
      <c r="G7" s="641">
        <f t="shared" ref="G7:G14" si="6">C7/$C$18</f>
        <v>0</v>
      </c>
      <c r="H7" s="641">
        <f t="shared" ref="H7:H14" si="7">D7/$D$18</f>
        <v>0</v>
      </c>
      <c r="I7" s="641">
        <f t="shared" ref="I7:I14" si="8">E7/$E$18</f>
        <v>2.66709506885458E-3</v>
      </c>
      <c r="J7" s="639">
        <f t="shared" ref="J7:J14" si="9">C7-B7</f>
        <v>0</v>
      </c>
      <c r="K7" s="639">
        <f t="shared" si="3"/>
        <v>0</v>
      </c>
      <c r="L7" s="639">
        <f t="shared" si="3"/>
        <v>64630929</v>
      </c>
      <c r="M7" s="641">
        <f>IFERROR(J7/B7,0)</f>
        <v>0</v>
      </c>
      <c r="N7" s="641">
        <f>IFERROR(K7/C7,0)</f>
        <v>0</v>
      </c>
      <c r="O7" s="641">
        <f>IFERROR(L7/D7,0)</f>
        <v>0</v>
      </c>
    </row>
    <row r="8" spans="1:15" x14ac:dyDescent="0.2">
      <c r="A8" s="642" t="s">
        <v>563</v>
      </c>
      <c r="B8" s="640">
        <v>2052627</v>
      </c>
      <c r="C8" s="640">
        <v>12871642</v>
      </c>
      <c r="D8" s="640">
        <v>423734582</v>
      </c>
      <c r="E8" s="640">
        <v>46395931</v>
      </c>
      <c r="F8" s="641">
        <f t="shared" si="5"/>
        <v>1.4722014088435449E-4</v>
      </c>
      <c r="G8" s="641">
        <f t="shared" si="6"/>
        <v>7.904933204561362E-4</v>
      </c>
      <c r="H8" s="641">
        <f t="shared" si="7"/>
        <v>2.2994643200709087E-2</v>
      </c>
      <c r="I8" s="641">
        <f t="shared" si="8"/>
        <v>1.9145997233772913E-3</v>
      </c>
      <c r="J8" s="639">
        <f t="shared" si="9"/>
        <v>10819015</v>
      </c>
      <c r="K8" s="639">
        <f t="shared" si="3"/>
        <v>410862940</v>
      </c>
      <c r="L8" s="639">
        <f t="shared" si="3"/>
        <v>-377338651</v>
      </c>
      <c r="M8" s="641">
        <f t="shared" si="4"/>
        <v>5.2708139374567322</v>
      </c>
      <c r="N8" s="641">
        <f t="shared" si="4"/>
        <v>31.920009894619504</v>
      </c>
      <c r="O8" s="641">
        <f t="shared" si="4"/>
        <v>-0.89050709342387357</v>
      </c>
    </row>
    <row r="9" spans="1:15" x14ac:dyDescent="0.2">
      <c r="A9" s="642" t="s">
        <v>564</v>
      </c>
      <c r="B9" s="640">
        <v>0</v>
      </c>
      <c r="C9" s="640">
        <v>19443187</v>
      </c>
      <c r="D9" s="640">
        <v>1611432</v>
      </c>
      <c r="E9" s="640">
        <v>64173125</v>
      </c>
      <c r="F9" s="641">
        <f t="shared" si="5"/>
        <v>0</v>
      </c>
      <c r="G9" s="641">
        <f t="shared" si="6"/>
        <v>1.1940752743029664E-3</v>
      </c>
      <c r="H9" s="641">
        <f t="shared" si="7"/>
        <v>8.7446966700973789E-5</v>
      </c>
      <c r="I9" s="641">
        <f t="shared" si="8"/>
        <v>2.6482030799911383E-3</v>
      </c>
      <c r="J9" s="639">
        <f t="shared" si="9"/>
        <v>19443187</v>
      </c>
      <c r="K9" s="639">
        <f t="shared" si="3"/>
        <v>-17831755</v>
      </c>
      <c r="L9" s="639">
        <f t="shared" si="3"/>
        <v>62561693</v>
      </c>
      <c r="M9" s="641">
        <f>IFERROR(J9/B9,0)</f>
        <v>0</v>
      </c>
      <c r="N9" s="641">
        <f t="shared" si="4"/>
        <v>-0.91712099461883489</v>
      </c>
      <c r="O9" s="641">
        <f t="shared" si="4"/>
        <v>38.823663052489962</v>
      </c>
    </row>
    <row r="10" spans="1:15" x14ac:dyDescent="0.2">
      <c r="A10" s="642" t="s">
        <v>565</v>
      </c>
      <c r="B10" s="640">
        <v>791253854</v>
      </c>
      <c r="C10" s="640">
        <v>809461251</v>
      </c>
      <c r="D10" s="640">
        <v>1291585439</v>
      </c>
      <c r="E10" s="640">
        <v>467569894</v>
      </c>
      <c r="F10" s="641">
        <f t="shared" si="5"/>
        <v>5.6750936171631995E-2</v>
      </c>
      <c r="G10" s="641">
        <f t="shared" si="6"/>
        <v>4.9711894728238087E-2</v>
      </c>
      <c r="H10" s="641">
        <f t="shared" si="7"/>
        <v>7.0089975174686625E-2</v>
      </c>
      <c r="I10" s="641">
        <f t="shared" si="8"/>
        <v>1.9294993556912339E-2</v>
      </c>
      <c r="J10" s="639">
        <f t="shared" si="9"/>
        <v>18207397</v>
      </c>
      <c r="K10" s="639">
        <f t="shared" si="3"/>
        <v>482124188</v>
      </c>
      <c r="L10" s="639">
        <f t="shared" si="3"/>
        <v>-824015545</v>
      </c>
      <c r="M10" s="641">
        <f t="shared" si="4"/>
        <v>2.3010816197553713E-2</v>
      </c>
      <c r="N10" s="641">
        <f t="shared" si="4"/>
        <v>0.59561120115927579</v>
      </c>
      <c r="O10" s="641">
        <f t="shared" si="4"/>
        <v>-0.6379876391591931</v>
      </c>
    </row>
    <row r="11" spans="1:15" x14ac:dyDescent="0.2">
      <c r="A11" s="642" t="s">
        <v>566</v>
      </c>
      <c r="B11" s="640">
        <v>116215187</v>
      </c>
      <c r="C11" s="640">
        <v>17714764</v>
      </c>
      <c r="D11" s="640">
        <v>28979529</v>
      </c>
      <c r="E11" s="640">
        <v>30199878</v>
      </c>
      <c r="F11" s="641">
        <f t="shared" si="5"/>
        <v>8.3352777699219598E-3</v>
      </c>
      <c r="G11" s="641">
        <f t="shared" si="6"/>
        <v>1.0879266697641859E-3</v>
      </c>
      <c r="H11" s="641">
        <f t="shared" si="7"/>
        <v>1.572621064663544E-3</v>
      </c>
      <c r="I11" s="641">
        <f t="shared" si="8"/>
        <v>1.2462445912515031E-3</v>
      </c>
      <c r="J11" s="639">
        <f t="shared" si="9"/>
        <v>-98500423</v>
      </c>
      <c r="K11" s="639">
        <f t="shared" si="3"/>
        <v>11264765</v>
      </c>
      <c r="L11" s="639">
        <f t="shared" si="3"/>
        <v>1220349</v>
      </c>
      <c r="M11" s="641">
        <f t="shared" si="4"/>
        <v>-0.84756928541533905</v>
      </c>
      <c r="N11" s="641">
        <f t="shared" si="4"/>
        <v>0.63589698400723826</v>
      </c>
      <c r="O11" s="641">
        <f t="shared" si="4"/>
        <v>4.2110725816144216E-2</v>
      </c>
    </row>
    <row r="12" spans="1:15" x14ac:dyDescent="0.2">
      <c r="A12" s="642" t="s">
        <v>567</v>
      </c>
      <c r="B12" s="640">
        <v>43953414</v>
      </c>
      <c r="C12" s="640">
        <v>86165148</v>
      </c>
      <c r="D12" s="640">
        <v>52318227</v>
      </c>
      <c r="E12" s="640">
        <v>55353187</v>
      </c>
      <c r="F12" s="641">
        <f t="shared" si="5"/>
        <v>3.1524616023409805E-3</v>
      </c>
      <c r="G12" s="641">
        <f t="shared" si="6"/>
        <v>5.2917082335038846E-3</v>
      </c>
      <c r="H12" s="641">
        <f t="shared" si="7"/>
        <v>2.8391333015125599E-3</v>
      </c>
      <c r="I12" s="641">
        <f t="shared" si="8"/>
        <v>2.2842347213218217E-3</v>
      </c>
      <c r="J12" s="639">
        <f t="shared" si="9"/>
        <v>42211734</v>
      </c>
      <c r="K12" s="639">
        <f t="shared" si="3"/>
        <v>-33846921</v>
      </c>
      <c r="L12" s="639">
        <f t="shared" si="3"/>
        <v>3034960</v>
      </c>
      <c r="M12" s="641">
        <f t="shared" si="4"/>
        <v>0.96037440914146055</v>
      </c>
      <c r="N12" s="641">
        <f t="shared" si="4"/>
        <v>-0.39281451707133375</v>
      </c>
      <c r="O12" s="641">
        <f t="shared" si="4"/>
        <v>5.800961106728636E-2</v>
      </c>
    </row>
    <row r="13" spans="1:15" x14ac:dyDescent="0.2">
      <c r="A13" s="642" t="s">
        <v>568</v>
      </c>
      <c r="B13" s="640">
        <v>-216441980</v>
      </c>
      <c r="C13" s="640">
        <v>-216441980</v>
      </c>
      <c r="D13" s="640">
        <v>-216441980</v>
      </c>
      <c r="E13" s="640">
        <v>-216441980</v>
      </c>
      <c r="F13" s="641">
        <f t="shared" si="5"/>
        <v>-1.5523823270807915E-2</v>
      </c>
      <c r="G13" s="641">
        <f t="shared" si="6"/>
        <v>-1.3292471889468386E-2</v>
      </c>
      <c r="H13" s="641">
        <f t="shared" si="7"/>
        <v>-1.1745574506248376E-2</v>
      </c>
      <c r="I13" s="641">
        <f t="shared" si="8"/>
        <v>-8.9318124694002417E-3</v>
      </c>
      <c r="J13" s="639">
        <f t="shared" si="9"/>
        <v>0</v>
      </c>
      <c r="K13" s="639">
        <f t="shared" si="3"/>
        <v>0</v>
      </c>
      <c r="L13" s="639">
        <f t="shared" si="3"/>
        <v>0</v>
      </c>
      <c r="M13" s="641">
        <f t="shared" si="4"/>
        <v>0</v>
      </c>
      <c r="N13" s="641">
        <f t="shared" si="4"/>
        <v>0</v>
      </c>
      <c r="O13" s="641">
        <f t="shared" si="4"/>
        <v>0</v>
      </c>
    </row>
    <row r="14" spans="1:15" x14ac:dyDescent="0.2">
      <c r="A14" s="638" t="s">
        <v>569</v>
      </c>
      <c r="B14" s="639">
        <v>103253155</v>
      </c>
      <c r="C14" s="639">
        <v>0</v>
      </c>
      <c r="D14" s="640">
        <v>0</v>
      </c>
      <c r="E14" s="640">
        <v>0</v>
      </c>
      <c r="F14" s="641">
        <f t="shared" si="5"/>
        <v>7.4056046353546418E-3</v>
      </c>
      <c r="G14" s="641">
        <f t="shared" si="6"/>
        <v>0</v>
      </c>
      <c r="H14" s="641">
        <f t="shared" si="7"/>
        <v>0</v>
      </c>
      <c r="I14" s="641">
        <f t="shared" si="8"/>
        <v>0</v>
      </c>
      <c r="J14" s="639">
        <f t="shared" si="9"/>
        <v>-103253155</v>
      </c>
      <c r="K14" s="639">
        <f t="shared" si="3"/>
        <v>0</v>
      </c>
      <c r="L14" s="639">
        <f t="shared" si="3"/>
        <v>0</v>
      </c>
      <c r="M14" s="641">
        <f t="shared" si="4"/>
        <v>-1</v>
      </c>
      <c r="N14" s="641">
        <f>IFERROR(K14/C14,0)</f>
        <v>0</v>
      </c>
      <c r="O14" s="641">
        <f>IFERROR(L14/D14,0)</f>
        <v>0</v>
      </c>
    </row>
    <row r="15" spans="1:15" s="633" customFormat="1" x14ac:dyDescent="0.2">
      <c r="A15" s="643" t="s">
        <v>570</v>
      </c>
      <c r="B15" s="644">
        <f>SUM(B3:B14)-B5</f>
        <v>12954866265</v>
      </c>
      <c r="C15" s="644">
        <f>SUM(C3:C14)-C5</f>
        <v>15586677783</v>
      </c>
      <c r="D15" s="644">
        <f>SUM(D3:D14)-D5</f>
        <v>17323757328</v>
      </c>
      <c r="E15" s="644">
        <f>SUM(E3:E14)-E5</f>
        <v>22269590625</v>
      </c>
      <c r="F15" s="645">
        <f>SUM(F3:F14)</f>
        <v>0.92915918804111575</v>
      </c>
      <c r="G15" s="645">
        <f>SUM(G3:G14)</f>
        <v>0.95723332544236073</v>
      </c>
      <c r="H15" s="645">
        <f>SUM(H3:H14)</f>
        <v>0.94010174192728357</v>
      </c>
      <c r="I15" s="645">
        <f>SUM(I3:I14)</f>
        <v>0.91898903915411279</v>
      </c>
      <c r="J15" s="646"/>
      <c r="K15" s="646"/>
      <c r="L15" s="646"/>
      <c r="M15" s="646"/>
      <c r="N15" s="646"/>
      <c r="O15" s="646"/>
    </row>
    <row r="16" spans="1:15" x14ac:dyDescent="0.2">
      <c r="A16" s="638" t="s">
        <v>571</v>
      </c>
      <c r="B16" s="639">
        <v>987702922</v>
      </c>
      <c r="C16" s="639">
        <v>696371886</v>
      </c>
      <c r="D16" s="640">
        <v>1103777220</v>
      </c>
      <c r="E16" s="640">
        <v>1963114746</v>
      </c>
      <c r="F16" s="641">
        <f>B16/$B$18</f>
        <v>7.0840811958884198E-2</v>
      </c>
      <c r="G16" s="641">
        <f>C16/$C$18</f>
        <v>4.2766674557639342E-2</v>
      </c>
      <c r="H16" s="641">
        <f>D16/$D$18</f>
        <v>5.9898258072716329E-2</v>
      </c>
      <c r="I16" s="641">
        <f>E16/$E$18</f>
        <v>8.1010960845887145E-2</v>
      </c>
      <c r="J16" s="639">
        <f t="shared" ref="J16:L16" si="10">C16-B16</f>
        <v>-291331036</v>
      </c>
      <c r="K16" s="639">
        <f t="shared" si="10"/>
        <v>407405334</v>
      </c>
      <c r="L16" s="639">
        <f t="shared" si="10"/>
        <v>859337526</v>
      </c>
      <c r="M16" s="641">
        <f t="shared" ref="M16:O16" si="11">J16/B16</f>
        <v>-0.29495815949403459</v>
      </c>
      <c r="N16" s="641">
        <f t="shared" si="11"/>
        <v>0.58503989346864582</v>
      </c>
      <c r="O16" s="641">
        <f t="shared" si="11"/>
        <v>0.77854254502552611</v>
      </c>
    </row>
    <row r="17" spans="1:15" x14ac:dyDescent="0.2">
      <c r="A17" s="643" t="s">
        <v>572</v>
      </c>
      <c r="B17" s="644">
        <f t="shared" ref="B17:I17" si="12">SUM(B16:B16)</f>
        <v>987702922</v>
      </c>
      <c r="C17" s="644">
        <f t="shared" si="12"/>
        <v>696371886</v>
      </c>
      <c r="D17" s="647">
        <f t="shared" si="12"/>
        <v>1103777220</v>
      </c>
      <c r="E17" s="647">
        <f t="shared" si="12"/>
        <v>1963114746</v>
      </c>
      <c r="F17" s="645">
        <f>SUM(F16:F16)</f>
        <v>7.0840811958884198E-2</v>
      </c>
      <c r="G17" s="645">
        <f t="shared" si="12"/>
        <v>4.2766674557639342E-2</v>
      </c>
      <c r="H17" s="645">
        <f t="shared" si="12"/>
        <v>5.9898258072716329E-2</v>
      </c>
      <c r="I17" s="645">
        <f t="shared" si="12"/>
        <v>8.1010960845887145E-2</v>
      </c>
      <c r="J17" s="639"/>
      <c r="K17" s="639"/>
      <c r="L17" s="639"/>
      <c r="N17" s="641"/>
      <c r="O17" s="641"/>
    </row>
    <row r="18" spans="1:15" s="633" customFormat="1" ht="13.5" thickBot="1" x14ac:dyDescent="0.25">
      <c r="A18" s="648" t="s">
        <v>23</v>
      </c>
      <c r="B18" s="649">
        <f>+B17+B15</f>
        <v>13942569187</v>
      </c>
      <c r="C18" s="649">
        <f>+C17+C15</f>
        <v>16283049669</v>
      </c>
      <c r="D18" s="649">
        <f>+D17+D15</f>
        <v>18427534548</v>
      </c>
      <c r="E18" s="649">
        <f>+E17+E15</f>
        <v>24232705371</v>
      </c>
      <c r="F18" s="650">
        <f>SUM(F3:F16)-F15</f>
        <v>0.99999999999999989</v>
      </c>
      <c r="G18" s="650">
        <f>SUM(G3:G16)-G15</f>
        <v>1</v>
      </c>
      <c r="H18" s="650">
        <f>SUM(H3:H16)-H15</f>
        <v>0.99999999999999989</v>
      </c>
      <c r="I18" s="650">
        <f>SUM(I3:I16)-I15</f>
        <v>0.99999999999999989</v>
      </c>
      <c r="J18" s="639"/>
      <c r="K18" s="639"/>
      <c r="L18" s="639"/>
      <c r="M18" s="641"/>
      <c r="N18" s="641"/>
      <c r="O18" s="641"/>
    </row>
    <row r="19" spans="1:15" ht="13.5" thickTop="1" x14ac:dyDescent="0.2">
      <c r="A19" s="638" t="s">
        <v>573</v>
      </c>
      <c r="B19" s="639">
        <v>1198923194</v>
      </c>
      <c r="C19" s="639">
        <v>1270296297</v>
      </c>
      <c r="D19" s="640">
        <v>2809701809</v>
      </c>
      <c r="E19" s="640">
        <v>6527657956</v>
      </c>
      <c r="F19" s="641">
        <f t="shared" ref="F19:F27" si="13">B19/$B$18</f>
        <v>8.5990119749082661E-2</v>
      </c>
      <c r="G19" s="641">
        <f t="shared" ref="G19:G27" si="14">C19/$C$18</f>
        <v>7.801341412219702E-2</v>
      </c>
      <c r="H19" s="641">
        <f t="shared" ref="H19:H27" si="15">D19/$D$18</f>
        <v>0.15247301811760522</v>
      </c>
      <c r="I19" s="641">
        <f t="shared" ref="I19:I27" si="16">E19/$E$18</f>
        <v>0.26937388360326631</v>
      </c>
      <c r="J19" s="639">
        <f t="shared" ref="J19:L27" si="17">C19-B19</f>
        <v>71373103</v>
      </c>
      <c r="K19" s="639">
        <f t="shared" si="17"/>
        <v>1539405512</v>
      </c>
      <c r="L19" s="639">
        <f t="shared" si="17"/>
        <v>3717956147</v>
      </c>
      <c r="M19" s="641">
        <f t="shared" ref="M19:O27" si="18">J19/B19</f>
        <v>5.9531005286398687E-2</v>
      </c>
      <c r="N19" s="641">
        <f t="shared" si="18"/>
        <v>1.2118475946403551</v>
      </c>
      <c r="O19" s="641">
        <f t="shared" si="18"/>
        <v>1.3232564876068669</v>
      </c>
    </row>
    <row r="20" spans="1:15" x14ac:dyDescent="0.2">
      <c r="A20" s="638" t="s">
        <v>574</v>
      </c>
      <c r="B20" s="640">
        <v>2609047214</v>
      </c>
      <c r="C20" s="640">
        <v>2988373983</v>
      </c>
      <c r="D20" s="640">
        <v>1676159901</v>
      </c>
      <c r="E20" s="640">
        <v>1922094875</v>
      </c>
      <c r="F20" s="641">
        <f t="shared" si="13"/>
        <v>0.18712815256693624</v>
      </c>
      <c r="G20" s="641">
        <f t="shared" si="14"/>
        <v>0.18352667612930806</v>
      </c>
      <c r="H20" s="641">
        <f t="shared" si="15"/>
        <v>9.0959531055765624E-2</v>
      </c>
      <c r="I20" s="641">
        <f t="shared" si="16"/>
        <v>7.9318212538507071E-2</v>
      </c>
      <c r="J20" s="639">
        <f t="shared" si="17"/>
        <v>379326769</v>
      </c>
      <c r="K20" s="639">
        <f t="shared" si="17"/>
        <v>-1312214082</v>
      </c>
      <c r="L20" s="639">
        <f t="shared" si="17"/>
        <v>245934974</v>
      </c>
      <c r="M20" s="641">
        <f t="shared" si="18"/>
        <v>0.14538900138125288</v>
      </c>
      <c r="N20" s="641">
        <f t="shared" si="18"/>
        <v>-0.43910638007987235</v>
      </c>
      <c r="O20" s="641">
        <f t="shared" si="18"/>
        <v>0.14672524611361645</v>
      </c>
    </row>
    <row r="21" spans="1:15" x14ac:dyDescent="0.2">
      <c r="A21" s="638" t="s">
        <v>178</v>
      </c>
      <c r="B21" s="639">
        <v>2486897905</v>
      </c>
      <c r="C21" s="639">
        <v>1269123553</v>
      </c>
      <c r="D21" s="640">
        <v>1225217587</v>
      </c>
      <c r="E21" s="640">
        <v>1374171292</v>
      </c>
      <c r="F21" s="641">
        <f t="shared" si="13"/>
        <v>0.1783672629947409</v>
      </c>
      <c r="G21" s="641">
        <f t="shared" si="14"/>
        <v>7.7941391741633212E-2</v>
      </c>
      <c r="H21" s="641">
        <f t="shared" si="15"/>
        <v>6.6488416223481006E-2</v>
      </c>
      <c r="I21" s="641">
        <f t="shared" si="16"/>
        <v>5.6707299946976278E-2</v>
      </c>
      <c r="J21" s="639">
        <f>C21-B21</f>
        <v>-1217774352</v>
      </c>
      <c r="K21" s="639">
        <f t="shared" si="17"/>
        <v>-43905966</v>
      </c>
      <c r="L21" s="639">
        <f t="shared" si="17"/>
        <v>148953705</v>
      </c>
      <c r="M21" s="641">
        <f t="shared" si="18"/>
        <v>-0.48967605366976252</v>
      </c>
      <c r="N21" s="641">
        <f t="shared" si="18"/>
        <v>-3.4595501672168558E-2</v>
      </c>
      <c r="O21" s="641">
        <f t="shared" si="18"/>
        <v>0.12157326713267298</v>
      </c>
    </row>
    <row r="22" spans="1:15" x14ac:dyDescent="0.2">
      <c r="A22" s="638" t="s">
        <v>575</v>
      </c>
      <c r="B22" s="639">
        <v>1099856156</v>
      </c>
      <c r="C22" s="639">
        <v>1704566188</v>
      </c>
      <c r="D22" s="640">
        <v>762868100</v>
      </c>
      <c r="E22" s="640">
        <v>799219062</v>
      </c>
      <c r="F22" s="641">
        <f t="shared" si="13"/>
        <v>7.8884755115685698E-2</v>
      </c>
      <c r="G22" s="641">
        <f t="shared" si="14"/>
        <v>0.10468347285368709</v>
      </c>
      <c r="H22" s="641">
        <f t="shared" si="15"/>
        <v>4.1398272677925681E-2</v>
      </c>
      <c r="I22" s="641">
        <f t="shared" si="16"/>
        <v>3.2981008507471446E-2</v>
      </c>
      <c r="J22" s="639">
        <f t="shared" si="17"/>
        <v>604710032</v>
      </c>
      <c r="K22" s="639">
        <f t="shared" si="17"/>
        <v>-941698088</v>
      </c>
      <c r="L22" s="639">
        <f t="shared" si="17"/>
        <v>36350962</v>
      </c>
      <c r="M22" s="641">
        <f t="shared" si="18"/>
        <v>0.54980828965783413</v>
      </c>
      <c r="N22" s="641">
        <f t="shared" si="18"/>
        <v>-0.55245615842287255</v>
      </c>
      <c r="O22" s="641">
        <f t="shared" si="18"/>
        <v>4.7650389366130266E-2</v>
      </c>
    </row>
    <row r="23" spans="1:15" x14ac:dyDescent="0.2">
      <c r="A23" s="638" t="s">
        <v>576</v>
      </c>
      <c r="B23" s="640">
        <v>0</v>
      </c>
      <c r="C23" s="640">
        <v>1752430731</v>
      </c>
      <c r="D23" s="640">
        <v>438107685</v>
      </c>
      <c r="E23" s="640">
        <v>550326942</v>
      </c>
      <c r="F23" s="641">
        <f t="shared" si="13"/>
        <v>0</v>
      </c>
      <c r="G23" s="641">
        <f t="shared" si="14"/>
        <v>0.10762300469649203</v>
      </c>
      <c r="H23" s="641">
        <f t="shared" si="15"/>
        <v>2.3774622907845763E-2</v>
      </c>
      <c r="I23" s="641">
        <f t="shared" si="16"/>
        <v>2.2710090911210956E-2</v>
      </c>
      <c r="J23" s="639">
        <f t="shared" si="17"/>
        <v>1752430731</v>
      </c>
      <c r="K23" s="639">
        <f t="shared" si="17"/>
        <v>-1314323046</v>
      </c>
      <c r="L23" s="639">
        <f t="shared" si="17"/>
        <v>112219257</v>
      </c>
      <c r="M23" s="641">
        <f>IFERROR(J23/B23,0)</f>
        <v>0</v>
      </c>
      <c r="N23" s="641">
        <f t="shared" si="18"/>
        <v>-0.74999999871606904</v>
      </c>
      <c r="O23" s="641">
        <f t="shared" si="18"/>
        <v>0.25614537439579493</v>
      </c>
    </row>
    <row r="24" spans="1:15" x14ac:dyDescent="0.2">
      <c r="A24" s="638" t="s">
        <v>577</v>
      </c>
      <c r="B24" s="639">
        <v>165474000</v>
      </c>
      <c r="C24" s="639">
        <v>330758000</v>
      </c>
      <c r="D24" s="640">
        <v>72323000</v>
      </c>
      <c r="E24" s="640">
        <v>293825000</v>
      </c>
      <c r="F24" s="641">
        <f t="shared" si="13"/>
        <v>1.1868257405119233E-2</v>
      </c>
      <c r="G24" s="641">
        <f t="shared" si="14"/>
        <v>2.0313025306905732E-2</v>
      </c>
      <c r="H24" s="641">
        <f t="shared" si="15"/>
        <v>3.9247246999653271E-3</v>
      </c>
      <c r="I24" s="641">
        <f t="shared" si="16"/>
        <v>1.2125142261318835E-2</v>
      </c>
      <c r="J24" s="639">
        <f t="shared" si="17"/>
        <v>165284000</v>
      </c>
      <c r="K24" s="639">
        <f t="shared" si="17"/>
        <v>-258435000</v>
      </c>
      <c r="L24" s="639">
        <f t="shared" si="17"/>
        <v>221502000</v>
      </c>
      <c r="M24" s="641">
        <f t="shared" si="18"/>
        <v>0.99885178336173663</v>
      </c>
      <c r="N24" s="641">
        <f t="shared" si="18"/>
        <v>-0.78134164555354668</v>
      </c>
      <c r="O24" s="641">
        <f t="shared" si="18"/>
        <v>3.0626771566444977</v>
      </c>
    </row>
    <row r="25" spans="1:15" x14ac:dyDescent="0.2">
      <c r="A25" s="638" t="s">
        <v>578</v>
      </c>
      <c r="B25" s="639">
        <v>304860284</v>
      </c>
      <c r="C25" s="639">
        <v>792514377</v>
      </c>
      <c r="D25" s="640">
        <v>1890391000</v>
      </c>
      <c r="E25" s="640">
        <v>2198665724</v>
      </c>
      <c r="F25" s="641">
        <f t="shared" si="13"/>
        <v>2.1865430962627073E-2</v>
      </c>
      <c r="G25" s="641">
        <f t="shared" si="14"/>
        <v>4.8671126914806684E-2</v>
      </c>
      <c r="H25" s="641">
        <f t="shared" si="15"/>
        <v>0.10258512852470382</v>
      </c>
      <c r="I25" s="641">
        <f t="shared" si="16"/>
        <v>9.0731335620132983E-2</v>
      </c>
      <c r="J25" s="639">
        <f t="shared" si="17"/>
        <v>487654093</v>
      </c>
      <c r="K25" s="639">
        <f t="shared" si="17"/>
        <v>1097876623</v>
      </c>
      <c r="L25" s="639">
        <f t="shared" si="17"/>
        <v>308274724</v>
      </c>
      <c r="M25" s="641">
        <f t="shared" si="18"/>
        <v>1.5995986312208512</v>
      </c>
      <c r="N25" s="641">
        <f t="shared" si="18"/>
        <v>1.3853081469082296</v>
      </c>
      <c r="O25" s="641">
        <f t="shared" si="18"/>
        <v>0.16307458298309715</v>
      </c>
    </row>
    <row r="26" spans="1:15" x14ac:dyDescent="0.2">
      <c r="A26" s="638" t="s">
        <v>579</v>
      </c>
      <c r="B26" s="639">
        <v>1408115023</v>
      </c>
      <c r="C26" s="639">
        <v>1581983479</v>
      </c>
      <c r="D26" s="640">
        <v>942842717</v>
      </c>
      <c r="E26" s="640">
        <v>1472442306</v>
      </c>
      <c r="F26" s="641">
        <f t="shared" si="13"/>
        <v>0.10099394194241627</v>
      </c>
      <c r="G26" s="641">
        <f t="shared" si="14"/>
        <v>9.7155232659629609E-2</v>
      </c>
      <c r="H26" s="641">
        <f t="shared" si="15"/>
        <v>5.116488668324487E-2</v>
      </c>
      <c r="I26" s="641">
        <f t="shared" si="16"/>
        <v>6.0762605060271792E-2</v>
      </c>
      <c r="J26" s="639">
        <f t="shared" si="17"/>
        <v>173868456</v>
      </c>
      <c r="K26" s="639">
        <f t="shared" si="17"/>
        <v>-639140762</v>
      </c>
      <c r="L26" s="639">
        <f t="shared" si="17"/>
        <v>529599589</v>
      </c>
      <c r="M26" s="641">
        <f t="shared" si="18"/>
        <v>0.12347603225592459</v>
      </c>
      <c r="N26" s="641">
        <f t="shared" si="18"/>
        <v>-0.40401228614853318</v>
      </c>
      <c r="O26" s="641">
        <f t="shared" si="18"/>
        <v>0.56170512796144345</v>
      </c>
    </row>
    <row r="27" spans="1:15" x14ac:dyDescent="0.2">
      <c r="A27" s="638" t="s">
        <v>580</v>
      </c>
      <c r="B27" s="639">
        <v>0</v>
      </c>
      <c r="C27" s="639">
        <v>0</v>
      </c>
      <c r="D27" s="640">
        <v>5574500</v>
      </c>
      <c r="E27" s="640">
        <v>5574500</v>
      </c>
      <c r="F27" s="641">
        <f t="shared" si="13"/>
        <v>0</v>
      </c>
      <c r="G27" s="641">
        <f t="shared" si="14"/>
        <v>0</v>
      </c>
      <c r="H27" s="641">
        <f t="shared" si="15"/>
        <v>3.0250926869677302E-4</v>
      </c>
      <c r="I27" s="641">
        <f t="shared" si="16"/>
        <v>2.3004034896867811E-4</v>
      </c>
      <c r="J27" s="639">
        <f t="shared" si="17"/>
        <v>0</v>
      </c>
      <c r="K27" s="639">
        <f>D27-C27</f>
        <v>5574500</v>
      </c>
      <c r="L27" s="639">
        <f t="shared" si="17"/>
        <v>0</v>
      </c>
      <c r="M27" s="641">
        <f>IFERROR(J27/B27,0)</f>
        <v>0</v>
      </c>
      <c r="N27" s="641">
        <f>IFERROR(K27/C27,0)</f>
        <v>0</v>
      </c>
      <c r="O27" s="641">
        <f t="shared" si="18"/>
        <v>0</v>
      </c>
    </row>
    <row r="28" spans="1:15" s="633" customFormat="1" x14ac:dyDescent="0.2">
      <c r="A28" s="643" t="s">
        <v>581</v>
      </c>
      <c r="B28" s="644">
        <f t="shared" ref="B28:I28" si="19">SUM(B19:B27)</f>
        <v>9273173776</v>
      </c>
      <c r="C28" s="644">
        <f t="shared" si="19"/>
        <v>11690046608</v>
      </c>
      <c r="D28" s="644">
        <f t="shared" si="19"/>
        <v>9823186299</v>
      </c>
      <c r="E28" s="644">
        <f t="shared" si="19"/>
        <v>15143977657</v>
      </c>
      <c r="F28" s="645">
        <f t="shared" si="19"/>
        <v>0.66509792073660812</v>
      </c>
      <c r="G28" s="645">
        <f t="shared" si="19"/>
        <v>0.71792734442465944</v>
      </c>
      <c r="H28" s="645">
        <f t="shared" si="19"/>
        <v>0.53307111015923414</v>
      </c>
      <c r="I28" s="645">
        <f t="shared" si="19"/>
        <v>0.62493961879812432</v>
      </c>
      <c r="J28" s="639"/>
      <c r="K28" s="639"/>
      <c r="L28" s="639"/>
      <c r="M28" s="641"/>
      <c r="N28" s="641"/>
      <c r="O28" s="641"/>
    </row>
    <row r="29" spans="1:15" s="633" customFormat="1" ht="13.5" thickBot="1" x14ac:dyDescent="0.25">
      <c r="A29" s="648" t="s">
        <v>29</v>
      </c>
      <c r="B29" s="649">
        <f>+B28</f>
        <v>9273173776</v>
      </c>
      <c r="C29" s="649">
        <f t="shared" ref="C29:I29" si="20">+C28</f>
        <v>11690046608</v>
      </c>
      <c r="D29" s="649">
        <f t="shared" si="20"/>
        <v>9823186299</v>
      </c>
      <c r="E29" s="649">
        <f t="shared" si="20"/>
        <v>15143977657</v>
      </c>
      <c r="F29" s="651">
        <f t="shared" si="20"/>
        <v>0.66509792073660812</v>
      </c>
      <c r="G29" s="651">
        <f t="shared" si="20"/>
        <v>0.71792734442465944</v>
      </c>
      <c r="H29" s="651">
        <f t="shared" si="20"/>
        <v>0.53307111015923414</v>
      </c>
      <c r="I29" s="651">
        <f t="shared" si="20"/>
        <v>0.62493961879812432</v>
      </c>
      <c r="J29" s="639"/>
      <c r="K29" s="639"/>
      <c r="L29" s="639"/>
      <c r="M29" s="641"/>
      <c r="N29" s="641"/>
      <c r="O29" s="641"/>
    </row>
    <row r="30" spans="1:15" ht="13.5" thickTop="1" x14ac:dyDescent="0.2">
      <c r="A30" s="638" t="s">
        <v>582</v>
      </c>
      <c r="B30" s="640">
        <v>50000000</v>
      </c>
      <c r="C30" s="640">
        <v>50000000</v>
      </c>
      <c r="D30" s="640">
        <v>50000000</v>
      </c>
      <c r="E30" s="640">
        <v>50000000</v>
      </c>
      <c r="F30" s="641">
        <f t="shared" ref="F30:F34" si="21">B30/$B$18</f>
        <v>3.5861396367765429E-3</v>
      </c>
      <c r="G30" s="641">
        <f t="shared" ref="G30:G34" si="22">C30/$C$18</f>
        <v>3.0706778531291354E-3</v>
      </c>
      <c r="H30" s="641">
        <f t="shared" ref="H30:H34" si="23">D30/$D$18</f>
        <v>2.7133309596983858E-3</v>
      </c>
      <c r="I30" s="641">
        <f t="shared" ref="I30:I34" si="24">E30/$E$18</f>
        <v>2.0633271949832099E-3</v>
      </c>
      <c r="J30" s="639">
        <f t="shared" ref="J30:L34" si="25">C30-B30</f>
        <v>0</v>
      </c>
      <c r="K30" s="639">
        <f t="shared" si="25"/>
        <v>0</v>
      </c>
      <c r="L30" s="639">
        <f t="shared" si="25"/>
        <v>0</v>
      </c>
      <c r="M30" s="641">
        <f t="shared" ref="M30:O34" si="26">J30/B30</f>
        <v>0</v>
      </c>
      <c r="N30" s="641">
        <f t="shared" si="26"/>
        <v>0</v>
      </c>
      <c r="O30" s="641">
        <f t="shared" si="26"/>
        <v>0</v>
      </c>
    </row>
    <row r="31" spans="1:15" x14ac:dyDescent="0.2">
      <c r="A31" s="638" t="s">
        <v>98</v>
      </c>
      <c r="B31" s="652">
        <v>49553859</v>
      </c>
      <c r="C31" s="640">
        <v>49553859</v>
      </c>
      <c r="D31" s="640">
        <v>49553859</v>
      </c>
      <c r="E31" s="640">
        <v>49553859</v>
      </c>
      <c r="F31" s="641">
        <f t="shared" si="21"/>
        <v>3.5541411583027206E-3</v>
      </c>
      <c r="G31" s="641">
        <f t="shared" si="22"/>
        <v>3.0432787473676777E-3</v>
      </c>
      <c r="H31" s="641">
        <f t="shared" si="23"/>
        <v>2.6891203959445698E-3</v>
      </c>
      <c r="I31" s="641">
        <f t="shared" si="24"/>
        <v>2.0449164978212702E-3</v>
      </c>
      <c r="J31" s="639">
        <f t="shared" si="25"/>
        <v>0</v>
      </c>
      <c r="K31" s="639">
        <f t="shared" si="25"/>
        <v>0</v>
      </c>
      <c r="L31" s="639">
        <f t="shared" si="25"/>
        <v>0</v>
      </c>
      <c r="M31" s="641">
        <f t="shared" si="26"/>
        <v>0</v>
      </c>
      <c r="N31" s="641">
        <f t="shared" si="26"/>
        <v>0</v>
      </c>
      <c r="O31" s="641">
        <f t="shared" si="26"/>
        <v>0</v>
      </c>
    </row>
    <row r="32" spans="1:15" x14ac:dyDescent="0.2">
      <c r="A32" s="638" t="s">
        <v>583</v>
      </c>
      <c r="B32" s="639">
        <v>44664183</v>
      </c>
      <c r="C32" s="640">
        <v>44664183</v>
      </c>
      <c r="D32" s="640">
        <v>44664183</v>
      </c>
      <c r="E32" s="640">
        <v>44664183</v>
      </c>
      <c r="F32" s="641">
        <f t="shared" si="21"/>
        <v>3.2034399400108211E-3</v>
      </c>
      <c r="G32" s="641">
        <f t="shared" si="22"/>
        <v>2.7429863513241367E-3</v>
      </c>
      <c r="H32" s="641">
        <f t="shared" si="23"/>
        <v>2.4237742104706865E-3</v>
      </c>
      <c r="I32" s="641">
        <f t="shared" si="24"/>
        <v>1.8431364685121355E-3</v>
      </c>
      <c r="J32" s="639">
        <f t="shared" si="25"/>
        <v>0</v>
      </c>
      <c r="K32" s="639">
        <f t="shared" si="25"/>
        <v>0</v>
      </c>
      <c r="L32" s="639">
        <f t="shared" si="25"/>
        <v>0</v>
      </c>
      <c r="M32" s="641">
        <f t="shared" si="26"/>
        <v>0</v>
      </c>
      <c r="N32" s="641">
        <f t="shared" si="26"/>
        <v>0</v>
      </c>
      <c r="O32" s="641">
        <f t="shared" si="26"/>
        <v>0</v>
      </c>
    </row>
    <row r="33" spans="1:15" x14ac:dyDescent="0.2">
      <c r="A33" s="638" t="s">
        <v>584</v>
      </c>
      <c r="B33" s="652">
        <v>1752430731</v>
      </c>
      <c r="C33" s="640">
        <v>3077606921</v>
      </c>
      <c r="D33" s="640">
        <v>4448785019</v>
      </c>
      <c r="E33" s="640">
        <v>5382523286</v>
      </c>
      <c r="F33" s="641">
        <f t="shared" si="21"/>
        <v>0.12568922610288782</v>
      </c>
      <c r="G33" s="641">
        <f t="shared" si="22"/>
        <v>0.18900678825903297</v>
      </c>
      <c r="H33" s="641">
        <f t="shared" si="23"/>
        <v>0.24142052250190144</v>
      </c>
      <c r="I33" s="641">
        <f t="shared" si="24"/>
        <v>0.2221181334726838</v>
      </c>
      <c r="J33" s="639">
        <f t="shared" si="25"/>
        <v>1325176190</v>
      </c>
      <c r="K33" s="639">
        <f t="shared" si="25"/>
        <v>1371178098</v>
      </c>
      <c r="L33" s="639">
        <f t="shared" si="25"/>
        <v>933738267</v>
      </c>
      <c r="M33" s="641">
        <f t="shared" si="26"/>
        <v>0.75619319300786669</v>
      </c>
      <c r="N33" s="641">
        <f t="shared" si="26"/>
        <v>0.44553386224985031</v>
      </c>
      <c r="O33" s="641">
        <f t="shared" si="26"/>
        <v>0.20988612913686849</v>
      </c>
    </row>
    <row r="34" spans="1:15" x14ac:dyDescent="0.2">
      <c r="A34" s="638" t="s">
        <v>585</v>
      </c>
      <c r="B34" s="639">
        <v>2772746638</v>
      </c>
      <c r="C34" s="639">
        <v>1371178098</v>
      </c>
      <c r="D34" s="639">
        <v>4011345188</v>
      </c>
      <c r="E34" s="639">
        <v>3561986386</v>
      </c>
      <c r="F34" s="641">
        <f t="shared" si="21"/>
        <v>0.19886913242541401</v>
      </c>
      <c r="G34" s="641">
        <f t="shared" si="22"/>
        <v>8.4208924364486626E-2</v>
      </c>
      <c r="H34" s="641">
        <f t="shared" si="23"/>
        <v>0.21768214177275083</v>
      </c>
      <c r="I34" s="641">
        <f t="shared" si="24"/>
        <v>0.14699086756787524</v>
      </c>
      <c r="J34" s="639">
        <f t="shared" si="25"/>
        <v>-1401568540</v>
      </c>
      <c r="K34" s="639">
        <f t="shared" si="25"/>
        <v>2640167090</v>
      </c>
      <c r="L34" s="639">
        <f t="shared" si="25"/>
        <v>-449358802</v>
      </c>
      <c r="M34" s="641">
        <f t="shared" si="26"/>
        <v>-0.50548020536451188</v>
      </c>
      <c r="N34" s="641">
        <f t="shared" si="26"/>
        <v>1.9254734989210716</v>
      </c>
      <c r="O34" s="641">
        <f t="shared" si="26"/>
        <v>-0.11202197291428911</v>
      </c>
    </row>
    <row r="35" spans="1:15" s="633" customFormat="1" x14ac:dyDescent="0.2">
      <c r="A35" s="643" t="s">
        <v>31</v>
      </c>
      <c r="B35" s="653">
        <f t="shared" ref="B35:I35" si="27">SUM(B30:B34)</f>
        <v>4669395411</v>
      </c>
      <c r="C35" s="653">
        <f t="shared" si="27"/>
        <v>4593003061</v>
      </c>
      <c r="D35" s="653">
        <f t="shared" si="27"/>
        <v>8604348249</v>
      </c>
      <c r="E35" s="653">
        <f t="shared" si="27"/>
        <v>9088727714</v>
      </c>
      <c r="F35" s="645">
        <f t="shared" si="27"/>
        <v>0.33490207926339188</v>
      </c>
      <c r="G35" s="645">
        <f t="shared" si="27"/>
        <v>0.28207265557534056</v>
      </c>
      <c r="H35" s="645">
        <f t="shared" si="27"/>
        <v>0.46692888984076591</v>
      </c>
      <c r="I35" s="645">
        <f t="shared" si="27"/>
        <v>0.37506038120187568</v>
      </c>
      <c r="J35" s="639"/>
      <c r="K35" s="639"/>
      <c r="L35" s="639"/>
      <c r="M35" s="641"/>
      <c r="N35" s="641"/>
      <c r="O35" s="641"/>
    </row>
    <row r="36" spans="1:15" s="633" customFormat="1" ht="13.5" thickBot="1" x14ac:dyDescent="0.25">
      <c r="A36" s="648" t="s">
        <v>586</v>
      </c>
      <c r="B36" s="654">
        <f t="shared" ref="B36:I36" si="28">+B29+B35</f>
        <v>13942569187</v>
      </c>
      <c r="C36" s="654">
        <f t="shared" si="28"/>
        <v>16283049669</v>
      </c>
      <c r="D36" s="654">
        <f t="shared" si="28"/>
        <v>18427534548</v>
      </c>
      <c r="E36" s="654">
        <f t="shared" si="28"/>
        <v>24232705371</v>
      </c>
      <c r="F36" s="655">
        <f t="shared" si="28"/>
        <v>1</v>
      </c>
      <c r="G36" s="655">
        <f t="shared" si="28"/>
        <v>1</v>
      </c>
      <c r="H36" s="655">
        <f t="shared" si="28"/>
        <v>1</v>
      </c>
      <c r="I36" s="655">
        <f t="shared" si="28"/>
        <v>1</v>
      </c>
      <c r="J36" s="639"/>
      <c r="K36" s="639"/>
      <c r="L36" s="639"/>
      <c r="M36" s="641"/>
      <c r="N36" s="641"/>
      <c r="O36" s="641"/>
    </row>
    <row r="37" spans="1:15" ht="13.5" thickTop="1" x14ac:dyDescent="0.2">
      <c r="A37" s="638"/>
      <c r="B37" s="639">
        <f>+B36-B18</f>
        <v>0</v>
      </c>
      <c r="C37" s="639">
        <f>+C36-C18</f>
        <v>0</v>
      </c>
      <c r="D37" s="639">
        <f>+D36-D18</f>
        <v>0</v>
      </c>
      <c r="E37" s="639">
        <f>+E36-E18</f>
        <v>0</v>
      </c>
      <c r="G37" s="641"/>
      <c r="H37" s="641"/>
      <c r="I37" s="641"/>
      <c r="J37" s="639"/>
      <c r="K37" s="639"/>
      <c r="L37" s="639"/>
      <c r="N37" s="641"/>
      <c r="O37" s="641"/>
    </row>
    <row r="38" spans="1:15" ht="13.5" thickBot="1" x14ac:dyDescent="0.25">
      <c r="A38" s="656" t="s">
        <v>52</v>
      </c>
      <c r="B38" s="636">
        <v>2018</v>
      </c>
      <c r="C38" s="636">
        <v>2019</v>
      </c>
      <c r="D38" s="636">
        <v>2020</v>
      </c>
      <c r="E38" s="636">
        <v>2021</v>
      </c>
      <c r="F38" s="657"/>
      <c r="G38" s="658"/>
      <c r="H38" s="658"/>
      <c r="I38" s="658"/>
      <c r="J38" s="639"/>
      <c r="K38" s="639"/>
      <c r="L38" s="639"/>
      <c r="N38" s="641"/>
      <c r="O38" s="641"/>
    </row>
    <row r="39" spans="1:15" x14ac:dyDescent="0.2">
      <c r="A39" s="659" t="s">
        <v>587</v>
      </c>
      <c r="B39" s="660">
        <v>28593246050</v>
      </c>
      <c r="C39" s="660">
        <v>29799465174</v>
      </c>
      <c r="D39" s="660">
        <v>32883349520</v>
      </c>
      <c r="E39" s="660">
        <v>37619845133</v>
      </c>
      <c r="F39" s="646">
        <f>B39/B39</f>
        <v>1</v>
      </c>
      <c r="G39" s="646">
        <f>C39/C39</f>
        <v>1</v>
      </c>
      <c r="H39" s="646">
        <f>D39/D39</f>
        <v>1</v>
      </c>
      <c r="I39" s="646">
        <f>E39/E39</f>
        <v>1</v>
      </c>
      <c r="J39" s="639">
        <f>C39-B39</f>
        <v>1206219124</v>
      </c>
      <c r="K39" s="639">
        <f t="shared" ref="J39:L45" si="29">D39-C39</f>
        <v>3083884346</v>
      </c>
      <c r="L39" s="639">
        <f t="shared" si="29"/>
        <v>4736495613</v>
      </c>
      <c r="M39" s="641">
        <f>J39/B39</f>
        <v>4.2185456030096311E-2</v>
      </c>
      <c r="N39" s="641">
        <f t="shared" ref="M39:O45" si="30">K39/C39</f>
        <v>0.10348790919545381</v>
      </c>
      <c r="O39" s="641">
        <f t="shared" si="30"/>
        <v>0.14403932939128397</v>
      </c>
    </row>
    <row r="40" spans="1:15" x14ac:dyDescent="0.2">
      <c r="A40" s="638" t="s">
        <v>22</v>
      </c>
      <c r="B40" s="640">
        <v>16259089802</v>
      </c>
      <c r="C40" s="640">
        <v>16427228539</v>
      </c>
      <c r="D40" s="640">
        <v>17263115444</v>
      </c>
      <c r="E40" s="640">
        <v>19779704210</v>
      </c>
      <c r="F40" s="658">
        <f>B40/$B$39</f>
        <v>0.56863392752149589</v>
      </c>
      <c r="G40" s="658">
        <f t="shared" ref="G40:G45" si="31">C40/$C$39</f>
        <v>0.55125917338049202</v>
      </c>
      <c r="H40" s="658">
        <f t="shared" ref="H40:H45" si="32">D40/$D$39</f>
        <v>0.52498044438874425</v>
      </c>
      <c r="I40" s="658">
        <f t="shared" ref="I40:I45" si="33">E40/$E$39</f>
        <v>0.5257784592167104</v>
      </c>
      <c r="J40" s="639">
        <f t="shared" si="29"/>
        <v>168138737</v>
      </c>
      <c r="K40" s="639">
        <f t="shared" si="29"/>
        <v>835886905</v>
      </c>
      <c r="L40" s="639">
        <f t="shared" si="29"/>
        <v>2516588766</v>
      </c>
      <c r="M40" s="641">
        <f t="shared" si="30"/>
        <v>1.0341214609646696E-2</v>
      </c>
      <c r="N40" s="641">
        <f t="shared" si="30"/>
        <v>5.0884231811563041E-2</v>
      </c>
      <c r="O40" s="641">
        <f t="shared" si="30"/>
        <v>0.14577836626092136</v>
      </c>
    </row>
    <row r="41" spans="1:15" x14ac:dyDescent="0.2">
      <c r="A41" s="643" t="s">
        <v>13</v>
      </c>
      <c r="B41" s="644">
        <f>+B39-B40</f>
        <v>12334156248</v>
      </c>
      <c r="C41" s="644">
        <f>+C39-C40</f>
        <v>13372236635</v>
      </c>
      <c r="D41" s="644">
        <f>+D39-D40</f>
        <v>15620234076</v>
      </c>
      <c r="E41" s="644">
        <f>+E39-E40</f>
        <v>17840140923</v>
      </c>
      <c r="F41" s="658">
        <f t="shared" ref="F41:F45" si="34">B41/$B$39</f>
        <v>0.43136607247850406</v>
      </c>
      <c r="G41" s="658">
        <f t="shared" si="31"/>
        <v>0.44874082661950798</v>
      </c>
      <c r="H41" s="658">
        <f t="shared" si="32"/>
        <v>0.47501955561125575</v>
      </c>
      <c r="I41" s="658">
        <f t="shared" si="33"/>
        <v>0.47422154078328965</v>
      </c>
      <c r="J41" s="639">
        <f t="shared" si="29"/>
        <v>1038080387</v>
      </c>
      <c r="K41" s="639">
        <f t="shared" si="29"/>
        <v>2247997441</v>
      </c>
      <c r="L41" s="639">
        <f t="shared" si="29"/>
        <v>2219906847</v>
      </c>
      <c r="M41" s="641">
        <f t="shared" si="30"/>
        <v>8.4163064430801751E-2</v>
      </c>
      <c r="N41" s="641">
        <f t="shared" si="30"/>
        <v>0.16810930754217843</v>
      </c>
      <c r="O41" s="641">
        <f t="shared" si="30"/>
        <v>0.14211738673051111</v>
      </c>
    </row>
    <row r="42" spans="1:15" x14ac:dyDescent="0.2">
      <c r="A42" s="642" t="s">
        <v>588</v>
      </c>
      <c r="B42" s="640">
        <v>7361625212</v>
      </c>
      <c r="C42" s="640">
        <v>8165237301</v>
      </c>
      <c r="D42" s="640">
        <v>8366743068</v>
      </c>
      <c r="E42" s="640">
        <v>11552663413</v>
      </c>
      <c r="F42" s="661">
        <f t="shared" si="34"/>
        <v>0.2574602827229544</v>
      </c>
      <c r="G42" s="661">
        <f t="shared" si="31"/>
        <v>0.27400616934978284</v>
      </c>
      <c r="H42" s="661">
        <f t="shared" si="32"/>
        <v>0.2544370689157216</v>
      </c>
      <c r="I42" s="661">
        <f t="shared" si="33"/>
        <v>0.30708960582259398</v>
      </c>
      <c r="J42" s="639">
        <f t="shared" si="29"/>
        <v>803612089</v>
      </c>
      <c r="K42" s="639">
        <f t="shared" si="29"/>
        <v>201505767</v>
      </c>
      <c r="L42" s="639">
        <f t="shared" si="29"/>
        <v>3185920345</v>
      </c>
      <c r="M42" s="641">
        <f t="shared" si="30"/>
        <v>0.10916232025640916</v>
      </c>
      <c r="N42" s="641">
        <f t="shared" si="30"/>
        <v>2.4678494888975427E-2</v>
      </c>
      <c r="O42" s="641">
        <f t="shared" si="30"/>
        <v>0.38078381505284681</v>
      </c>
    </row>
    <row r="43" spans="1:15" x14ac:dyDescent="0.2">
      <c r="A43" s="642" t="s">
        <v>589</v>
      </c>
      <c r="B43" s="640">
        <v>0</v>
      </c>
      <c r="C43" s="640">
        <v>96128307</v>
      </c>
      <c r="D43" s="640">
        <v>527382930</v>
      </c>
      <c r="E43" s="640">
        <v>111907430</v>
      </c>
      <c r="F43" s="661">
        <f t="shared" si="34"/>
        <v>0</v>
      </c>
      <c r="G43" s="661">
        <f t="shared" si="31"/>
        <v>3.2258400088291464E-3</v>
      </c>
      <c r="H43" s="661">
        <f t="shared" si="32"/>
        <v>1.6037993017689399E-2</v>
      </c>
      <c r="I43" s="661">
        <f t="shared" si="33"/>
        <v>2.9746914056760746E-3</v>
      </c>
      <c r="J43" s="639">
        <f t="shared" si="29"/>
        <v>96128307</v>
      </c>
      <c r="K43" s="639">
        <f t="shared" si="29"/>
        <v>431254623</v>
      </c>
      <c r="L43" s="639">
        <f t="shared" si="29"/>
        <v>-415475500</v>
      </c>
      <c r="M43" s="641">
        <f>IFERROR(J43/B43,0)</f>
        <v>0</v>
      </c>
      <c r="N43" s="641">
        <f t="shared" si="30"/>
        <v>4.4862396567537592</v>
      </c>
      <c r="O43" s="641">
        <f t="shared" si="30"/>
        <v>-0.78780612030806529</v>
      </c>
    </row>
    <row r="44" spans="1:15" x14ac:dyDescent="0.2">
      <c r="A44" s="638" t="s">
        <v>590</v>
      </c>
      <c r="B44" s="640">
        <f>+B42+B43</f>
        <v>7361625212</v>
      </c>
      <c r="C44" s="640">
        <f>+C42+C43</f>
        <v>8261365608</v>
      </c>
      <c r="D44" s="640">
        <f>+D42+D43</f>
        <v>8894125998</v>
      </c>
      <c r="E44" s="640">
        <f>+E42+E43</f>
        <v>11664570843</v>
      </c>
      <c r="F44" s="661">
        <f t="shared" si="34"/>
        <v>0.2574602827229544</v>
      </c>
      <c r="G44" s="661">
        <f t="shared" si="31"/>
        <v>0.27723200935861197</v>
      </c>
      <c r="H44" s="661">
        <f t="shared" si="32"/>
        <v>0.27047506193341098</v>
      </c>
      <c r="I44" s="661">
        <f t="shared" si="33"/>
        <v>0.31006429722827006</v>
      </c>
      <c r="J44" s="639">
        <f t="shared" si="29"/>
        <v>899740396</v>
      </c>
      <c r="K44" s="639">
        <f t="shared" si="29"/>
        <v>632760390</v>
      </c>
      <c r="L44" s="639">
        <f t="shared" si="29"/>
        <v>2770444845</v>
      </c>
      <c r="M44" s="641">
        <f t="shared" si="30"/>
        <v>0.1222203481010356</v>
      </c>
      <c r="N44" s="641">
        <f t="shared" si="30"/>
        <v>7.6592711184124126E-2</v>
      </c>
      <c r="O44" s="641">
        <f t="shared" si="30"/>
        <v>0.31149152211504344</v>
      </c>
    </row>
    <row r="45" spans="1:15" x14ac:dyDescent="0.2">
      <c r="A45" s="659" t="s">
        <v>591</v>
      </c>
      <c r="B45" s="660">
        <f>+B41-B44</f>
        <v>4972531036</v>
      </c>
      <c r="C45" s="660">
        <f>+C41-C44</f>
        <v>5110871027</v>
      </c>
      <c r="D45" s="660">
        <f>+D41-D44</f>
        <v>6726108078</v>
      </c>
      <c r="E45" s="660">
        <f>+E41-E44</f>
        <v>6175570080</v>
      </c>
      <c r="F45" s="661">
        <f t="shared" si="34"/>
        <v>0.17390578975554963</v>
      </c>
      <c r="G45" s="661">
        <f t="shared" si="31"/>
        <v>0.17150881726089598</v>
      </c>
      <c r="H45" s="661">
        <f t="shared" si="32"/>
        <v>0.20454449367784477</v>
      </c>
      <c r="I45" s="661">
        <f t="shared" si="33"/>
        <v>0.16415724355501959</v>
      </c>
      <c r="J45" s="639">
        <f t="shared" si="29"/>
        <v>138339991</v>
      </c>
      <c r="K45" s="639">
        <f t="shared" si="29"/>
        <v>1615237051</v>
      </c>
      <c r="L45" s="639">
        <f t="shared" si="29"/>
        <v>-550537998</v>
      </c>
      <c r="M45" s="641">
        <f t="shared" si="30"/>
        <v>2.7820840131202753E-2</v>
      </c>
      <c r="N45" s="641">
        <f t="shared" si="30"/>
        <v>0.3160394857289362</v>
      </c>
      <c r="O45" s="641">
        <f t="shared" si="30"/>
        <v>-8.1850899749993586E-2</v>
      </c>
    </row>
    <row r="46" spans="1:15" x14ac:dyDescent="0.2">
      <c r="A46" s="659" t="s">
        <v>592</v>
      </c>
      <c r="B46" s="640"/>
      <c r="C46" s="640"/>
      <c r="D46" s="640"/>
      <c r="E46" s="640"/>
      <c r="F46" s="661"/>
      <c r="G46" s="661"/>
      <c r="H46" s="661"/>
      <c r="I46" s="661"/>
      <c r="J46" s="639"/>
      <c r="K46" s="639"/>
      <c r="L46" s="639"/>
      <c r="N46" s="641"/>
      <c r="O46" s="641"/>
    </row>
    <row r="47" spans="1:15" x14ac:dyDescent="0.2">
      <c r="A47" s="638" t="s">
        <v>593</v>
      </c>
      <c r="B47" s="640">
        <f>34562093+66047160+14398936</f>
        <v>115008189</v>
      </c>
      <c r="C47" s="640">
        <v>25467277</v>
      </c>
      <c r="D47" s="640">
        <v>133076018</v>
      </c>
      <c r="E47" s="640">
        <v>59268379</v>
      </c>
      <c r="F47" s="661">
        <f>B47/$B$39</f>
        <v>4.0222152042090377E-3</v>
      </c>
      <c r="G47" s="661">
        <f>C47/$C$39</f>
        <v>8.5462194879323437E-4</v>
      </c>
      <c r="H47" s="661">
        <f>D47/$D$39</f>
        <v>4.0469118852707433E-3</v>
      </c>
      <c r="I47" s="661">
        <f>E47/$E$39</f>
        <v>1.5754551564596947E-3</v>
      </c>
      <c r="J47" s="639">
        <f>C47-B47</f>
        <v>-89540912</v>
      </c>
      <c r="K47" s="639">
        <f>D47-C47</f>
        <v>107608741</v>
      </c>
      <c r="L47" s="639">
        <f>E47-D47</f>
        <v>-73807639</v>
      </c>
      <c r="M47" s="641">
        <f>IFERROR(J47/B47,0)</f>
        <v>-0.77856118576043309</v>
      </c>
      <c r="N47" s="641">
        <f>K47/C47</f>
        <v>4.2253728578834711</v>
      </c>
      <c r="O47" s="641">
        <f>L47/D47</f>
        <v>-0.55462764898781391</v>
      </c>
    </row>
    <row r="48" spans="1:15" x14ac:dyDescent="0.2">
      <c r="A48" s="638" t="s">
        <v>594</v>
      </c>
      <c r="B48" s="640">
        <v>-1962406275</v>
      </c>
      <c r="C48" s="640">
        <v>-1872996995</v>
      </c>
      <c r="D48" s="640">
        <v>-760841891</v>
      </c>
      <c r="E48" s="640">
        <v>-802139590</v>
      </c>
      <c r="F48" s="661">
        <f>-B48/$B$39</f>
        <v>6.8631811567263445E-2</v>
      </c>
      <c r="G48" s="661">
        <f>-C48/$C$39</f>
        <v>6.2853376195294533E-2</v>
      </c>
      <c r="H48" s="661">
        <f>-D48/$D$39</f>
        <v>2.3137603136725714E-2</v>
      </c>
      <c r="I48" s="661">
        <f>-E48/$E$39</f>
        <v>2.1322245935998442E-2</v>
      </c>
      <c r="J48" s="639">
        <f t="shared" ref="J48:L49" si="35">-C48+B48</f>
        <v>-89409280</v>
      </c>
      <c r="K48" s="639">
        <f t="shared" si="35"/>
        <v>-1112155104</v>
      </c>
      <c r="L48" s="639">
        <f t="shared" si="35"/>
        <v>41297699</v>
      </c>
      <c r="M48" s="641">
        <f t="shared" ref="M48:O49" si="36">-J48/B48</f>
        <v>-4.5561044692440156E-2</v>
      </c>
      <c r="N48" s="641">
        <f t="shared" si="36"/>
        <v>-0.59378370972773509</v>
      </c>
      <c r="O48" s="641">
        <f t="shared" si="36"/>
        <v>5.4278950053237802E-2</v>
      </c>
    </row>
    <row r="49" spans="1:15" x14ac:dyDescent="0.2">
      <c r="A49" s="638" t="s">
        <v>595</v>
      </c>
      <c r="B49" s="640">
        <v>-47526028</v>
      </c>
      <c r="C49" s="640">
        <v>-110091834</v>
      </c>
      <c r="D49" s="640">
        <v>-199305164</v>
      </c>
      <c r="E49" s="640">
        <v>-270399759</v>
      </c>
      <c r="F49" s="658">
        <f>-B49/$B$39</f>
        <v>1.6621417490302749E-3</v>
      </c>
      <c r="G49" s="658">
        <f>-C49/$C$39</f>
        <v>3.6944231501193185E-3</v>
      </c>
      <c r="H49" s="658">
        <f>-D49/$D$39</f>
        <v>6.0609751411966261E-3</v>
      </c>
      <c r="I49" s="658">
        <f>-E49/$E$39</f>
        <v>7.1876893178065282E-3</v>
      </c>
      <c r="J49" s="639">
        <f t="shared" si="35"/>
        <v>62565806</v>
      </c>
      <c r="K49" s="639">
        <f t="shared" si="35"/>
        <v>89213330</v>
      </c>
      <c r="L49" s="639">
        <f t="shared" si="35"/>
        <v>71094595</v>
      </c>
      <c r="M49" s="641">
        <f t="shared" si="36"/>
        <v>1.3164535020683823</v>
      </c>
      <c r="N49" s="641">
        <f t="shared" si="36"/>
        <v>0.81035374521964998</v>
      </c>
      <c r="O49" s="641">
        <f t="shared" si="36"/>
        <v>0.35671225759107777</v>
      </c>
    </row>
    <row r="50" spans="1:15" x14ac:dyDescent="0.2">
      <c r="A50" s="643" t="s">
        <v>596</v>
      </c>
      <c r="B50" s="644">
        <f>SUM(B45:B49)</f>
        <v>3077606922</v>
      </c>
      <c r="C50" s="644">
        <f>SUM(C45:C49)</f>
        <v>3153249475</v>
      </c>
      <c r="D50" s="644">
        <f>SUM(D45:D49)</f>
        <v>5899037041</v>
      </c>
      <c r="E50" s="644">
        <f>SUM(E45:E49)</f>
        <v>5162299110</v>
      </c>
      <c r="F50" s="658">
        <f>B50/$B$39</f>
        <v>0.10763405164346494</v>
      </c>
      <c r="G50" s="658">
        <f>C50/$C$39</f>
        <v>0.10581563986427538</v>
      </c>
      <c r="H50" s="658">
        <f>D50/$D$39</f>
        <v>0.17939282728519318</v>
      </c>
      <c r="I50" s="658">
        <f>E50/$E$39</f>
        <v>0.13722276345767434</v>
      </c>
      <c r="J50" s="639">
        <f t="shared" ref="J50:L52" si="37">C50-B50</f>
        <v>75642553</v>
      </c>
      <c r="K50" s="639">
        <f t="shared" si="37"/>
        <v>2745787566</v>
      </c>
      <c r="L50" s="639">
        <f t="shared" si="37"/>
        <v>-736737931</v>
      </c>
      <c r="M50" s="641">
        <f t="shared" ref="M50:O52" si="38">J50/B50</f>
        <v>2.4578367191494119E-2</v>
      </c>
      <c r="N50" s="641">
        <f t="shared" si="38"/>
        <v>0.87078031337815409</v>
      </c>
      <c r="O50" s="641">
        <f t="shared" si="38"/>
        <v>-0.12489121968203623</v>
      </c>
    </row>
    <row r="51" spans="1:15" x14ac:dyDescent="0.2">
      <c r="A51" s="638" t="s">
        <v>597</v>
      </c>
      <c r="B51" s="640">
        <v>1015610284</v>
      </c>
      <c r="C51" s="640">
        <v>1782071377</v>
      </c>
      <c r="D51" s="640">
        <v>1887691853</v>
      </c>
      <c r="E51" s="640">
        <v>1600312724</v>
      </c>
      <c r="F51" s="658">
        <f>B51/$B$39</f>
        <v>3.5519237033250377E-2</v>
      </c>
      <c r="G51" s="658">
        <f>C51/$C$39</f>
        <v>5.9802126199058607E-2</v>
      </c>
      <c r="H51" s="658">
        <f>D51/$D$39</f>
        <v>5.7405704727612555E-2</v>
      </c>
      <c r="I51" s="658">
        <f>E51/$E$39</f>
        <v>4.2539056669220872E-2</v>
      </c>
      <c r="J51" s="639">
        <f t="shared" si="37"/>
        <v>766461093</v>
      </c>
      <c r="K51" s="639">
        <f t="shared" si="37"/>
        <v>105620476</v>
      </c>
      <c r="L51" s="639">
        <f t="shared" si="37"/>
        <v>-287379129</v>
      </c>
      <c r="M51" s="641">
        <f t="shared" si="38"/>
        <v>0.75468031889287168</v>
      </c>
      <c r="N51" s="641">
        <f t="shared" si="38"/>
        <v>5.9268375758217452E-2</v>
      </c>
      <c r="O51" s="641">
        <f t="shared" si="38"/>
        <v>-0.1522383690660554</v>
      </c>
    </row>
    <row r="52" spans="1:15" x14ac:dyDescent="0.2">
      <c r="A52" s="643" t="s">
        <v>598</v>
      </c>
      <c r="B52" s="644">
        <f>+B50-B51</f>
        <v>2061996638</v>
      </c>
      <c r="C52" s="644">
        <f>+C50-C51</f>
        <v>1371178098</v>
      </c>
      <c r="D52" s="644">
        <f>+D50-D51</f>
        <v>4011345188</v>
      </c>
      <c r="E52" s="644">
        <f>+E50-E51</f>
        <v>3561986386</v>
      </c>
      <c r="F52" s="658">
        <f>B52/$B$39</f>
        <v>7.2114814610214573E-2</v>
      </c>
      <c r="G52" s="658">
        <f>C52/$C$39</f>
        <v>4.6013513665216763E-2</v>
      </c>
      <c r="H52" s="658">
        <f>D52/$D$39</f>
        <v>0.12198712255758062</v>
      </c>
      <c r="I52" s="658">
        <f>E52/$E$39</f>
        <v>9.4683706788453462E-2</v>
      </c>
      <c r="J52" s="639">
        <f t="shared" si="37"/>
        <v>-690818540</v>
      </c>
      <c r="K52" s="639">
        <f t="shared" si="37"/>
        <v>2640167090</v>
      </c>
      <c r="L52" s="639">
        <f t="shared" si="37"/>
        <v>-449358802</v>
      </c>
      <c r="M52" s="641">
        <f t="shared" si="38"/>
        <v>-0.33502408649417015</v>
      </c>
      <c r="N52" s="641">
        <f t="shared" si="38"/>
        <v>1.9254734989210716</v>
      </c>
      <c r="O52" s="641">
        <f t="shared" si="38"/>
        <v>-0.11202197291428911</v>
      </c>
    </row>
    <row r="53" spans="1:15" x14ac:dyDescent="0.2">
      <c r="A53" s="633"/>
      <c r="B53" s="660"/>
      <c r="C53" s="660"/>
      <c r="D53" s="660"/>
      <c r="E53" s="660"/>
      <c r="F53" s="661"/>
      <c r="G53" s="661"/>
      <c r="H53" s="661"/>
      <c r="I53" s="661"/>
      <c r="J53" s="639"/>
      <c r="K53" s="639"/>
      <c r="L53" s="639"/>
      <c r="N53" s="641"/>
      <c r="O53" s="641"/>
    </row>
    <row r="54" spans="1:15" x14ac:dyDescent="0.2">
      <c r="A54" s="633" t="s">
        <v>599</v>
      </c>
      <c r="B54" s="660">
        <v>142498417</v>
      </c>
      <c r="C54" s="660">
        <v>176499899</v>
      </c>
      <c r="D54" s="660">
        <v>125996417</v>
      </c>
      <c r="E54" s="660">
        <v>207758977</v>
      </c>
      <c r="F54" s="661"/>
      <c r="G54" s="661"/>
      <c r="H54" s="661"/>
      <c r="I54" s="661"/>
      <c r="J54" s="639"/>
      <c r="K54" s="639"/>
      <c r="L54" s="639"/>
      <c r="N54" s="641"/>
      <c r="O54" s="641"/>
    </row>
    <row r="55" spans="1:15" x14ac:dyDescent="0.2">
      <c r="B55" s="662"/>
      <c r="C55" s="662"/>
      <c r="D55" s="662"/>
      <c r="E55" s="662"/>
      <c r="N55" s="641"/>
      <c r="O55" s="641"/>
    </row>
    <row r="56" spans="1:15" x14ac:dyDescent="0.2">
      <c r="B56" s="663"/>
      <c r="C56" s="662"/>
      <c r="D56" s="662"/>
      <c r="E56" s="662"/>
      <c r="N56" s="641"/>
      <c r="O56" s="641"/>
    </row>
    <row r="57" spans="1:15" x14ac:dyDescent="0.2">
      <c r="B57" s="662"/>
      <c r="C57" s="662"/>
      <c r="D57" s="662"/>
      <c r="E57" s="662"/>
      <c r="N57" s="641"/>
      <c r="O57" s="641"/>
    </row>
    <row r="58" spans="1:15" x14ac:dyDescent="0.2">
      <c r="B58" s="662"/>
      <c r="C58" s="662"/>
      <c r="D58" s="662"/>
      <c r="E58" s="662"/>
      <c r="N58" s="641"/>
      <c r="O58" s="641"/>
    </row>
    <row r="59" spans="1:15" x14ac:dyDescent="0.2">
      <c r="B59" s="662"/>
      <c r="C59" s="662"/>
      <c r="D59" s="662"/>
      <c r="E59" s="662"/>
      <c r="N59" s="641"/>
      <c r="O59" s="641"/>
    </row>
    <row r="60" spans="1:15" ht="13.5" thickBot="1" x14ac:dyDescent="0.25">
      <c r="A60" s="633"/>
      <c r="B60" s="664"/>
      <c r="C60" s="664"/>
      <c r="D60" s="664"/>
      <c r="E60" s="664"/>
    </row>
    <row r="61" spans="1:15" x14ac:dyDescent="0.2">
      <c r="A61" s="666" t="s">
        <v>460</v>
      </c>
      <c r="B61" s="667">
        <v>2018</v>
      </c>
      <c r="C61" s="667">
        <v>2019</v>
      </c>
      <c r="D61" s="667">
        <v>2020</v>
      </c>
      <c r="E61" s="667">
        <v>2021</v>
      </c>
    </row>
    <row r="62" spans="1:15" x14ac:dyDescent="0.2">
      <c r="A62" s="668" t="s">
        <v>461</v>
      </c>
      <c r="B62" s="669">
        <f>B15-B28</f>
        <v>3681692489</v>
      </c>
      <c r="C62" s="669">
        <f>C15-C28</f>
        <v>3896631175</v>
      </c>
      <c r="D62" s="669">
        <f>D15-D28</f>
        <v>7500571029</v>
      </c>
      <c r="E62" s="669">
        <f>E15-E28</f>
        <v>7125612968</v>
      </c>
    </row>
    <row r="63" spans="1:15" x14ac:dyDescent="0.2">
      <c r="A63" s="668" t="s">
        <v>462</v>
      </c>
      <c r="B63" s="670">
        <f>B15/B28</f>
        <v>1.3970261506938031</v>
      </c>
      <c r="C63" s="671">
        <f>C15/C28</f>
        <v>1.3333289682808764</v>
      </c>
      <c r="D63" s="670">
        <f>D15/D28</f>
        <v>1.7635578518717046</v>
      </c>
      <c r="E63" s="670">
        <f>E15/E28</f>
        <v>1.4705245299081862</v>
      </c>
    </row>
    <row r="64" spans="1:15" x14ac:dyDescent="0.2">
      <c r="A64" s="672" t="s">
        <v>463</v>
      </c>
      <c r="B64" s="673">
        <f>(B15-B14)/B28</f>
        <v>1.3858915426842746</v>
      </c>
      <c r="C64" s="673">
        <f>(C15-C14)/C28</f>
        <v>1.3333289682808764</v>
      </c>
      <c r="D64" s="673">
        <f>(D15-D14)/D28</f>
        <v>1.7635578518717046</v>
      </c>
      <c r="E64" s="673">
        <f>(E15-E14)/E28</f>
        <v>1.4705245299081862</v>
      </c>
    </row>
    <row r="65" spans="1:5" x14ac:dyDescent="0.2">
      <c r="A65" s="674" t="s">
        <v>464</v>
      </c>
      <c r="B65" s="675">
        <f>B5++B13+B14-B20</f>
        <v>9866079273</v>
      </c>
      <c r="C65" s="675">
        <f>C5++C13+C14-C20</f>
        <v>12353450126</v>
      </c>
      <c r="D65" s="675">
        <f>D5++D13+D14-D20</f>
        <v>13109362257</v>
      </c>
      <c r="E65" s="675">
        <f>E5++E13+E14-E20</f>
        <v>16342146090</v>
      </c>
    </row>
    <row r="66" spans="1:5" x14ac:dyDescent="0.2">
      <c r="A66" s="676" t="s">
        <v>465</v>
      </c>
      <c r="B66" s="677">
        <f>B65/B39</f>
        <v>0.34504929086216846</v>
      </c>
      <c r="C66" s="677">
        <f>C65/C39</f>
        <v>0.41455274629486877</v>
      </c>
      <c r="D66" s="677">
        <f>D65/D39</f>
        <v>0.39866261948244497</v>
      </c>
      <c r="E66" s="677">
        <f>E65/E39</f>
        <v>0.43440226912749103</v>
      </c>
    </row>
    <row r="67" spans="1:5" x14ac:dyDescent="0.2">
      <c r="A67" s="676" t="s">
        <v>466</v>
      </c>
      <c r="B67" s="678">
        <f>B120/B66</f>
        <v>0.52528582738866869</v>
      </c>
      <c r="C67" s="678">
        <f t="shared" ref="C67:E67" si="39">C120/C66</f>
        <v>0.40686985568682421</v>
      </c>
      <c r="D67" s="678">
        <f t="shared" si="39"/>
        <v>0.50802463166687062</v>
      </c>
      <c r="E67" s="678">
        <f t="shared" si="39"/>
        <v>0.36497279287264039</v>
      </c>
    </row>
    <row r="68" spans="1:5" x14ac:dyDescent="0.2">
      <c r="A68" s="679"/>
      <c r="B68" s="680"/>
      <c r="C68" s="680"/>
      <c r="D68" s="680"/>
      <c r="E68" s="680"/>
    </row>
    <row r="69" spans="1:5" x14ac:dyDescent="0.2">
      <c r="A69" s="679"/>
      <c r="B69" s="680"/>
      <c r="C69" s="680"/>
      <c r="D69" s="680"/>
      <c r="E69" s="680"/>
    </row>
    <row r="70" spans="1:5" x14ac:dyDescent="0.2">
      <c r="A70" s="679"/>
      <c r="B70" s="680"/>
      <c r="C70" s="680"/>
      <c r="D70" s="680"/>
      <c r="E70" s="680"/>
    </row>
    <row r="71" spans="1:5" x14ac:dyDescent="0.2">
      <c r="A71" s="679"/>
      <c r="B71" s="680"/>
      <c r="C71" s="680"/>
      <c r="D71" s="680"/>
      <c r="E71" s="680"/>
    </row>
    <row r="72" spans="1:5" x14ac:dyDescent="0.2">
      <c r="A72" s="679"/>
      <c r="B72" s="680"/>
      <c r="C72" s="680"/>
      <c r="D72" s="680"/>
      <c r="E72" s="680"/>
    </row>
    <row r="73" spans="1:5" x14ac:dyDescent="0.2">
      <c r="A73" s="679"/>
      <c r="B73" s="680"/>
      <c r="C73" s="680"/>
      <c r="D73" s="680"/>
      <c r="E73" s="680"/>
    </row>
    <row r="74" spans="1:5" x14ac:dyDescent="0.2">
      <c r="A74" s="679"/>
      <c r="B74" s="680"/>
      <c r="C74" s="680"/>
      <c r="D74" s="680"/>
      <c r="E74" s="680"/>
    </row>
    <row r="75" spans="1:5" x14ac:dyDescent="0.2">
      <c r="A75" s="679"/>
      <c r="B75" s="680"/>
      <c r="C75" s="680"/>
      <c r="D75" s="680"/>
      <c r="E75" s="680"/>
    </row>
    <row r="76" spans="1:5" x14ac:dyDescent="0.2">
      <c r="A76" s="679"/>
      <c r="B76" s="680"/>
      <c r="C76" s="680"/>
      <c r="D76" s="680"/>
      <c r="E76" s="680"/>
    </row>
    <row r="77" spans="1:5" ht="13.5" thickBot="1" x14ac:dyDescent="0.25">
      <c r="A77" s="681"/>
    </row>
    <row r="78" spans="1:5" x14ac:dyDescent="0.2">
      <c r="A78" s="666" t="s">
        <v>600</v>
      </c>
      <c r="B78" s="667">
        <v>2018</v>
      </c>
      <c r="C78" s="667">
        <v>2019</v>
      </c>
      <c r="D78" s="667">
        <v>2020</v>
      </c>
      <c r="E78" s="667">
        <v>2021</v>
      </c>
    </row>
    <row r="79" spans="1:5" x14ac:dyDescent="0.2">
      <c r="A79" s="668" t="s">
        <v>601</v>
      </c>
      <c r="B79" s="682">
        <f>B5+B13</f>
        <v>12371873332</v>
      </c>
      <c r="C79" s="682">
        <f>C5+C13</f>
        <v>15341824109</v>
      </c>
      <c r="D79" s="682">
        <f>D5+D13</f>
        <v>14785522158</v>
      </c>
      <c r="E79" s="682">
        <f>E5+E13</f>
        <v>18264240965</v>
      </c>
    </row>
    <row r="80" spans="1:5" x14ac:dyDescent="0.2">
      <c r="A80" s="668" t="s">
        <v>602</v>
      </c>
      <c r="B80" s="683">
        <f>B39/B79</f>
        <v>2.3111492724422926</v>
      </c>
      <c r="C80" s="683">
        <f>C39/C79</f>
        <v>1.9423678020476516</v>
      </c>
      <c r="D80" s="683">
        <f>D39/D79</f>
        <v>2.2240235528109373</v>
      </c>
      <c r="E80" s="683">
        <f>E39/E79</f>
        <v>2.0597540957268028</v>
      </c>
    </row>
    <row r="81" spans="1:5" x14ac:dyDescent="0.2">
      <c r="A81" s="684" t="s">
        <v>603</v>
      </c>
      <c r="B81" s="685">
        <f>360/B80</f>
        <v>155.76665873233372</v>
      </c>
      <c r="C81" s="686">
        <f t="shared" ref="C81:E81" si="40">360/C80</f>
        <v>185.34079880261947</v>
      </c>
      <c r="D81" s="686">
        <f t="shared" si="40"/>
        <v>161.868789359266</v>
      </c>
      <c r="E81" s="686">
        <f t="shared" si="40"/>
        <v>174.77814499646414</v>
      </c>
    </row>
    <row r="82" spans="1:5" x14ac:dyDescent="0.2">
      <c r="A82" s="668" t="s">
        <v>604</v>
      </c>
      <c r="B82" s="683">
        <f>B40/B14</f>
        <v>157.46821297615554</v>
      </c>
      <c r="C82" s="683">
        <f>IFERROR(C40/C14,0)</f>
        <v>0</v>
      </c>
      <c r="D82" s="683">
        <f>IFERROR(D40/D14,0)</f>
        <v>0</v>
      </c>
      <c r="E82" s="683">
        <f>IFERROR(E40/E14,0)</f>
        <v>0</v>
      </c>
    </row>
    <row r="83" spans="1:5" x14ac:dyDescent="0.2">
      <c r="A83" s="668" t="s">
        <v>605</v>
      </c>
      <c r="B83" s="686">
        <f>360/B82</f>
        <v>2.2861756871179622</v>
      </c>
      <c r="C83" s="686">
        <f>IFERROR(360/C82,0)</f>
        <v>0</v>
      </c>
      <c r="D83" s="686">
        <f t="shared" ref="D83:E83" si="41">IFERROR(360/D82,0)</f>
        <v>0</v>
      </c>
      <c r="E83" s="686">
        <f t="shared" si="41"/>
        <v>0</v>
      </c>
    </row>
    <row r="84" spans="1:5" x14ac:dyDescent="0.2">
      <c r="A84" s="668" t="s">
        <v>606</v>
      </c>
      <c r="B84" s="683">
        <f>B40/B20</f>
        <v>6.2318112584374257</v>
      </c>
      <c r="C84" s="683">
        <f>C40/C20</f>
        <v>5.4970457621602176</v>
      </c>
      <c r="D84" s="683">
        <f>D40/D20</f>
        <v>10.299205603057796</v>
      </c>
      <c r="E84" s="683">
        <f>E40/E20</f>
        <v>10.290701290174347</v>
      </c>
    </row>
    <row r="85" spans="1:5" x14ac:dyDescent="0.2">
      <c r="A85" s="668" t="s">
        <v>607</v>
      </c>
      <c r="B85" s="686">
        <f>360/B84</f>
        <v>57.768116695220158</v>
      </c>
      <c r="C85" s="687">
        <f t="shared" ref="C85:E85" si="42">360/C84</f>
        <v>65.489722221000392</v>
      </c>
      <c r="D85" s="686">
        <f t="shared" si="42"/>
        <v>34.954152181709752</v>
      </c>
      <c r="E85" s="686">
        <f t="shared" si="42"/>
        <v>34.9830385557621</v>
      </c>
    </row>
    <row r="86" spans="1:5" x14ac:dyDescent="0.2">
      <c r="A86" s="668" t="s">
        <v>608</v>
      </c>
      <c r="B86" s="686">
        <f>B81+B83</f>
        <v>158.0528344194517</v>
      </c>
      <c r="C86" s="688">
        <f t="shared" ref="C86:E86" si="43">C81+C83</f>
        <v>185.34079880261947</v>
      </c>
      <c r="D86" s="686">
        <f t="shared" si="43"/>
        <v>161.868789359266</v>
      </c>
      <c r="E86" s="686">
        <f t="shared" si="43"/>
        <v>174.77814499646414</v>
      </c>
    </row>
    <row r="87" spans="1:5" x14ac:dyDescent="0.2">
      <c r="A87" s="668" t="s">
        <v>609</v>
      </c>
      <c r="B87" s="686">
        <f>B86-B85</f>
        <v>100.28471772423154</v>
      </c>
      <c r="C87" s="686">
        <f t="shared" ref="C87:E87" si="44">C86-C85</f>
        <v>119.85107658161908</v>
      </c>
      <c r="D87" s="686">
        <f t="shared" si="44"/>
        <v>126.91463717755624</v>
      </c>
      <c r="E87" s="686">
        <f t="shared" si="44"/>
        <v>139.79510644070203</v>
      </c>
    </row>
    <row r="88" spans="1:5" x14ac:dyDescent="0.2">
      <c r="A88" s="668" t="s">
        <v>610</v>
      </c>
      <c r="B88" s="683">
        <f>B39/B18</f>
        <v>2.0507874600801865</v>
      </c>
      <c r="C88" s="683">
        <f>C39/C18</f>
        <v>1.8300911548978951</v>
      </c>
      <c r="D88" s="683">
        <f>D39/D18</f>
        <v>1.7844682062239812</v>
      </c>
      <c r="E88" s="683">
        <f>E39/E18</f>
        <v>1.5524409906795131</v>
      </c>
    </row>
    <row r="89" spans="1:5" x14ac:dyDescent="0.2">
      <c r="A89" s="668" t="s">
        <v>611</v>
      </c>
      <c r="B89" s="683">
        <f>B39/B16</f>
        <v>28.949237076368597</v>
      </c>
      <c r="C89" s="683">
        <f>C39/C16</f>
        <v>42.792458703595628</v>
      </c>
      <c r="D89" s="683">
        <f>D39/D16</f>
        <v>29.791654442732565</v>
      </c>
      <c r="E89" s="683">
        <f>E39/E16</f>
        <v>19.163344990227078</v>
      </c>
    </row>
    <row r="90" spans="1:5" x14ac:dyDescent="0.2">
      <c r="A90" s="668" t="s">
        <v>612</v>
      </c>
      <c r="B90" s="683">
        <f>B39/B15</f>
        <v>2.2071432823085186</v>
      </c>
      <c r="C90" s="683">
        <f>C39/C15</f>
        <v>1.9118548281341603</v>
      </c>
      <c r="D90" s="683">
        <f>D39/D15</f>
        <v>1.8981649821919049</v>
      </c>
      <c r="E90" s="683">
        <f>E39/E15</f>
        <v>1.6892921727428476</v>
      </c>
    </row>
    <row r="91" spans="1:5" ht="13.5" thickBot="1" x14ac:dyDescent="0.25">
      <c r="A91" s="689" t="s">
        <v>613</v>
      </c>
      <c r="B91" s="690">
        <f>B39/B35</f>
        <v>6.1235435282779909</v>
      </c>
      <c r="C91" s="690">
        <f>C39/C35</f>
        <v>6.4880133494864225</v>
      </c>
      <c r="D91" s="690">
        <f>D39/D35</f>
        <v>3.8217129953825046</v>
      </c>
      <c r="E91" s="690">
        <f>E39/E35</f>
        <v>4.1391761659942272</v>
      </c>
    </row>
    <row r="92" spans="1:5" x14ac:dyDescent="0.2">
      <c r="A92" s="681"/>
    </row>
    <row r="93" spans="1:5" x14ac:dyDescent="0.2">
      <c r="A93" s="681"/>
    </row>
    <row r="94" spans="1:5" x14ac:dyDescent="0.2">
      <c r="A94" s="681"/>
    </row>
    <row r="95" spans="1:5" x14ac:dyDescent="0.2">
      <c r="A95" s="681"/>
    </row>
    <row r="96" spans="1:5" ht="13.5" thickBot="1" x14ac:dyDescent="0.25"/>
    <row r="97" spans="1:5" x14ac:dyDescent="0.2">
      <c r="A97" s="666" t="s">
        <v>614</v>
      </c>
      <c r="B97" s="667">
        <v>2018</v>
      </c>
      <c r="C97" s="667">
        <v>2019</v>
      </c>
      <c r="D97" s="667">
        <v>2020</v>
      </c>
      <c r="E97" s="667">
        <v>2021</v>
      </c>
    </row>
    <row r="98" spans="1:5" x14ac:dyDescent="0.2">
      <c r="A98" s="668" t="s">
        <v>615</v>
      </c>
      <c r="B98" s="691">
        <f>B29/B18</f>
        <v>0.66509792073660812</v>
      </c>
      <c r="C98" s="691">
        <f>C29/C18</f>
        <v>0.71792734442465944</v>
      </c>
      <c r="D98" s="691">
        <f>D29/D18</f>
        <v>0.53307111015923414</v>
      </c>
      <c r="E98" s="691">
        <f>E29/E18</f>
        <v>0.62493961879812432</v>
      </c>
    </row>
    <row r="99" spans="1:5" x14ac:dyDescent="0.2">
      <c r="A99" s="668" t="s">
        <v>616</v>
      </c>
      <c r="B99" s="691">
        <f>B28/B29</f>
        <v>1</v>
      </c>
      <c r="C99" s="691">
        <f>C28/C29</f>
        <v>1</v>
      </c>
      <c r="D99" s="691">
        <f>D28/D29</f>
        <v>1</v>
      </c>
      <c r="E99" s="691">
        <f>E28/E29</f>
        <v>1</v>
      </c>
    </row>
    <row r="100" spans="1:5" x14ac:dyDescent="0.2">
      <c r="A100" s="684" t="s">
        <v>617</v>
      </c>
      <c r="B100" s="692">
        <f>-B52/B48</f>
        <v>1.0507491054572784</v>
      </c>
      <c r="C100" s="692">
        <f>-C52/C48</f>
        <v>0.73207704105259386</v>
      </c>
      <c r="D100" s="692">
        <f>-D52/D48</f>
        <v>5.2722454368643588</v>
      </c>
      <c r="E100" s="692">
        <f>-E52/E48</f>
        <v>4.4406066355607754</v>
      </c>
    </row>
    <row r="101" spans="1:5" x14ac:dyDescent="0.2">
      <c r="A101" s="668" t="s">
        <v>618</v>
      </c>
      <c r="B101" s="692">
        <f>-B45/B48</f>
        <v>2.5338947899562743</v>
      </c>
      <c r="C101" s="692">
        <f>-C45/C48</f>
        <v>2.7287128813572923</v>
      </c>
      <c r="D101" s="692">
        <f>-D45/D48</f>
        <v>8.8403492993263697</v>
      </c>
      <c r="E101" s="692">
        <f>-E45/E48</f>
        <v>7.6988720629036651</v>
      </c>
    </row>
    <row r="102" spans="1:5" x14ac:dyDescent="0.2">
      <c r="A102" s="668" t="s">
        <v>619</v>
      </c>
      <c r="B102" s="691">
        <f>(B19)/B18</f>
        <v>8.5990119749082661E-2</v>
      </c>
      <c r="C102" s="691">
        <f>(C19)/C18</f>
        <v>7.801341412219702E-2</v>
      </c>
      <c r="D102" s="691">
        <f>(D19)/D18</f>
        <v>0.15247301811760522</v>
      </c>
      <c r="E102" s="691">
        <f>(E19)/E18</f>
        <v>0.26937388360326631</v>
      </c>
    </row>
    <row r="103" spans="1:5" x14ac:dyDescent="0.2">
      <c r="A103" s="668" t="s">
        <v>620</v>
      </c>
      <c r="B103" s="691">
        <f>(B20)/B39</f>
        <v>9.1246975227564267E-2</v>
      </c>
      <c r="C103" s="691">
        <f>(C20)/C39</f>
        <v>0.10028280593462977</v>
      </c>
      <c r="D103" s="691">
        <f>(D20)/D39</f>
        <v>5.0972906515516066E-2</v>
      </c>
      <c r="E103" s="691">
        <f>(E20)/E39</f>
        <v>5.1092578084909364E-2</v>
      </c>
    </row>
    <row r="104" spans="1:5" x14ac:dyDescent="0.2">
      <c r="A104" s="668" t="s">
        <v>621</v>
      </c>
      <c r="B104" s="691">
        <f>-B48/B39</f>
        <v>6.8631811567263445E-2</v>
      </c>
      <c r="C104" s="691">
        <f>-C48/C39</f>
        <v>6.2853376195294533E-2</v>
      </c>
      <c r="D104" s="691">
        <f>-D48/D39</f>
        <v>2.3137603136725714E-2</v>
      </c>
      <c r="E104" s="691">
        <f>-E48/E39</f>
        <v>2.1322245935998442E-2</v>
      </c>
    </row>
    <row r="105" spans="1:5" x14ac:dyDescent="0.2">
      <c r="A105" s="684" t="s">
        <v>622</v>
      </c>
      <c r="B105" s="692">
        <f>B29/B35</f>
        <v>1.9859474214059016</v>
      </c>
      <c r="C105" s="692">
        <f>C29/C35</f>
        <v>2.5451858953159099</v>
      </c>
      <c r="D105" s="692">
        <f>D29/D35</f>
        <v>1.1416537330577774</v>
      </c>
      <c r="E105" s="692">
        <f>E29/E35</f>
        <v>1.6662373583568442</v>
      </c>
    </row>
    <row r="106" spans="1:5" x14ac:dyDescent="0.2">
      <c r="A106" s="668" t="s">
        <v>623</v>
      </c>
      <c r="B106" s="692">
        <f>B28/B35</f>
        <v>1.9859474214059016</v>
      </c>
      <c r="C106" s="692">
        <f>C28/C35</f>
        <v>2.5451858953159099</v>
      </c>
      <c r="D106" s="692">
        <f>D28/D35</f>
        <v>1.1416537330577774</v>
      </c>
      <c r="E106" s="692">
        <f>E28/E35</f>
        <v>1.6662373583568442</v>
      </c>
    </row>
    <row r="107" spans="1:5" ht="13.5" thickBot="1" x14ac:dyDescent="0.25">
      <c r="A107" s="689" t="s">
        <v>624</v>
      </c>
      <c r="B107" s="693">
        <f>(B19)/B35</f>
        <v>0.25676197633115805</v>
      </c>
      <c r="C107" s="693">
        <f>(C19)/C35</f>
        <v>0.27657205539145185</v>
      </c>
      <c r="D107" s="693">
        <f>(D19)/D35</f>
        <v>0.32654440844215532</v>
      </c>
      <c r="E107" s="693">
        <f>(E19)/E35</f>
        <v>0.71821471182869678</v>
      </c>
    </row>
    <row r="108" spans="1:5" x14ac:dyDescent="0.2">
      <c r="A108" s="679"/>
      <c r="B108" s="694"/>
      <c r="C108" s="694"/>
      <c r="D108" s="694"/>
      <c r="E108" s="694"/>
    </row>
    <row r="109" spans="1:5" x14ac:dyDescent="0.2">
      <c r="A109" s="679"/>
      <c r="B109" s="694"/>
      <c r="C109" s="694"/>
      <c r="D109" s="694"/>
      <c r="E109" s="694"/>
    </row>
    <row r="110" spans="1:5" x14ac:dyDescent="0.2">
      <c r="A110" s="679"/>
      <c r="B110" s="694"/>
      <c r="C110" s="694"/>
      <c r="D110" s="694"/>
      <c r="E110" s="694"/>
    </row>
    <row r="111" spans="1:5" x14ac:dyDescent="0.2">
      <c r="A111" s="679"/>
      <c r="B111" s="694"/>
      <c r="C111" s="694"/>
      <c r="D111" s="694"/>
      <c r="E111" s="694"/>
    </row>
    <row r="112" spans="1:5" ht="13.5" thickBot="1" x14ac:dyDescent="0.25"/>
    <row r="113" spans="1:5" x14ac:dyDescent="0.2">
      <c r="A113" s="666" t="s">
        <v>455</v>
      </c>
      <c r="B113" s="667">
        <v>2018</v>
      </c>
      <c r="C113" s="667">
        <v>2019</v>
      </c>
      <c r="D113" s="667">
        <v>2020</v>
      </c>
      <c r="E113" s="667">
        <v>2021</v>
      </c>
    </row>
    <row r="114" spans="1:5" x14ac:dyDescent="0.2">
      <c r="A114" s="668" t="s">
        <v>158</v>
      </c>
      <c r="B114" s="691">
        <f>B52/B18</f>
        <v>0.14789215748863546</v>
      </c>
      <c r="C114" s="691">
        <f>C52/C18</f>
        <v>8.4208924364486626E-2</v>
      </c>
      <c r="D114" s="691">
        <f>D52/D18</f>
        <v>0.21768214177275083</v>
      </c>
      <c r="E114" s="691">
        <f>E52/E18</f>
        <v>0.14699086756787524</v>
      </c>
    </row>
    <row r="115" spans="1:5" x14ac:dyDescent="0.2">
      <c r="A115" s="668" t="s">
        <v>157</v>
      </c>
      <c r="B115" s="691">
        <f>B52/B35</f>
        <v>0.44159820629934654</v>
      </c>
      <c r="C115" s="691">
        <f>C52/C35</f>
        <v>0.29853629091670225</v>
      </c>
      <c r="D115" s="691">
        <f>D52/D35</f>
        <v>0.46619977154762415</v>
      </c>
      <c r="E115" s="691">
        <f>E52/E35</f>
        <v>0.39191254244675239</v>
      </c>
    </row>
    <row r="116" spans="1:5" x14ac:dyDescent="0.2">
      <c r="A116" s="684" t="s">
        <v>456</v>
      </c>
      <c r="B116" s="691">
        <f>B41/B39</f>
        <v>0.43136607247850406</v>
      </c>
      <c r="C116" s="691">
        <f>C41/C39</f>
        <v>0.44874082661950798</v>
      </c>
      <c r="D116" s="691">
        <f>D41/D39</f>
        <v>0.47501955561125575</v>
      </c>
      <c r="E116" s="691">
        <f>E41/E39</f>
        <v>0.47422154078328965</v>
      </c>
    </row>
    <row r="117" spans="1:5" x14ac:dyDescent="0.2">
      <c r="A117" s="668" t="s">
        <v>457</v>
      </c>
      <c r="B117" s="691">
        <f>B45/B39</f>
        <v>0.17390578975554963</v>
      </c>
      <c r="C117" s="691">
        <f>C45/C39</f>
        <v>0.17150881726089598</v>
      </c>
      <c r="D117" s="691">
        <f>D45/D39</f>
        <v>0.20454449367784477</v>
      </c>
      <c r="E117" s="691">
        <f>E45/E39</f>
        <v>0.16415724355501959</v>
      </c>
    </row>
    <row r="118" spans="1:5" x14ac:dyDescent="0.2">
      <c r="A118" s="695" t="s">
        <v>458</v>
      </c>
      <c r="B118" s="696">
        <f>B52/B39</f>
        <v>7.2114814610214573E-2</v>
      </c>
      <c r="C118" s="696">
        <f t="shared" ref="C118:E118" si="45">C52/C39</f>
        <v>4.6013513665216763E-2</v>
      </c>
      <c r="D118" s="696">
        <f t="shared" si="45"/>
        <v>0.12198712255758062</v>
      </c>
      <c r="E118" s="696">
        <f t="shared" si="45"/>
        <v>9.4683706788453462E-2</v>
      </c>
    </row>
    <row r="119" spans="1:5" x14ac:dyDescent="0.2">
      <c r="A119" s="668" t="s">
        <v>110</v>
      </c>
      <c r="B119" s="697">
        <f>B52+B51-B48+B54</f>
        <v>5182511614</v>
      </c>
      <c r="C119" s="697">
        <f>C52+C51-C48+C55</f>
        <v>5026246470</v>
      </c>
      <c r="D119" s="697">
        <f>D52+D51-D48+D55</f>
        <v>6659878932</v>
      </c>
      <c r="E119" s="697">
        <f>E52+E51-E48+E55</f>
        <v>5964438700</v>
      </c>
    </row>
    <row r="120" spans="1:5" ht="13.5" thickBot="1" x14ac:dyDescent="0.25">
      <c r="A120" s="689" t="s">
        <v>459</v>
      </c>
      <c r="B120" s="698">
        <f>B119/B39</f>
        <v>0.18124950224040756</v>
      </c>
      <c r="C120" s="698">
        <f>C119/C39</f>
        <v>0.16866901605956991</v>
      </c>
      <c r="D120" s="698">
        <f>D119/D39</f>
        <v>0.2025304304219189</v>
      </c>
      <c r="E120" s="698">
        <f>E119/E39</f>
        <v>0.15854500939367278</v>
      </c>
    </row>
    <row r="123" spans="1:5" ht="13.5" thickBot="1" x14ac:dyDescent="0.25"/>
    <row r="124" spans="1:5" x14ac:dyDescent="0.2">
      <c r="A124" s="666" t="s">
        <v>625</v>
      </c>
      <c r="B124" s="667">
        <v>2018</v>
      </c>
      <c r="C124" s="667">
        <v>2019</v>
      </c>
      <c r="D124" s="667">
        <v>2020</v>
      </c>
      <c r="E124" s="667">
        <v>2021</v>
      </c>
    </row>
    <row r="125" spans="1:5" x14ac:dyDescent="0.2">
      <c r="A125" s="699" t="s">
        <v>626</v>
      </c>
      <c r="B125" s="700">
        <f>B51/B50</f>
        <v>0.32999999991551876</v>
      </c>
      <c r="C125" s="700">
        <f>C51/C50</f>
        <v>0.5651539439327109</v>
      </c>
      <c r="D125" s="700">
        <f>D51/D50</f>
        <v>0.31999999997965772</v>
      </c>
      <c r="E125" s="700">
        <f>E51/E50</f>
        <v>0.30999999998062877</v>
      </c>
    </row>
    <row r="126" spans="1:5" x14ac:dyDescent="0.2">
      <c r="A126" s="699" t="s">
        <v>627</v>
      </c>
      <c r="B126" s="700">
        <f>-B48/(B19)</f>
        <v>1.6368073324637007</v>
      </c>
      <c r="C126" s="700">
        <f>-C48/(C19)</f>
        <v>1.4744567857305184</v>
      </c>
      <c r="D126" s="700">
        <f>-D48/(D19)</f>
        <v>0.27079097453077805</v>
      </c>
      <c r="E126" s="700">
        <f>-E48/(E19)</f>
        <v>0.12288321407262166</v>
      </c>
    </row>
    <row r="127" spans="1:5" x14ac:dyDescent="0.2">
      <c r="A127" s="699" t="s">
        <v>628</v>
      </c>
      <c r="B127" s="701">
        <f>B126*(1-B125)</f>
        <v>1.0966609128889591</v>
      </c>
      <c r="C127" s="701">
        <f>C126*(1-C125)</f>
        <v>0.64116171811656786</v>
      </c>
      <c r="D127" s="701">
        <f>D126*(1-D125)</f>
        <v>0.18413786268643759</v>
      </c>
      <c r="E127" s="701">
        <f>E126*(1-E125)</f>
        <v>8.4789417712489351E-2</v>
      </c>
    </row>
    <row r="128" spans="1:5" x14ac:dyDescent="0.2">
      <c r="A128" s="699" t="s">
        <v>148</v>
      </c>
      <c r="B128" s="700">
        <f>(((B19*B127)+(B35*B125))/(B19+B35))</f>
        <v>0.48663218237983008</v>
      </c>
      <c r="C128" s="700">
        <f>(((C19*C127)+(C35*C125))/(C19+C35))</f>
        <v>0.58162119013552127</v>
      </c>
      <c r="D128" s="700">
        <f>(((D19*D127)+(D35*D125))/(D19+D35))</f>
        <v>0.28655594716863869</v>
      </c>
      <c r="E128" s="700">
        <f>(((E19*E127)+(E35*E125))/(E19+E35))</f>
        <v>0.2158618504636021</v>
      </c>
    </row>
    <row r="129" spans="1:5" x14ac:dyDescent="0.2">
      <c r="A129" s="699" t="s">
        <v>629</v>
      </c>
      <c r="B129" s="702">
        <f>B52-B51-B48</f>
        <v>3008792629</v>
      </c>
      <c r="C129" s="702">
        <f>C52-C51-C48</f>
        <v>1462103716</v>
      </c>
      <c r="D129" s="702">
        <f>D52-D51-D48</f>
        <v>2884495226</v>
      </c>
      <c r="E129" s="702">
        <f>E52-E51-E48</f>
        <v>2763813252</v>
      </c>
    </row>
    <row r="130" spans="1:5" x14ac:dyDescent="0.2">
      <c r="A130" s="699" t="s">
        <v>630</v>
      </c>
      <c r="B130" s="702">
        <f>B129*(1-B125)</f>
        <v>2015891061.6841865</v>
      </c>
      <c r="C130" s="702">
        <f>C129*(1-C125)</f>
        <v>635790034.46392775</v>
      </c>
      <c r="D130" s="702">
        <f>D129*(1-D125)</f>
        <v>1961456753.7386773</v>
      </c>
      <c r="E130" s="702">
        <f>E129*(1-E125)</f>
        <v>1907031143.9335384</v>
      </c>
    </row>
    <row r="131" spans="1:5" x14ac:dyDescent="0.2">
      <c r="A131" s="699" t="s">
        <v>631</v>
      </c>
      <c r="B131" s="702">
        <f>B130-(B19+B35)*B128</f>
        <v>-839821627.96712351</v>
      </c>
      <c r="C131" s="702">
        <f t="shared" ref="C131:E131" si="46">C130-(C19+C35)*C128</f>
        <v>-2774429116.2568703</v>
      </c>
      <c r="D131" s="702">
        <f t="shared" si="46"/>
        <v>-1309307171.6617682</v>
      </c>
      <c r="E131" s="702">
        <f t="shared" si="46"/>
        <v>-1463950764.3459401</v>
      </c>
    </row>
    <row r="132" spans="1:5" x14ac:dyDescent="0.2">
      <c r="B132" s="639"/>
      <c r="C132" s="639"/>
      <c r="D132" s="639"/>
      <c r="E132" s="639"/>
    </row>
  </sheetData>
  <mergeCells count="3">
    <mergeCell ref="F1:I1"/>
    <mergeCell ref="J1:L1"/>
    <mergeCell ref="M1:O1"/>
  </mergeCells>
  <pageMargins left="0.19685039370078741" right="0.19685039370078741" top="0.19685039370078741" bottom="0.19685039370078741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pageSetUpPr fitToPage="1"/>
  </sheetPr>
  <dimension ref="A1:Y554"/>
  <sheetViews>
    <sheetView showGridLines="0" zoomScale="70" zoomScaleNormal="70" workbookViewId="0">
      <pane xSplit="1" ySplit="3" topLeftCell="B69" activePane="bottomRight" state="frozen"/>
      <selection pane="topRight" activeCell="B1" sqref="B1"/>
      <selection pane="bottomLeft" activeCell="A4" sqref="A4"/>
      <selection pane="bottomRight" activeCell="L75" sqref="L75"/>
    </sheetView>
  </sheetViews>
  <sheetFormatPr baseColWidth="10" defaultColWidth="10.7109375" defaultRowHeight="12.75" x14ac:dyDescent="0.2"/>
  <cols>
    <col min="1" max="1" width="7.28515625" customWidth="1"/>
    <col min="2" max="2" width="59" customWidth="1"/>
    <col min="3" max="3" width="25.5703125" customWidth="1"/>
    <col min="4" max="9" width="20.7109375" customWidth="1"/>
    <col min="10" max="10" width="19.85546875" bestFit="1" customWidth="1"/>
    <col min="11" max="11" width="19.85546875" style="21" customWidth="1"/>
    <col min="12" max="12" width="45.42578125" style="21" bestFit="1" customWidth="1"/>
    <col min="13" max="14" width="18.42578125" style="21" customWidth="1"/>
    <col min="15" max="15" width="30.42578125" style="21" bestFit="1" customWidth="1"/>
    <col min="16" max="16" width="19.42578125" style="21" bestFit="1" customWidth="1"/>
    <col min="17" max="17" width="16.7109375" style="21" customWidth="1"/>
    <col min="18" max="19" width="16.85546875" style="21" customWidth="1"/>
    <col min="20" max="21" width="20.7109375" customWidth="1"/>
    <col min="23" max="23" width="17.42578125" customWidth="1"/>
    <col min="24" max="24" width="14" bestFit="1" customWidth="1"/>
  </cols>
  <sheetData>
    <row r="1" spans="1:20" s="7" customFormat="1" ht="30" customHeight="1" x14ac:dyDescent="0.2">
      <c r="A1" s="2"/>
      <c r="B1" s="745" t="s">
        <v>480</v>
      </c>
      <c r="C1" s="745"/>
      <c r="D1" s="745"/>
      <c r="E1" s="745"/>
      <c r="F1" s="746"/>
      <c r="G1" s="593"/>
      <c r="H1" s="594"/>
      <c r="I1" s="594"/>
      <c r="J1" s="595"/>
    </row>
    <row r="2" spans="1:20" s="7" customFormat="1" ht="30" customHeight="1" x14ac:dyDescent="0.2">
      <c r="A2" s="2"/>
      <c r="B2" s="745" t="s">
        <v>481</v>
      </c>
      <c r="C2" s="745"/>
      <c r="D2" s="745"/>
      <c r="E2" s="745"/>
      <c r="F2" s="746"/>
      <c r="G2" s="596"/>
      <c r="J2" s="597"/>
    </row>
    <row r="3" spans="1:20" s="7" customFormat="1" ht="30" customHeight="1" thickBot="1" x14ac:dyDescent="0.25">
      <c r="B3" s="745" t="s">
        <v>482</v>
      </c>
      <c r="C3" s="745"/>
      <c r="D3" s="745"/>
      <c r="E3" s="745"/>
      <c r="F3" s="746"/>
      <c r="G3" s="598"/>
      <c r="H3" s="599"/>
      <c r="I3" s="599"/>
      <c r="J3" s="600"/>
    </row>
    <row r="4" spans="1:20" ht="27" thickBot="1" x14ac:dyDescent="0.4">
      <c r="A4" s="7"/>
      <c r="B4" s="429"/>
      <c r="C4" s="430" t="s">
        <v>400</v>
      </c>
      <c r="D4" s="431"/>
      <c r="E4" s="431"/>
      <c r="F4" s="431"/>
      <c r="G4" s="432"/>
      <c r="H4" s="432"/>
      <c r="I4" s="432"/>
      <c r="J4" s="433"/>
      <c r="K4" s="103"/>
      <c r="L4" s="749" t="s">
        <v>289</v>
      </c>
      <c r="M4" s="750"/>
      <c r="N4" s="750"/>
      <c r="O4" s="750"/>
      <c r="P4" s="750"/>
      <c r="Q4" s="751"/>
      <c r="R4" s="103"/>
    </row>
    <row r="5" spans="1:20" s="2" customFormat="1" ht="19.899999999999999" customHeight="1" x14ac:dyDescent="0.2">
      <c r="B5" s="434" t="s">
        <v>399</v>
      </c>
      <c r="C5" s="435"/>
      <c r="D5" s="435"/>
      <c r="E5" s="435"/>
      <c r="F5" s="435"/>
      <c r="G5" s="435"/>
      <c r="H5" s="435"/>
      <c r="I5" s="435"/>
      <c r="J5" s="436"/>
      <c r="K5" s="103"/>
      <c r="L5" s="415" t="str">
        <f ca="1">CELL("direccion",C3)</f>
        <v>$C$3</v>
      </c>
      <c r="M5" s="416" t="s">
        <v>149</v>
      </c>
      <c r="N5" s="417"/>
      <c r="O5" s="418" t="s">
        <v>469</v>
      </c>
      <c r="P5" s="418" t="s">
        <v>470</v>
      </c>
      <c r="Q5" s="419" t="s">
        <v>471</v>
      </c>
      <c r="R5" s="103"/>
    </row>
    <row r="6" spans="1:20" s="2" customFormat="1" ht="19.899999999999999" customHeight="1" x14ac:dyDescent="0.2">
      <c r="B6" s="437" t="s">
        <v>256</v>
      </c>
      <c r="C6" s="438"/>
      <c r="D6" s="438"/>
      <c r="E6" s="438"/>
      <c r="F6" s="438"/>
      <c r="G6" s="438"/>
      <c r="H6" s="438"/>
      <c r="I6" s="438"/>
      <c r="J6" s="439"/>
      <c r="K6" s="104"/>
      <c r="L6" s="412" t="str">
        <f ca="1">CELL("direccion",C16)</f>
        <v>$C$16</v>
      </c>
      <c r="M6" s="411" t="s">
        <v>327</v>
      </c>
      <c r="N6" s="413"/>
      <c r="O6" s="414">
        <v>1</v>
      </c>
      <c r="P6" s="414">
        <v>2</v>
      </c>
      <c r="Q6" s="414">
        <v>3</v>
      </c>
      <c r="R6" s="103"/>
    </row>
    <row r="7" spans="1:20" s="2" customFormat="1" ht="19.899999999999999" customHeight="1" x14ac:dyDescent="0.2">
      <c r="B7" s="437" t="s">
        <v>401</v>
      </c>
      <c r="C7" s="438"/>
      <c r="D7" s="438"/>
      <c r="E7" s="438"/>
      <c r="F7" s="438"/>
      <c r="G7" s="438"/>
      <c r="H7" s="438"/>
      <c r="I7" s="438"/>
      <c r="J7" s="439"/>
      <c r="K7" s="104"/>
      <c r="L7" s="412" t="str">
        <f ca="1">CELL("direccion",J22)</f>
        <v>$J$22</v>
      </c>
      <c r="M7" s="411" t="s">
        <v>286</v>
      </c>
      <c r="N7" s="413"/>
      <c r="O7" s="208">
        <v>0.02</v>
      </c>
      <c r="P7" s="208">
        <v>0.03</v>
      </c>
      <c r="Q7" s="208">
        <v>0.01</v>
      </c>
      <c r="R7" s="104"/>
    </row>
    <row r="8" spans="1:20" s="2" customFormat="1" ht="19.899999999999999" customHeight="1" x14ac:dyDescent="0.2">
      <c r="B8" s="437" t="s">
        <v>408</v>
      </c>
      <c r="C8" s="438"/>
      <c r="D8" s="438"/>
      <c r="E8" s="438"/>
      <c r="F8" s="438"/>
      <c r="G8" s="438"/>
      <c r="H8" s="438"/>
      <c r="I8" s="438"/>
      <c r="J8" s="439"/>
      <c r="K8" s="104"/>
      <c r="L8" s="412" t="str">
        <f ca="1">CELL("direccion",F32)</f>
        <v>$F$32</v>
      </c>
      <c r="M8" s="411" t="s">
        <v>475</v>
      </c>
      <c r="N8" s="413"/>
      <c r="O8" s="208">
        <v>0.1</v>
      </c>
      <c r="P8" s="208">
        <v>0.12</v>
      </c>
      <c r="Q8" s="208">
        <v>0.05</v>
      </c>
      <c r="R8" s="104"/>
    </row>
    <row r="9" spans="1:20" s="2" customFormat="1" ht="19.899999999999999" customHeight="1" x14ac:dyDescent="0.2">
      <c r="B9" s="437" t="s">
        <v>212</v>
      </c>
      <c r="C9" s="438"/>
      <c r="D9" s="438"/>
      <c r="E9" s="438"/>
      <c r="F9" s="462"/>
      <c r="G9" s="438"/>
      <c r="H9" s="438"/>
      <c r="I9" s="438"/>
      <c r="J9" s="439"/>
      <c r="K9" s="104"/>
      <c r="L9" s="412" t="str">
        <f ca="1">CELL("direccion",F55)</f>
        <v>$F$55</v>
      </c>
      <c r="M9" s="752" t="s">
        <v>476</v>
      </c>
      <c r="N9" s="753"/>
      <c r="O9" s="208">
        <v>6.5000000000000002E-2</v>
      </c>
      <c r="P9" s="208">
        <v>0.1</v>
      </c>
      <c r="Q9" s="208">
        <v>0.01</v>
      </c>
      <c r="R9" s="103"/>
    </row>
    <row r="10" spans="1:20" s="2" customFormat="1" ht="21" customHeight="1" x14ac:dyDescent="0.25">
      <c r="B10" s="424" t="str">
        <f>"E1: Ampliación de portafolio de servicios de salud mental "&amp;TEXT(F15,"####")</f>
        <v>E1: Ampliación de portafolio de servicios de salud mental 2022</v>
      </c>
      <c r="C10" s="463"/>
      <c r="D10" s="463"/>
      <c r="E10" s="464"/>
      <c r="F10" s="463"/>
      <c r="G10" s="463"/>
      <c r="H10" s="463"/>
      <c r="I10" s="463"/>
      <c r="J10" s="463"/>
      <c r="K10" s="104"/>
      <c r="L10" s="412" t="str">
        <f ca="1">CELL("direccion",D103)</f>
        <v>$D$103</v>
      </c>
      <c r="M10" s="411" t="s">
        <v>196</v>
      </c>
      <c r="N10" s="413"/>
      <c r="O10" s="208">
        <v>0.6</v>
      </c>
      <c r="P10" s="208">
        <v>0.62</v>
      </c>
      <c r="Q10" s="208">
        <v>0.57999999999999996</v>
      </c>
      <c r="R10" s="103"/>
    </row>
    <row r="11" spans="1:20" s="2" customFormat="1" ht="21" customHeight="1" x14ac:dyDescent="0.25">
      <c r="B11" s="424" t="str">
        <f>"E2: Ampliación de servicios ofrecidos a particulares en el "&amp;TEXT(F15,"###")</f>
        <v>E2: Ampliación de servicios ofrecidos a particulares en el 2022</v>
      </c>
      <c r="C11" s="335"/>
      <c r="D11" s="335"/>
      <c r="E11" s="335"/>
      <c r="F11" s="335"/>
      <c r="G11" s="335"/>
      <c r="H11" s="335"/>
      <c r="I11" s="335"/>
      <c r="J11" s="335"/>
      <c r="K11" s="104"/>
      <c r="L11" s="412" t="str">
        <f ca="1">CELL("direccion",M126)</f>
        <v>$M$126</v>
      </c>
      <c r="M11" s="411" t="s">
        <v>347</v>
      </c>
      <c r="N11" s="413"/>
      <c r="O11" s="208">
        <v>0.05</v>
      </c>
      <c r="P11" s="208">
        <v>0.08</v>
      </c>
      <c r="Q11" s="208">
        <v>0.03</v>
      </c>
      <c r="R11" s="103"/>
    </row>
    <row r="12" spans="1:20" s="2" customFormat="1" ht="21" customHeight="1" thickBot="1" x14ac:dyDescent="0.3">
      <c r="B12" s="465" t="str">
        <f>"E3: Acortar el ciclo de efectivo con pronto pago "&amp;TEXT(F15,"####")</f>
        <v>E3: Acortar el ciclo de efectivo con pronto pago 2022</v>
      </c>
      <c r="C12" s="466"/>
      <c r="D12" s="466"/>
      <c r="E12" s="463"/>
      <c r="F12" s="466"/>
      <c r="G12" s="466"/>
      <c r="H12" s="466"/>
      <c r="I12" s="466"/>
      <c r="J12" s="466"/>
      <c r="K12" s="104"/>
      <c r="L12" s="104"/>
      <c r="M12" s="104"/>
      <c r="N12" s="104"/>
      <c r="O12" s="104"/>
      <c r="P12" s="104"/>
      <c r="Q12" s="104"/>
      <c r="R12" s="104"/>
    </row>
    <row r="13" spans="1:20" s="2" customFormat="1" ht="24" thickBot="1" x14ac:dyDescent="0.4">
      <c r="B13" s="30"/>
      <c r="C13" s="27"/>
      <c r="D13" s="27"/>
      <c r="E13" s="27"/>
      <c r="F13" s="27"/>
      <c r="G13" s="22"/>
      <c r="H13" s="22"/>
      <c r="I13" s="22"/>
      <c r="J13" s="22"/>
      <c r="K13" s="104"/>
      <c r="L13" s="749" t="str">
        <f>B10</f>
        <v>E1: Ampliación de portafolio de servicios de salud mental 2022</v>
      </c>
      <c r="M13" s="750"/>
      <c r="N13" s="750"/>
      <c r="O13" s="750"/>
      <c r="P13" s="751"/>
      <c r="Q13" s="104"/>
      <c r="R13" s="104"/>
      <c r="S13" s="27"/>
      <c r="T13" s="27"/>
    </row>
    <row r="14" spans="1:20" s="2" customFormat="1" ht="18.75" customHeight="1" x14ac:dyDescent="0.3">
      <c r="B14" s="450" t="s">
        <v>202</v>
      </c>
      <c r="C14" s="19"/>
      <c r="D14" s="451"/>
      <c r="E14" s="451"/>
      <c r="F14" s="451"/>
      <c r="G14" s="451"/>
      <c r="H14" s="451"/>
      <c r="I14" s="451"/>
      <c r="J14" s="451"/>
      <c r="K14" s="104"/>
      <c r="L14" s="420" t="str">
        <f ca="1">CELL("direccion",B1)</f>
        <v>$B$1</v>
      </c>
      <c r="M14" s="421" t="s">
        <v>149</v>
      </c>
      <c r="N14" s="422"/>
      <c r="O14" s="422" t="s">
        <v>259</v>
      </c>
      <c r="P14" s="422" t="s">
        <v>262</v>
      </c>
      <c r="Q14" s="104"/>
      <c r="R14" s="103"/>
      <c r="S14" s="27"/>
      <c r="T14" s="27"/>
    </row>
    <row r="15" spans="1:20" s="27" customFormat="1" ht="18" x14ac:dyDescent="0.25">
      <c r="B15" s="452" t="s">
        <v>201</v>
      </c>
      <c r="C15" s="453">
        <f>+'ESTADOS FINANCIEROS HISTÓRICOS'!B$2</f>
        <v>2019</v>
      </c>
      <c r="D15" s="453">
        <f>+'ESTADOS FINANCIEROS HISTÓRICOS'!C$2</f>
        <v>2020</v>
      </c>
      <c r="E15" s="453">
        <f>+'ESTADOS FINANCIEROS HISTÓRICOS'!D$2</f>
        <v>2021</v>
      </c>
      <c r="F15" s="453">
        <f>+E15+1</f>
        <v>2022</v>
      </c>
      <c r="G15" s="453">
        <f>+F15+1</f>
        <v>2023</v>
      </c>
      <c r="H15" s="453">
        <f>+G15+1</f>
        <v>2024</v>
      </c>
      <c r="I15" s="453">
        <f>+H15+1</f>
        <v>2025</v>
      </c>
      <c r="J15" s="453">
        <f>+I15+1</f>
        <v>2026</v>
      </c>
      <c r="K15" s="104"/>
      <c r="L15" s="391" t="str">
        <f ca="1">CELL("direccion",G27)</f>
        <v>$G$27</v>
      </c>
      <c r="M15" s="167" t="s">
        <v>209</v>
      </c>
      <c r="N15" s="367"/>
      <c r="O15" s="423">
        <v>0</v>
      </c>
      <c r="P15" s="423">
        <v>1</v>
      </c>
      <c r="Q15" s="105"/>
      <c r="R15" s="105"/>
    </row>
    <row r="16" spans="1:20" s="27" customFormat="1" ht="22.9" customHeight="1" x14ac:dyDescent="0.35">
      <c r="A16"/>
      <c r="B16" s="166" t="s">
        <v>328</v>
      </c>
      <c r="C16" s="441">
        <v>2</v>
      </c>
      <c r="D16" s="756" t="s">
        <v>374</v>
      </c>
      <c r="E16" s="756"/>
      <c r="F16" s="208">
        <v>6.0999999999999999E-2</v>
      </c>
      <c r="G16" s="208">
        <v>3.5999999999999997E-2</v>
      </c>
      <c r="H16" s="208">
        <v>3.4000000000000002E-2</v>
      </c>
      <c r="I16" s="208">
        <v>3.5000000000000003E-2</v>
      </c>
      <c r="J16" s="208">
        <v>0.04</v>
      </c>
      <c r="K16" s="392" t="s">
        <v>371</v>
      </c>
      <c r="L16" s="105"/>
      <c r="M16" s="364"/>
      <c r="N16" s="364"/>
      <c r="O16" s="364"/>
      <c r="P16" s="364"/>
      <c r="Q16" s="103"/>
      <c r="R16" s="103"/>
    </row>
    <row r="17" spans="1:25" s="27" customFormat="1" ht="23.25" x14ac:dyDescent="0.35">
      <c r="A17"/>
      <c r="B17" s="166" t="s">
        <v>285</v>
      </c>
      <c r="C17" s="208">
        <v>3.3000000000000002E-2</v>
      </c>
      <c r="D17" s="208">
        <v>-6.8000000000000005E-2</v>
      </c>
      <c r="E17" s="208">
        <v>0.106</v>
      </c>
      <c r="F17" s="208">
        <f>IF($C$16=1,F16,IF($C$16=2,F16+3%,F16-2%))</f>
        <v>9.0999999999999998E-2</v>
      </c>
      <c r="G17" s="208">
        <f>IF($C$16=1,G16,IF($C$16=2,G16+2%,G16-1%))</f>
        <v>5.5999999999999994E-2</v>
      </c>
      <c r="H17" s="208">
        <f>IF($C$16=1,H16,IF($C$16=2,H16+1%,H16-1%))</f>
        <v>4.4000000000000004E-2</v>
      </c>
      <c r="I17" s="208">
        <f>IF($C$16=1,I16,IF($C$16=2,I16+1%,I16-1%))</f>
        <v>4.5000000000000005E-2</v>
      </c>
      <c r="J17" s="208">
        <f>IF($C$16=1,J16,IF($C$16=2,J16+1%,J16-1%))</f>
        <v>0.05</v>
      </c>
      <c r="K17" s="105"/>
      <c r="L17" s="754" t="str">
        <f>B11</f>
        <v>E2: Ampliación de servicios ofrecidos a particulares en el 2022</v>
      </c>
      <c r="M17" s="754"/>
      <c r="N17" s="754"/>
      <c r="O17" s="754"/>
      <c r="P17" s="754"/>
      <c r="Q17" s="103"/>
      <c r="R17" s="103"/>
    </row>
    <row r="18" spans="1:25" s="27" customFormat="1" ht="21" customHeight="1" x14ac:dyDescent="0.25">
      <c r="A18"/>
      <c r="B18" s="166" t="s">
        <v>86</v>
      </c>
      <c r="C18" s="444">
        <f>+'ESTADOS FINANCIEROS HISTÓRICOS'!E65</f>
        <v>0.5651539439327109</v>
      </c>
      <c r="D18" s="444">
        <f>+'ESTADOS FINANCIEROS HISTÓRICOS'!F65</f>
        <v>0.31999999997965772</v>
      </c>
      <c r="E18" s="444">
        <f>+'ESTADOS FINANCIEROS HISTÓRICOS'!G65</f>
        <v>0.30999999998062877</v>
      </c>
      <c r="F18" s="444">
        <f>IF($C$16=1,E18,IF($C$16=2,E18+2%,E18-1%))</f>
        <v>0.32999999998062879</v>
      </c>
      <c r="G18" s="444">
        <f>IF($C$16=1,F18,IF($C$16=2,F18+0%,F18-1%))</f>
        <v>0.32999999998062879</v>
      </c>
      <c r="H18" s="444">
        <f>IF($C$16=1,G18,IF($C$16=2,G18+0%,G18-1%))</f>
        <v>0.32999999998062879</v>
      </c>
      <c r="I18" s="444">
        <f>IF($C$16=1,H18,IF($C$16=2,H18+0%,H18-1%))</f>
        <v>0.32999999998062879</v>
      </c>
      <c r="J18" s="444">
        <f>IF($C$16=1,I18,IF($C$16=2,I18+0%,I18-1%))</f>
        <v>0.32999999998062879</v>
      </c>
      <c r="K18" s="105"/>
      <c r="L18" s="391" t="str">
        <f ca="1">CELL("direccion",B2)</f>
        <v>$B$2</v>
      </c>
      <c r="M18" s="424" t="s">
        <v>149</v>
      </c>
      <c r="N18" s="366"/>
      <c r="O18" s="365" t="s">
        <v>259</v>
      </c>
      <c r="P18" s="365" t="s">
        <v>262</v>
      </c>
      <c r="Q18" s="103"/>
      <c r="R18" s="103"/>
    </row>
    <row r="19" spans="1:25" s="27" customFormat="1" ht="21" customHeight="1" x14ac:dyDescent="0.25">
      <c r="A19"/>
      <c r="B19" s="166" t="s">
        <v>344</v>
      </c>
      <c r="C19" s="444">
        <v>1.4200000000000001E-2</v>
      </c>
      <c r="D19" s="444">
        <v>5.4999999999999997E-3</v>
      </c>
      <c r="E19" s="444">
        <v>1.7000000000000001E-2</v>
      </c>
      <c r="F19" s="208">
        <f>+E19+IF($C$16=1,0.1%,IF($C$16=2,1%,-0.5%))</f>
        <v>2.7000000000000003E-2</v>
      </c>
      <c r="G19" s="208">
        <f>+F19+IF($C$16=1,0.2%,IF($C$16=2,0%,-0.5%))</f>
        <v>2.7000000000000003E-2</v>
      </c>
      <c r="H19" s="208">
        <f>+G19+IF($C$16=1,0.1%,IF($C$16=2,0.3%,0.5%))</f>
        <v>3.0000000000000002E-2</v>
      </c>
      <c r="I19" s="208">
        <f>+H19+IF($C$16=1,0.1%,IF($C$16=2,0.1%,0.5%))</f>
        <v>3.1000000000000003E-2</v>
      </c>
      <c r="J19" s="208">
        <f>+I19+IF($C$16=1,0%,IF($C$16=2,0%,0%))</f>
        <v>3.1000000000000003E-2</v>
      </c>
      <c r="K19" s="105"/>
      <c r="L19" s="391" t="str">
        <f ca="1">CELL("direccion",D50)</f>
        <v>$D$50</v>
      </c>
      <c r="M19" s="166" t="s">
        <v>209</v>
      </c>
      <c r="N19" s="339"/>
      <c r="O19" s="423">
        <v>0</v>
      </c>
      <c r="P19" s="423">
        <v>1</v>
      </c>
      <c r="Q19" s="103"/>
      <c r="R19" s="103"/>
    </row>
    <row r="20" spans="1:25" s="27" customFormat="1" ht="21" customHeight="1" x14ac:dyDescent="0.2">
      <c r="A20"/>
      <c r="B20" s="454" t="s">
        <v>53</v>
      </c>
      <c r="C20" s="213">
        <v>3.7999999999999999E-2</v>
      </c>
      <c r="D20" s="213">
        <v>1.61E-2</v>
      </c>
      <c r="E20" s="213">
        <v>5.62E-2</v>
      </c>
      <c r="F20" s="208">
        <f>+E20+IF($C$16=1,-2%,IF($C$16=2,-1%,-3%))</f>
        <v>4.6199999999999998E-2</v>
      </c>
      <c r="G20" s="208">
        <f>+F20+IF($C$16=1,-0.6%,IF($C$16=2,-0.6%,0.5%))</f>
        <v>4.02E-2</v>
      </c>
      <c r="H20" s="208">
        <f>+G20+IF($C$16=1,-0.5%,IF($C$16=2,0,0.5%))</f>
        <v>4.02E-2</v>
      </c>
      <c r="I20" s="208">
        <f>+H20+IF($C$16=1,0,IF($C$16=2,0,0%))</f>
        <v>4.02E-2</v>
      </c>
      <c r="J20" s="208">
        <f>+I20+IF($C$16=1,0,IF($C$16=2,-0.5%,0%))</f>
        <v>3.5200000000000002E-2</v>
      </c>
      <c r="K20" s="105"/>
      <c r="L20" s="103"/>
      <c r="M20" s="103"/>
      <c r="N20" s="103"/>
      <c r="O20" s="103"/>
      <c r="P20" s="103"/>
      <c r="Q20" s="103"/>
      <c r="R20" s="103"/>
    </row>
    <row r="21" spans="1:25" s="27" customFormat="1" ht="21" customHeight="1" x14ac:dyDescent="0.35">
      <c r="A21"/>
      <c r="B21" s="166"/>
      <c r="C21" s="444"/>
      <c r="D21" s="444"/>
      <c r="E21" s="445"/>
      <c r="F21" s="337"/>
      <c r="G21" s="337"/>
      <c r="H21" s="337"/>
      <c r="I21" s="337"/>
      <c r="J21" s="337"/>
      <c r="K21" s="105"/>
      <c r="L21" s="754" t="str">
        <f>B12</f>
        <v>E3: Acortar el ciclo de efectivo con pronto pago 2022</v>
      </c>
      <c r="M21" s="754"/>
      <c r="N21" s="754"/>
      <c r="O21" s="754"/>
      <c r="P21" s="754"/>
      <c r="Q21" s="103"/>
      <c r="R21" s="103"/>
    </row>
    <row r="22" spans="1:25" s="27" customFormat="1" ht="21" customHeight="1" x14ac:dyDescent="0.3">
      <c r="A22"/>
      <c r="B22" s="30"/>
      <c r="G22" s="22"/>
      <c r="H22" s="22"/>
      <c r="I22" s="22"/>
      <c r="J22" s="22"/>
      <c r="K22" s="105"/>
      <c r="L22" s="391" t="str">
        <f ca="1">CELL("direccion",B3)</f>
        <v>$B$3</v>
      </c>
      <c r="M22" s="388" t="s">
        <v>149</v>
      </c>
      <c r="N22" s="390"/>
      <c r="O22" s="390" t="s">
        <v>413</v>
      </c>
      <c r="P22" s="390" t="s">
        <v>414</v>
      </c>
      <c r="Q22" s="103"/>
      <c r="R22" s="103"/>
    </row>
    <row r="23" spans="1:25" s="27" customFormat="1" ht="25.15" customHeight="1" x14ac:dyDescent="0.25">
      <c r="G23" s="22"/>
      <c r="H23" s="22"/>
      <c r="I23" s="22"/>
      <c r="J23" s="22"/>
      <c r="K23" s="105"/>
      <c r="L23" s="391" t="str">
        <f ca="1">CELL("direccion",D42)</f>
        <v>$D$42</v>
      </c>
      <c r="M23" s="167" t="s">
        <v>209</v>
      </c>
      <c r="N23" s="423"/>
      <c r="O23" s="423">
        <v>0</v>
      </c>
      <c r="P23" s="423">
        <v>1</v>
      </c>
      <c r="Q23" s="103"/>
      <c r="R23" s="103"/>
    </row>
    <row r="24" spans="1:25" s="27" customFormat="1" ht="25.15" customHeight="1" x14ac:dyDescent="0.2">
      <c r="G24" s="22"/>
      <c r="H24" s="22"/>
      <c r="I24" s="22"/>
      <c r="J24" s="22"/>
      <c r="K24" s="105"/>
      <c r="L24" s="105"/>
      <c r="M24" s="105"/>
      <c r="N24" s="105"/>
      <c r="O24" s="105"/>
      <c r="P24" s="105"/>
      <c r="Q24" s="103"/>
      <c r="R24" s="103"/>
    </row>
    <row r="25" spans="1:25" s="27" customFormat="1" ht="23.25" x14ac:dyDescent="0.35">
      <c r="K25" s="105"/>
      <c r="L25" s="754" t="s">
        <v>325</v>
      </c>
      <c r="M25" s="754"/>
      <c r="N25" s="754"/>
      <c r="O25" s="754"/>
      <c r="P25" s="754"/>
      <c r="Q25" s="754"/>
      <c r="R25" s="103"/>
    </row>
    <row r="26" spans="1:25" s="27" customFormat="1" ht="31.5" x14ac:dyDescent="0.2">
      <c r="A26"/>
      <c r="K26" s="105"/>
      <c r="L26" s="333"/>
      <c r="M26" s="424" t="s">
        <v>149</v>
      </c>
      <c r="N26" s="363"/>
      <c r="O26" s="363" t="s">
        <v>287</v>
      </c>
      <c r="P26" s="363" t="s">
        <v>260</v>
      </c>
      <c r="Q26" s="363" t="s">
        <v>477</v>
      </c>
      <c r="R26" s="103"/>
    </row>
    <row r="27" spans="1:25" s="27" customFormat="1" ht="25.15" customHeight="1" x14ac:dyDescent="0.25">
      <c r="A27"/>
      <c r="B27" s="747" t="s">
        <v>409</v>
      </c>
      <c r="C27" s="747"/>
      <c r="D27" s="747"/>
      <c r="E27" s="747"/>
      <c r="F27" s="747"/>
      <c r="G27" s="508">
        <v>1</v>
      </c>
      <c r="H27" s="509" t="s">
        <v>205</v>
      </c>
      <c r="I27" s="509"/>
      <c r="K27" s="105"/>
      <c r="L27" s="391" t="str">
        <f ca="1">CELL("direccion",C1)</f>
        <v>$C$1</v>
      </c>
      <c r="M27" s="166" t="s">
        <v>210</v>
      </c>
      <c r="N27" s="32"/>
      <c r="O27" s="32">
        <v>0</v>
      </c>
      <c r="P27" s="32">
        <v>0.25</v>
      </c>
      <c r="Q27" s="32">
        <v>0.5</v>
      </c>
      <c r="R27" s="103"/>
    </row>
    <row r="28" spans="1:25" s="27" customFormat="1" ht="25.15" customHeight="1" thickBot="1" x14ac:dyDescent="0.25">
      <c r="A28"/>
      <c r="B28" s="747" t="s">
        <v>410</v>
      </c>
      <c r="C28" s="747"/>
      <c r="D28" s="747"/>
      <c r="E28" s="747"/>
      <c r="F28" s="747"/>
      <c r="G28" s="511">
        <f>IF(G27=0,P32,Q32)</f>
        <v>12000000</v>
      </c>
      <c r="H28" s="510"/>
      <c r="I28" s="510"/>
      <c r="K28" s="105"/>
      <c r="L28" s="105"/>
      <c r="M28" s="105"/>
      <c r="N28" s="105"/>
      <c r="O28" s="105"/>
      <c r="P28" s="105"/>
      <c r="Q28" s="105"/>
      <c r="R28" s="103"/>
    </row>
    <row r="29" spans="1:25" s="27" customFormat="1" ht="25.15" customHeight="1" thickBot="1" x14ac:dyDescent="0.25">
      <c r="A29"/>
      <c r="B29" s="520" t="s">
        <v>483</v>
      </c>
      <c r="C29" s="141"/>
      <c r="D29" s="141"/>
      <c r="E29" s="141"/>
      <c r="F29" s="141"/>
      <c r="G29" s="141"/>
      <c r="H29" s="459"/>
      <c r="I29" s="459"/>
      <c r="J29" s="460"/>
      <c r="K29" s="105"/>
      <c r="L29" s="105"/>
      <c r="M29" s="105"/>
      <c r="N29" s="105"/>
      <c r="O29" s="105"/>
      <c r="P29" s="105"/>
      <c r="Q29" s="105"/>
      <c r="R29" s="105"/>
    </row>
    <row r="30" spans="1:25" s="27" customFormat="1" ht="25.15" customHeight="1" x14ac:dyDescent="0.2">
      <c r="A30"/>
      <c r="B30" s="624" t="s">
        <v>198</v>
      </c>
      <c r="C30" s="625">
        <f>+'ESTADOS FINANCIEROS HISTÓRICOS'!B$2</f>
        <v>2019</v>
      </c>
      <c r="D30" s="625">
        <f>+'ESTADOS FINANCIEROS HISTÓRICOS'!C$2</f>
        <v>2020</v>
      </c>
      <c r="E30" s="625">
        <f>+'ESTADOS FINANCIEROS HISTÓRICOS'!D$2</f>
        <v>2021</v>
      </c>
      <c r="F30" s="625">
        <f>+E30+1</f>
        <v>2022</v>
      </c>
      <c r="G30" s="625">
        <f>+F30+1</f>
        <v>2023</v>
      </c>
      <c r="H30" s="625">
        <f>+G30+1</f>
        <v>2024</v>
      </c>
      <c r="I30" s="625">
        <f>+H30+1</f>
        <v>2025</v>
      </c>
      <c r="J30" s="626">
        <f>+I30+1</f>
        <v>2026</v>
      </c>
      <c r="K30" s="105"/>
      <c r="L30" s="748" t="s">
        <v>418</v>
      </c>
      <c r="M30" s="748"/>
      <c r="N30" s="748"/>
      <c r="O30" s="748"/>
      <c r="P30" s="748"/>
      <c r="Q30" s="748"/>
      <c r="R30" s="105"/>
      <c r="Y30" s="105"/>
    </row>
    <row r="31" spans="1:25" s="27" customFormat="1" ht="25.15" customHeight="1" x14ac:dyDescent="0.2">
      <c r="A31"/>
      <c r="B31" s="627" t="s">
        <v>402</v>
      </c>
      <c r="C31" s="208">
        <v>0.01</v>
      </c>
      <c r="D31" s="208">
        <f>C31</f>
        <v>0.01</v>
      </c>
      <c r="E31" s="208">
        <f>D31</f>
        <v>0.01</v>
      </c>
      <c r="F31" s="208">
        <f>E31</f>
        <v>0.01</v>
      </c>
      <c r="G31" s="456">
        <f>IF($G$27=1,$Q$33,$P$33)</f>
        <v>0.05</v>
      </c>
      <c r="H31" s="208">
        <f>+G31+IF($G$27=1,0.5%,0.1%)</f>
        <v>5.5E-2</v>
      </c>
      <c r="I31" s="208">
        <f>+H31+IF($G$27=1,0.4%,0.05%)</f>
        <v>5.8999999999999997E-2</v>
      </c>
      <c r="J31" s="447">
        <f>+I31+IF(G27=1,0.4%,0.05%)</f>
        <v>6.3E-2</v>
      </c>
      <c r="K31" s="105"/>
      <c r="L31" s="334"/>
      <c r="M31" s="425" t="s">
        <v>149</v>
      </c>
      <c r="N31" s="366"/>
      <c r="O31" s="366"/>
      <c r="P31" s="365" t="s">
        <v>478</v>
      </c>
      <c r="Q31" s="363" t="s">
        <v>479</v>
      </c>
      <c r="R31" s="103"/>
      <c r="Y31" s="105"/>
    </row>
    <row r="32" spans="1:25" s="27" customFormat="1" ht="25.15" customHeight="1" x14ac:dyDescent="0.25">
      <c r="A32"/>
      <c r="B32" s="627" t="s">
        <v>552</v>
      </c>
      <c r="C32" s="208">
        <f>C17</f>
        <v>3.3000000000000002E-2</v>
      </c>
      <c r="D32" s="208">
        <f t="shared" ref="D32:J32" si="0">D17</f>
        <v>-6.8000000000000005E-2</v>
      </c>
      <c r="E32" s="208">
        <f t="shared" si="0"/>
        <v>0.106</v>
      </c>
      <c r="F32" s="208">
        <v>0.05</v>
      </c>
      <c r="G32" s="208">
        <f t="shared" si="0"/>
        <v>5.5999999999999994E-2</v>
      </c>
      <c r="H32" s="208">
        <f t="shared" si="0"/>
        <v>4.4000000000000004E-2</v>
      </c>
      <c r="I32" s="208">
        <f t="shared" si="0"/>
        <v>4.5000000000000005E-2</v>
      </c>
      <c r="J32" s="447">
        <f t="shared" si="0"/>
        <v>0.05</v>
      </c>
      <c r="K32" s="105"/>
      <c r="L32" s="391" t="str">
        <f ca="1">CELL("direccion",G28)</f>
        <v>$G$28</v>
      </c>
      <c r="M32" s="166" t="str">
        <f>B10</f>
        <v>E1: Ampliación de portafolio de servicios de salud mental 2022</v>
      </c>
      <c r="N32" s="339"/>
      <c r="O32" s="339"/>
      <c r="P32" s="339">
        <v>0</v>
      </c>
      <c r="Q32" s="339">
        <v>12000000</v>
      </c>
      <c r="R32" s="103"/>
      <c r="Y32" s="105"/>
    </row>
    <row r="33" spans="1:25" s="27" customFormat="1" ht="25.15" customHeight="1" x14ac:dyDescent="0.25">
      <c r="B33" s="628" t="s">
        <v>416</v>
      </c>
      <c r="C33" s="457">
        <f>D33*(1+C32)</f>
        <v>534574793.95320004</v>
      </c>
      <c r="D33" s="457">
        <f>E33*(1+D32)</f>
        <v>517497380.4000001</v>
      </c>
      <c r="E33" s="457">
        <f>'Salud Mental'!V3</f>
        <v>555254700.00000012</v>
      </c>
      <c r="F33" s="457">
        <f>'Salud Mental'!AB3</f>
        <v>2339416838.0000005</v>
      </c>
      <c r="G33" s="457">
        <f>+F33*(1+G32)</f>
        <v>2470424180.9280005</v>
      </c>
      <c r="H33" s="457">
        <f t="shared" ref="H33:J33" si="1">+G33*(1+H32)</f>
        <v>2579122844.8888326</v>
      </c>
      <c r="I33" s="457">
        <f t="shared" si="1"/>
        <v>2695183372.9088297</v>
      </c>
      <c r="J33" s="629">
        <f t="shared" si="1"/>
        <v>2829942541.5542712</v>
      </c>
      <c r="K33" s="105"/>
      <c r="L33" s="391" t="str">
        <f ca="1">CELL("direccion",F31)</f>
        <v>$F$31</v>
      </c>
      <c r="M33" s="166" t="s">
        <v>197</v>
      </c>
      <c r="N33" s="32"/>
      <c r="O33" s="32"/>
      <c r="P33" s="32">
        <v>0.01</v>
      </c>
      <c r="Q33" s="32">
        <v>0.05</v>
      </c>
      <c r="R33" s="103"/>
      <c r="Y33" s="105"/>
    </row>
    <row r="34" spans="1:25" s="27" customFormat="1" ht="25.15" customHeight="1" thickBot="1" x14ac:dyDescent="0.3">
      <c r="A34"/>
      <c r="B34" s="630" t="s">
        <v>417</v>
      </c>
      <c r="C34" s="631">
        <f t="shared" ref="C34:J34" si="2">+C31*C33</f>
        <v>5345747.9395320006</v>
      </c>
      <c r="D34" s="631">
        <f t="shared" si="2"/>
        <v>5174973.8040000014</v>
      </c>
      <c r="E34" s="631">
        <f t="shared" si="2"/>
        <v>5552547.0000000009</v>
      </c>
      <c r="F34" s="631">
        <f>'Salud Mental'!AB3</f>
        <v>2339416838.0000005</v>
      </c>
      <c r="G34" s="631">
        <f>+G31*G33</f>
        <v>123521209.04640003</v>
      </c>
      <c r="H34" s="631">
        <f t="shared" si="2"/>
        <v>141851756.46888578</v>
      </c>
      <c r="I34" s="631">
        <f t="shared" si="2"/>
        <v>159015819.00162095</v>
      </c>
      <c r="J34" s="632">
        <f t="shared" si="2"/>
        <v>178286380.11791909</v>
      </c>
      <c r="K34" s="105"/>
      <c r="L34" s="391" t="str">
        <f ca="1">CELL("direccion",E35)</f>
        <v>$E$35</v>
      </c>
      <c r="M34" s="166" t="s">
        <v>109</v>
      </c>
      <c r="N34" s="32"/>
      <c r="O34" s="32"/>
      <c r="P34" s="32">
        <v>0.01</v>
      </c>
      <c r="Q34" s="32">
        <v>0.04</v>
      </c>
      <c r="R34" s="103"/>
      <c r="Y34" s="105"/>
    </row>
    <row r="35" spans="1:25" ht="25.15" customHeight="1" x14ac:dyDescent="0.25">
      <c r="B35" s="620" t="s">
        <v>283</v>
      </c>
      <c r="C35" s="621"/>
      <c r="D35" s="621"/>
      <c r="E35" s="622">
        <f>IF(G27=0,P34,Q34)</f>
        <v>0.04</v>
      </c>
      <c r="F35" s="623"/>
      <c r="G35" s="623"/>
      <c r="H35" s="623"/>
      <c r="I35" s="623"/>
      <c r="J35" s="623"/>
      <c r="K35" s="105"/>
      <c r="L35" s="391" t="str">
        <f ca="1">CELL("direccion",F40)</f>
        <v>$F$40</v>
      </c>
      <c r="M35" s="166" t="s">
        <v>122</v>
      </c>
      <c r="N35" s="339"/>
      <c r="O35" s="339"/>
      <c r="P35" s="339">
        <v>0</v>
      </c>
      <c r="Q35" s="341">
        <v>5</v>
      </c>
      <c r="R35" s="103"/>
      <c r="S35" s="27"/>
      <c r="T35" s="27"/>
      <c r="U35" s="27"/>
      <c r="V35" s="27"/>
      <c r="W35" s="27"/>
      <c r="X35" s="27"/>
      <c r="Y35" s="103"/>
    </row>
    <row r="36" spans="1:25" s="27" customFormat="1" ht="25.15" customHeight="1" x14ac:dyDescent="0.25">
      <c r="A36"/>
      <c r="B36" s="458"/>
      <c r="C36" s="105"/>
      <c r="D36" s="105"/>
      <c r="E36" s="105"/>
      <c r="F36" s="105"/>
      <c r="G36" s="105"/>
      <c r="H36" s="105"/>
      <c r="I36" s="105"/>
      <c r="J36" s="105"/>
      <c r="K36" s="104"/>
      <c r="L36" s="391" t="str">
        <f ca="1">CELL("direccion",F86)</f>
        <v>$F$86</v>
      </c>
      <c r="M36" s="166" t="s">
        <v>112</v>
      </c>
      <c r="N36" s="32"/>
      <c r="O36" s="32"/>
      <c r="P36" s="32">
        <v>0.06</v>
      </c>
      <c r="Q36" s="32">
        <v>0.08</v>
      </c>
      <c r="R36" s="104"/>
      <c r="Y36" s="105"/>
    </row>
    <row r="37" spans="1:25" s="27" customFormat="1" ht="25.15" customHeight="1" x14ac:dyDescent="0.25">
      <c r="A37" s="161"/>
      <c r="B37" s="392"/>
      <c r="C37" s="105"/>
      <c r="D37" s="105"/>
      <c r="E37" s="105"/>
      <c r="F37" s="105"/>
      <c r="G37" s="105"/>
      <c r="H37" s="105"/>
      <c r="I37" s="105"/>
      <c r="J37" s="105"/>
      <c r="K37" s="104"/>
      <c r="L37" s="391" t="str">
        <f ca="1">CELL("direccion",E104)</f>
        <v>$E$104</v>
      </c>
      <c r="M37" s="166" t="s">
        <v>68</v>
      </c>
      <c r="N37" s="32"/>
      <c r="O37" s="32"/>
      <c r="P37" s="32">
        <v>0.01</v>
      </c>
      <c r="Q37" s="32">
        <v>-5.0000000000000001E-3</v>
      </c>
      <c r="R37" s="103"/>
      <c r="S37" s="105"/>
      <c r="T37" s="105"/>
      <c r="U37" s="105"/>
      <c r="V37" s="105"/>
      <c r="W37" s="105"/>
      <c r="X37" s="105"/>
      <c r="Y37" s="105"/>
    </row>
    <row r="38" spans="1:25" s="2" customFormat="1" ht="15" hidden="1" x14ac:dyDescent="0.2">
      <c r="A38" s="161"/>
      <c r="B38" s="111"/>
      <c r="C38" s="104"/>
      <c r="D38" s="104"/>
      <c r="E38" s="104"/>
      <c r="F38" s="104"/>
      <c r="K38" s="105"/>
      <c r="L38" s="104"/>
      <c r="M38" s="104"/>
      <c r="N38" s="104"/>
      <c r="O38" s="104"/>
      <c r="P38" s="104"/>
      <c r="Q38" s="104"/>
      <c r="R38" s="103"/>
      <c r="S38" s="104"/>
      <c r="T38" s="104"/>
      <c r="U38" s="104"/>
      <c r="V38" s="104"/>
      <c r="W38" s="104"/>
      <c r="X38" s="104"/>
      <c r="Y38" s="104"/>
    </row>
    <row r="39" spans="1:25" s="2" customFormat="1" ht="15" hidden="1" x14ac:dyDescent="0.2">
      <c r="A39" s="161"/>
      <c r="B39" s="111"/>
      <c r="C39" s="104"/>
      <c r="D39" s="104"/>
      <c r="E39" s="104"/>
      <c r="F39" s="104"/>
      <c r="K39" s="104"/>
      <c r="L39" s="104"/>
      <c r="M39" s="104"/>
      <c r="N39" s="104"/>
      <c r="O39" s="104"/>
      <c r="P39" s="104"/>
      <c r="Q39" s="104"/>
      <c r="R39" s="103"/>
    </row>
    <row r="40" spans="1:25" s="2" customFormat="1" ht="15" hidden="1" x14ac:dyDescent="0.2">
      <c r="A40" s="161"/>
      <c r="B40" s="111"/>
      <c r="C40" s="104"/>
      <c r="D40" s="104"/>
      <c r="E40" s="104"/>
      <c r="F40" s="104"/>
      <c r="G40" s="104"/>
      <c r="H40" s="104"/>
      <c r="I40" s="104"/>
      <c r="J40" s="104"/>
      <c r="K40" s="103"/>
      <c r="L40" s="104"/>
      <c r="M40" s="104"/>
      <c r="N40" s="104"/>
      <c r="O40" s="104"/>
      <c r="P40" s="103"/>
      <c r="Q40" s="103"/>
      <c r="R40" s="103"/>
    </row>
    <row r="41" spans="1:25" s="2" customFormat="1" ht="15" x14ac:dyDescent="0.2">
      <c r="K41" s="104"/>
      <c r="L41" s="105"/>
      <c r="M41" s="105"/>
      <c r="N41" s="105"/>
      <c r="O41" s="105"/>
      <c r="P41" s="105"/>
      <c r="Q41" s="105"/>
      <c r="R41" s="104"/>
      <c r="S41" s="27"/>
      <c r="T41" s="27"/>
    </row>
    <row r="42" spans="1:25" s="27" customFormat="1" ht="15.75" hidden="1" x14ac:dyDescent="0.25">
      <c r="A42"/>
      <c r="B42" s="41" t="s">
        <v>411</v>
      </c>
      <c r="C42" s="42"/>
      <c r="D42" s="33">
        <v>0</v>
      </c>
      <c r="E42" s="43" t="s">
        <v>205</v>
      </c>
      <c r="F42" s="44"/>
      <c r="K42" s="105"/>
      <c r="L42" s="105"/>
      <c r="M42" s="105"/>
      <c r="N42" s="105"/>
      <c r="O42" s="105"/>
      <c r="P42" s="105"/>
      <c r="Q42" s="105"/>
      <c r="R42" s="105"/>
    </row>
    <row r="43" spans="1:25" s="27" customFormat="1" ht="15" hidden="1" x14ac:dyDescent="0.2">
      <c r="A43"/>
      <c r="B43" s="28" t="s">
        <v>258</v>
      </c>
      <c r="K43" s="105"/>
      <c r="L43" s="105"/>
      <c r="M43" s="105"/>
      <c r="N43" s="105"/>
      <c r="O43" s="105"/>
      <c r="P43" s="105"/>
      <c r="Q43" s="105"/>
      <c r="R43" s="105"/>
    </row>
    <row r="44" spans="1:25" s="27" customFormat="1" ht="15" hidden="1" x14ac:dyDescent="0.2">
      <c r="A44"/>
      <c r="B44" s="28"/>
      <c r="K44" s="105"/>
      <c r="L44" s="105"/>
      <c r="M44" s="105"/>
      <c r="N44" s="105"/>
      <c r="O44" s="105"/>
      <c r="P44" s="105"/>
      <c r="Q44" s="105"/>
      <c r="R44" s="105"/>
    </row>
    <row r="45" spans="1:25" s="2" customFormat="1" ht="5.45" hidden="1" customHeight="1" thickBot="1" x14ac:dyDescent="0.25">
      <c r="A45"/>
      <c r="K45" s="104"/>
      <c r="L45" s="104"/>
      <c r="M45" s="104"/>
      <c r="N45" s="104"/>
      <c r="O45" s="389"/>
      <c r="P45" s="104"/>
      <c r="Q45" s="104"/>
      <c r="R45" s="104"/>
      <c r="S45" s="27"/>
      <c r="T45" s="27"/>
    </row>
    <row r="46" spans="1:25" s="27" customFormat="1" ht="15.75" hidden="1" x14ac:dyDescent="0.25">
      <c r="A46"/>
      <c r="B46" s="29" t="s">
        <v>203</v>
      </c>
      <c r="C46" s="13"/>
      <c r="D46" s="13"/>
      <c r="E46" s="13"/>
      <c r="F46" s="34">
        <f>IF(D42=0,W33,X33)</f>
        <v>0</v>
      </c>
      <c r="G46" s="31"/>
      <c r="H46" s="31"/>
      <c r="I46" s="31"/>
      <c r="J46" s="31"/>
      <c r="K46" s="105"/>
      <c r="L46" s="105"/>
      <c r="M46" s="105"/>
      <c r="N46" s="105"/>
      <c r="O46" s="105"/>
      <c r="P46" s="105"/>
      <c r="Q46" s="105"/>
      <c r="R46" s="105"/>
    </row>
    <row r="47" spans="1:25" s="27" customFormat="1" ht="15.75" hidden="1" x14ac:dyDescent="0.25">
      <c r="B47" s="29" t="s">
        <v>204</v>
      </c>
      <c r="C47" s="13"/>
      <c r="D47" s="13"/>
      <c r="E47" s="13"/>
      <c r="F47" s="34">
        <f>IF(D42=0,W35,X35)</f>
        <v>0</v>
      </c>
      <c r="G47" s="34">
        <f>IF(D42=0,W36,X36)</f>
        <v>0</v>
      </c>
      <c r="H47" s="34">
        <f>G47*1.1</f>
        <v>0</v>
      </c>
      <c r="I47" s="34">
        <f>H47*1.1</f>
        <v>0</v>
      </c>
      <c r="J47" s="34">
        <f>I47*1.1</f>
        <v>0</v>
      </c>
      <c r="K47" s="105"/>
      <c r="L47" s="104"/>
      <c r="M47" s="104"/>
      <c r="N47" s="104"/>
      <c r="O47" s="104"/>
      <c r="P47" s="104"/>
      <c r="Q47" s="104"/>
      <c r="R47" s="105"/>
      <c r="S47" s="2"/>
      <c r="T47" s="2"/>
    </row>
    <row r="48" spans="1:25" s="27" customFormat="1" ht="16.5" hidden="1" thickBot="1" x14ac:dyDescent="0.3">
      <c r="A48"/>
      <c r="B48" s="29" t="s">
        <v>206</v>
      </c>
      <c r="C48" s="13"/>
      <c r="D48" s="13"/>
      <c r="E48" s="13"/>
      <c r="F48" s="13"/>
      <c r="G48" s="34">
        <f>IF(D42=0,W34,X34)</f>
        <v>0</v>
      </c>
      <c r="H48" s="34">
        <f>G48*0.25</f>
        <v>0</v>
      </c>
      <c r="I48" s="31"/>
      <c r="J48" s="31"/>
      <c r="K48" s="105"/>
      <c r="L48" s="105"/>
      <c r="M48" s="105"/>
      <c r="N48" s="105"/>
      <c r="O48" s="105"/>
      <c r="P48" s="105"/>
      <c r="Q48" s="105"/>
      <c r="R48" s="105"/>
      <c r="S48" s="2"/>
      <c r="T48" s="2"/>
    </row>
    <row r="49" spans="1:21" s="27" customFormat="1" ht="20.25" x14ac:dyDescent="0.3">
      <c r="B49" s="507" t="str">
        <f>"AMPLIACIÓN DE SERVICIOS OFRECIDOS A PARTICULARES"</f>
        <v>AMPLIACIÓN DE SERVICIOS OFRECIDOS A PARTICULARES</v>
      </c>
      <c r="C49" s="507"/>
      <c r="D49" s="507"/>
      <c r="E49" s="507"/>
      <c r="F49" s="507"/>
      <c r="K49" s="105"/>
      <c r="L49" s="755" t="s">
        <v>398</v>
      </c>
      <c r="M49" s="755"/>
      <c r="N49" s="755"/>
      <c r="O49" s="755"/>
      <c r="P49" s="755"/>
      <c r="Q49" s="755"/>
      <c r="R49" s="105"/>
    </row>
    <row r="50" spans="1:21" s="27" customFormat="1" ht="15.75" x14ac:dyDescent="0.25">
      <c r="A50"/>
      <c r="B50" s="501" t="s">
        <v>454</v>
      </c>
      <c r="C50" s="499"/>
      <c r="D50" s="500">
        <v>1</v>
      </c>
      <c r="E50" s="498" t="s">
        <v>205</v>
      </c>
      <c r="F50" s="499"/>
      <c r="K50" s="105"/>
      <c r="L50" s="427"/>
      <c r="M50" s="425" t="s">
        <v>149</v>
      </c>
      <c r="N50" s="365"/>
      <c r="O50" s="365"/>
      <c r="P50" s="365" t="s">
        <v>478</v>
      </c>
      <c r="Q50" s="363" t="s">
        <v>479</v>
      </c>
      <c r="R50" s="105"/>
    </row>
    <row r="51" spans="1:21" s="27" customFormat="1" ht="15.75" x14ac:dyDescent="0.25">
      <c r="A51"/>
      <c r="B51" s="28"/>
      <c r="F51" s="502">
        <v>0.01</v>
      </c>
      <c r="K51" s="105"/>
      <c r="L51" s="391" t="str">
        <f ca="1">CELL("direccion",F69)</f>
        <v>$F$69</v>
      </c>
      <c r="M51" s="428" t="s">
        <v>203</v>
      </c>
      <c r="N51" s="423"/>
      <c r="O51" s="423"/>
      <c r="P51" s="423">
        <v>0</v>
      </c>
      <c r="Q51" s="423">
        <v>0</v>
      </c>
      <c r="R51" s="105"/>
      <c r="S51" s="2"/>
      <c r="T51"/>
    </row>
    <row r="52" spans="1:21" ht="17.45" customHeight="1" x14ac:dyDescent="0.25">
      <c r="B52" s="504" t="s">
        <v>403</v>
      </c>
      <c r="C52" s="505"/>
      <c r="D52" s="505"/>
      <c r="E52" s="505"/>
      <c r="F52" s="506"/>
      <c r="G52" s="104"/>
      <c r="H52" s="104"/>
      <c r="I52" s="104"/>
      <c r="J52" s="104"/>
      <c r="K52" s="104"/>
      <c r="L52" s="391" t="str">
        <f ca="1">CELL("direccion",F71)</f>
        <v>$F$71</v>
      </c>
      <c r="M52" s="426" t="s">
        <v>206</v>
      </c>
      <c r="N52" s="423"/>
      <c r="O52" s="423"/>
      <c r="P52" s="423">
        <v>0</v>
      </c>
      <c r="Q52" s="423">
        <v>0</v>
      </c>
      <c r="R52" s="104"/>
      <c r="S52" s="27"/>
      <c r="T52" s="27"/>
    </row>
    <row r="53" spans="1:21" s="27" customFormat="1" ht="18" x14ac:dyDescent="0.25">
      <c r="A53"/>
      <c r="B53" s="503" t="s">
        <v>198</v>
      </c>
      <c r="C53" s="461">
        <f>+'ESTADOS FINANCIEROS HISTÓRICOS'!B$2</f>
        <v>2019</v>
      </c>
      <c r="D53" s="461">
        <f>+'ESTADOS FINANCIEROS HISTÓRICOS'!C$2</f>
        <v>2020</v>
      </c>
      <c r="E53" s="461">
        <f>+'ESTADOS FINANCIEROS HISTÓRICOS'!D$2</f>
        <v>2021</v>
      </c>
      <c r="F53" s="461">
        <f>+E53+1</f>
        <v>2022</v>
      </c>
      <c r="G53" s="461">
        <f>+F53+1</f>
        <v>2023</v>
      </c>
      <c r="H53" s="461">
        <f>+G53+1</f>
        <v>2024</v>
      </c>
      <c r="I53" s="461">
        <f>+H53+1</f>
        <v>2025</v>
      </c>
      <c r="J53" s="461">
        <f>+I53+1</f>
        <v>2026</v>
      </c>
      <c r="K53" s="105"/>
      <c r="L53" s="391" t="str">
        <f ca="1">CELL("direccion",F70)</f>
        <v>$F$70</v>
      </c>
      <c r="M53" s="426" t="str">
        <f>"Campaña publicitaria "&amp;TEXT(MODELO!$F$53,"####")</f>
        <v>Campaña publicitaria 2022</v>
      </c>
      <c r="N53" s="423"/>
      <c r="O53" s="423"/>
      <c r="P53" s="423">
        <v>0</v>
      </c>
      <c r="Q53" s="423">
        <v>25000000</v>
      </c>
      <c r="R53" s="105"/>
    </row>
    <row r="54" spans="1:21" s="27" customFormat="1" ht="15.75" x14ac:dyDescent="0.25">
      <c r="A54"/>
      <c r="B54" s="334" t="s">
        <v>419</v>
      </c>
      <c r="C54" s="32"/>
      <c r="D54" s="32"/>
      <c r="E54" s="32"/>
      <c r="F54" s="32">
        <v>0.05</v>
      </c>
      <c r="G54" s="32">
        <f>+F54+2.5%</f>
        <v>7.5000000000000011E-2</v>
      </c>
      <c r="H54" s="32">
        <f>+G54+2.5%</f>
        <v>0.1</v>
      </c>
      <c r="I54" s="32">
        <f>+H54+2.5%</f>
        <v>0.125</v>
      </c>
      <c r="J54" s="32">
        <f>+I54+2.5%</f>
        <v>0.15</v>
      </c>
      <c r="K54" s="105"/>
      <c r="L54" s="391" t="str">
        <f ca="1">CELL("direccion",G70)</f>
        <v>$G$70</v>
      </c>
      <c r="M54" s="426" t="str">
        <f>"Campaña publicitaria "&amp;TEXT(MODELO!$G$53,"####")</f>
        <v>Campaña publicitaria 2023</v>
      </c>
      <c r="N54" s="423"/>
      <c r="O54" s="423"/>
      <c r="P54" s="423">
        <v>0</v>
      </c>
      <c r="Q54" s="423">
        <v>10000000</v>
      </c>
      <c r="R54" s="105"/>
    </row>
    <row r="55" spans="1:21" s="27" customFormat="1" ht="15.75" x14ac:dyDescent="0.25">
      <c r="A55"/>
      <c r="B55" s="426" t="s">
        <v>484</v>
      </c>
      <c r="C55" s="32"/>
      <c r="D55" s="32"/>
      <c r="E55" s="32"/>
      <c r="F55" s="442">
        <v>6.5000000000000002E-2</v>
      </c>
      <c r="G55" s="32">
        <f>+F55+3.5%</f>
        <v>0.1</v>
      </c>
      <c r="H55" s="32">
        <f>+G55+0.5%</f>
        <v>0.10500000000000001</v>
      </c>
      <c r="I55" s="32">
        <f t="shared" ref="I55:J55" si="3">+H55+0.5%</f>
        <v>0.11000000000000001</v>
      </c>
      <c r="J55" s="32">
        <f t="shared" si="3"/>
        <v>0.11500000000000002</v>
      </c>
      <c r="K55" s="105"/>
      <c r="L55" s="105"/>
      <c r="M55" s="105"/>
      <c r="N55" s="105"/>
      <c r="O55" s="105"/>
      <c r="P55" s="105"/>
      <c r="Q55" s="105"/>
      <c r="R55" s="105"/>
    </row>
    <row r="56" spans="1:21" s="27" customFormat="1" ht="15.75" x14ac:dyDescent="0.25">
      <c r="A56"/>
      <c r="B56" s="426" t="s">
        <v>485</v>
      </c>
      <c r="C56" s="32"/>
      <c r="D56" s="32"/>
      <c r="E56" s="32"/>
      <c r="F56" s="32">
        <f>(1+F55)*(1+F17)-1</f>
        <v>0.16191499999999981</v>
      </c>
      <c r="G56" s="32">
        <f>(1+G55)*(1+G17)-1</f>
        <v>0.16160000000000019</v>
      </c>
      <c r="H56" s="32">
        <f>(1+H55)*(1+H17)-1</f>
        <v>0.15362000000000009</v>
      </c>
      <c r="I56" s="32">
        <f>(1+I55)*(1+I17)-1</f>
        <v>0.15995000000000004</v>
      </c>
      <c r="J56" s="32">
        <f>(1+J55)*(1+J17)-1</f>
        <v>0.17074999999999996</v>
      </c>
      <c r="K56" s="105"/>
      <c r="L56" s="105"/>
      <c r="M56" s="105"/>
      <c r="N56" s="105"/>
      <c r="O56" s="105"/>
      <c r="P56" s="105"/>
      <c r="Q56" s="105"/>
      <c r="R56" s="105"/>
    </row>
    <row r="57" spans="1:21" s="27" customFormat="1" ht="15" x14ac:dyDescent="0.2">
      <c r="A57"/>
      <c r="B57" s="426" t="s">
        <v>200</v>
      </c>
      <c r="C57" s="32"/>
      <c r="D57" s="32"/>
      <c r="E57" s="334">
        <v>8000000000</v>
      </c>
      <c r="F57" s="455">
        <f>+E57*(1+F56)</f>
        <v>9295319999.9999981</v>
      </c>
      <c r="G57" s="455">
        <f>+F57*(1+G56)</f>
        <v>10797443712</v>
      </c>
      <c r="H57" s="455">
        <f t="shared" ref="H57:J57" si="4">+G57*(1+H56)</f>
        <v>12456147015.037441</v>
      </c>
      <c r="I57" s="455">
        <f t="shared" si="4"/>
        <v>14448507730.09268</v>
      </c>
      <c r="J57" s="455">
        <f t="shared" si="4"/>
        <v>16915590425.006004</v>
      </c>
      <c r="K57" s="105"/>
      <c r="L57" s="105"/>
      <c r="M57" s="105"/>
      <c r="N57" s="105"/>
      <c r="O57" s="105"/>
      <c r="P57" s="105"/>
      <c r="Q57" s="105"/>
      <c r="R57" s="105"/>
    </row>
    <row r="58" spans="1:21" s="27" customFormat="1" ht="15" x14ac:dyDescent="0.2">
      <c r="B58" s="426" t="s">
        <v>420</v>
      </c>
      <c r="C58" s="32"/>
      <c r="D58" s="32"/>
      <c r="E58" s="32"/>
      <c r="F58" s="334">
        <v>4200</v>
      </c>
      <c r="G58" s="440">
        <f>IF($D$50=1,(1+G54)*F58,0)</f>
        <v>4515</v>
      </c>
      <c r="H58" s="440">
        <f t="shared" ref="H58:J58" si="5">IF($D$50=1,(1+H54)*G58,0)</f>
        <v>4966.5</v>
      </c>
      <c r="I58" s="440">
        <f t="shared" si="5"/>
        <v>5587.3125</v>
      </c>
      <c r="J58" s="440">
        <f t="shared" si="5"/>
        <v>6425.4093749999993</v>
      </c>
      <c r="K58" s="105"/>
      <c r="L58" s="105"/>
      <c r="M58" s="105"/>
      <c r="N58" s="105"/>
      <c r="O58" s="105"/>
      <c r="P58" s="105"/>
      <c r="Q58" s="105"/>
      <c r="R58" s="105"/>
    </row>
    <row r="59" spans="1:21" s="27" customFormat="1" ht="15" x14ac:dyDescent="0.2">
      <c r="A59"/>
      <c r="B59" s="426" t="s">
        <v>422</v>
      </c>
      <c r="C59" s="32"/>
      <c r="D59" s="32"/>
      <c r="E59" s="32"/>
      <c r="F59" s="334">
        <v>18685</v>
      </c>
      <c r="G59" s="440">
        <f>IF($D$50=1,(1+G55)*F59,0)</f>
        <v>20553.5</v>
      </c>
      <c r="H59" s="440">
        <f t="shared" ref="H59:J59" si="6">IF($D$50=1,(1+H55)*G59,0)</f>
        <v>22711.6175</v>
      </c>
      <c r="I59" s="440">
        <f t="shared" si="6"/>
        <v>25209.895425000002</v>
      </c>
      <c r="J59" s="440">
        <f t="shared" si="6"/>
        <v>28109.033398875003</v>
      </c>
      <c r="K59" s="105"/>
      <c r="L59" s="105"/>
      <c r="M59" s="105"/>
      <c r="N59" s="105"/>
      <c r="O59" s="105"/>
      <c r="P59" s="105"/>
      <c r="Q59" s="105"/>
      <c r="R59" s="105"/>
    </row>
    <row r="60" spans="1:21" s="27" customFormat="1" ht="15" x14ac:dyDescent="0.2">
      <c r="A60"/>
      <c r="B60" s="426" t="s">
        <v>421</v>
      </c>
      <c r="C60" s="32"/>
      <c r="D60" s="32"/>
      <c r="E60" s="32"/>
      <c r="F60" s="334">
        <v>100000</v>
      </c>
      <c r="G60" s="440">
        <f>IF($D$50=1,(1+G20)*F60,0)</f>
        <v>104020</v>
      </c>
      <c r="H60" s="440">
        <f>IF($D$50=1,(1+H20)*G60,0)</f>
        <v>108201.60400000001</v>
      </c>
      <c r="I60" s="440">
        <f>IF($D$50=1,(1+I20)*H60,0)</f>
        <v>112551.30848080001</v>
      </c>
      <c r="J60" s="440">
        <f>IF($D$50=1,(1+J20)*I60,0)</f>
        <v>116513.11453932416</v>
      </c>
      <c r="K60" s="105"/>
      <c r="L60" s="105"/>
      <c r="M60" s="105"/>
      <c r="N60" s="105"/>
      <c r="O60" s="105"/>
      <c r="P60" s="105"/>
      <c r="Q60" s="105"/>
      <c r="R60" s="105"/>
    </row>
    <row r="61" spans="1:21" s="27" customFormat="1" ht="15" x14ac:dyDescent="0.2">
      <c r="A61"/>
      <c r="B61" s="426" t="s">
        <v>423</v>
      </c>
      <c r="C61" s="32"/>
      <c r="D61" s="32"/>
      <c r="E61" s="32"/>
      <c r="F61" s="334">
        <f>'Servicios Domiciliarios'!G27</f>
        <v>52069.039336366062</v>
      </c>
      <c r="G61" s="440">
        <f>IF($D$50=1,(1+G20)*F61,0)</f>
        <v>54162.214717687981</v>
      </c>
      <c r="H61" s="440">
        <f>IF($D$50=1,(1+H20)*G61,0)</f>
        <v>56339.53574933904</v>
      </c>
      <c r="I61" s="440">
        <f>IF($D$50=1,(1+I20)*H61,0)</f>
        <v>58604.385086462469</v>
      </c>
      <c r="J61" s="440">
        <f>IF($D$50=1,(1+J20)*I61,0)</f>
        <v>60667.259441505943</v>
      </c>
      <c r="K61" s="105"/>
      <c r="L61" s="105"/>
      <c r="M61" s="105"/>
      <c r="N61" s="105"/>
      <c r="O61" s="105"/>
      <c r="P61" s="105"/>
      <c r="Q61" s="105"/>
      <c r="R61" s="105"/>
    </row>
    <row r="62" spans="1:21" s="27" customFormat="1" ht="15" x14ac:dyDescent="0.2">
      <c r="A62"/>
      <c r="B62" s="334" t="s">
        <v>424</v>
      </c>
      <c r="C62" s="32"/>
      <c r="D62" s="32"/>
      <c r="E62" s="32"/>
      <c r="F62" s="440">
        <f>IF($D$50=1,F58*F60,0)</f>
        <v>420000000</v>
      </c>
      <c r="G62" s="440">
        <f t="shared" ref="G62:J62" si="7">IF($D$50=1,G58*G60,0)</f>
        <v>469650300</v>
      </c>
      <c r="H62" s="440">
        <f t="shared" si="7"/>
        <v>537383266.26600003</v>
      </c>
      <c r="I62" s="440">
        <f t="shared" si="7"/>
        <v>628859332.76612997</v>
      </c>
      <c r="J62" s="440">
        <f t="shared" si="7"/>
        <v>748644458.4714222</v>
      </c>
      <c r="K62" s="105"/>
      <c r="L62" s="105"/>
      <c r="M62" s="105"/>
      <c r="N62" s="105"/>
      <c r="O62" s="105"/>
      <c r="P62" s="105"/>
      <c r="Q62" s="105"/>
      <c r="R62" s="105"/>
    </row>
    <row r="63" spans="1:21" s="27" customFormat="1" ht="15" x14ac:dyDescent="0.2">
      <c r="A63"/>
      <c r="B63" s="334" t="s">
        <v>425</v>
      </c>
      <c r="C63" s="32"/>
      <c r="D63" s="32"/>
      <c r="E63" s="32"/>
      <c r="F63" s="440">
        <f>IF($D$50=1,F59*F61,0)</f>
        <v>972909999.99999988</v>
      </c>
      <c r="G63" s="440">
        <f t="shared" ref="G63:J63" si="8">IF($D$50=1,G59*G61,0)</f>
        <v>1113223080.1999998</v>
      </c>
      <c r="H63" s="440">
        <f t="shared" si="8"/>
        <v>1279561986.0665641</v>
      </c>
      <c r="I63" s="440">
        <f t="shared" si="8"/>
        <v>1477410419.4761486</v>
      </c>
      <c r="J63" s="440">
        <f t="shared" si="8"/>
        <v>1705298021.8595054</v>
      </c>
      <c r="K63" s="105"/>
      <c r="L63" s="105"/>
      <c r="M63" s="105"/>
      <c r="N63" s="105"/>
      <c r="O63" s="105"/>
      <c r="P63" s="105"/>
      <c r="Q63" s="105"/>
      <c r="R63" s="105"/>
    </row>
    <row r="64" spans="1:21" s="2" customFormat="1" ht="5.45" customHeight="1" x14ac:dyDescent="0.2">
      <c r="A64"/>
      <c r="B64" s="333"/>
      <c r="C64" s="333"/>
      <c r="D64" s="333"/>
      <c r="E64" s="333"/>
      <c r="F64" s="333"/>
      <c r="G64" s="333"/>
      <c r="H64" s="333"/>
      <c r="I64" s="333"/>
      <c r="J64" s="333"/>
      <c r="K64" s="105"/>
      <c r="L64" s="105"/>
      <c r="M64" s="105"/>
      <c r="N64" s="105"/>
      <c r="O64" s="105"/>
      <c r="P64" s="105"/>
      <c r="Q64" s="105"/>
      <c r="R64" s="105"/>
      <c r="S64" s="27"/>
      <c r="T64" s="27"/>
      <c r="U64" s="27"/>
    </row>
    <row r="65" spans="1:20" s="27" customFormat="1" ht="15" x14ac:dyDescent="0.2">
      <c r="A65"/>
      <c r="B65" s="334" t="s">
        <v>424</v>
      </c>
      <c r="C65" s="32"/>
      <c r="D65" s="32"/>
      <c r="E65" s="32"/>
      <c r="F65" s="334">
        <f>F62</f>
        <v>420000000</v>
      </c>
      <c r="G65" s="334">
        <f t="shared" ref="G65:J66" si="9">+G58*G60</f>
        <v>469650300</v>
      </c>
      <c r="H65" s="334">
        <f t="shared" si="9"/>
        <v>537383266.26600003</v>
      </c>
      <c r="I65" s="334">
        <f t="shared" si="9"/>
        <v>628859332.76612997</v>
      </c>
      <c r="J65" s="334">
        <f t="shared" si="9"/>
        <v>748644458.4714222</v>
      </c>
      <c r="K65" s="105"/>
      <c r="L65" s="105"/>
      <c r="M65" s="105"/>
      <c r="N65" s="105"/>
      <c r="O65" s="105"/>
      <c r="P65" s="105"/>
      <c r="Q65" s="105"/>
      <c r="R65" s="105"/>
    </row>
    <row r="66" spans="1:20" s="27" customFormat="1" ht="15" x14ac:dyDescent="0.2">
      <c r="A66"/>
      <c r="B66" s="334" t="s">
        <v>425</v>
      </c>
      <c r="C66" s="32"/>
      <c r="D66" s="32"/>
      <c r="E66" s="32"/>
      <c r="F66" s="334">
        <f>F63</f>
        <v>972909999.99999988</v>
      </c>
      <c r="G66" s="334">
        <f t="shared" si="9"/>
        <v>1113223080.1999998</v>
      </c>
      <c r="H66" s="334">
        <f t="shared" si="9"/>
        <v>1279561986.0665641</v>
      </c>
      <c r="I66" s="334">
        <f t="shared" si="9"/>
        <v>1477410419.4761486</v>
      </c>
      <c r="J66" s="334">
        <f t="shared" si="9"/>
        <v>1705298021.8595054</v>
      </c>
      <c r="K66" s="104"/>
      <c r="L66" s="104"/>
      <c r="M66" s="104"/>
      <c r="N66" s="104"/>
      <c r="O66" s="389"/>
      <c r="P66" s="104"/>
      <c r="Q66" s="104"/>
      <c r="R66" s="104"/>
      <c r="S66" s="2"/>
      <c r="T66" s="2"/>
    </row>
    <row r="67" spans="1:20" s="27" customFormat="1" ht="15" x14ac:dyDescent="0.2">
      <c r="B67" s="426" t="s">
        <v>199</v>
      </c>
      <c r="C67" s="32"/>
      <c r="D67" s="32"/>
      <c r="E67" s="32"/>
      <c r="F67" s="334">
        <f>SUM(F65:F66)</f>
        <v>1392910000</v>
      </c>
      <c r="G67" s="334">
        <f t="shared" ref="G67:J67" si="10">SUM(G65:G66)</f>
        <v>1582873380.1999998</v>
      </c>
      <c r="H67" s="334">
        <f t="shared" si="10"/>
        <v>1816945252.3325641</v>
      </c>
      <c r="I67" s="334">
        <f t="shared" si="10"/>
        <v>2106269752.2422786</v>
      </c>
      <c r="J67" s="334">
        <f t="shared" si="10"/>
        <v>2453942480.3309278</v>
      </c>
      <c r="K67" s="105"/>
      <c r="L67" s="105"/>
      <c r="M67" s="105"/>
      <c r="N67" s="105"/>
      <c r="O67" s="105"/>
      <c r="P67" s="105"/>
      <c r="Q67" s="105"/>
      <c r="R67" s="105"/>
    </row>
    <row r="68" spans="1:20" s="2" customFormat="1" ht="5.45" customHeight="1" x14ac:dyDescent="0.2">
      <c r="A68"/>
      <c r="B68" s="104"/>
      <c r="C68" s="104"/>
      <c r="D68" s="104"/>
      <c r="E68" s="104"/>
      <c r="F68" s="104"/>
      <c r="G68" s="104"/>
      <c r="H68" s="104"/>
      <c r="I68" s="104"/>
      <c r="J68" s="104"/>
      <c r="K68" s="105"/>
      <c r="L68" s="105"/>
      <c r="M68" s="105"/>
      <c r="N68" s="105"/>
      <c r="O68" s="105"/>
      <c r="P68" s="105"/>
      <c r="Q68" s="105"/>
      <c r="R68" s="105"/>
      <c r="S68" s="27"/>
      <c r="T68" s="27"/>
    </row>
    <row r="69" spans="1:20" s="27" customFormat="1" ht="15.75" x14ac:dyDescent="0.25">
      <c r="A69"/>
      <c r="B69" s="426" t="s">
        <v>203</v>
      </c>
      <c r="C69" s="32"/>
      <c r="D69" s="32"/>
      <c r="E69" s="32"/>
      <c r="F69" s="496">
        <f>IF(D50=0,P51,Q51)</f>
        <v>0</v>
      </c>
      <c r="G69" s="334"/>
      <c r="H69" s="103"/>
      <c r="I69" s="103"/>
      <c r="J69" s="103"/>
      <c r="K69" s="105"/>
      <c r="L69" s="105"/>
      <c r="M69" s="105"/>
      <c r="N69" s="105"/>
      <c r="O69" s="105"/>
      <c r="P69" s="105"/>
      <c r="Q69" s="105"/>
      <c r="R69" s="105"/>
    </row>
    <row r="70" spans="1:20" s="27" customFormat="1" ht="15.75" x14ac:dyDescent="0.25">
      <c r="A70"/>
      <c r="B70" s="426" t="s">
        <v>204</v>
      </c>
      <c r="C70" s="32"/>
      <c r="D70" s="32"/>
      <c r="E70" s="32"/>
      <c r="F70" s="496">
        <f>IF(D50=0,P53,Q53)</f>
        <v>25000000</v>
      </c>
      <c r="G70" s="496">
        <f>IF(D50=0,P54,Q54)</f>
        <v>10000000</v>
      </c>
      <c r="H70" s="496">
        <f>G70*0.8</f>
        <v>8000000</v>
      </c>
      <c r="I70" s="496">
        <f>H70</f>
        <v>8000000</v>
      </c>
      <c r="J70" s="496">
        <f>I70</f>
        <v>8000000</v>
      </c>
      <c r="K70" s="103"/>
      <c r="L70" s="103"/>
      <c r="M70" s="103"/>
      <c r="N70" s="103"/>
      <c r="O70" s="103"/>
      <c r="P70" s="103"/>
      <c r="Q70" s="103"/>
      <c r="R70" s="103"/>
      <c r="S70" s="21"/>
      <c r="T70"/>
    </row>
    <row r="71" spans="1:20" s="27" customFormat="1" ht="15.75" x14ac:dyDescent="0.25">
      <c r="A71"/>
      <c r="B71" s="426" t="s">
        <v>206</v>
      </c>
      <c r="C71" s="32"/>
      <c r="D71" s="32"/>
      <c r="E71" s="32"/>
      <c r="F71" s="496">
        <f>IF(D50=0,P52,Q52)</f>
        <v>0</v>
      </c>
      <c r="G71" s="334"/>
      <c r="H71" s="103"/>
      <c r="I71" s="103"/>
      <c r="J71" s="103"/>
      <c r="K71" s="105"/>
      <c r="L71" s="105"/>
      <c r="M71" s="105"/>
      <c r="N71" s="105"/>
      <c r="O71" s="105"/>
      <c r="P71" s="105"/>
      <c r="Q71" s="105"/>
      <c r="R71" s="105"/>
    </row>
    <row r="72" spans="1:20" s="27" customFormat="1" ht="15" x14ac:dyDescent="0.2">
      <c r="A72"/>
      <c r="B72" s="334" t="s">
        <v>211</v>
      </c>
      <c r="C72" s="32"/>
      <c r="D72" s="32"/>
      <c r="E72" s="32"/>
      <c r="F72" s="32">
        <v>0.01</v>
      </c>
      <c r="G72" s="105"/>
      <c r="H72" s="105"/>
      <c r="I72" s="105"/>
      <c r="J72" s="105"/>
      <c r="K72" s="103"/>
      <c r="L72" s="103"/>
      <c r="M72" s="103"/>
      <c r="N72" s="103"/>
      <c r="O72" s="103"/>
      <c r="P72" s="103"/>
      <c r="Q72" s="103"/>
      <c r="R72" s="103"/>
      <c r="S72" s="21"/>
      <c r="T72"/>
    </row>
    <row r="73" spans="1:20" ht="15" x14ac:dyDescent="0.2">
      <c r="B73" s="39"/>
      <c r="K73" s="103"/>
      <c r="L73" s="103"/>
      <c r="M73" s="103"/>
      <c r="N73" s="103"/>
      <c r="O73" s="103"/>
      <c r="P73" s="103"/>
      <c r="Q73" s="103"/>
      <c r="R73" s="103"/>
    </row>
    <row r="74" spans="1:20" ht="15" x14ac:dyDescent="0.2">
      <c r="B74" s="39"/>
      <c r="K74" s="103"/>
      <c r="L74" s="103"/>
      <c r="M74" s="103"/>
      <c r="N74" s="103"/>
      <c r="O74" s="103"/>
      <c r="P74" s="103"/>
      <c r="Q74" s="103"/>
      <c r="R74" s="103"/>
    </row>
    <row r="75" spans="1:20" ht="20.25" x14ac:dyDescent="0.3">
      <c r="B75" s="515" t="s">
        <v>291</v>
      </c>
      <c r="K75" s="103"/>
      <c r="L75" s="103"/>
      <c r="M75" s="103"/>
      <c r="N75" s="103"/>
      <c r="O75" s="103"/>
      <c r="P75" s="103"/>
      <c r="Q75" s="103"/>
      <c r="R75" s="103"/>
    </row>
    <row r="76" spans="1:20" ht="18" x14ac:dyDescent="0.2">
      <c r="B76" s="516" t="s">
        <v>290</v>
      </c>
      <c r="C76" s="517">
        <f>+'ESTADOS FINANCIEROS HISTÓRICOS'!B$2</f>
        <v>2019</v>
      </c>
      <c r="D76" s="517">
        <f>+'ESTADOS FINANCIEROS HISTÓRICOS'!C$2</f>
        <v>2020</v>
      </c>
      <c r="E76" s="517">
        <f>+'ESTADOS FINANCIEROS HISTÓRICOS'!D$2</f>
        <v>2021</v>
      </c>
      <c r="F76" s="517">
        <f>+E76+1</f>
        <v>2022</v>
      </c>
      <c r="G76" s="517">
        <f>+F76+1</f>
        <v>2023</v>
      </c>
      <c r="H76" s="517">
        <f>+G76+1</f>
        <v>2024</v>
      </c>
      <c r="I76" s="517">
        <f>+H76+1</f>
        <v>2025</v>
      </c>
      <c r="J76" s="517">
        <f>+I76+1</f>
        <v>2026</v>
      </c>
      <c r="K76" s="103"/>
      <c r="L76" s="103"/>
      <c r="M76" s="103"/>
      <c r="N76" s="103"/>
      <c r="O76" s="103"/>
      <c r="P76" s="103"/>
      <c r="Q76" s="103"/>
      <c r="R76" s="103"/>
    </row>
    <row r="77" spans="1:20" ht="18" x14ac:dyDescent="0.2">
      <c r="B77" s="512" t="s">
        <v>405</v>
      </c>
      <c r="C77" s="513">
        <f>C67</f>
        <v>0</v>
      </c>
      <c r="D77" s="513">
        <f>D67</f>
        <v>0</v>
      </c>
      <c r="E77" s="513">
        <f>E67</f>
        <v>0</v>
      </c>
      <c r="F77" s="513">
        <f>F67+F33</f>
        <v>3732326838.0000005</v>
      </c>
      <c r="G77" s="513">
        <f>G67+G33</f>
        <v>4053297561.1280003</v>
      </c>
      <c r="H77" s="513">
        <f>H67+H33</f>
        <v>4396068097.2213964</v>
      </c>
      <c r="I77" s="513">
        <f>I67+I33</f>
        <v>4801453125.1511078</v>
      </c>
      <c r="J77" s="513">
        <f>J67+J33</f>
        <v>5283885021.8851986</v>
      </c>
      <c r="K77" s="103"/>
      <c r="L77" s="103"/>
      <c r="M77" s="103"/>
      <c r="N77" s="103"/>
      <c r="O77" s="103"/>
      <c r="P77" s="103"/>
      <c r="Q77" s="103"/>
      <c r="R77" s="103"/>
    </row>
    <row r="78" spans="1:20" ht="18" x14ac:dyDescent="0.2">
      <c r="B78" s="512" t="s">
        <v>404</v>
      </c>
      <c r="C78" s="513">
        <f>'ESTADOS FINANCIEROS HISTÓRICOS'!B41</f>
        <v>29799465174</v>
      </c>
      <c r="D78" s="513">
        <f>'ESTADOS FINANCIEROS HISTÓRICOS'!C41</f>
        <v>32883349520</v>
      </c>
      <c r="E78" s="513">
        <f>'ESTADOS FINANCIEROS HISTÓRICOS'!D41</f>
        <v>37619845133</v>
      </c>
      <c r="F78" s="513">
        <f>'ESTADOS FINANCIEROS HISTÓRICOS'!D41*(1+7%)</f>
        <v>40253234292.310005</v>
      </c>
      <c r="G78" s="513">
        <f>F78*(1+8%)</f>
        <v>43473493035.694809</v>
      </c>
      <c r="H78" s="513">
        <f t="shared" ref="H78:J78" si="11">G78*(1+8%)</f>
        <v>46951372478.5504</v>
      </c>
      <c r="I78" s="513">
        <f t="shared" si="11"/>
        <v>50707482276.834435</v>
      </c>
      <c r="J78" s="513">
        <f t="shared" si="11"/>
        <v>54764080858.981194</v>
      </c>
      <c r="K78" s="103"/>
      <c r="L78" s="103"/>
      <c r="M78" s="103"/>
      <c r="N78" s="103"/>
      <c r="O78" s="103"/>
      <c r="P78" s="103"/>
      <c r="Q78" s="103"/>
      <c r="R78" s="103"/>
    </row>
    <row r="79" spans="1:20" ht="18" x14ac:dyDescent="0.2">
      <c r="B79" s="512" t="s">
        <v>293</v>
      </c>
      <c r="C79" s="513">
        <f t="shared" ref="C79:J79" si="12">SUM(C77:C78)</f>
        <v>29799465174</v>
      </c>
      <c r="D79" s="513">
        <f t="shared" ref="D79" si="13">SUM(D77:D78)</f>
        <v>32883349520</v>
      </c>
      <c r="E79" s="513">
        <f t="shared" ref="E79" si="14">SUM(E77:E78)</f>
        <v>37619845133</v>
      </c>
      <c r="F79" s="513">
        <f t="shared" si="12"/>
        <v>43985561130.310005</v>
      </c>
      <c r="G79" s="513">
        <f t="shared" si="12"/>
        <v>47526790596.822807</v>
      </c>
      <c r="H79" s="513">
        <f t="shared" si="12"/>
        <v>51347440575.771797</v>
      </c>
      <c r="I79" s="513">
        <f t="shared" si="12"/>
        <v>55508935401.985542</v>
      </c>
      <c r="J79" s="513">
        <f t="shared" si="12"/>
        <v>60047965880.866394</v>
      </c>
      <c r="K79" s="103"/>
      <c r="L79" s="103"/>
      <c r="M79" s="103"/>
      <c r="N79" s="103"/>
      <c r="O79" s="103"/>
      <c r="P79" s="103"/>
      <c r="Q79" s="103"/>
      <c r="R79" s="103"/>
    </row>
    <row r="80" spans="1:20" ht="15" x14ac:dyDescent="0.2">
      <c r="B80" s="518" t="s">
        <v>292</v>
      </c>
      <c r="C80" s="519"/>
      <c r="D80" s="519"/>
      <c r="E80" s="519"/>
      <c r="F80" s="519"/>
      <c r="G80" s="519"/>
      <c r="H80" s="519"/>
      <c r="I80" s="519"/>
      <c r="J80" s="519"/>
      <c r="K80" s="103"/>
      <c r="L80" s="103"/>
      <c r="M80" s="103"/>
      <c r="N80" s="103"/>
      <c r="O80" s="103"/>
      <c r="P80" s="103"/>
      <c r="Q80" s="103"/>
      <c r="R80" s="103"/>
    </row>
    <row r="81" spans="1:21" ht="18" x14ac:dyDescent="0.2">
      <c r="B81" s="512" t="s">
        <v>405</v>
      </c>
      <c r="C81" s="514">
        <f t="shared" ref="C81:J82" si="15">C77/C$79</f>
        <v>0</v>
      </c>
      <c r="D81" s="514">
        <f t="shared" si="15"/>
        <v>0</v>
      </c>
      <c r="E81" s="514">
        <f t="shared" si="15"/>
        <v>0</v>
      </c>
      <c r="F81" s="514">
        <f t="shared" si="15"/>
        <v>8.4853455135942141E-2</v>
      </c>
      <c r="G81" s="514">
        <f t="shared" si="15"/>
        <v>8.5284478716704373E-2</v>
      </c>
      <c r="H81" s="514">
        <f t="shared" si="15"/>
        <v>8.5614162028860186E-2</v>
      </c>
      <c r="I81" s="514">
        <f t="shared" si="15"/>
        <v>8.6498742776813561E-2</v>
      </c>
      <c r="J81" s="514">
        <f t="shared" si="15"/>
        <v>8.7994404879064334E-2</v>
      </c>
      <c r="K81" s="103"/>
      <c r="L81" s="103"/>
      <c r="M81" s="103"/>
      <c r="N81" s="103"/>
      <c r="O81" s="103"/>
      <c r="P81" s="103"/>
      <c r="Q81" s="103"/>
      <c r="R81" s="103"/>
    </row>
    <row r="82" spans="1:21" ht="18" x14ac:dyDescent="0.2">
      <c r="B82" s="512" t="s">
        <v>404</v>
      </c>
      <c r="C82" s="514">
        <f t="shared" si="15"/>
        <v>1</v>
      </c>
      <c r="D82" s="514">
        <f t="shared" si="15"/>
        <v>1</v>
      </c>
      <c r="E82" s="514">
        <f t="shared" si="15"/>
        <v>1</v>
      </c>
      <c r="F82" s="514">
        <f t="shared" si="15"/>
        <v>0.91514654486405789</v>
      </c>
      <c r="G82" s="514">
        <f t="shared" si="15"/>
        <v>0.9147155212832957</v>
      </c>
      <c r="H82" s="514">
        <f t="shared" si="15"/>
        <v>0.91438583797113981</v>
      </c>
      <c r="I82" s="514">
        <f t="shared" si="15"/>
        <v>0.91350125722318642</v>
      </c>
      <c r="J82" s="514">
        <f t="shared" si="15"/>
        <v>0.9120055951209356</v>
      </c>
      <c r="K82" s="103"/>
      <c r="L82" s="103"/>
      <c r="M82" s="103"/>
      <c r="N82" s="103"/>
      <c r="O82" s="103"/>
      <c r="P82" s="103"/>
      <c r="Q82" s="103"/>
      <c r="R82" s="103"/>
    </row>
    <row r="83" spans="1:21" s="161" customFormat="1" ht="15" x14ac:dyDescent="0.2">
      <c r="B83" s="458"/>
      <c r="K83" s="103"/>
      <c r="L83" s="103"/>
      <c r="M83" s="103"/>
      <c r="N83" s="103"/>
      <c r="O83" s="103"/>
      <c r="P83" s="103"/>
      <c r="Q83" s="103"/>
      <c r="R83" s="103"/>
      <c r="S83" s="103"/>
    </row>
    <row r="84" spans="1:21" s="2" customFormat="1" ht="18.75" customHeight="1" x14ac:dyDescent="0.2">
      <c r="A84"/>
      <c r="B84" s="529" t="s">
        <v>3</v>
      </c>
      <c r="C84" s="529" t="s">
        <v>84</v>
      </c>
      <c r="D84" s="530"/>
      <c r="E84" s="531"/>
      <c r="F84" s="532" t="s">
        <v>92</v>
      </c>
      <c r="K84" s="104"/>
      <c r="L84" s="104"/>
      <c r="M84" s="104"/>
      <c r="N84" s="104"/>
      <c r="O84" s="389"/>
      <c r="P84" s="104"/>
      <c r="Q84" s="104"/>
      <c r="R84" s="104"/>
    </row>
    <row r="85" spans="1:21" s="2" customFormat="1" ht="18.75" customHeight="1" x14ac:dyDescent="0.2">
      <c r="A85"/>
      <c r="B85" s="522" t="s">
        <v>0</v>
      </c>
      <c r="C85" s="523" t="s">
        <v>85</v>
      </c>
      <c r="D85" s="524"/>
      <c r="E85" s="521"/>
      <c r="F85" s="526">
        <v>0.16318340000000001</v>
      </c>
      <c r="G85" s="77">
        <v>6.4875500000000003E-2</v>
      </c>
      <c r="K85" s="104"/>
      <c r="L85" s="104"/>
      <c r="M85" s="104"/>
      <c r="N85" s="104"/>
      <c r="O85" s="389"/>
      <c r="P85" s="104"/>
      <c r="Q85" s="104"/>
      <c r="R85" s="104"/>
    </row>
    <row r="86" spans="1:21" s="2" customFormat="1" ht="18.75" customHeight="1" x14ac:dyDescent="0.2">
      <c r="A86"/>
      <c r="B86" s="523" t="s">
        <v>118</v>
      </c>
      <c r="C86" s="525" t="s">
        <v>111</v>
      </c>
      <c r="D86" s="524"/>
      <c r="E86" s="521"/>
      <c r="F86" s="527">
        <f>IF(G28=0,P36,Q36)</f>
        <v>0.08</v>
      </c>
      <c r="K86" s="104"/>
      <c r="L86" s="104"/>
      <c r="M86" s="104"/>
      <c r="N86" s="104"/>
      <c r="O86" s="389"/>
      <c r="P86" s="104"/>
      <c r="Q86" s="104"/>
      <c r="R86" s="104"/>
    </row>
    <row r="87" spans="1:21" s="2" customFormat="1" ht="18.75" customHeight="1" x14ac:dyDescent="0.2">
      <c r="A87"/>
      <c r="B87" s="523" t="s">
        <v>119</v>
      </c>
      <c r="C87" s="525" t="s">
        <v>150</v>
      </c>
      <c r="D87" s="524"/>
      <c r="E87" s="521"/>
      <c r="F87" s="526">
        <v>0.01</v>
      </c>
      <c r="K87" s="104"/>
      <c r="L87" s="104"/>
      <c r="M87" s="104"/>
      <c r="N87" s="104"/>
      <c r="O87" s="389"/>
      <c r="P87" s="104"/>
      <c r="Q87" s="104"/>
      <c r="R87" s="104"/>
    </row>
    <row r="88" spans="1:21" s="2" customFormat="1" ht="18.75" customHeight="1" x14ac:dyDescent="0.2">
      <c r="A88"/>
      <c r="B88" s="523" t="s">
        <v>120</v>
      </c>
      <c r="C88" s="525" t="s">
        <v>85</v>
      </c>
      <c r="D88" s="524"/>
      <c r="E88" s="521"/>
      <c r="F88" s="526">
        <v>1.4999999999999999E-2</v>
      </c>
      <c r="K88" s="104"/>
      <c r="L88" s="104"/>
      <c r="M88" s="104"/>
      <c r="N88" s="104"/>
      <c r="O88" s="389"/>
      <c r="P88" s="104"/>
      <c r="Q88" s="104"/>
      <c r="R88" s="104"/>
    </row>
    <row r="89" spans="1:21" s="2" customFormat="1" ht="18.75" customHeight="1" x14ac:dyDescent="0.2">
      <c r="A89"/>
      <c r="B89" s="523" t="s">
        <v>79</v>
      </c>
      <c r="C89" s="523" t="s">
        <v>85</v>
      </c>
      <c r="D89" s="524"/>
      <c r="E89" s="521"/>
      <c r="F89" s="526">
        <v>0.08</v>
      </c>
      <c r="K89" s="104"/>
      <c r="L89" s="104"/>
      <c r="M89" s="104"/>
      <c r="N89" s="104"/>
      <c r="O89" s="104"/>
      <c r="P89" s="104"/>
      <c r="Q89" s="104"/>
      <c r="R89" s="104"/>
    </row>
    <row r="90" spans="1:21" s="7" customFormat="1" ht="15" x14ac:dyDescent="0.2">
      <c r="B90" s="71"/>
      <c r="C90" s="2"/>
      <c r="D90" s="2"/>
      <c r="E90" s="9"/>
      <c r="G90" s="9"/>
      <c r="H90" s="9"/>
      <c r="I90" s="9"/>
      <c r="K90" s="115"/>
      <c r="L90" s="115"/>
      <c r="M90" s="115"/>
      <c r="N90" s="115"/>
      <c r="O90" s="115"/>
    </row>
    <row r="91" spans="1:21" s="7" customFormat="1" ht="20.25" hidden="1" x14ac:dyDescent="0.3">
      <c r="A91" s="115"/>
      <c r="B91" s="561" t="s">
        <v>349</v>
      </c>
      <c r="C91" s="104"/>
      <c r="D91" s="104"/>
      <c r="E91" s="112"/>
      <c r="F91" s="115"/>
      <c r="G91" s="112"/>
      <c r="H91" s="112"/>
      <c r="I91" s="9"/>
      <c r="K91" s="115"/>
      <c r="L91" s="115"/>
      <c r="M91" s="115"/>
      <c r="N91" s="115"/>
      <c r="O91" s="115"/>
    </row>
    <row r="92" spans="1:21" s="7" customFormat="1" ht="19.5" hidden="1" customHeight="1" x14ac:dyDescent="0.25">
      <c r="A92" s="115"/>
      <c r="B92" s="560" t="s">
        <v>407</v>
      </c>
      <c r="C92" s="104"/>
      <c r="D92" s="104"/>
      <c r="E92" s="112"/>
      <c r="F92" s="115"/>
      <c r="G92" s="562">
        <f>F2</f>
        <v>0</v>
      </c>
      <c r="H92" s="112" t="s">
        <v>350</v>
      </c>
      <c r="K92" s="115"/>
      <c r="L92" s="115"/>
      <c r="M92" s="115"/>
      <c r="N92" s="115"/>
      <c r="O92" s="115"/>
    </row>
    <row r="93" spans="1:21" s="7" customFormat="1" ht="19.5" hidden="1" customHeight="1" x14ac:dyDescent="0.2">
      <c r="A93" s="115"/>
      <c r="B93" s="560" t="s">
        <v>351</v>
      </c>
      <c r="C93" s="104"/>
      <c r="D93" s="104"/>
      <c r="E93" s="112"/>
      <c r="F93" s="112"/>
      <c r="G93" s="112"/>
      <c r="H93" s="112"/>
      <c r="I93" s="9"/>
      <c r="K93" s="115"/>
      <c r="L93" s="115"/>
      <c r="M93" s="115"/>
      <c r="N93" s="115"/>
      <c r="O93" s="115"/>
    </row>
    <row r="94" spans="1:21" s="7" customFormat="1" ht="19.5" hidden="1" customHeight="1" x14ac:dyDescent="0.25">
      <c r="A94" s="115"/>
      <c r="B94" s="111" t="s">
        <v>406</v>
      </c>
      <c r="C94" s="115"/>
      <c r="D94" s="563">
        <v>0.1</v>
      </c>
      <c r="E94" s="111" t="s">
        <v>354</v>
      </c>
      <c r="F94" s="112"/>
      <c r="G94" s="112"/>
      <c r="H94" s="112"/>
      <c r="I94" s="9"/>
      <c r="K94" s="115"/>
      <c r="L94" s="115"/>
      <c r="M94" s="115"/>
      <c r="N94" s="115"/>
      <c r="O94" s="115"/>
    </row>
    <row r="95" spans="1:21" s="7" customFormat="1" ht="15" hidden="1" x14ac:dyDescent="0.2">
      <c r="A95" s="115"/>
      <c r="B95" s="114"/>
      <c r="C95" s="104"/>
      <c r="D95" s="104"/>
      <c r="E95" s="112"/>
      <c r="F95" s="112"/>
      <c r="G95" s="112"/>
      <c r="H95" s="112"/>
      <c r="I95" s="9"/>
      <c r="K95" s="115"/>
      <c r="L95" s="115"/>
      <c r="M95" s="115"/>
      <c r="N95" s="115"/>
      <c r="O95" s="115"/>
    </row>
    <row r="96" spans="1:21" s="2" customFormat="1" ht="15" x14ac:dyDescent="0.2">
      <c r="A96"/>
      <c r="B96" s="3"/>
      <c r="K96" s="104"/>
      <c r="L96" s="104"/>
      <c r="M96" s="104"/>
      <c r="N96" s="104"/>
      <c r="O96" s="104"/>
      <c r="T96"/>
      <c r="U96"/>
    </row>
    <row r="97" spans="2:19" ht="18" x14ac:dyDescent="0.2">
      <c r="B97" s="542" t="s">
        <v>10</v>
      </c>
      <c r="C97" s="543">
        <f>+'ESTADOS FINANCIEROS HISTÓRICOS'!D40</f>
        <v>2021</v>
      </c>
      <c r="D97" s="543">
        <f>+C97+1</f>
        <v>2022</v>
      </c>
      <c r="E97" s="543">
        <f>+D97+1</f>
        <v>2023</v>
      </c>
      <c r="F97" s="543">
        <f>+E97+1</f>
        <v>2024</v>
      </c>
      <c r="G97" s="543">
        <f>+F97+1</f>
        <v>2025</v>
      </c>
      <c r="H97" s="544">
        <f>+G97+1</f>
        <v>2026</v>
      </c>
      <c r="I97" s="104"/>
      <c r="L97" s="104"/>
      <c r="M97" s="104"/>
      <c r="N97" s="104"/>
      <c r="O97" s="104"/>
      <c r="P97" s="2"/>
      <c r="Q97" s="2"/>
      <c r="R97" s="2"/>
      <c r="S97" s="2"/>
    </row>
    <row r="98" spans="2:19" ht="18.75" customHeight="1" x14ac:dyDescent="0.2">
      <c r="B98" s="525" t="s">
        <v>151</v>
      </c>
      <c r="C98" s="533">
        <v>100</v>
      </c>
      <c r="D98" s="534"/>
      <c r="E98" s="337"/>
      <c r="F98" s="337"/>
      <c r="G98" s="197"/>
      <c r="H98" s="535"/>
      <c r="I98" s="104"/>
      <c r="L98" s="104"/>
      <c r="M98" s="104"/>
      <c r="N98" s="104"/>
      <c r="O98" s="104"/>
      <c r="P98" s="2"/>
      <c r="Q98" s="2"/>
      <c r="R98" s="2"/>
      <c r="S98" s="2"/>
    </row>
    <row r="99" spans="2:19" ht="18.75" customHeight="1" x14ac:dyDescent="0.2">
      <c r="B99" s="525" t="s">
        <v>11</v>
      </c>
      <c r="C99" s="536">
        <f>'ESTADOS FINANCIEROS HISTÓRICOS'!G33</f>
        <v>0.36377772512928419</v>
      </c>
      <c r="D99" s="536">
        <f>C2</f>
        <v>0</v>
      </c>
      <c r="E99" s="536">
        <f>+D99</f>
        <v>0</v>
      </c>
      <c r="F99" s="536">
        <f>+E99</f>
        <v>0</v>
      </c>
      <c r="G99" s="536">
        <f>+F99</f>
        <v>0</v>
      </c>
      <c r="H99" s="536">
        <f>+G99</f>
        <v>0</v>
      </c>
      <c r="I99" s="104"/>
      <c r="L99" s="104"/>
      <c r="M99" s="104"/>
      <c r="N99" s="104"/>
      <c r="O99" s="104"/>
      <c r="P99" s="2"/>
      <c r="Q99" s="2"/>
      <c r="R99" s="2"/>
      <c r="S99" s="2"/>
    </row>
    <row r="100" spans="2:19" ht="18.75" customHeight="1" x14ac:dyDescent="0.2">
      <c r="B100" s="525" t="s">
        <v>94</v>
      </c>
      <c r="C100" s="537">
        <v>1.4999999999999999E-2</v>
      </c>
      <c r="D100" s="535"/>
      <c r="E100" s="535"/>
      <c r="F100" s="535"/>
      <c r="G100" s="535"/>
      <c r="H100" s="535"/>
      <c r="I100" s="104"/>
      <c r="L100" s="104"/>
      <c r="M100" s="104"/>
      <c r="N100" s="104"/>
      <c r="O100" s="104"/>
      <c r="P100" s="2"/>
      <c r="Q100" s="2"/>
      <c r="R100" s="2"/>
      <c r="S100" s="2"/>
    </row>
    <row r="101" spans="2:19" ht="18.75" customHeight="1" x14ac:dyDescent="0.2">
      <c r="B101" s="545" t="s">
        <v>98</v>
      </c>
      <c r="C101" s="528"/>
      <c r="D101" s="444">
        <v>0.1</v>
      </c>
      <c r="E101" s="444"/>
      <c r="F101" s="444"/>
      <c r="G101" s="444"/>
      <c r="H101" s="444"/>
      <c r="I101" s="104"/>
      <c r="L101" s="104"/>
      <c r="M101" s="104"/>
      <c r="N101" s="104"/>
      <c r="O101" s="104"/>
      <c r="P101" s="2"/>
      <c r="Q101" s="2"/>
      <c r="R101" s="2"/>
      <c r="S101" s="2"/>
    </row>
    <row r="102" spans="2:19" ht="10.15" customHeight="1" x14ac:dyDescent="0.2">
      <c r="B102" s="345"/>
      <c r="C102" s="153"/>
      <c r="D102" s="153"/>
      <c r="E102" s="153"/>
      <c r="F102" s="153"/>
      <c r="G102" s="153"/>
      <c r="H102" s="153"/>
      <c r="I102" s="104"/>
      <c r="L102" s="104"/>
      <c r="M102" s="104"/>
      <c r="N102" s="104"/>
      <c r="O102" s="104"/>
      <c r="P102" s="2"/>
      <c r="Q102" s="2"/>
      <c r="R102" s="2"/>
      <c r="S102" s="2"/>
    </row>
    <row r="103" spans="2:19" ht="18.75" customHeight="1" x14ac:dyDescent="0.2">
      <c r="B103" s="545" t="s">
        <v>5</v>
      </c>
      <c r="C103" s="444">
        <f>'ESTADOS FINANCIEROS HISTÓRICOS'!G42</f>
        <v>0.5257784592167104</v>
      </c>
      <c r="D103" s="540">
        <f>C103</f>
        <v>0.5257784592167104</v>
      </c>
      <c r="E103" s="444">
        <f>+D103+$E$104</f>
        <v>0.5207784592167104</v>
      </c>
      <c r="F103" s="444">
        <f>+E103+$E$104</f>
        <v>0.51577845921671039</v>
      </c>
      <c r="G103" s="444">
        <f>+F103+$E$104</f>
        <v>0.51077845921671039</v>
      </c>
      <c r="H103" s="444">
        <f>+G103+$E$104</f>
        <v>0.50577845921671039</v>
      </c>
      <c r="I103" s="103"/>
      <c r="L103" s="103"/>
      <c r="M103" s="103"/>
      <c r="N103" s="103"/>
      <c r="O103" s="103"/>
    </row>
    <row r="104" spans="2:19" ht="18.75" customHeight="1" x14ac:dyDescent="0.2">
      <c r="B104" s="545" t="s">
        <v>102</v>
      </c>
      <c r="C104" s="537"/>
      <c r="D104" s="444"/>
      <c r="E104" s="541">
        <f>IF(G27=0,P37,Q37)</f>
        <v>-5.0000000000000001E-3</v>
      </c>
      <c r="F104" s="444"/>
      <c r="G104" s="444"/>
      <c r="H104" s="444"/>
      <c r="I104" s="103"/>
      <c r="L104" s="103"/>
      <c r="M104" s="103"/>
      <c r="N104" s="103"/>
      <c r="O104" s="103"/>
    </row>
    <row r="105" spans="2:19" ht="18.75" customHeight="1" x14ac:dyDescent="0.2">
      <c r="B105" s="525" t="s">
        <v>348</v>
      </c>
      <c r="C105" s="538">
        <v>0.01</v>
      </c>
      <c r="D105" s="535"/>
      <c r="E105" s="535"/>
      <c r="F105" s="535"/>
      <c r="G105" s="535"/>
      <c r="H105" s="535"/>
      <c r="I105" s="104"/>
      <c r="L105" s="104"/>
      <c r="M105" s="104"/>
      <c r="N105" s="104"/>
      <c r="O105" s="104"/>
      <c r="P105" s="2"/>
      <c r="Q105" s="2"/>
      <c r="R105" s="2"/>
      <c r="S105" s="2"/>
    </row>
    <row r="106" spans="2:19" ht="18.75" customHeight="1" x14ac:dyDescent="0.2">
      <c r="B106" s="525" t="s">
        <v>213</v>
      </c>
      <c r="C106" s="539">
        <v>1</v>
      </c>
      <c r="D106" s="539"/>
      <c r="E106" s="539"/>
      <c r="F106" s="539"/>
      <c r="G106" s="539"/>
      <c r="H106" s="539"/>
      <c r="I106" s="104"/>
      <c r="L106" s="104"/>
      <c r="M106" s="104"/>
      <c r="N106" s="104"/>
      <c r="O106" s="104"/>
      <c r="P106" s="2"/>
      <c r="Q106" s="2"/>
      <c r="R106" s="2"/>
      <c r="S106" s="2"/>
    </row>
    <row r="107" spans="2:19" ht="18.75" customHeight="1" x14ac:dyDescent="0.2">
      <c r="B107" s="545" t="s">
        <v>19</v>
      </c>
      <c r="C107" s="533">
        <f>INT('ESTADOS FINANCIEROS HISTÓRICOS'!G6)</f>
        <v>176</v>
      </c>
      <c r="D107" s="337">
        <v>60</v>
      </c>
      <c r="E107" s="337">
        <v>60</v>
      </c>
      <c r="F107" s="337">
        <v>55</v>
      </c>
      <c r="G107" s="337">
        <v>45</v>
      </c>
      <c r="H107" s="337">
        <v>45</v>
      </c>
      <c r="I107" s="334">
        <v>45</v>
      </c>
      <c r="L107" s="104"/>
      <c r="M107" s="104"/>
      <c r="N107" s="104"/>
      <c r="O107" s="104"/>
      <c r="P107" s="2"/>
      <c r="Q107" s="2"/>
      <c r="R107" s="2"/>
      <c r="S107" s="2"/>
    </row>
    <row r="108" spans="2:19" ht="18.75" customHeight="1" x14ac:dyDescent="0.2">
      <c r="B108" s="545" t="s">
        <v>20</v>
      </c>
      <c r="C108" s="533">
        <f>INT('ESTADOS FINANCIEROS HISTÓRICOS'!G7)</f>
        <v>0</v>
      </c>
      <c r="D108" s="337">
        <v>90</v>
      </c>
      <c r="E108" s="337">
        <v>90</v>
      </c>
      <c r="F108" s="337">
        <v>90</v>
      </c>
      <c r="G108" s="337">
        <v>90</v>
      </c>
      <c r="H108" s="337">
        <v>90</v>
      </c>
      <c r="I108" s="334">
        <v>90</v>
      </c>
      <c r="L108" s="104"/>
      <c r="M108" s="104"/>
      <c r="N108" s="104"/>
      <c r="O108" s="104"/>
      <c r="P108" s="2"/>
      <c r="Q108" s="2"/>
      <c r="R108" s="2"/>
      <c r="S108" s="2"/>
    </row>
    <row r="109" spans="2:19" ht="18.75" customHeight="1" x14ac:dyDescent="0.2">
      <c r="B109" s="545" t="s">
        <v>26</v>
      </c>
      <c r="C109" s="533">
        <f>INT('ESTADOS FINANCIEROS HISTÓRICOS'!G21)</f>
        <v>87</v>
      </c>
      <c r="D109" s="337">
        <v>75</v>
      </c>
      <c r="E109" s="337">
        <v>75</v>
      </c>
      <c r="F109" s="337">
        <v>75</v>
      </c>
      <c r="G109" s="337">
        <v>75</v>
      </c>
      <c r="H109" s="337">
        <v>75</v>
      </c>
      <c r="I109" s="334">
        <v>75</v>
      </c>
      <c r="L109" s="104"/>
      <c r="M109" s="104"/>
      <c r="N109" s="104"/>
      <c r="O109" s="104"/>
      <c r="P109" s="2"/>
      <c r="Q109" s="2"/>
      <c r="R109" s="2"/>
      <c r="S109" s="2"/>
    </row>
    <row r="110" spans="2:19" ht="18.75" customHeight="1" x14ac:dyDescent="0.2">
      <c r="B110" s="545" t="s">
        <v>179</v>
      </c>
      <c r="C110" s="539">
        <v>0.32</v>
      </c>
      <c r="D110" s="337"/>
      <c r="E110" s="337"/>
      <c r="F110" s="337"/>
      <c r="G110" s="337"/>
      <c r="H110" s="337"/>
      <c r="I110" s="104"/>
      <c r="L110" s="104"/>
      <c r="M110" s="104"/>
      <c r="N110" s="104"/>
      <c r="O110" s="104"/>
      <c r="P110" s="2"/>
      <c r="Q110" s="2"/>
      <c r="R110" s="2"/>
      <c r="S110" s="2"/>
    </row>
    <row r="111" spans="2:19" ht="18.75" customHeight="1" x14ac:dyDescent="0.2">
      <c r="B111" s="525" t="s">
        <v>369</v>
      </c>
      <c r="C111" s="537">
        <v>0.6</v>
      </c>
      <c r="D111" s="534"/>
      <c r="E111" s="337"/>
      <c r="F111" s="337"/>
      <c r="G111" s="197"/>
      <c r="H111" s="535"/>
      <c r="I111" s="104"/>
      <c r="L111" s="104"/>
      <c r="M111" s="104"/>
      <c r="N111" s="104"/>
      <c r="O111" s="104"/>
      <c r="P111" s="2"/>
      <c r="Q111" s="2"/>
      <c r="R111" s="2"/>
      <c r="S111" s="2"/>
    </row>
    <row r="112" spans="2:19" ht="18.75" customHeight="1" x14ac:dyDescent="0.2">
      <c r="B112" s="525" t="s">
        <v>96</v>
      </c>
      <c r="C112" s="533"/>
      <c r="D112" s="534">
        <v>10</v>
      </c>
      <c r="E112" s="337"/>
      <c r="F112" s="337"/>
      <c r="G112" s="197"/>
      <c r="H112" s="535"/>
      <c r="I112" s="104"/>
      <c r="L112" s="104"/>
      <c r="M112" s="104"/>
      <c r="N112" s="104"/>
      <c r="O112" s="104"/>
      <c r="P112" s="2"/>
      <c r="Q112" s="2"/>
      <c r="R112" s="2"/>
      <c r="S112" s="2"/>
    </row>
    <row r="113" spans="1:21" ht="18.75" customHeight="1" x14ac:dyDescent="0.2">
      <c r="B113" s="545" t="s">
        <v>284</v>
      </c>
      <c r="C113" s="536">
        <v>8.0000000000000002E-3</v>
      </c>
      <c r="D113" s="337"/>
      <c r="E113" s="337"/>
      <c r="F113" s="337"/>
      <c r="G113" s="337"/>
      <c r="H113" s="337"/>
      <c r="I113" s="103"/>
      <c r="L113" s="103"/>
      <c r="M113" s="103"/>
      <c r="N113" s="103"/>
      <c r="O113" s="103"/>
    </row>
    <row r="114" spans="1:21" ht="18.75" customHeight="1" x14ac:dyDescent="0.2">
      <c r="B114" s="545" t="s">
        <v>27</v>
      </c>
      <c r="C114" s="539">
        <v>0.4</v>
      </c>
      <c r="D114" s="197"/>
      <c r="E114" s="197"/>
      <c r="F114" s="197"/>
      <c r="G114" s="197"/>
      <c r="H114" s="197"/>
      <c r="I114" s="104"/>
      <c r="L114" s="104"/>
      <c r="M114" s="104"/>
      <c r="N114" s="104"/>
      <c r="O114" s="104"/>
      <c r="P114" s="2"/>
      <c r="Q114" s="2"/>
      <c r="R114" s="2"/>
      <c r="S114" s="2"/>
    </row>
    <row r="115" spans="1:21" ht="15" customHeight="1" x14ac:dyDescent="0.2">
      <c r="K115" s="103"/>
      <c r="L115" s="103"/>
      <c r="M115" s="103"/>
      <c r="N115" s="103"/>
      <c r="O115" s="103"/>
    </row>
    <row r="116" spans="1:21" ht="20.25" x14ac:dyDescent="0.2">
      <c r="B116" s="552" t="s">
        <v>38</v>
      </c>
      <c r="C116" s="461">
        <v>2019</v>
      </c>
      <c r="D116" s="461">
        <v>2020</v>
      </c>
      <c r="E116" s="461">
        <f t="shared" ref="E116:J116" si="16">+C$97</f>
        <v>2021</v>
      </c>
      <c r="F116" s="461">
        <f t="shared" si="16"/>
        <v>2022</v>
      </c>
      <c r="G116" s="461">
        <f t="shared" si="16"/>
        <v>2023</v>
      </c>
      <c r="H116" s="461">
        <f t="shared" si="16"/>
        <v>2024</v>
      </c>
      <c r="I116" s="461">
        <f t="shared" si="16"/>
        <v>2025</v>
      </c>
      <c r="J116" s="461">
        <f t="shared" si="16"/>
        <v>2026</v>
      </c>
    </row>
    <row r="117" spans="1:21" ht="18.75" customHeight="1" x14ac:dyDescent="0.25">
      <c r="B117" s="333" t="s">
        <v>152</v>
      </c>
      <c r="C117" s="407"/>
      <c r="D117" s="407"/>
      <c r="E117" s="547"/>
      <c r="F117" s="547">
        <f>F79*$C$100</f>
        <v>659783416.95465004</v>
      </c>
      <c r="G117" s="547">
        <f>G79*$C$100</f>
        <v>712901858.95234203</v>
      </c>
      <c r="H117" s="547">
        <f>H79*$C$100</f>
        <v>770211608.63657689</v>
      </c>
      <c r="I117" s="547">
        <f>I79*$C$100</f>
        <v>832634031.02978313</v>
      </c>
      <c r="J117" s="547">
        <f>J79*$C$100</f>
        <v>900719488.21299589</v>
      </c>
    </row>
    <row r="118" spans="1:21" ht="18.75" customHeight="1" x14ac:dyDescent="0.25">
      <c r="B118" s="166" t="s">
        <v>207</v>
      </c>
      <c r="C118" s="407"/>
      <c r="D118" s="407"/>
      <c r="E118" s="547"/>
      <c r="F118" s="547">
        <v>0</v>
      </c>
      <c r="G118" s="547"/>
      <c r="H118" s="547"/>
      <c r="I118" s="547"/>
      <c r="J118" s="547"/>
    </row>
    <row r="119" spans="1:21" ht="18.75" customHeight="1" x14ac:dyDescent="0.25">
      <c r="B119" s="166" t="s">
        <v>214</v>
      </c>
      <c r="C119" s="407"/>
      <c r="D119" s="407"/>
      <c r="E119" s="547"/>
      <c r="F119" s="547">
        <v>0</v>
      </c>
      <c r="G119" s="547"/>
      <c r="H119" s="547"/>
      <c r="I119" s="547"/>
      <c r="J119" s="547"/>
    </row>
    <row r="120" spans="1:21" ht="18.75" customHeight="1" x14ac:dyDescent="0.25">
      <c r="B120" s="166" t="s">
        <v>208</v>
      </c>
      <c r="C120" s="407"/>
      <c r="D120" s="407"/>
      <c r="E120" s="547"/>
      <c r="F120" s="547"/>
      <c r="G120" s="547">
        <f>+G48</f>
        <v>0</v>
      </c>
      <c r="H120" s="547">
        <f>+H48</f>
        <v>0</v>
      </c>
      <c r="I120" s="547"/>
      <c r="J120" s="547"/>
    </row>
    <row r="121" spans="1:21" ht="18.75" customHeight="1" x14ac:dyDescent="0.25">
      <c r="B121" s="335" t="s">
        <v>38</v>
      </c>
      <c r="C121" s="407"/>
      <c r="D121" s="407"/>
      <c r="E121" s="548"/>
      <c r="F121" s="548">
        <f>SUM(F117:F120)</f>
        <v>659783416.95465004</v>
      </c>
      <c r="G121" s="548">
        <f>SUM(G117:G120)</f>
        <v>712901858.95234203</v>
      </c>
      <c r="H121" s="548">
        <f>SUM(H117:H120)</f>
        <v>770211608.63657689</v>
      </c>
      <c r="I121" s="548">
        <f>SUM(I117:I120)</f>
        <v>832634031.02978313</v>
      </c>
      <c r="J121" s="548">
        <f>SUM(J117:J120)</f>
        <v>900719488.21299589</v>
      </c>
    </row>
    <row r="122" spans="1:21" ht="10.15" customHeight="1" x14ac:dyDescent="0.25">
      <c r="B122" s="333"/>
      <c r="C122" s="407"/>
      <c r="D122" s="407"/>
      <c r="E122" s="547"/>
      <c r="F122" s="547"/>
      <c r="G122" s="547"/>
      <c r="H122" s="547"/>
      <c r="I122" s="547"/>
      <c r="J122" s="547"/>
    </row>
    <row r="123" spans="1:21" ht="18.75" customHeight="1" x14ac:dyDescent="0.25">
      <c r="B123" s="166" t="s">
        <v>62</v>
      </c>
      <c r="C123" s="547">
        <f>+'ESTADOS FINANCIEROS HISTÓRICOS'!B10</f>
        <v>1391433023</v>
      </c>
      <c r="D123" s="547">
        <f>+'ESTADOS FINANCIEROS HISTÓRICOS'!C10</f>
        <v>1924834777</v>
      </c>
      <c r="E123" s="547">
        <f>+'ESTADOS FINANCIEROS HISTÓRICOS'!D10</f>
        <v>2974040180</v>
      </c>
      <c r="F123" s="547">
        <f>+E123+F121</f>
        <v>3633823596.9546499</v>
      </c>
      <c r="G123" s="547">
        <f>+F123+G121</f>
        <v>4346725455.906992</v>
      </c>
      <c r="H123" s="547">
        <f>+G123+H121</f>
        <v>5116937064.5435686</v>
      </c>
      <c r="I123" s="547">
        <f>+H123+I121</f>
        <v>5949571095.5733519</v>
      </c>
      <c r="J123" s="547">
        <f>+I123+J121</f>
        <v>6850290583.7863474</v>
      </c>
    </row>
    <row r="124" spans="1:21" ht="18.75" customHeight="1" x14ac:dyDescent="0.25">
      <c r="B124" s="166" t="s">
        <v>54</v>
      </c>
      <c r="C124" s="547">
        <f>'ESTADOS FINANCIEROS HISTÓRICOS'!B52</f>
        <v>176499899</v>
      </c>
      <c r="D124" s="547">
        <f>'ESTADOS FINANCIEROS HISTÓRICOS'!C52</f>
        <v>125996417</v>
      </c>
      <c r="E124" s="547">
        <f>'ESTADOS FINANCIEROS HISTÓRICOS'!D52</f>
        <v>207758977</v>
      </c>
      <c r="F124" s="547">
        <f>(E123+F121/2)/$D$112</f>
        <v>330393188.84773248</v>
      </c>
      <c r="G124" s="547">
        <f>(F123+G121/2)/$D$112</f>
        <v>399027452.64308208</v>
      </c>
      <c r="H124" s="547">
        <f>(G123+H121/2)/$D$112</f>
        <v>473183126.02252805</v>
      </c>
      <c r="I124" s="547">
        <f>(H123+I121/2)/$D$112</f>
        <v>553325408.00584602</v>
      </c>
      <c r="J124" s="547">
        <f>(I123+J121/2)/$D$112</f>
        <v>639993083.96798491</v>
      </c>
    </row>
    <row r="125" spans="1:21" ht="18.75" customHeight="1" x14ac:dyDescent="0.25">
      <c r="B125" s="166" t="s">
        <v>21</v>
      </c>
      <c r="C125" s="547">
        <f>'ESTADOS FINANCIEROS HISTÓRICOS'!B11</f>
        <v>-695061137</v>
      </c>
      <c r="D125" s="547">
        <f>'ESTADOS FINANCIEROS HISTÓRICOS'!C11</f>
        <v>-821057557</v>
      </c>
      <c r="E125" s="547">
        <f>'ESTADOS FINANCIEROS HISTÓRICOS'!D11</f>
        <v>-1010925434</v>
      </c>
      <c r="F125" s="547">
        <f>+E125-F124</f>
        <v>-1341318622.8477325</v>
      </c>
      <c r="G125" s="547">
        <f>+F125-G124</f>
        <v>-1740346075.4908147</v>
      </c>
      <c r="H125" s="547">
        <f>+G125-H124</f>
        <v>-2213529201.5133429</v>
      </c>
      <c r="I125" s="547">
        <f>+H125-I124</f>
        <v>-2766854609.5191889</v>
      </c>
      <c r="J125" s="547">
        <f>+I125-J124</f>
        <v>-3406847693.487174</v>
      </c>
      <c r="K125" s="729"/>
      <c r="L125" s="729"/>
      <c r="M125" s="558"/>
      <c r="N125" s="559"/>
    </row>
    <row r="126" spans="1:21" ht="15.75" hidden="1" x14ac:dyDescent="0.25">
      <c r="B126" s="103"/>
      <c r="C126" s="103"/>
      <c r="D126" s="549"/>
      <c r="E126" s="549"/>
      <c r="F126" s="549"/>
      <c r="G126" s="549"/>
      <c r="H126" s="549"/>
      <c r="I126" s="549"/>
      <c r="J126" s="549"/>
      <c r="K126" s="555">
        <v>0</v>
      </c>
      <c r="L126" s="555">
        <v>0.1</v>
      </c>
      <c r="M126" s="556">
        <v>0.03</v>
      </c>
      <c r="N126" s="557"/>
      <c r="U126" s="2"/>
    </row>
    <row r="127" spans="1:21" s="2" customFormat="1" ht="20.25" hidden="1" x14ac:dyDescent="0.2">
      <c r="A127"/>
      <c r="B127" s="552" t="s">
        <v>246</v>
      </c>
      <c r="C127" s="553"/>
      <c r="D127" s="553"/>
      <c r="E127" s="554"/>
      <c r="F127" s="461">
        <f>+D97</f>
        <v>2022</v>
      </c>
      <c r="G127" s="461">
        <f>+E97</f>
        <v>2023</v>
      </c>
      <c r="H127" s="461">
        <f>+F97</f>
        <v>2024</v>
      </c>
      <c r="I127" s="461">
        <f>+G97</f>
        <v>2025</v>
      </c>
      <c r="J127" s="461">
        <f>+H97</f>
        <v>2026</v>
      </c>
      <c r="K127" s="23">
        <f t="shared" ref="K127:K133" si="17">+L126</f>
        <v>0.1</v>
      </c>
      <c r="L127" s="23">
        <v>0.2</v>
      </c>
      <c r="M127" s="24">
        <f t="shared" ref="M127:M133" si="18">+M126+N127</f>
        <v>0.03</v>
      </c>
      <c r="N127" s="394">
        <v>0</v>
      </c>
      <c r="O127" s="21"/>
      <c r="P127" s="21"/>
      <c r="Q127" s="21"/>
      <c r="R127" s="21"/>
      <c r="S127" s="21"/>
      <c r="T127"/>
      <c r="U127"/>
    </row>
    <row r="128" spans="1:21" ht="18.75" hidden="1" customHeight="1" x14ac:dyDescent="0.25">
      <c r="B128" s="166" t="s">
        <v>248</v>
      </c>
      <c r="C128" s="336"/>
      <c r="D128" s="336"/>
      <c r="E128" s="336"/>
      <c r="F128" s="334">
        <f>SUM(F118:F120)</f>
        <v>0</v>
      </c>
      <c r="G128" s="334">
        <f>SUM(G118:G120)</f>
        <v>0</v>
      </c>
      <c r="H128" s="334">
        <f>SUM(H118:H120)</f>
        <v>0</v>
      </c>
      <c r="I128" s="334">
        <f>SUM(I118:I120)</f>
        <v>0</v>
      </c>
      <c r="J128" s="334">
        <f>SUM(J118:J120)</f>
        <v>0</v>
      </c>
      <c r="K128" s="23">
        <f t="shared" si="17"/>
        <v>0.2</v>
      </c>
      <c r="L128" s="23">
        <v>0.3</v>
      </c>
      <c r="M128" s="24">
        <f t="shared" si="18"/>
        <v>3.2000000000000001E-2</v>
      </c>
      <c r="N128" s="394">
        <v>2E-3</v>
      </c>
    </row>
    <row r="129" spans="1:21" ht="18.75" hidden="1" customHeight="1" x14ac:dyDescent="0.25">
      <c r="B129" s="166" t="s">
        <v>247</v>
      </c>
      <c r="C129" s="336"/>
      <c r="D129" s="336"/>
      <c r="E129" s="336"/>
      <c r="F129" s="334">
        <f>F46+F47+F69+F70</f>
        <v>25000000</v>
      </c>
      <c r="G129" s="334">
        <f>G46+G47+G69+G70</f>
        <v>10000000</v>
      </c>
      <c r="H129" s="334">
        <f>H46+H47+H69+H70</f>
        <v>8000000</v>
      </c>
      <c r="I129" s="334">
        <f>I46+I47+I69+I70</f>
        <v>8000000</v>
      </c>
      <c r="J129" s="334">
        <f>J46+J47+J69+J70</f>
        <v>8000000</v>
      </c>
      <c r="K129" s="23">
        <f t="shared" si="17"/>
        <v>0.3</v>
      </c>
      <c r="L129" s="23">
        <v>0.4</v>
      </c>
      <c r="M129" s="24">
        <f t="shared" si="18"/>
        <v>3.6000000000000004E-2</v>
      </c>
      <c r="N129" s="394">
        <v>4.0000000000000001E-3</v>
      </c>
    </row>
    <row r="130" spans="1:21" ht="18.75" hidden="1" customHeight="1" x14ac:dyDescent="0.25">
      <c r="B130" s="338" t="s">
        <v>245</v>
      </c>
      <c r="C130" s="336"/>
      <c r="D130" s="336"/>
      <c r="E130" s="336"/>
      <c r="F130" s="336">
        <f>+F129+F128</f>
        <v>25000000</v>
      </c>
      <c r="G130" s="336">
        <f>+G129+G128</f>
        <v>10000000</v>
      </c>
      <c r="H130" s="336">
        <f>+H129+H128</f>
        <v>8000000</v>
      </c>
      <c r="I130" s="336">
        <f>+I129+I128</f>
        <v>8000000</v>
      </c>
      <c r="J130" s="336">
        <f>+J129+J128</f>
        <v>8000000</v>
      </c>
      <c r="K130" s="35">
        <f t="shared" si="17"/>
        <v>0.4</v>
      </c>
      <c r="L130" s="23">
        <v>0.5</v>
      </c>
      <c r="M130" s="24">
        <f t="shared" si="18"/>
        <v>4.4000000000000004E-2</v>
      </c>
      <c r="N130" s="394">
        <v>8.0000000000000002E-3</v>
      </c>
    </row>
    <row r="131" spans="1:21" ht="15" hidden="1" x14ac:dyDescent="0.2">
      <c r="D131" s="4"/>
      <c r="E131" s="4"/>
      <c r="F131" s="4"/>
      <c r="G131" s="4"/>
      <c r="H131" s="4"/>
      <c r="I131" s="4"/>
      <c r="J131" s="4"/>
      <c r="K131" s="35">
        <f t="shared" si="17"/>
        <v>0.5</v>
      </c>
      <c r="L131" s="23">
        <v>0.6</v>
      </c>
      <c r="M131" s="24">
        <f t="shared" si="18"/>
        <v>5.7000000000000002E-2</v>
      </c>
      <c r="N131" s="394">
        <v>1.2999999999999999E-2</v>
      </c>
      <c r="O131" s="1"/>
      <c r="P131" s="1"/>
      <c r="Q131" s="1"/>
      <c r="R131" s="1"/>
      <c r="S131" s="1"/>
      <c r="T131" s="1"/>
    </row>
    <row r="132" spans="1:21" ht="18.75" hidden="1" customHeight="1" x14ac:dyDescent="0.2">
      <c r="B132" s="550" t="s">
        <v>163</v>
      </c>
      <c r="C132" s="551"/>
      <c r="D132" s="551"/>
      <c r="E132" s="551"/>
      <c r="F132" s="337">
        <f>+F130*$C$1</f>
        <v>0</v>
      </c>
      <c r="G132" s="337">
        <f>+G130*$C$1</f>
        <v>0</v>
      </c>
      <c r="H132" s="337"/>
      <c r="I132" s="337"/>
      <c r="J132" s="337"/>
      <c r="K132" s="35">
        <f t="shared" si="17"/>
        <v>0.6</v>
      </c>
      <c r="L132" s="23">
        <v>0.7</v>
      </c>
      <c r="M132" s="24">
        <f t="shared" si="18"/>
        <v>7.2000000000000008E-2</v>
      </c>
      <c r="N132" s="394">
        <v>1.4999999999999999E-2</v>
      </c>
      <c r="O132" s="1"/>
      <c r="P132" s="1"/>
      <c r="Q132" s="1"/>
      <c r="R132" s="1"/>
      <c r="S132" s="1"/>
      <c r="T132" s="1"/>
    </row>
    <row r="133" spans="1:21" ht="18.75" hidden="1" customHeight="1" x14ac:dyDescent="0.2">
      <c r="B133" s="550" t="s">
        <v>164</v>
      </c>
      <c r="C133" s="551"/>
      <c r="D133" s="551"/>
      <c r="E133" s="551"/>
      <c r="F133" s="337">
        <f>+F130-F132</f>
        <v>25000000</v>
      </c>
      <c r="G133" s="337">
        <f>+G130-G132</f>
        <v>10000000</v>
      </c>
      <c r="H133" s="337"/>
      <c r="I133" s="337"/>
      <c r="J133" s="337"/>
      <c r="K133" s="35">
        <f t="shared" si="17"/>
        <v>0.7</v>
      </c>
      <c r="L133" s="23">
        <v>0.8</v>
      </c>
      <c r="M133" s="24">
        <f t="shared" si="18"/>
        <v>9.0000000000000011E-2</v>
      </c>
      <c r="N133" s="394">
        <v>1.7999999999999999E-2</v>
      </c>
      <c r="O133" s="1"/>
      <c r="P133" s="1"/>
      <c r="Q133" s="1"/>
      <c r="R133" s="1"/>
      <c r="S133" s="1"/>
      <c r="T133" s="1"/>
      <c r="U133" s="1"/>
    </row>
    <row r="134" spans="1:21" ht="18.75" hidden="1" customHeight="1" x14ac:dyDescent="0.2">
      <c r="B134" s="550" t="s">
        <v>378</v>
      </c>
      <c r="C134" s="551"/>
      <c r="D134" s="551"/>
      <c r="E134" s="551"/>
      <c r="F134" s="337"/>
      <c r="G134" s="337"/>
      <c r="H134" s="337">
        <f>H130-H132</f>
        <v>8000000</v>
      </c>
      <c r="I134" s="337">
        <f>I130-I132</f>
        <v>8000000</v>
      </c>
      <c r="J134" s="337">
        <f>J130-J132</f>
        <v>8000000</v>
      </c>
      <c r="K134" s="35">
        <f>+L133</f>
        <v>0.8</v>
      </c>
      <c r="L134" s="23">
        <v>0.9</v>
      </c>
      <c r="M134" s="24">
        <f>+M133+N135</f>
        <v>0.11200000000000002</v>
      </c>
      <c r="N134" s="394"/>
      <c r="O134" s="1"/>
      <c r="P134" s="1"/>
      <c r="Q134" s="1"/>
      <c r="R134" s="1"/>
      <c r="S134" s="1"/>
      <c r="T134" s="1"/>
      <c r="U134" s="1"/>
    </row>
    <row r="135" spans="1:21" s="1" customFormat="1" ht="18.75" hidden="1" customHeight="1" x14ac:dyDescent="0.2">
      <c r="A135"/>
      <c r="B135" s="425" t="s">
        <v>78</v>
      </c>
      <c r="C135" s="551"/>
      <c r="D135" s="551"/>
      <c r="E135" s="551"/>
      <c r="F135" s="551">
        <f>+F133+F132+F134</f>
        <v>25000000</v>
      </c>
      <c r="G135" s="551">
        <f>+G133+G132+G134</f>
        <v>10000000</v>
      </c>
      <c r="H135" s="551">
        <f>+H133+H132+H134</f>
        <v>8000000</v>
      </c>
      <c r="I135" s="551">
        <f>+I133+I132+I134</f>
        <v>8000000</v>
      </c>
      <c r="J135" s="551">
        <f>+J133+J132+J134</f>
        <v>8000000</v>
      </c>
      <c r="K135" s="35">
        <f>+L134</f>
        <v>0.9</v>
      </c>
      <c r="L135" s="23">
        <v>1</v>
      </c>
      <c r="M135" s="24">
        <f>+M134+N136</f>
        <v>0.13700000000000001</v>
      </c>
      <c r="N135" s="394">
        <v>2.1999999999999999E-2</v>
      </c>
      <c r="O135" s="2"/>
      <c r="P135" s="2"/>
      <c r="Q135" s="2"/>
      <c r="R135" s="2"/>
      <c r="S135" s="2"/>
      <c r="T135" s="2"/>
    </row>
    <row r="136" spans="1:21" s="1" customFormat="1" ht="18.75" hidden="1" customHeight="1" x14ac:dyDescent="0.2">
      <c r="A136"/>
      <c r="B136" s="425" t="s">
        <v>103</v>
      </c>
      <c r="C136" s="551"/>
      <c r="D136" s="551"/>
      <c r="E136" s="551"/>
      <c r="F136" s="551">
        <f>IF($C$1&lt;=50%,5,IF($C$1&lt;=75%,8,10))</f>
        <v>5</v>
      </c>
      <c r="G136" s="551">
        <f>IF($C$1&lt;=50%,5,IF($C$1&lt;=75%,8,10))</f>
        <v>5</v>
      </c>
      <c r="H136" s="551">
        <f>IF($C$1&lt;=50%,5,IF($C$1&lt;=75%,8,10))</f>
        <v>5</v>
      </c>
      <c r="I136" s="551">
        <f>IF($C$1&lt;=50%,5,IF($C$1&lt;=75%,8,10))</f>
        <v>5</v>
      </c>
      <c r="J136" s="551">
        <f>IF($C$1&lt;=50%,5,IF($C$1&lt;=75%,8,10))</f>
        <v>5</v>
      </c>
      <c r="K136" s="23">
        <f>+L135</f>
        <v>1</v>
      </c>
      <c r="L136" s="23">
        <v>1.1000000000000001</v>
      </c>
      <c r="M136" s="24">
        <f>+M135+N137</f>
        <v>0.16500000000000001</v>
      </c>
      <c r="N136" s="394">
        <v>2.5000000000000001E-2</v>
      </c>
      <c r="O136" s="21"/>
      <c r="P136" s="21"/>
      <c r="Q136" s="21"/>
      <c r="R136" s="21"/>
      <c r="S136" s="21"/>
      <c r="T136"/>
    </row>
    <row r="137" spans="1:21" s="1" customFormat="1" ht="18.75" hidden="1" customHeight="1" x14ac:dyDescent="0.2">
      <c r="A137"/>
      <c r="B137" s="425" t="s">
        <v>97</v>
      </c>
      <c r="C137" s="551"/>
      <c r="D137" s="551"/>
      <c r="E137" s="551"/>
      <c r="F137" s="446">
        <f>((1+F19)*(1+F20)-1)+VLOOKUP($C$1,$K$126:$M$136,3)</f>
        <v>0.10444739999999994</v>
      </c>
      <c r="G137" s="446">
        <f>((1+G19)*(1+G20)-1)+VLOOKUP($C$1,$K$126:$M$136,3)</f>
        <v>9.8285399999999939E-2</v>
      </c>
      <c r="H137" s="446">
        <f>((1+H19)*(1+H20)-1)+VLOOKUP($C$1,$K$126:$M$136,3)</f>
        <v>0.10140600000000008</v>
      </c>
      <c r="I137" s="446">
        <f>((1+I19)*(1+I20)-1)+VLOOKUP($C$1,$K$126:$M$136,3)</f>
        <v>0.1024461999999999</v>
      </c>
      <c r="J137" s="446">
        <f>((1+J19)*(1+J20)-1)+VLOOKUP($C$1,$K$126:$M$136,3)</f>
        <v>9.7291199999999883E-2</v>
      </c>
      <c r="N137" s="394">
        <v>2.8000000000000001E-2</v>
      </c>
      <c r="O137" s="21"/>
      <c r="P137" s="21"/>
      <c r="Q137" s="21"/>
      <c r="R137" s="21"/>
      <c r="S137" s="21"/>
      <c r="T137"/>
      <c r="U137" s="2"/>
    </row>
    <row r="138" spans="1:21" s="2" customFormat="1" ht="15.75" x14ac:dyDescent="0.25">
      <c r="A138"/>
      <c r="B138" s="11"/>
      <c r="C138" s="12"/>
      <c r="D138" s="9"/>
      <c r="F138" s="9"/>
      <c r="G138" s="8"/>
      <c r="K138" s="21"/>
      <c r="L138" s="21"/>
      <c r="M138" s="21"/>
      <c r="N138" s="21"/>
      <c r="O138" s="21"/>
      <c r="P138" s="21"/>
      <c r="Q138" s="21"/>
      <c r="R138" s="21"/>
      <c r="S138" s="21"/>
      <c r="T138"/>
      <c r="U138"/>
    </row>
    <row r="139" spans="1:21" x14ac:dyDescent="0.2">
      <c r="B139" s="21"/>
      <c r="C139" s="21"/>
      <c r="D139" s="397"/>
      <c r="E139" s="397"/>
      <c r="F139" s="397"/>
      <c r="G139" s="397"/>
      <c r="H139" s="397"/>
      <c r="I139" s="397"/>
      <c r="J139" s="397"/>
    </row>
    <row r="140" spans="1:21" ht="20.25" hidden="1" x14ac:dyDescent="0.3">
      <c r="B140" s="546" t="s">
        <v>88</v>
      </c>
      <c r="C140" s="103"/>
      <c r="D140" s="549"/>
      <c r="E140" s="103"/>
      <c r="F140" s="103"/>
      <c r="G140" s="103"/>
      <c r="H140" s="103"/>
      <c r="I140" s="103"/>
      <c r="J140" s="103"/>
      <c r="K140" s="103"/>
    </row>
    <row r="141" spans="1:21" ht="17.45" hidden="1" customHeight="1" x14ac:dyDescent="0.2">
      <c r="B141" s="730" t="s">
        <v>89</v>
      </c>
      <c r="C141" s="333" t="s">
        <v>90</v>
      </c>
      <c r="D141" s="564">
        <v>6</v>
      </c>
      <c r="E141" s="103"/>
      <c r="F141" s="103"/>
      <c r="G141" s="103"/>
      <c r="H141" s="103"/>
      <c r="I141" s="340"/>
      <c r="J141" s="103"/>
      <c r="K141" s="103"/>
    </row>
    <row r="142" spans="1:21" ht="18" hidden="1" x14ac:dyDescent="0.2">
      <c r="B142" s="731"/>
      <c r="C142" s="333" t="s">
        <v>345</v>
      </c>
      <c r="D142" s="565">
        <v>8.7999999999999995E-2</v>
      </c>
      <c r="E142" s="443">
        <f t="shared" ref="E142:J142" si="19">+C$97</f>
        <v>2021</v>
      </c>
      <c r="F142" s="443">
        <f t="shared" si="19"/>
        <v>2022</v>
      </c>
      <c r="G142" s="443">
        <f t="shared" si="19"/>
        <v>2023</v>
      </c>
      <c r="H142" s="443">
        <f t="shared" si="19"/>
        <v>2024</v>
      </c>
      <c r="I142" s="443">
        <f t="shared" si="19"/>
        <v>2025</v>
      </c>
      <c r="J142" s="443">
        <f t="shared" si="19"/>
        <v>2026</v>
      </c>
      <c r="K142" s="443">
        <f>+J142+1</f>
        <v>2027</v>
      </c>
    </row>
    <row r="143" spans="1:21" ht="15" hidden="1" x14ac:dyDescent="0.2">
      <c r="B143" s="333"/>
      <c r="C143" s="454" t="s">
        <v>160</v>
      </c>
      <c r="D143" s="333"/>
      <c r="E143" s="566">
        <v>0</v>
      </c>
      <c r="F143" s="567">
        <v>1</v>
      </c>
      <c r="G143" s="567">
        <v>2</v>
      </c>
      <c r="H143" s="567">
        <v>3</v>
      </c>
      <c r="I143" s="567">
        <v>4</v>
      </c>
      <c r="J143" s="567">
        <v>5</v>
      </c>
      <c r="K143" s="567">
        <v>6</v>
      </c>
    </row>
    <row r="144" spans="1:21" ht="15" hidden="1" x14ac:dyDescent="0.2">
      <c r="B144" s="333"/>
      <c r="C144" s="454" t="s">
        <v>346</v>
      </c>
      <c r="D144" s="333"/>
      <c r="E144" s="566"/>
      <c r="F144" s="567">
        <f t="shared" ref="F144:K144" si="20">IF(E143&lt;$D$141,$D$141-E143,"")</f>
        <v>6</v>
      </c>
      <c r="G144" s="567">
        <f t="shared" si="20"/>
        <v>5</v>
      </c>
      <c r="H144" s="567">
        <f t="shared" si="20"/>
        <v>4</v>
      </c>
      <c r="I144" s="567">
        <f t="shared" si="20"/>
        <v>3</v>
      </c>
      <c r="J144" s="567">
        <f t="shared" si="20"/>
        <v>2</v>
      </c>
      <c r="K144" s="567">
        <f t="shared" si="20"/>
        <v>1</v>
      </c>
    </row>
    <row r="145" spans="2:11" ht="18.75" hidden="1" customHeight="1" x14ac:dyDescent="0.25">
      <c r="B145" s="333" t="s">
        <v>177</v>
      </c>
      <c r="C145" s="407"/>
      <c r="D145" s="407"/>
      <c r="E145" s="568">
        <f t="shared" ref="E145:J145" si="21">((1+E19)*(1+E20)-1)+$D$142</f>
        <v>0.16215539999999998</v>
      </c>
      <c r="F145" s="568">
        <f t="shared" si="21"/>
        <v>0.16244739999999994</v>
      </c>
      <c r="G145" s="568">
        <f t="shared" si="21"/>
        <v>0.15628539999999994</v>
      </c>
      <c r="H145" s="568">
        <f t="shared" si="21"/>
        <v>0.15940600000000008</v>
      </c>
      <c r="I145" s="568">
        <f t="shared" si="21"/>
        <v>0.1604461999999999</v>
      </c>
      <c r="J145" s="568">
        <f t="shared" si="21"/>
        <v>0.15529119999999988</v>
      </c>
      <c r="K145" s="568">
        <f>J145</f>
        <v>0.15529119999999988</v>
      </c>
    </row>
    <row r="146" spans="2:11" ht="18.75" hidden="1" customHeight="1" x14ac:dyDescent="0.25">
      <c r="B146" s="333" t="s">
        <v>63</v>
      </c>
      <c r="C146" s="407"/>
      <c r="D146" s="407"/>
      <c r="E146" s="547"/>
      <c r="F146" s="547">
        <f t="shared" ref="F146:J146" si="22">+E150</f>
        <v>6527657956</v>
      </c>
      <c r="G146" s="547">
        <f>+F150</f>
        <v>5805019396.8643446</v>
      </c>
      <c r="H146" s="547">
        <f t="shared" si="22"/>
        <v>4954689909.6037931</v>
      </c>
      <c r="I146" s="547">
        <f t="shared" si="22"/>
        <v>3975913738.6545367</v>
      </c>
      <c r="J146" s="547">
        <f t="shared" si="22"/>
        <v>2842232173.3838401</v>
      </c>
      <c r="K146" s="547">
        <f>+J150</f>
        <v>1523509128.7280462</v>
      </c>
    </row>
    <row r="147" spans="2:11" ht="18.75" hidden="1" customHeight="1" x14ac:dyDescent="0.25">
      <c r="B147" s="333" t="s">
        <v>25</v>
      </c>
      <c r="C147" s="407"/>
      <c r="D147" s="407"/>
      <c r="E147" s="547"/>
      <c r="F147" s="547">
        <f t="shared" ref="F147:K147" si="23">IF(F143&lt;=$D$141,PMT(F145,F144,-F146),0)</f>
        <v>1783039622.1771698</v>
      </c>
      <c r="G147" s="547">
        <f t="shared" si="23"/>
        <v>1757569265.7072542</v>
      </c>
      <c r="H147" s="547">
        <f t="shared" si="23"/>
        <v>1768583470.679559</v>
      </c>
      <c r="I147" s="547">
        <f t="shared" si="23"/>
        <v>1771601816.1656096</v>
      </c>
      <c r="J147" s="547">
        <f t="shared" si="23"/>
        <v>1760096689.5391781</v>
      </c>
      <c r="K147" s="547">
        <f t="shared" si="23"/>
        <v>1760096689.5391786</v>
      </c>
    </row>
    <row r="148" spans="2:11" ht="18.75" hidden="1" customHeight="1" x14ac:dyDescent="0.25">
      <c r="B148" s="333" t="s">
        <v>91</v>
      </c>
      <c r="C148" s="407"/>
      <c r="D148" s="407"/>
      <c r="E148" s="547"/>
      <c r="F148" s="547">
        <f t="shared" ref="F148:K148" si="24">+F146*F145</f>
        <v>1060401063.041514</v>
      </c>
      <c r="G148" s="547">
        <f t="shared" si="24"/>
        <v>907239778.44670248</v>
      </c>
      <c r="H148" s="547">
        <f t="shared" si="24"/>
        <v>789807299.73030257</v>
      </c>
      <c r="I148" s="547">
        <f t="shared" si="24"/>
        <v>637920250.89491308</v>
      </c>
      <c r="J148" s="547">
        <f t="shared" si="24"/>
        <v>441373644.88338423</v>
      </c>
      <c r="K148" s="547">
        <f t="shared" si="24"/>
        <v>236587560.81113258</v>
      </c>
    </row>
    <row r="149" spans="2:11" ht="18.75" hidden="1" customHeight="1" x14ac:dyDescent="0.25">
      <c r="B149" s="333" t="s">
        <v>87</v>
      </c>
      <c r="C149" s="407"/>
      <c r="D149" s="407"/>
      <c r="E149" s="547"/>
      <c r="F149" s="547">
        <f t="shared" ref="F149:K149" si="25">+F147-F148</f>
        <v>722638559.13565576</v>
      </c>
      <c r="G149" s="547">
        <f t="shared" si="25"/>
        <v>850329487.26055169</v>
      </c>
      <c r="H149" s="547">
        <f t="shared" si="25"/>
        <v>978776170.94925642</v>
      </c>
      <c r="I149" s="547">
        <f t="shared" si="25"/>
        <v>1133681565.2706966</v>
      </c>
      <c r="J149" s="547">
        <f t="shared" si="25"/>
        <v>1318723044.6557939</v>
      </c>
      <c r="K149" s="547">
        <f t="shared" si="25"/>
        <v>1523509128.7280459</v>
      </c>
    </row>
    <row r="150" spans="2:11" ht="18.75" hidden="1" customHeight="1" x14ac:dyDescent="0.25">
      <c r="B150" s="333" t="s">
        <v>61</v>
      </c>
      <c r="C150" s="407"/>
      <c r="D150" s="407"/>
      <c r="E150" s="547">
        <f>+'ESTADOS FINANCIEROS HISTÓRICOS'!D20+'ESTADOS FINANCIEROS HISTÓRICOS'!D26</f>
        <v>6527657956</v>
      </c>
      <c r="F150" s="547">
        <f t="shared" ref="F150:K150" si="26">+F146-F149</f>
        <v>5805019396.8643446</v>
      </c>
      <c r="G150" s="547">
        <f t="shared" si="26"/>
        <v>4954689909.6037931</v>
      </c>
      <c r="H150" s="547">
        <f t="shared" si="26"/>
        <v>3975913738.6545367</v>
      </c>
      <c r="I150" s="547">
        <f t="shared" si="26"/>
        <v>2842232173.3838401</v>
      </c>
      <c r="J150" s="547">
        <f t="shared" si="26"/>
        <v>1523509128.7280462</v>
      </c>
      <c r="K150" s="547">
        <f t="shared" si="26"/>
        <v>0</v>
      </c>
    </row>
    <row r="151" spans="2:11" hidden="1" x14ac:dyDescent="0.2">
      <c r="B151" s="21"/>
      <c r="C151" s="21"/>
      <c r="D151" s="397"/>
      <c r="E151" s="397"/>
      <c r="F151" s="397"/>
      <c r="G151" s="397"/>
      <c r="H151" s="397"/>
      <c r="I151" s="397"/>
      <c r="J151" s="397"/>
    </row>
    <row r="152" spans="2:11" hidden="1" x14ac:dyDescent="0.2">
      <c r="B152" s="732" t="str">
        <f>"DEUDA NUEVA "&amp;TEXT(F127,0)</f>
        <v>DEUDA NUEVA 2022</v>
      </c>
      <c r="C152" s="407"/>
      <c r="D152" s="407"/>
      <c r="E152" s="407"/>
      <c r="F152" s="407"/>
      <c r="G152" s="407"/>
      <c r="H152" s="407"/>
      <c r="I152" s="407"/>
      <c r="J152" s="407"/>
      <c r="K152" s="407"/>
    </row>
    <row r="153" spans="2:11" ht="18" hidden="1" x14ac:dyDescent="0.25">
      <c r="B153" s="733"/>
      <c r="C153" s="333" t="s">
        <v>90</v>
      </c>
      <c r="D153" s="564">
        <f>+F136</f>
        <v>5</v>
      </c>
      <c r="E153" s="497">
        <f t="shared" ref="E153:J153" si="27">+C$97</f>
        <v>2021</v>
      </c>
      <c r="F153" s="497">
        <f t="shared" si="27"/>
        <v>2022</v>
      </c>
      <c r="G153" s="497">
        <f t="shared" si="27"/>
        <v>2023</v>
      </c>
      <c r="H153" s="497">
        <f t="shared" si="27"/>
        <v>2024</v>
      </c>
      <c r="I153" s="497">
        <f t="shared" si="27"/>
        <v>2025</v>
      </c>
      <c r="J153" s="497">
        <f t="shared" si="27"/>
        <v>2026</v>
      </c>
      <c r="K153" s="497">
        <f>+J153+1</f>
        <v>2027</v>
      </c>
    </row>
    <row r="154" spans="2:11" ht="15" hidden="1" x14ac:dyDescent="0.2">
      <c r="B154" s="333"/>
      <c r="C154" s="454" t="s">
        <v>160</v>
      </c>
      <c r="D154" s="333"/>
      <c r="E154" s="570"/>
      <c r="F154" s="570">
        <v>0</v>
      </c>
      <c r="G154" s="570">
        <v>1</v>
      </c>
      <c r="H154" s="570">
        <v>2</v>
      </c>
      <c r="I154" s="570">
        <v>3</v>
      </c>
      <c r="J154" s="570">
        <v>4</v>
      </c>
      <c r="K154" s="570">
        <v>5</v>
      </c>
    </row>
    <row r="155" spans="2:11" ht="15" hidden="1" x14ac:dyDescent="0.2">
      <c r="B155" s="333"/>
      <c r="C155" s="454" t="s">
        <v>346</v>
      </c>
      <c r="D155" s="333"/>
      <c r="E155" s="570"/>
      <c r="F155" s="570" t="str">
        <f t="shared" ref="F155:K155" si="28">IF(AND(F154&gt;0,E154&lt;$D$153),$D$153-E154,"")</f>
        <v/>
      </c>
      <c r="G155" s="570">
        <f t="shared" si="28"/>
        <v>5</v>
      </c>
      <c r="H155" s="570">
        <f t="shared" si="28"/>
        <v>4</v>
      </c>
      <c r="I155" s="570">
        <f t="shared" si="28"/>
        <v>3</v>
      </c>
      <c r="J155" s="570">
        <f t="shared" si="28"/>
        <v>2</v>
      </c>
      <c r="K155" s="570">
        <f t="shared" si="28"/>
        <v>1</v>
      </c>
    </row>
    <row r="156" spans="2:11" ht="18.75" hidden="1" customHeight="1" x14ac:dyDescent="0.25">
      <c r="B156" s="333" t="s">
        <v>177</v>
      </c>
      <c r="C156" s="407"/>
      <c r="D156" s="407"/>
      <c r="E156" s="407"/>
      <c r="F156" s="571">
        <f>F137</f>
        <v>0.10444739999999994</v>
      </c>
      <c r="G156" s="571">
        <f>G137</f>
        <v>9.8285399999999939E-2</v>
      </c>
      <c r="H156" s="571">
        <f>H137</f>
        <v>0.10140600000000008</v>
      </c>
      <c r="I156" s="571">
        <f>I137</f>
        <v>0.1024461999999999</v>
      </c>
      <c r="J156" s="571">
        <f>J137</f>
        <v>9.7291199999999883E-2</v>
      </c>
      <c r="K156" s="571">
        <f>+J156</f>
        <v>9.7291199999999883E-2</v>
      </c>
    </row>
    <row r="157" spans="2:11" ht="18.75" hidden="1" customHeight="1" x14ac:dyDescent="0.25">
      <c r="B157" s="333" t="s">
        <v>63</v>
      </c>
      <c r="C157" s="407"/>
      <c r="D157" s="407"/>
      <c r="E157" s="569"/>
      <c r="F157" s="547">
        <f>F132</f>
        <v>0</v>
      </c>
      <c r="G157" s="547">
        <f>+F161</f>
        <v>0</v>
      </c>
      <c r="H157" s="547">
        <f>+G161</f>
        <v>0</v>
      </c>
      <c r="I157" s="547">
        <f>+H161</f>
        <v>0</v>
      </c>
      <c r="J157" s="547">
        <f>+I161</f>
        <v>0</v>
      </c>
      <c r="K157" s="547">
        <f>+J161</f>
        <v>0</v>
      </c>
    </row>
    <row r="158" spans="2:11" ht="18.75" hidden="1" customHeight="1" x14ac:dyDescent="0.25">
      <c r="B158" s="333" t="s">
        <v>25</v>
      </c>
      <c r="C158" s="407"/>
      <c r="D158" s="407"/>
      <c r="E158" s="569"/>
      <c r="F158" s="569"/>
      <c r="G158" s="547">
        <f>IF(G154&lt;=$D$153,PMT(G156,G155,-G157),0)</f>
        <v>0</v>
      </c>
      <c r="H158" s="547">
        <f>IF(H154&lt;=$D$153,PMT(H156,H155,-H157),0)</f>
        <v>0</v>
      </c>
      <c r="I158" s="547">
        <f>IF(I154&lt;=$D$153,PMT(I156,I155,-I157),0)</f>
        <v>0</v>
      </c>
      <c r="J158" s="547">
        <f>IF(J154&lt;=$D$153,PMT(J156,J155,-J157),0)</f>
        <v>0</v>
      </c>
      <c r="K158" s="547">
        <f>IF(K154&lt;=$D$153,PMT(K156,K155,-K157),0)</f>
        <v>0</v>
      </c>
    </row>
    <row r="159" spans="2:11" ht="18.75" hidden="1" customHeight="1" x14ac:dyDescent="0.25">
      <c r="B159" s="333" t="s">
        <v>91</v>
      </c>
      <c r="C159" s="407"/>
      <c r="D159" s="407"/>
      <c r="E159" s="569"/>
      <c r="F159" s="547">
        <f>+F157*F156/2</f>
        <v>0</v>
      </c>
      <c r="G159" s="547">
        <f>+G157*G156</f>
        <v>0</v>
      </c>
      <c r="H159" s="547">
        <f>+H157*H156</f>
        <v>0</v>
      </c>
      <c r="I159" s="547">
        <f>+I157*I156</f>
        <v>0</v>
      </c>
      <c r="J159" s="547">
        <f>+J157*J156</f>
        <v>0</v>
      </c>
      <c r="K159" s="547">
        <f>+K157*K156</f>
        <v>0</v>
      </c>
    </row>
    <row r="160" spans="2:11" ht="18.75" hidden="1" customHeight="1" x14ac:dyDescent="0.25">
      <c r="B160" s="333" t="s">
        <v>87</v>
      </c>
      <c r="C160" s="407"/>
      <c r="D160" s="407"/>
      <c r="E160" s="569"/>
      <c r="F160" s="569"/>
      <c r="G160" s="547">
        <f>+G158-G159</f>
        <v>0</v>
      </c>
      <c r="H160" s="547">
        <f>+H158-H159</f>
        <v>0</v>
      </c>
      <c r="I160" s="547">
        <f>+I158-I159</f>
        <v>0</v>
      </c>
      <c r="J160" s="547">
        <f>+J158-J159</f>
        <v>0</v>
      </c>
      <c r="K160" s="547">
        <f>+K158-K159</f>
        <v>0</v>
      </c>
    </row>
    <row r="161" spans="2:11" ht="18.75" hidden="1" customHeight="1" x14ac:dyDescent="0.25">
      <c r="B161" s="333" t="s">
        <v>61</v>
      </c>
      <c r="C161" s="407"/>
      <c r="D161" s="407"/>
      <c r="E161" s="569"/>
      <c r="F161" s="547">
        <f t="shared" ref="F161:K161" si="29">+F157-F160</f>
        <v>0</v>
      </c>
      <c r="G161" s="547">
        <f t="shared" si="29"/>
        <v>0</v>
      </c>
      <c r="H161" s="547">
        <f t="shared" si="29"/>
        <v>0</v>
      </c>
      <c r="I161" s="547">
        <f t="shared" si="29"/>
        <v>0</v>
      </c>
      <c r="J161" s="547">
        <f t="shared" si="29"/>
        <v>0</v>
      </c>
      <c r="K161" s="547">
        <f t="shared" si="29"/>
        <v>0</v>
      </c>
    </row>
    <row r="162" spans="2:11" hidden="1" x14ac:dyDescent="0.2">
      <c r="B162" s="21"/>
      <c r="C162" s="21"/>
      <c r="D162" s="397"/>
      <c r="E162" s="397"/>
      <c r="F162" s="397"/>
      <c r="G162" s="397"/>
      <c r="H162" s="397"/>
      <c r="I162" s="397"/>
      <c r="J162" s="397"/>
    </row>
    <row r="163" spans="2:11" ht="15" hidden="1" customHeight="1" x14ac:dyDescent="0.2">
      <c r="B163" s="732" t="str">
        <f>"DEUDA NUEVA "&amp;TEXT(G127,0)</f>
        <v>DEUDA NUEVA 2023</v>
      </c>
      <c r="C163" s="407"/>
      <c r="D163" s="407"/>
      <c r="E163" s="407"/>
      <c r="F163" s="407"/>
      <c r="G163" s="407"/>
      <c r="H163" s="407"/>
      <c r="I163" s="407"/>
      <c r="J163" s="407"/>
      <c r="K163" s="407"/>
    </row>
    <row r="164" spans="2:11" ht="17.45" hidden="1" customHeight="1" x14ac:dyDescent="0.25">
      <c r="B164" s="733"/>
      <c r="C164" s="333" t="s">
        <v>90</v>
      </c>
      <c r="D164" s="564">
        <f>G136</f>
        <v>5</v>
      </c>
      <c r="E164" s="497">
        <f t="shared" ref="E164:J164" si="30">+C$97</f>
        <v>2021</v>
      </c>
      <c r="F164" s="497">
        <f t="shared" si="30"/>
        <v>2022</v>
      </c>
      <c r="G164" s="497">
        <f t="shared" si="30"/>
        <v>2023</v>
      </c>
      <c r="H164" s="497">
        <f t="shared" si="30"/>
        <v>2024</v>
      </c>
      <c r="I164" s="497">
        <f t="shared" si="30"/>
        <v>2025</v>
      </c>
      <c r="J164" s="497">
        <f t="shared" si="30"/>
        <v>2026</v>
      </c>
      <c r="K164" s="497">
        <f>+J164+1</f>
        <v>2027</v>
      </c>
    </row>
    <row r="165" spans="2:11" ht="15" hidden="1" x14ac:dyDescent="0.2">
      <c r="B165" s="333"/>
      <c r="C165" s="454" t="s">
        <v>160</v>
      </c>
      <c r="D165" s="333"/>
      <c r="E165" s="570"/>
      <c r="F165" s="570"/>
      <c r="G165" s="570">
        <v>0</v>
      </c>
      <c r="H165" s="570">
        <v>1</v>
      </c>
      <c r="I165" s="570">
        <v>2</v>
      </c>
      <c r="J165" s="570">
        <v>3</v>
      </c>
      <c r="K165" s="570">
        <v>4</v>
      </c>
    </row>
    <row r="166" spans="2:11" ht="15" hidden="1" x14ac:dyDescent="0.2">
      <c r="B166" s="333"/>
      <c r="C166" s="454" t="s">
        <v>346</v>
      </c>
      <c r="D166" s="333"/>
      <c r="E166" s="570"/>
      <c r="F166" s="570" t="str">
        <f t="shared" ref="F166:K166" si="31">IF(AND(F165&gt;0,E165&lt;$D$164),$D$164-E165,"")</f>
        <v/>
      </c>
      <c r="G166" s="570" t="str">
        <f t="shared" si="31"/>
        <v/>
      </c>
      <c r="H166" s="570">
        <f t="shared" si="31"/>
        <v>5</v>
      </c>
      <c r="I166" s="570">
        <f t="shared" si="31"/>
        <v>4</v>
      </c>
      <c r="J166" s="570">
        <f t="shared" si="31"/>
        <v>3</v>
      </c>
      <c r="K166" s="570">
        <f t="shared" si="31"/>
        <v>2</v>
      </c>
    </row>
    <row r="167" spans="2:11" ht="18.75" hidden="1" customHeight="1" x14ac:dyDescent="0.25">
      <c r="B167" s="333" t="s">
        <v>177</v>
      </c>
      <c r="C167" s="407"/>
      <c r="D167" s="407"/>
      <c r="E167" s="407"/>
      <c r="F167" s="571">
        <f>F137</f>
        <v>0.10444739999999994</v>
      </c>
      <c r="G167" s="571">
        <f>G137</f>
        <v>9.8285399999999939E-2</v>
      </c>
      <c r="H167" s="571">
        <f>H137</f>
        <v>0.10140600000000008</v>
      </c>
      <c r="I167" s="571">
        <f>I137</f>
        <v>0.1024461999999999</v>
      </c>
      <c r="J167" s="571">
        <f>J137</f>
        <v>9.7291199999999883E-2</v>
      </c>
      <c r="K167" s="571">
        <f>+J167</f>
        <v>9.7291199999999883E-2</v>
      </c>
    </row>
    <row r="168" spans="2:11" ht="18.75" hidden="1" customHeight="1" x14ac:dyDescent="0.25">
      <c r="B168" s="333" t="s">
        <v>63</v>
      </c>
      <c r="C168" s="407"/>
      <c r="D168" s="407"/>
      <c r="E168" s="569"/>
      <c r="F168" s="569"/>
      <c r="G168" s="547">
        <f>G132</f>
        <v>0</v>
      </c>
      <c r="H168" s="547">
        <f>+G172</f>
        <v>0</v>
      </c>
      <c r="I168" s="547">
        <f>+H172</f>
        <v>0</v>
      </c>
      <c r="J168" s="547">
        <f>+I172</f>
        <v>0</v>
      </c>
      <c r="K168" s="547">
        <f>+J172</f>
        <v>0</v>
      </c>
    </row>
    <row r="169" spans="2:11" ht="18.75" hidden="1" customHeight="1" x14ac:dyDescent="0.25">
      <c r="B169" s="333" t="s">
        <v>25</v>
      </c>
      <c r="C169" s="407"/>
      <c r="D169" s="407"/>
      <c r="E169" s="569"/>
      <c r="F169" s="569"/>
      <c r="G169" s="569"/>
      <c r="H169" s="547">
        <f>IF(H165&lt;=$D$164,PMT(H167,H166,-H168),0)</f>
        <v>0</v>
      </c>
      <c r="I169" s="547">
        <f>IF(I165&lt;=$D$164,PMT(I167,I166,-I168),0)</f>
        <v>0</v>
      </c>
      <c r="J169" s="547">
        <f>IF(J165&lt;=$D$164,PMT(J167,J166,-J168),0)</f>
        <v>0</v>
      </c>
      <c r="K169" s="547">
        <f>IF(K165&lt;=$D$164,PMT(K167,K166,-K168),0)</f>
        <v>0</v>
      </c>
    </row>
    <row r="170" spans="2:11" ht="18.75" hidden="1" customHeight="1" x14ac:dyDescent="0.25">
      <c r="B170" s="333" t="s">
        <v>91</v>
      </c>
      <c r="C170" s="407"/>
      <c r="D170" s="407"/>
      <c r="E170" s="569"/>
      <c r="F170" s="569"/>
      <c r="G170" s="547">
        <f>+G168*G167/2</f>
        <v>0</v>
      </c>
      <c r="H170" s="547">
        <f>+H168*H167</f>
        <v>0</v>
      </c>
      <c r="I170" s="547">
        <f>+I168*I167</f>
        <v>0</v>
      </c>
      <c r="J170" s="547">
        <f>+J168*J167</f>
        <v>0</v>
      </c>
      <c r="K170" s="547">
        <f>+K168*K167</f>
        <v>0</v>
      </c>
    </row>
    <row r="171" spans="2:11" ht="18.75" hidden="1" customHeight="1" x14ac:dyDescent="0.25">
      <c r="B171" s="333" t="s">
        <v>87</v>
      </c>
      <c r="C171" s="407"/>
      <c r="D171" s="407"/>
      <c r="E171" s="569"/>
      <c r="F171" s="569"/>
      <c r="G171" s="569"/>
      <c r="H171" s="547">
        <f>+H169-H170</f>
        <v>0</v>
      </c>
      <c r="I171" s="547">
        <f>+I169-I170</f>
        <v>0</v>
      </c>
      <c r="J171" s="547">
        <f>+J169-J170</f>
        <v>0</v>
      </c>
      <c r="K171" s="547">
        <f>+K169-K170</f>
        <v>0</v>
      </c>
    </row>
    <row r="172" spans="2:11" ht="18.75" hidden="1" customHeight="1" x14ac:dyDescent="0.25">
      <c r="B172" s="333" t="s">
        <v>61</v>
      </c>
      <c r="C172" s="407"/>
      <c r="D172" s="407"/>
      <c r="E172" s="569"/>
      <c r="F172" s="569"/>
      <c r="G172" s="547">
        <f>+G168-G171</f>
        <v>0</v>
      </c>
      <c r="H172" s="547">
        <f>+H168-H171</f>
        <v>0</v>
      </c>
      <c r="I172" s="547">
        <f>+I168-I171</f>
        <v>0</v>
      </c>
      <c r="J172" s="547">
        <f>+J168-J171</f>
        <v>0</v>
      </c>
      <c r="K172" s="547">
        <f>+K168-K171</f>
        <v>0</v>
      </c>
    </row>
    <row r="173" spans="2:11" x14ac:dyDescent="0.2">
      <c r="B173" s="21"/>
      <c r="C173" s="21"/>
      <c r="D173" s="397"/>
      <c r="E173" s="397"/>
      <c r="F173" s="572"/>
      <c r="G173" s="397"/>
      <c r="H173" s="397"/>
      <c r="I173" s="397"/>
      <c r="J173" s="397"/>
    </row>
    <row r="174" spans="2:11" ht="13.5" thickBot="1" x14ac:dyDescent="0.25">
      <c r="C174" s="103"/>
      <c r="D174" s="549"/>
      <c r="E174" s="549"/>
      <c r="F174" s="549"/>
      <c r="G174" s="549"/>
      <c r="H174" s="549"/>
      <c r="I174" s="549"/>
      <c r="J174" s="549"/>
    </row>
    <row r="175" spans="2:11" ht="20.25" x14ac:dyDescent="0.2">
      <c r="B175" s="583" t="s">
        <v>93</v>
      </c>
      <c r="C175" s="575">
        <f t="shared" ref="C175:J175" si="32">+C116</f>
        <v>2019</v>
      </c>
      <c r="D175" s="575">
        <f t="shared" si="32"/>
        <v>2020</v>
      </c>
      <c r="E175" s="575">
        <f t="shared" si="32"/>
        <v>2021</v>
      </c>
      <c r="F175" s="575">
        <f t="shared" si="32"/>
        <v>2022</v>
      </c>
      <c r="G175" s="575">
        <f t="shared" si="32"/>
        <v>2023</v>
      </c>
      <c r="H175" s="575">
        <f t="shared" si="32"/>
        <v>2024</v>
      </c>
      <c r="I175" s="575">
        <f t="shared" si="32"/>
        <v>2025</v>
      </c>
      <c r="J175" s="576">
        <f t="shared" si="32"/>
        <v>2026</v>
      </c>
    </row>
    <row r="176" spans="2:11" ht="18.75" customHeight="1" x14ac:dyDescent="0.25">
      <c r="B176" s="580" t="s">
        <v>0</v>
      </c>
      <c r="C176" s="427">
        <f>+'ESTADOS FINANCIEROS HISTÓRICOS'!B47</f>
        <v>3719622990</v>
      </c>
      <c r="D176" s="427">
        <f>+'ESTADOS FINANCIEROS HISTÓRICOS'!C47</f>
        <v>4115663263</v>
      </c>
      <c r="E176" s="427">
        <f>+'ESTADOS FINANCIEROS HISTÓRICOS'!D47</f>
        <v>5003544779</v>
      </c>
      <c r="F176" s="573">
        <f>F79*$F$85</f>
        <v>7177713416.1518297</v>
      </c>
      <c r="G176" s="573">
        <f>G79*$F$85</f>
        <v>7755583280.6775751</v>
      </c>
      <c r="H176" s="573">
        <f>H79*$F$85</f>
        <v>8379049934.4524002</v>
      </c>
      <c r="I176" s="573">
        <f>I79*$F$85</f>
        <v>9058136809.2763672</v>
      </c>
      <c r="J176" s="584">
        <f>J79*$F$85</f>
        <v>9798831235.5237732</v>
      </c>
    </row>
    <row r="177" spans="1:21" ht="18.75" customHeight="1" x14ac:dyDescent="0.25">
      <c r="B177" s="580" t="s">
        <v>118</v>
      </c>
      <c r="C177" s="427">
        <f>+'ESTADOS FINANCIEROS HISTÓRICOS'!B48</f>
        <v>103825515</v>
      </c>
      <c r="D177" s="427">
        <f>+'ESTADOS FINANCIEROS HISTÓRICOS'!C48</f>
        <v>324066552</v>
      </c>
      <c r="E177" s="427">
        <f>+'ESTADOS FINANCIEROS HISTÓRICOS'!D48</f>
        <v>1972994809</v>
      </c>
      <c r="F177" s="573">
        <f>F123*$F$86</f>
        <v>290705887.75637197</v>
      </c>
      <c r="G177" s="573">
        <f>G123*$F$86</f>
        <v>347738036.47255939</v>
      </c>
      <c r="H177" s="573">
        <f>H123*$F$86</f>
        <v>409354965.16348553</v>
      </c>
      <c r="I177" s="573">
        <f>I123*$F$86</f>
        <v>475965687.64586818</v>
      </c>
      <c r="J177" s="584">
        <f>J123*$F$86</f>
        <v>548023246.7029078</v>
      </c>
    </row>
    <row r="178" spans="1:21" ht="18.75" customHeight="1" x14ac:dyDescent="0.25">
      <c r="B178" s="580" t="s">
        <v>121</v>
      </c>
      <c r="C178" s="427">
        <f>+'ESTADOS FINANCIEROS HISTÓRICOS'!B49</f>
        <v>837074255</v>
      </c>
      <c r="D178" s="427">
        <f>+'ESTADOS FINANCIEROS HISTÓRICOS'!C49</f>
        <v>928340398</v>
      </c>
      <c r="E178" s="427">
        <f>+'ESTADOS FINANCIEROS HISTÓRICOS'!D49</f>
        <v>944376723</v>
      </c>
      <c r="F178" s="573">
        <f>E178*(1+F20)*(1+$F$87)+F40*12</f>
        <v>997886996.87862599</v>
      </c>
      <c r="G178" s="573">
        <f>F178*(1+G20)*(1+$F$87)+G40*12</f>
        <v>1048382074.6946782</v>
      </c>
      <c r="H178" s="573">
        <f>G178*(1+H20)*(1+$F$87)+H40*12</f>
        <v>1101432304.4383783</v>
      </c>
      <c r="I178" s="573">
        <f>H178*(1+I20)*(1+$F$87)+I40*12</f>
        <v>1157166981.9075692</v>
      </c>
      <c r="J178" s="584">
        <f>I178*(1+J20)*(1+$F$87)+J40*12</f>
        <v>1209878252.2674227</v>
      </c>
    </row>
    <row r="179" spans="1:21" ht="18.75" customHeight="1" x14ac:dyDescent="0.25">
      <c r="B179" s="580" t="s">
        <v>120</v>
      </c>
      <c r="C179" s="427">
        <f>+'ESTADOS FINANCIEROS HISTÓRICOS'!B50</f>
        <v>534254580</v>
      </c>
      <c r="D179" s="427">
        <f>+'ESTADOS FINANCIEROS HISTÓRICOS'!C50</f>
        <v>542695815</v>
      </c>
      <c r="E179" s="427">
        <f>+'ESTADOS FINANCIEROS HISTÓRICOS'!D50</f>
        <v>500123365</v>
      </c>
      <c r="F179" s="573">
        <f>F79*$F$88</f>
        <v>659783416.95465004</v>
      </c>
      <c r="G179" s="573">
        <f>G79*$F$88</f>
        <v>712901858.95234203</v>
      </c>
      <c r="H179" s="573">
        <f>H79*$F$88</f>
        <v>770211608.63657689</v>
      </c>
      <c r="I179" s="573">
        <f>I79*$F$88</f>
        <v>832634031.02978313</v>
      </c>
      <c r="J179" s="584">
        <f>J79*$F$88</f>
        <v>900719488.21299589</v>
      </c>
    </row>
    <row r="180" spans="1:21" ht="18.75" customHeight="1" x14ac:dyDescent="0.25">
      <c r="B180" s="580" t="s">
        <v>79</v>
      </c>
      <c r="C180" s="427">
        <f>+'ESTADOS FINANCIEROS HISTÓRICOS'!B51</f>
        <v>2779996535</v>
      </c>
      <c r="D180" s="427">
        <f>+'ESTADOS FINANCIEROS HISTÓRICOS'!C51</f>
        <v>2658058389</v>
      </c>
      <c r="E180" s="427">
        <f>+'ESTADOS FINANCIEROS HISTÓRICOS'!D51</f>
        <v>2765372431</v>
      </c>
      <c r="F180" s="573">
        <f>+F79*$F$89+F46+F47+F69+F70+$F$72*F67</f>
        <v>3557773990.4248004</v>
      </c>
      <c r="G180" s="573">
        <f>+G79*$F$89+G46+G47+G69+G70+$F$72*G67</f>
        <v>3827971981.5478249</v>
      </c>
      <c r="H180" s="573">
        <f>+H79*$F$89+H46+H47+H69+H70+$F$72*H67</f>
        <v>4133964698.5850692</v>
      </c>
      <c r="I180" s="573">
        <f>+I79*$F$89+I46+I47+I69+I70+$F$72*I67</f>
        <v>4469777529.6812658</v>
      </c>
      <c r="J180" s="584">
        <f>+J79*$F$89+J46+J47+J69+J70+$F$72*J67</f>
        <v>4836376695.2726212</v>
      </c>
    </row>
    <row r="181" spans="1:21" ht="6.6" customHeight="1" x14ac:dyDescent="0.2">
      <c r="B181" s="585"/>
      <c r="C181" s="151"/>
      <c r="D181" s="586"/>
      <c r="E181" s="586"/>
      <c r="F181" s="587"/>
      <c r="G181" s="586"/>
      <c r="H181" s="586"/>
      <c r="I181" s="586"/>
      <c r="J181" s="588"/>
    </row>
    <row r="182" spans="1:21" ht="18.75" customHeight="1" thickBot="1" x14ac:dyDescent="0.3">
      <c r="B182" s="589" t="s">
        <v>179</v>
      </c>
      <c r="C182" s="590">
        <f>'ESTADOS FINANCIEROS HISTÓRICOS'!B22</f>
        <v>6308103951</v>
      </c>
      <c r="D182" s="590">
        <f>'ESTADOS FINANCIEROS HISTÓRICOS'!C22</f>
        <v>3374610589</v>
      </c>
      <c r="E182" s="590">
        <f>'ESTADOS FINANCIEROS HISTÓRICOS'!D22</f>
        <v>4196159602</v>
      </c>
      <c r="F182" s="591">
        <f>SUM(F176:F180)*$C$110</f>
        <v>4058836386.6132092</v>
      </c>
      <c r="G182" s="591">
        <f>SUM(G176:G180)*$C$110</f>
        <v>4381624714.3503933</v>
      </c>
      <c r="H182" s="591">
        <f>SUM(H176:H180)*$C$110</f>
        <v>4734084323.6082916</v>
      </c>
      <c r="I182" s="591">
        <f>SUM(I176:I180)*$C$110</f>
        <v>5117977932.6530743</v>
      </c>
      <c r="J182" s="592">
        <f>SUM(J176:J180)*$C$110</f>
        <v>5534025253.7535105</v>
      </c>
    </row>
    <row r="183" spans="1:21" x14ac:dyDescent="0.2">
      <c r="D183" s="4"/>
      <c r="E183" s="4"/>
      <c r="F183" s="4"/>
      <c r="G183" s="4"/>
      <c r="H183" s="4"/>
      <c r="I183" s="4"/>
      <c r="J183" s="4"/>
    </row>
    <row r="184" spans="1:21" ht="13.5" thickBot="1" x14ac:dyDescent="0.25">
      <c r="C184" s="103"/>
      <c r="D184" s="549"/>
      <c r="E184" s="549"/>
      <c r="F184" s="549"/>
      <c r="G184" s="549"/>
      <c r="H184" s="549"/>
      <c r="I184" s="549"/>
      <c r="J184" s="549"/>
    </row>
    <row r="185" spans="1:21" ht="18" x14ac:dyDescent="0.2">
      <c r="B185" s="574" t="s">
        <v>490</v>
      </c>
      <c r="C185" s="575">
        <f t="shared" ref="C185:I185" si="33">+D175</f>
        <v>2020</v>
      </c>
      <c r="D185" s="575">
        <f t="shared" si="33"/>
        <v>2021</v>
      </c>
      <c r="E185" s="575">
        <f t="shared" si="33"/>
        <v>2022</v>
      </c>
      <c r="F185" s="575">
        <f t="shared" si="33"/>
        <v>2023</v>
      </c>
      <c r="G185" s="575">
        <f t="shared" si="33"/>
        <v>2024</v>
      </c>
      <c r="H185" s="575">
        <f t="shared" si="33"/>
        <v>2025</v>
      </c>
      <c r="I185" s="576">
        <f t="shared" si="33"/>
        <v>2026</v>
      </c>
      <c r="L185" s="1"/>
      <c r="M185" s="1"/>
      <c r="N185" s="1"/>
      <c r="O185" s="1"/>
      <c r="P185" s="1"/>
      <c r="Q185" s="1"/>
      <c r="R185" s="1"/>
      <c r="S185" s="1"/>
      <c r="T185" s="1"/>
    </row>
    <row r="186" spans="1:21" ht="18.75" customHeight="1" x14ac:dyDescent="0.25">
      <c r="B186" s="448" t="s">
        <v>486</v>
      </c>
      <c r="C186" s="547">
        <f t="shared" ref="C186:I186" si="34">+C253</f>
        <v>1371178098</v>
      </c>
      <c r="D186" s="547">
        <f t="shared" si="34"/>
        <v>4011345188</v>
      </c>
      <c r="E186" s="547">
        <f t="shared" si="34"/>
        <v>3561986386</v>
      </c>
      <c r="F186" s="547">
        <f t="shared" si="34"/>
        <v>4878838697.8389797</v>
      </c>
      <c r="G186" s="547">
        <f t="shared" si="34"/>
        <v>6544623391.0987959</v>
      </c>
      <c r="H186" s="547">
        <f t="shared" si="34"/>
        <v>7643683012.0473804</v>
      </c>
      <c r="I186" s="577">
        <f t="shared" si="34"/>
        <v>9158782173.9317875</v>
      </c>
      <c r="K186" s="1"/>
    </row>
    <row r="187" spans="1:21" ht="18.75" customHeight="1" x14ac:dyDescent="0.25">
      <c r="B187" s="448" t="s">
        <v>487</v>
      </c>
      <c r="C187" s="547">
        <f t="shared" ref="C187:I187" si="35">C254</f>
        <v>3077606921</v>
      </c>
      <c r="D187" s="547">
        <f t="shared" si="35"/>
        <v>4448785019</v>
      </c>
      <c r="E187" s="547">
        <f t="shared" si="35"/>
        <v>5382523286</v>
      </c>
      <c r="F187" s="547">
        <f t="shared" si="35"/>
        <v>8588311033.3999996</v>
      </c>
      <c r="G187" s="547">
        <f t="shared" si="35"/>
        <v>12979265861.455082</v>
      </c>
      <c r="H187" s="547">
        <f t="shared" si="35"/>
        <v>18869426913.444</v>
      </c>
      <c r="I187" s="577">
        <f t="shared" si="35"/>
        <v>25748741624.28664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s="1" customFormat="1" ht="18.75" customHeight="1" x14ac:dyDescent="0.25">
      <c r="A188"/>
      <c r="B188" s="578" t="s">
        <v>488</v>
      </c>
      <c r="C188" s="548">
        <f t="shared" ref="C188:I188" si="36">+C187+C186</f>
        <v>4448785019</v>
      </c>
      <c r="D188" s="548">
        <f t="shared" si="36"/>
        <v>8460130207</v>
      </c>
      <c r="E188" s="548">
        <f t="shared" si="36"/>
        <v>8944509672</v>
      </c>
      <c r="F188" s="548">
        <f t="shared" si="36"/>
        <v>13467149731.238979</v>
      </c>
      <c r="G188" s="548">
        <f t="shared" si="36"/>
        <v>19523889252.553879</v>
      </c>
      <c r="H188" s="548">
        <f t="shared" si="36"/>
        <v>26513109925.491379</v>
      </c>
      <c r="I188" s="579">
        <f t="shared" si="36"/>
        <v>34907523798.21843</v>
      </c>
      <c r="L188" s="21"/>
      <c r="M188" s="21"/>
      <c r="N188" s="21"/>
      <c r="O188" s="21"/>
      <c r="P188" s="21"/>
      <c r="Q188" s="21"/>
      <c r="R188" s="21"/>
      <c r="S188" s="21"/>
      <c r="T188"/>
      <c r="U188"/>
    </row>
    <row r="189" spans="1:21" ht="18.75" customHeight="1" x14ac:dyDescent="0.25">
      <c r="B189" s="580" t="s">
        <v>99</v>
      </c>
      <c r="C189" s="547">
        <f t="shared" ref="C189:I189" si="37">IF(C186&gt;0,C186*$D$101,0)</f>
        <v>137117809.80000001</v>
      </c>
      <c r="D189" s="547">
        <f t="shared" si="37"/>
        <v>401134518.80000001</v>
      </c>
      <c r="E189" s="547">
        <f t="shared" si="37"/>
        <v>356198638.60000002</v>
      </c>
      <c r="F189" s="547">
        <f t="shared" si="37"/>
        <v>487883869.783898</v>
      </c>
      <c r="G189" s="547">
        <f t="shared" si="37"/>
        <v>654462339.10987961</v>
      </c>
      <c r="H189" s="547">
        <f t="shared" si="37"/>
        <v>764368301.20473814</v>
      </c>
      <c r="I189" s="577">
        <f t="shared" si="37"/>
        <v>915878217.39317882</v>
      </c>
      <c r="U189" s="1"/>
    </row>
    <row r="190" spans="1:21" s="1" customFormat="1" ht="18.75" customHeight="1" x14ac:dyDescent="0.25">
      <c r="A190"/>
      <c r="B190" s="578" t="s">
        <v>489</v>
      </c>
      <c r="C190" s="548">
        <f t="shared" ref="C190:I190" si="38">C188-C189</f>
        <v>4311667209.1999998</v>
      </c>
      <c r="D190" s="548">
        <f t="shared" si="38"/>
        <v>8058995688.1999998</v>
      </c>
      <c r="E190" s="548">
        <f t="shared" si="38"/>
        <v>8588311033.3999996</v>
      </c>
      <c r="F190" s="548">
        <f t="shared" si="38"/>
        <v>12979265861.455082</v>
      </c>
      <c r="G190" s="548">
        <f t="shared" si="38"/>
        <v>18869426913.444</v>
      </c>
      <c r="H190" s="548">
        <f t="shared" si="38"/>
        <v>25748741624.28664</v>
      </c>
      <c r="I190" s="579">
        <f t="shared" si="38"/>
        <v>33991645580.825253</v>
      </c>
      <c r="K190" s="21"/>
      <c r="L190" s="21"/>
      <c r="M190" s="21"/>
      <c r="N190" s="21"/>
      <c r="O190" s="21"/>
      <c r="P190" s="21"/>
      <c r="Q190" s="21"/>
      <c r="R190" s="21"/>
      <c r="S190" s="21"/>
      <c r="T190"/>
      <c r="U190"/>
    </row>
    <row r="191" spans="1:21" ht="18.75" customHeight="1" x14ac:dyDescent="0.25">
      <c r="B191" s="580" t="s">
        <v>100</v>
      </c>
      <c r="C191" s="547">
        <v>0</v>
      </c>
      <c r="D191" s="547">
        <f t="shared" ref="D191:I191" si="39">IF(D190&gt;0,D190*C99,0)</f>
        <v>2931683118.2801061</v>
      </c>
      <c r="E191" s="547">
        <f t="shared" si="39"/>
        <v>0</v>
      </c>
      <c r="F191" s="547">
        <f t="shared" si="39"/>
        <v>0</v>
      </c>
      <c r="G191" s="547">
        <f t="shared" si="39"/>
        <v>0</v>
      </c>
      <c r="H191" s="547">
        <f t="shared" si="39"/>
        <v>0</v>
      </c>
      <c r="I191" s="577">
        <f t="shared" si="39"/>
        <v>0</v>
      </c>
    </row>
    <row r="192" spans="1:21" ht="18.75" customHeight="1" thickBot="1" x14ac:dyDescent="0.3">
      <c r="B192" s="449" t="s">
        <v>375</v>
      </c>
      <c r="C192" s="581">
        <f t="shared" ref="C192:I192" si="40">+C190-C191</f>
        <v>4311667209.1999998</v>
      </c>
      <c r="D192" s="581">
        <f t="shared" si="40"/>
        <v>5127312569.9198933</v>
      </c>
      <c r="E192" s="581">
        <f t="shared" si="40"/>
        <v>8588311033.3999996</v>
      </c>
      <c r="F192" s="581">
        <f t="shared" si="40"/>
        <v>12979265861.455082</v>
      </c>
      <c r="G192" s="581">
        <f t="shared" si="40"/>
        <v>18869426913.444</v>
      </c>
      <c r="H192" s="581">
        <f t="shared" si="40"/>
        <v>25748741624.28664</v>
      </c>
      <c r="I192" s="582">
        <f t="shared" si="40"/>
        <v>33991645580.825253</v>
      </c>
    </row>
    <row r="193" spans="1:19" s="161" customFormat="1" ht="30" customHeight="1" thickBot="1" x14ac:dyDescent="0.25">
      <c r="B193" s="601"/>
      <c r="C193" s="601"/>
      <c r="D193" s="601"/>
      <c r="E193" s="601"/>
      <c r="F193" s="601"/>
      <c r="G193" s="601"/>
      <c r="H193" s="601"/>
      <c r="I193" s="601"/>
      <c r="J193" s="601"/>
      <c r="K193" s="103"/>
      <c r="L193" s="343"/>
      <c r="M193" s="103"/>
      <c r="N193" s="103"/>
      <c r="O193" s="103"/>
      <c r="P193" s="103"/>
      <c r="Q193" s="103"/>
      <c r="R193" s="103"/>
      <c r="S193" s="103"/>
    </row>
    <row r="194" spans="1:19" s="131" customFormat="1" ht="25.15" customHeight="1" thickBot="1" x14ac:dyDescent="0.25">
      <c r="A194"/>
      <c r="B194" s="290"/>
      <c r="C194" s="723" t="s">
        <v>12</v>
      </c>
      <c r="D194" s="723"/>
      <c r="E194" s="723"/>
      <c r="F194" s="723"/>
      <c r="G194" s="723"/>
      <c r="H194" s="723"/>
      <c r="I194" s="723"/>
      <c r="J194" s="724"/>
      <c r="K194" s="395"/>
      <c r="L194" s="395"/>
      <c r="M194" s="396"/>
      <c r="N194" s="396"/>
      <c r="O194" s="396"/>
      <c r="P194" s="396"/>
      <c r="Q194" s="396"/>
      <c r="R194" s="396"/>
      <c r="S194" s="396"/>
    </row>
    <row r="195" spans="1:19" ht="19.899999999999999" customHeight="1" thickBot="1" x14ac:dyDescent="0.3">
      <c r="B195" s="291"/>
      <c r="C195" s="132">
        <v>2019</v>
      </c>
      <c r="D195" s="132">
        <v>2020</v>
      </c>
      <c r="E195" s="132">
        <f t="shared" ref="E195:J195" si="41">+C$97</f>
        <v>2021</v>
      </c>
      <c r="F195" s="132">
        <f t="shared" si="41"/>
        <v>2022</v>
      </c>
      <c r="G195" s="132">
        <f t="shared" si="41"/>
        <v>2023</v>
      </c>
      <c r="H195" s="132">
        <f t="shared" si="41"/>
        <v>2024</v>
      </c>
      <c r="I195" s="132">
        <f t="shared" si="41"/>
        <v>2025</v>
      </c>
      <c r="J195" s="292">
        <f t="shared" si="41"/>
        <v>2026</v>
      </c>
      <c r="K195" s="397"/>
      <c r="L195" s="397"/>
    </row>
    <row r="196" spans="1:19" ht="19.899999999999999" customHeight="1" x14ac:dyDescent="0.2">
      <c r="B196" s="293" t="s">
        <v>4</v>
      </c>
      <c r="C196" s="105">
        <f>+'ESTADOS FINANCIEROS HISTÓRICOS'!B41</f>
        <v>29799465174</v>
      </c>
      <c r="D196" s="105">
        <f>+'ESTADOS FINANCIEROS HISTÓRICOS'!C41</f>
        <v>32883349520</v>
      </c>
      <c r="E196" s="105">
        <f>+'ESTADOS FINANCIEROS HISTÓRICOS'!D41</f>
        <v>37619845133</v>
      </c>
      <c r="F196" s="105">
        <f>F79</f>
        <v>43985561130.310005</v>
      </c>
      <c r="G196" s="105">
        <f>G79</f>
        <v>47526790596.822807</v>
      </c>
      <c r="H196" s="105">
        <f>H79</f>
        <v>51347440575.771797</v>
      </c>
      <c r="I196" s="105">
        <f>I79</f>
        <v>55508935401.985542</v>
      </c>
      <c r="J196" s="294">
        <f>J79</f>
        <v>60047965880.866394</v>
      </c>
      <c r="K196" s="397"/>
      <c r="L196" s="397"/>
    </row>
    <row r="197" spans="1:19" ht="19.899999999999999" customHeight="1" x14ac:dyDescent="0.2">
      <c r="B197" s="293" t="s">
        <v>22</v>
      </c>
      <c r="C197" s="105">
        <f>+'ESTADOS FINANCIEROS HISTÓRICOS'!B42</f>
        <v>16427228539</v>
      </c>
      <c r="D197" s="105">
        <f>+'ESTADOS FINANCIEROS HISTÓRICOS'!C42</f>
        <v>17263115444</v>
      </c>
      <c r="E197" s="105">
        <f>+'ESTADOS FINANCIEROS HISTÓRICOS'!D42</f>
        <v>19779704210</v>
      </c>
      <c r="F197" s="105">
        <f>+F196*D103</f>
        <v>23126660558.87682</v>
      </c>
      <c r="G197" s="105">
        <f>+G196*E103</f>
        <v>24750928778.528622</v>
      </c>
      <c r="H197" s="105">
        <f>+H196*F103</f>
        <v>26483903784.893173</v>
      </c>
      <c r="I197" s="105">
        <f>+I196*G103</f>
        <v>28352768497.386086</v>
      </c>
      <c r="J197" s="294">
        <f>+J196*H103</f>
        <v>30370967662.322201</v>
      </c>
      <c r="K197" s="397"/>
      <c r="L197" s="397"/>
    </row>
    <row r="198" spans="1:19" ht="19.899999999999999" customHeight="1" x14ac:dyDescent="0.25">
      <c r="B198" s="295" t="s">
        <v>13</v>
      </c>
      <c r="C198" s="133">
        <f>+'ESTADOS FINANCIEROS HISTÓRICOS'!B44</f>
        <v>13372236635</v>
      </c>
      <c r="D198" s="133">
        <f>+'ESTADOS FINANCIEROS HISTÓRICOS'!C44</f>
        <v>15620234076</v>
      </c>
      <c r="E198" s="133">
        <f>+'ESTADOS FINANCIEROS HISTÓRICOS'!D44</f>
        <v>17840140923</v>
      </c>
      <c r="F198" s="133">
        <f>+F196-F197</f>
        <v>20858900571.433186</v>
      </c>
      <c r="G198" s="133">
        <f>+G196-G197</f>
        <v>22775861818.294186</v>
      </c>
      <c r="H198" s="133">
        <f>+H196-H197</f>
        <v>24863536790.878624</v>
      </c>
      <c r="I198" s="133">
        <f>+I196-I197</f>
        <v>27156166904.599457</v>
      </c>
      <c r="J198" s="296">
        <f>+J196-J197</f>
        <v>29676998218.544193</v>
      </c>
      <c r="K198" s="397"/>
      <c r="L198" s="397"/>
    </row>
    <row r="199" spans="1:19" ht="19.899999999999999" customHeight="1" x14ac:dyDescent="0.25">
      <c r="B199" s="291" t="s">
        <v>6</v>
      </c>
      <c r="C199" s="109"/>
      <c r="D199" s="109"/>
      <c r="E199" s="109"/>
      <c r="F199" s="110"/>
      <c r="G199" s="110"/>
      <c r="H199" s="110"/>
      <c r="I199" s="110"/>
      <c r="J199" s="297"/>
      <c r="K199" s="397"/>
      <c r="L199" s="397"/>
    </row>
    <row r="200" spans="1:19" ht="19.899999999999999" customHeight="1" x14ac:dyDescent="0.2">
      <c r="B200" s="293" t="s">
        <v>0</v>
      </c>
      <c r="C200" s="105">
        <f>+'ESTADOS FINANCIEROS HISTÓRICOS'!B47</f>
        <v>3719622990</v>
      </c>
      <c r="D200" s="105">
        <f>+'ESTADOS FINANCIEROS HISTÓRICOS'!C47</f>
        <v>4115663263</v>
      </c>
      <c r="E200" s="105">
        <f>+'ESTADOS FINANCIEROS HISTÓRICOS'!D47</f>
        <v>5003544779</v>
      </c>
      <c r="F200" s="105">
        <f t="shared" ref="F200:J204" si="42">F176</f>
        <v>7177713416.1518297</v>
      </c>
      <c r="G200" s="105">
        <f t="shared" si="42"/>
        <v>7755583280.6775751</v>
      </c>
      <c r="H200" s="105">
        <f t="shared" si="42"/>
        <v>8379049934.4524002</v>
      </c>
      <c r="I200" s="105">
        <f t="shared" si="42"/>
        <v>9058136809.2763672</v>
      </c>
      <c r="J200" s="294">
        <f t="shared" si="42"/>
        <v>9798831235.5237732</v>
      </c>
      <c r="K200" s="397"/>
      <c r="L200" s="397"/>
    </row>
    <row r="201" spans="1:19" ht="19.899999999999999" customHeight="1" x14ac:dyDescent="0.2">
      <c r="B201" s="293" t="s">
        <v>118</v>
      </c>
      <c r="C201" s="105">
        <f>+'ESTADOS FINANCIEROS HISTÓRICOS'!B48</f>
        <v>103825515</v>
      </c>
      <c r="D201" s="105">
        <f>+'ESTADOS FINANCIEROS HISTÓRICOS'!C48</f>
        <v>324066552</v>
      </c>
      <c r="E201" s="105">
        <f>+'ESTADOS FINANCIEROS HISTÓRICOS'!D48</f>
        <v>1972994809</v>
      </c>
      <c r="F201" s="105">
        <f t="shared" si="42"/>
        <v>290705887.75637197</v>
      </c>
      <c r="G201" s="105">
        <f t="shared" si="42"/>
        <v>347738036.47255939</v>
      </c>
      <c r="H201" s="105">
        <f t="shared" si="42"/>
        <v>409354965.16348553</v>
      </c>
      <c r="I201" s="105">
        <f t="shared" si="42"/>
        <v>475965687.64586818</v>
      </c>
      <c r="J201" s="294">
        <f t="shared" si="42"/>
        <v>548023246.7029078</v>
      </c>
      <c r="K201" s="397"/>
      <c r="L201" s="397"/>
    </row>
    <row r="202" spans="1:19" ht="19.899999999999999" customHeight="1" x14ac:dyDescent="0.2">
      <c r="B202" s="293" t="s">
        <v>121</v>
      </c>
      <c r="C202" s="105">
        <f>+'ESTADOS FINANCIEROS HISTÓRICOS'!B49</f>
        <v>837074255</v>
      </c>
      <c r="D202" s="105">
        <f>+'ESTADOS FINANCIEROS HISTÓRICOS'!C49</f>
        <v>928340398</v>
      </c>
      <c r="E202" s="105">
        <f>+'ESTADOS FINANCIEROS HISTÓRICOS'!D49</f>
        <v>944376723</v>
      </c>
      <c r="F202" s="105">
        <f t="shared" si="42"/>
        <v>997886996.87862599</v>
      </c>
      <c r="G202" s="105">
        <f t="shared" si="42"/>
        <v>1048382074.6946782</v>
      </c>
      <c r="H202" s="105">
        <f t="shared" si="42"/>
        <v>1101432304.4383783</v>
      </c>
      <c r="I202" s="105">
        <f t="shared" si="42"/>
        <v>1157166981.9075692</v>
      </c>
      <c r="J202" s="294">
        <f t="shared" si="42"/>
        <v>1209878252.2674227</v>
      </c>
      <c r="K202" s="397"/>
      <c r="L202" s="397"/>
    </row>
    <row r="203" spans="1:19" ht="19.899999999999999" customHeight="1" x14ac:dyDescent="0.2">
      <c r="B203" s="298" t="s">
        <v>120</v>
      </c>
      <c r="C203" s="105">
        <f>+'ESTADOS FINANCIEROS HISTÓRICOS'!B50</f>
        <v>534254580</v>
      </c>
      <c r="D203" s="105">
        <f>+'ESTADOS FINANCIEROS HISTÓRICOS'!C50</f>
        <v>542695815</v>
      </c>
      <c r="E203" s="105">
        <f>+'ESTADOS FINANCIEROS HISTÓRICOS'!D50</f>
        <v>500123365</v>
      </c>
      <c r="F203" s="105">
        <f t="shared" si="42"/>
        <v>659783416.95465004</v>
      </c>
      <c r="G203" s="105">
        <f t="shared" si="42"/>
        <v>712901858.95234203</v>
      </c>
      <c r="H203" s="105">
        <f t="shared" si="42"/>
        <v>770211608.63657689</v>
      </c>
      <c r="I203" s="105">
        <f t="shared" si="42"/>
        <v>832634031.02978313</v>
      </c>
      <c r="J203" s="294">
        <f t="shared" si="42"/>
        <v>900719488.21299589</v>
      </c>
      <c r="K203" s="397"/>
      <c r="L203" s="397"/>
    </row>
    <row r="204" spans="1:19" ht="19.899999999999999" customHeight="1" x14ac:dyDescent="0.2">
      <c r="B204" s="293" t="s">
        <v>79</v>
      </c>
      <c r="C204" s="105">
        <f>+'ESTADOS FINANCIEROS HISTÓRICOS'!B51</f>
        <v>2779996535</v>
      </c>
      <c r="D204" s="105">
        <f>+'ESTADOS FINANCIEROS HISTÓRICOS'!C51</f>
        <v>2658058389</v>
      </c>
      <c r="E204" s="105">
        <f>+'ESTADOS FINANCIEROS HISTÓRICOS'!D51</f>
        <v>2765372431</v>
      </c>
      <c r="F204" s="105">
        <f t="shared" si="42"/>
        <v>3557773990.4248004</v>
      </c>
      <c r="G204" s="105">
        <f t="shared" si="42"/>
        <v>3827971981.5478249</v>
      </c>
      <c r="H204" s="105">
        <f t="shared" si="42"/>
        <v>4133964698.5850692</v>
      </c>
      <c r="I204" s="105">
        <f t="shared" si="42"/>
        <v>4469777529.6812658</v>
      </c>
      <c r="J204" s="294">
        <f t="shared" si="42"/>
        <v>4836376695.2726212</v>
      </c>
      <c r="K204" s="397"/>
      <c r="L204" s="397"/>
    </row>
    <row r="205" spans="1:19" ht="19.899999999999999" customHeight="1" x14ac:dyDescent="0.2">
      <c r="B205" s="293" t="s">
        <v>2</v>
      </c>
      <c r="C205" s="105">
        <f>+'ESTADOS FINANCIEROS HISTÓRICOS'!B52</f>
        <v>176499899</v>
      </c>
      <c r="D205" s="105">
        <f>+'ESTADOS FINANCIEROS HISTÓRICOS'!C52</f>
        <v>125996417</v>
      </c>
      <c r="E205" s="105">
        <f>+'ESTADOS FINANCIEROS HISTÓRICOS'!D52</f>
        <v>207758977</v>
      </c>
      <c r="F205" s="105">
        <f>+F124</f>
        <v>330393188.84773248</v>
      </c>
      <c r="G205" s="105">
        <f>+G124</f>
        <v>399027452.64308208</v>
      </c>
      <c r="H205" s="105">
        <f>+H124</f>
        <v>473183126.02252805</v>
      </c>
      <c r="I205" s="105">
        <f>+I124</f>
        <v>553325408.00584602</v>
      </c>
      <c r="J205" s="294">
        <f>+J124</f>
        <v>639993083.96798491</v>
      </c>
      <c r="K205" s="397"/>
      <c r="L205" s="397"/>
    </row>
    <row r="206" spans="1:19" ht="19.899999999999999" customHeight="1" x14ac:dyDescent="0.2">
      <c r="B206" s="293" t="s">
        <v>284</v>
      </c>
      <c r="C206" s="105">
        <f>+'ESTADOS FINANCIEROS HISTÓRICOS'!B53</f>
        <v>110091834</v>
      </c>
      <c r="D206" s="105">
        <f>+'ESTADOS FINANCIEROS HISTÓRICOS'!C53</f>
        <v>199305164</v>
      </c>
      <c r="E206" s="105">
        <f>+'ESTADOS FINANCIEROS HISTÓRICOS'!D53</f>
        <v>270399759</v>
      </c>
      <c r="F206" s="105">
        <f>(F197+SUM(F200:F204))*$C$113</f>
        <v>286484194.13634479</v>
      </c>
      <c r="G206" s="105">
        <f>(G197+SUM(G200:G204))*$C$113</f>
        <v>307548048.08698875</v>
      </c>
      <c r="H206" s="105">
        <f>(H197+SUM(H200:H204))*$C$113</f>
        <v>330223338.36935264</v>
      </c>
      <c r="I206" s="105">
        <f>(I197+SUM(I200:I204))*$C$113</f>
        <v>354771596.29541552</v>
      </c>
      <c r="J206" s="294">
        <f>(J197+SUM(J200:J204))*$C$113</f>
        <v>381318372.6424154</v>
      </c>
      <c r="K206" s="397"/>
      <c r="L206" s="397"/>
    </row>
    <row r="207" spans="1:19" ht="19.899999999999999" customHeight="1" x14ac:dyDescent="0.25">
      <c r="B207" s="295" t="s">
        <v>80</v>
      </c>
      <c r="C207" s="133">
        <f>+'ESTADOS FINANCIEROS HISTÓRICOS'!B54</f>
        <v>8261365608</v>
      </c>
      <c r="D207" s="133">
        <f>+'ESTADOS FINANCIEROS HISTÓRICOS'!C54</f>
        <v>8894125998</v>
      </c>
      <c r="E207" s="133">
        <f>+'ESTADOS FINANCIEROS HISTÓRICOS'!D54</f>
        <v>11664570843</v>
      </c>
      <c r="F207" s="133">
        <f>SUM(F200:F206)</f>
        <v>13300741091.150356</v>
      </c>
      <c r="G207" s="133">
        <f>SUM(G200:G206)</f>
        <v>14399152733.075048</v>
      </c>
      <c r="H207" s="133">
        <f>SUM(H200:H206)</f>
        <v>15597419975.667791</v>
      </c>
      <c r="I207" s="133">
        <f>SUM(I200:I206)</f>
        <v>16901778043.842117</v>
      </c>
      <c r="J207" s="296">
        <f>SUM(J200:J206)</f>
        <v>18315140374.590118</v>
      </c>
      <c r="K207" s="397"/>
      <c r="L207" s="397"/>
    </row>
    <row r="208" spans="1:19" ht="19.899999999999999" customHeight="1" x14ac:dyDescent="0.2">
      <c r="B208" s="293"/>
      <c r="C208" s="105"/>
      <c r="D208" s="105"/>
      <c r="E208" s="105"/>
      <c r="F208" s="105"/>
      <c r="G208" s="105"/>
      <c r="H208" s="105"/>
      <c r="I208" s="105"/>
      <c r="J208" s="294"/>
      <c r="K208" s="397"/>
      <c r="L208" s="397"/>
    </row>
    <row r="209" spans="2:21" ht="19.899999999999999" customHeight="1" x14ac:dyDescent="0.25">
      <c r="B209" s="291" t="s">
        <v>50</v>
      </c>
      <c r="C209" s="133">
        <f>+'ESTADOS FINANCIEROS HISTÓRICOS'!B56</f>
        <v>5110871027</v>
      </c>
      <c r="D209" s="133">
        <f>+'ESTADOS FINANCIEROS HISTÓRICOS'!C56</f>
        <v>6726108078</v>
      </c>
      <c r="E209" s="133">
        <f>+'ESTADOS FINANCIEROS HISTÓRICOS'!D56</f>
        <v>6175570080</v>
      </c>
      <c r="F209" s="133">
        <f>+F198-F207</f>
        <v>7558159480.2828293</v>
      </c>
      <c r="G209" s="133">
        <f>+G198-G207</f>
        <v>8376709085.2191372</v>
      </c>
      <c r="H209" s="133">
        <f>+H198-H207</f>
        <v>9266116815.2108326</v>
      </c>
      <c r="I209" s="133">
        <f>+I198-I207</f>
        <v>10254388860.757339</v>
      </c>
      <c r="J209" s="296">
        <f>+J198-J207</f>
        <v>11361857843.954075</v>
      </c>
      <c r="K209" s="397"/>
      <c r="L209" s="397"/>
    </row>
    <row r="210" spans="2:21" ht="19.899999999999999" customHeight="1" x14ac:dyDescent="0.2">
      <c r="B210" s="293" t="s">
        <v>66</v>
      </c>
      <c r="C210" s="105">
        <f>+'ESTADOS FINANCIEROS HISTÓRICOS'!B58</f>
        <v>25467277</v>
      </c>
      <c r="D210" s="105">
        <f>+'ESTADOS FINANCIEROS HISTÓRICOS'!C58</f>
        <v>133076018</v>
      </c>
      <c r="E210" s="105">
        <f>+'ESTADOS FINANCIEROS HISTÓRICOS'!D58</f>
        <v>59268379</v>
      </c>
      <c r="F210" s="105">
        <f>E225*((1+F20)*(1+$C$105)-1)+E224*F20</f>
        <v>214554772.45993596</v>
      </c>
      <c r="G210" s="105">
        <f>F225*((1+G20)*(1+$C$105)-1)+F224*G20</f>
        <v>540373445.25301039</v>
      </c>
      <c r="H210" s="105">
        <f>G225*((1+H20)*(1+$C$105)-1)+G224*H20</f>
        <v>390383282.15996653</v>
      </c>
      <c r="I210" s="105">
        <f>H225*((1+I20)*(1+$C$105)-1)+H224*I20</f>
        <v>471786616.46281958</v>
      </c>
      <c r="J210" s="294">
        <f>I225*((1+J20)*(1+$C$105)-1)+I224*J20</f>
        <v>514551418.77985811</v>
      </c>
      <c r="K210" s="397"/>
      <c r="L210" s="397"/>
    </row>
    <row r="211" spans="2:21" ht="19.899999999999999" customHeight="1" x14ac:dyDescent="0.2">
      <c r="B211" s="293" t="s">
        <v>352</v>
      </c>
      <c r="C211" s="105">
        <f>+'ESTADOS FINANCIEROS HISTÓRICOS'!B59</f>
        <v>0</v>
      </c>
      <c r="D211" s="105">
        <f>+'ESTADOS FINANCIEROS HISTÓRICOS'!C59</f>
        <v>0</v>
      </c>
      <c r="E211" s="105">
        <f>+'ESTADOS FINANCIEROS HISTÓRICOS'!D59</f>
        <v>0</v>
      </c>
      <c r="F211" s="105">
        <f>F232*((1+F20)*(1+$D$94)-1)</f>
        <v>569535612.83296061</v>
      </c>
      <c r="G211" s="105">
        <f>G232*((1+G20)*(1+$D$94)-1)</f>
        <v>1758251861.2724295</v>
      </c>
      <c r="H211" s="105">
        <f>H232*((1+H20)*(1+$D$94)-1)</f>
        <v>2541789309.5630622</v>
      </c>
      <c r="I211" s="105">
        <f>I232*((1+I20)*(1+$D$94)-1)</f>
        <v>3581568913.4762254</v>
      </c>
      <c r="J211" s="294">
        <f>J232*((1+J20)*(1+$D$94)-1)</f>
        <v>4703602537.2008982</v>
      </c>
      <c r="K211" s="397"/>
      <c r="L211" s="397"/>
    </row>
    <row r="212" spans="2:21" ht="19.899999999999999" customHeight="1" x14ac:dyDescent="0.2">
      <c r="B212" s="293" t="s">
        <v>376</v>
      </c>
      <c r="C212" s="105">
        <f>+'ESTADOS FINANCIEROS HISTÓRICOS'!B60</f>
        <v>0</v>
      </c>
      <c r="D212" s="105">
        <f>+'ESTADOS FINANCIEROS HISTÓRICOS'!C60</f>
        <v>0</v>
      </c>
      <c r="E212" s="105">
        <f>+'ESTADOS FINANCIEROS HISTÓRICOS'!D60</f>
        <v>0</v>
      </c>
      <c r="F212" s="105">
        <f>E240*F20</f>
        <v>0</v>
      </c>
      <c r="G212" s="105">
        <f>F240*G20</f>
        <v>0</v>
      </c>
      <c r="H212" s="105">
        <f>G240*H20</f>
        <v>0</v>
      </c>
      <c r="I212" s="105">
        <f>H240*I20</f>
        <v>0</v>
      </c>
      <c r="J212" s="294">
        <f>I240*J20</f>
        <v>0</v>
      </c>
      <c r="K212" s="397"/>
      <c r="L212" s="397"/>
    </row>
    <row r="213" spans="2:21" ht="19.899999999999999" customHeight="1" x14ac:dyDescent="0.2">
      <c r="B213" s="293" t="s">
        <v>8</v>
      </c>
      <c r="C213" s="105">
        <f>+'ESTADOS FINANCIEROS HISTÓRICOS'!B61</f>
        <v>1983088829</v>
      </c>
      <c r="D213" s="105">
        <f>+'ESTADOS FINANCIEROS HISTÓRICOS'!C61</f>
        <v>960147055</v>
      </c>
      <c r="E213" s="105">
        <f>+'ESTADOS FINANCIEROS HISTÓRICOS'!D61</f>
        <v>1072539349</v>
      </c>
      <c r="F213" s="105">
        <f>F148+F159+F170</f>
        <v>1060401063.041514</v>
      </c>
      <c r="G213" s="105">
        <f>G148+G159+G170</f>
        <v>907239778.44670248</v>
      </c>
      <c r="H213" s="105">
        <f>H148+H159+H170</f>
        <v>789807299.73030257</v>
      </c>
      <c r="I213" s="105">
        <f>I148+I159+I170</f>
        <v>637920250.89491308</v>
      </c>
      <c r="J213" s="294">
        <f>J148+J159+J170</f>
        <v>441373644.88338423</v>
      </c>
      <c r="K213" s="397"/>
      <c r="L213" s="397"/>
    </row>
    <row r="214" spans="2:21" ht="19.899999999999999" customHeight="1" x14ac:dyDescent="0.25">
      <c r="B214" s="295" t="s">
        <v>67</v>
      </c>
      <c r="C214" s="133">
        <f>+'ESTADOS FINANCIEROS HISTÓRICOS'!B62</f>
        <v>-1957621552</v>
      </c>
      <c r="D214" s="133">
        <f>+'ESTADOS FINANCIEROS HISTÓRICOS'!C62</f>
        <v>-827071037</v>
      </c>
      <c r="E214" s="133">
        <f>+'ESTADOS FINANCIEROS HISTÓRICOS'!D62</f>
        <v>-1013270970</v>
      </c>
      <c r="F214" s="133">
        <f>+F210+F211-F212-F213</f>
        <v>-276310677.74861753</v>
      </c>
      <c r="G214" s="133">
        <f>+G210+G211-G212-G213</f>
        <v>1391385528.0787373</v>
      </c>
      <c r="H214" s="133">
        <f>+H210+H211-H212-H213</f>
        <v>2142365291.9927261</v>
      </c>
      <c r="I214" s="133">
        <f>+I210+I211-I212-I213</f>
        <v>3415435279.0441318</v>
      </c>
      <c r="J214" s="296">
        <f>+J210+J211-J212-J213</f>
        <v>4776780311.0973721</v>
      </c>
      <c r="K214" s="397"/>
      <c r="L214" s="397"/>
    </row>
    <row r="215" spans="2:21" ht="19.899999999999999" customHeight="1" x14ac:dyDescent="0.2">
      <c r="B215" s="293"/>
      <c r="C215" s="105"/>
      <c r="D215" s="105"/>
      <c r="E215" s="105"/>
      <c r="F215" s="105"/>
      <c r="G215" s="105"/>
      <c r="H215" s="105"/>
      <c r="I215" s="105"/>
      <c r="J215" s="294"/>
      <c r="K215" s="397"/>
    </row>
    <row r="216" spans="2:21" ht="19.899999999999999" customHeight="1" x14ac:dyDescent="0.25">
      <c r="B216" s="291" t="s">
        <v>51</v>
      </c>
      <c r="C216" s="107">
        <f>+'ESTADOS FINANCIEROS HISTÓRICOS'!B64</f>
        <v>3153249475</v>
      </c>
      <c r="D216" s="107">
        <f>+'ESTADOS FINANCIEROS HISTÓRICOS'!C64</f>
        <v>5899037041</v>
      </c>
      <c r="E216" s="107">
        <f>+'ESTADOS FINANCIEROS HISTÓRICOS'!D64</f>
        <v>5162299110</v>
      </c>
      <c r="F216" s="107">
        <f>+F209+F214</f>
        <v>7281848802.5342121</v>
      </c>
      <c r="G216" s="107">
        <f>+G209+G214</f>
        <v>9768094613.2978745</v>
      </c>
      <c r="H216" s="107">
        <f>+H209+H214</f>
        <v>11408482107.203558</v>
      </c>
      <c r="I216" s="107">
        <f>+I209+I214</f>
        <v>13669824139.801472</v>
      </c>
      <c r="J216" s="299">
        <f>+J209+J214</f>
        <v>16138638155.051447</v>
      </c>
      <c r="L216" s="397"/>
    </row>
    <row r="217" spans="2:21" ht="19.899999999999999" customHeight="1" thickBot="1" x14ac:dyDescent="0.25">
      <c r="B217" s="293" t="s">
        <v>1</v>
      </c>
      <c r="C217" s="135">
        <f>+'ESTADOS FINANCIEROS HISTÓRICOS'!B65</f>
        <v>1782071377</v>
      </c>
      <c r="D217" s="135">
        <f>+'ESTADOS FINANCIEROS HISTÓRICOS'!C65</f>
        <v>1887691853</v>
      </c>
      <c r="E217" s="135">
        <f>+'ESTADOS FINANCIEROS HISTÓRICOS'!D65</f>
        <v>1600312724</v>
      </c>
      <c r="F217" s="135">
        <f>IF(F216&gt;0,F216*F18,0)</f>
        <v>2403010104.6952319</v>
      </c>
      <c r="G217" s="135">
        <f>IF(G216&gt;0,G216*G18,0)</f>
        <v>3223471222.1990786</v>
      </c>
      <c r="H217" s="135">
        <f>IF(H216&gt;0,H216*H18,0)</f>
        <v>3764799095.156178</v>
      </c>
      <c r="I217" s="135">
        <f>IF(I216&gt;0,I216*I18,0)</f>
        <v>4511041965.8696842</v>
      </c>
      <c r="J217" s="300">
        <f>IF(J216&gt;0,J216*J18,0)</f>
        <v>5325750590.854353</v>
      </c>
      <c r="K217" s="397"/>
      <c r="L217" s="398"/>
    </row>
    <row r="218" spans="2:21" ht="19.899999999999999" customHeight="1" thickBot="1" x14ac:dyDescent="0.3">
      <c r="B218" s="301" t="s">
        <v>15</v>
      </c>
      <c r="C218" s="134">
        <f>+'ESTADOS FINANCIEROS HISTÓRICOS'!B66</f>
        <v>1371178098</v>
      </c>
      <c r="D218" s="134">
        <f>+'ESTADOS FINANCIEROS HISTÓRICOS'!C66</f>
        <v>4011345188</v>
      </c>
      <c r="E218" s="134">
        <f>+'ESTADOS FINANCIEROS HISTÓRICOS'!D66</f>
        <v>3561986386</v>
      </c>
      <c r="F218" s="134">
        <f>+F216-F217</f>
        <v>4878838697.8389797</v>
      </c>
      <c r="G218" s="134">
        <f>+G216-G217</f>
        <v>6544623391.0987959</v>
      </c>
      <c r="H218" s="134">
        <f>+H216-H217</f>
        <v>7643683012.0473804</v>
      </c>
      <c r="I218" s="134">
        <f>+I216-I217</f>
        <v>9158782173.9317875</v>
      </c>
      <c r="J218" s="302">
        <f>+J216-J217</f>
        <v>10812887564.197094</v>
      </c>
      <c r="L218" s="398"/>
    </row>
    <row r="219" spans="2:21" ht="19.899999999999999" customHeight="1" x14ac:dyDescent="0.25">
      <c r="B219" s="108"/>
      <c r="C219" s="107"/>
      <c r="D219" s="107"/>
      <c r="E219" s="107"/>
      <c r="F219" s="107"/>
      <c r="G219" s="107"/>
      <c r="H219" s="107"/>
      <c r="I219" s="107"/>
      <c r="J219" s="107"/>
      <c r="L219" s="398"/>
    </row>
    <row r="220" spans="2:21" s="161" customFormat="1" ht="30" customHeight="1" thickBot="1" x14ac:dyDescent="0.25">
      <c r="B220" s="601"/>
      <c r="C220" s="601"/>
      <c r="D220" s="601"/>
      <c r="E220" s="601"/>
      <c r="F220" s="601"/>
      <c r="G220" s="601"/>
      <c r="H220" s="601"/>
      <c r="I220" s="601"/>
      <c r="J220" s="601"/>
      <c r="K220" s="103"/>
      <c r="L220" s="343"/>
      <c r="M220" s="103"/>
      <c r="N220" s="103"/>
      <c r="O220" s="103"/>
      <c r="P220" s="103"/>
      <c r="Q220" s="103"/>
      <c r="R220" s="103"/>
      <c r="S220" s="103"/>
    </row>
    <row r="221" spans="2:21" ht="25.15" customHeight="1" thickBot="1" x14ac:dyDescent="0.3">
      <c r="B221" s="303"/>
      <c r="C221" s="725" t="s">
        <v>319</v>
      </c>
      <c r="D221" s="725"/>
      <c r="E221" s="725"/>
      <c r="F221" s="725"/>
      <c r="G221" s="725"/>
      <c r="H221" s="725"/>
      <c r="I221" s="725"/>
      <c r="J221" s="726"/>
      <c r="O221" s="399"/>
    </row>
    <row r="222" spans="2:21" ht="19.899999999999999" customHeight="1" thickBot="1" x14ac:dyDescent="0.3">
      <c r="B222" s="291" t="s">
        <v>40</v>
      </c>
      <c r="C222" s="136">
        <v>2019</v>
      </c>
      <c r="D222" s="136">
        <v>2020</v>
      </c>
      <c r="E222" s="136">
        <f t="shared" ref="E222:J222" si="43">+C$97</f>
        <v>2021</v>
      </c>
      <c r="F222" s="136">
        <f t="shared" si="43"/>
        <v>2022</v>
      </c>
      <c r="G222" s="136">
        <f t="shared" si="43"/>
        <v>2023</v>
      </c>
      <c r="H222" s="136">
        <f t="shared" si="43"/>
        <v>2024</v>
      </c>
      <c r="I222" s="136">
        <f t="shared" si="43"/>
        <v>2025</v>
      </c>
      <c r="J222" s="304">
        <f t="shared" si="43"/>
        <v>2026</v>
      </c>
      <c r="K222" s="400"/>
      <c r="L222" s="116" t="s">
        <v>455</v>
      </c>
      <c r="M222" s="116">
        <v>2018</v>
      </c>
      <c r="N222" s="116">
        <v>2019</v>
      </c>
      <c r="O222" s="116">
        <v>2020</v>
      </c>
      <c r="P222" s="116">
        <v>2021</v>
      </c>
      <c r="Q222" s="117">
        <v>2022</v>
      </c>
      <c r="R222" s="117">
        <v>2023</v>
      </c>
      <c r="S222" s="117">
        <v>2024</v>
      </c>
      <c r="T222" s="117">
        <v>2025</v>
      </c>
      <c r="U222" s="117">
        <v>2026</v>
      </c>
    </row>
    <row r="223" spans="2:21" ht="19.899999999999999" customHeight="1" x14ac:dyDescent="0.25">
      <c r="B223" s="291" t="s">
        <v>18</v>
      </c>
      <c r="C223" s="108"/>
      <c r="D223" s="108"/>
      <c r="E223" s="104"/>
      <c r="F223" s="112"/>
      <c r="G223" s="112"/>
      <c r="H223" s="104"/>
      <c r="I223" s="104"/>
      <c r="J223" s="305"/>
      <c r="K223" s="400"/>
      <c r="L223" s="401" t="s">
        <v>158</v>
      </c>
      <c r="M223" s="402">
        <v>0.19886913242541401</v>
      </c>
      <c r="N223" s="402">
        <v>8.4208924364486626E-2</v>
      </c>
      <c r="O223" s="402">
        <v>0.21768214177275083</v>
      </c>
      <c r="P223" s="402">
        <v>0.14699086756787524</v>
      </c>
      <c r="Q223" s="403">
        <f>F218/F235</f>
        <v>0.18242162777970636</v>
      </c>
      <c r="R223" s="403">
        <f>G218/G235</f>
        <v>0.19691682799341761</v>
      </c>
      <c r="S223" s="403">
        <f>H218/H235</f>
        <v>0.18820416474480184</v>
      </c>
      <c r="T223" s="118">
        <f>I218/I235</f>
        <v>0.18511186699842863</v>
      </c>
      <c r="U223" s="118">
        <f>J218/J235</f>
        <v>0.18057205109741664</v>
      </c>
    </row>
    <row r="224" spans="2:21" ht="19.899999999999999" customHeight="1" x14ac:dyDescent="0.2">
      <c r="B224" s="293" t="s">
        <v>16</v>
      </c>
      <c r="C224" s="105">
        <f>+'ESTADOS FINANCIEROS HISTÓRICOS'!B4</f>
        <v>24854083</v>
      </c>
      <c r="D224" s="105">
        <f>+'ESTADOS FINANCIEROS HISTÓRICOS'!C4</f>
        <v>181874202</v>
      </c>
      <c r="E224" s="105">
        <f>+'ESTADOS FINANCIEROS HISTÓRICOS'!D4</f>
        <v>12647152</v>
      </c>
      <c r="F224" s="105">
        <f>D288</f>
        <v>2849445198.4780798</v>
      </c>
      <c r="G224" s="105">
        <f>E288</f>
        <v>2872290018.9642096</v>
      </c>
      <c r="H224" s="105">
        <f>F288</f>
        <v>2660759837.7985821</v>
      </c>
      <c r="I224" s="105">
        <f>G288</f>
        <v>2876516661.5869503</v>
      </c>
      <c r="J224" s="294">
        <f>H288</f>
        <v>3081343010.2855225</v>
      </c>
      <c r="K224" s="400"/>
      <c r="L224" s="401" t="s">
        <v>157</v>
      </c>
      <c r="M224" s="402">
        <v>0.59381277316289371</v>
      </c>
      <c r="N224" s="402">
        <v>0.29853629091670225</v>
      </c>
      <c r="O224" s="402">
        <v>0.46619977154762415</v>
      </c>
      <c r="P224" s="402">
        <v>0.39191254244675239</v>
      </c>
      <c r="Q224" s="403">
        <f>F218/F255</f>
        <v>0.34867361384906775</v>
      </c>
      <c r="R224" s="403">
        <f>G218/G255</f>
        <v>0.3185167146391506</v>
      </c>
      <c r="S224" s="403">
        <f>H218/H255</f>
        <v>0.27114034610465482</v>
      </c>
      <c r="T224" s="118">
        <f>I218/I255</f>
        <v>0.24521731664320712</v>
      </c>
      <c r="U224" s="118">
        <f>J218/J255</f>
        <v>0.22450823795842076</v>
      </c>
    </row>
    <row r="225" spans="2:21" ht="19.899999999999999" customHeight="1" x14ac:dyDescent="0.2">
      <c r="B225" s="293" t="s">
        <v>70</v>
      </c>
      <c r="C225" s="105">
        <f>+'ESTADOS FINANCIEROS HISTÓRICOS'!B5</f>
        <v>3557611</v>
      </c>
      <c r="D225" s="105">
        <f>+'ESTADOS FINANCIEROS HISTÓRICOS'!C5</f>
        <v>2139918988</v>
      </c>
      <c r="E225" s="105">
        <f>+'ESTADOS FINANCIEROS HISTÓRICOS'!D5</f>
        <v>3776260528</v>
      </c>
      <c r="F225" s="105">
        <f>E225+D283-D284-(F232-E232)</f>
        <v>8415196005.576683</v>
      </c>
      <c r="G225" s="105">
        <f>F225+E283-E284-(G232-F232)</f>
        <v>5432931967.0685959</v>
      </c>
      <c r="H225" s="105">
        <f>G225+F283-F284-(H232-G232)</f>
        <v>7209676909.6738529</v>
      </c>
      <c r="I225" s="105">
        <f>H225+G283-G284-(I232-H232)</f>
        <v>9073103975.5005074</v>
      </c>
      <c r="J225" s="294">
        <f>I225+H283-H284-(J232-I232)</f>
        <v>9212986166.0940628</v>
      </c>
      <c r="K225" s="400"/>
      <c r="L225" s="401" t="s">
        <v>456</v>
      </c>
      <c r="M225" s="402">
        <v>0.43136607247850406</v>
      </c>
      <c r="N225" s="402">
        <v>0.44874082661950798</v>
      </c>
      <c r="O225" s="402">
        <v>0.47501955561125575</v>
      </c>
      <c r="P225" s="402">
        <v>0.47422154078328965</v>
      </c>
      <c r="Q225" s="403">
        <f>F198/F196</f>
        <v>0.47422154078328965</v>
      </c>
      <c r="R225" s="403">
        <f>G198/G196</f>
        <v>0.4792215407832896</v>
      </c>
      <c r="S225" s="403">
        <f>H198/H196</f>
        <v>0.48422154078328961</v>
      </c>
      <c r="T225" s="118">
        <f>I198/I196</f>
        <v>0.48922154078328955</v>
      </c>
      <c r="U225" s="118">
        <f>J198/J196</f>
        <v>0.49422154078328961</v>
      </c>
    </row>
    <row r="226" spans="2:21" ht="19.899999999999999" customHeight="1" x14ac:dyDescent="0.2">
      <c r="B226" s="298" t="s">
        <v>46</v>
      </c>
      <c r="C226" s="105">
        <f>+'ESTADOS FINANCIEROS HISTÓRICOS'!B6</f>
        <v>15558266089</v>
      </c>
      <c r="D226" s="105">
        <f>+'ESTADOS FINANCIEROS HISTÓRICOS'!C6</f>
        <v>15001964138</v>
      </c>
      <c r="E226" s="105">
        <f>+'ESTADOS FINANCIEROS HISTÓRICOS'!D6</f>
        <v>18480682945</v>
      </c>
      <c r="F226" s="105">
        <f>(F196-F67)*$C$106/360*D107</f>
        <v>7098775188.3850002</v>
      </c>
      <c r="G226" s="105">
        <f>(G196-G67)*$C$106/360*E107</f>
        <v>7657319536.1038017</v>
      </c>
      <c r="H226" s="105">
        <f>(H196-H67)*$C$106/360*F107</f>
        <v>7567159007.7476606</v>
      </c>
      <c r="I226" s="105">
        <f>(I196-I67)*$C$106/360*G107</f>
        <v>6675333206.2179079</v>
      </c>
      <c r="J226" s="294">
        <f>(J196-J67)*$C$106/360*H107</f>
        <v>7199252925.0669336</v>
      </c>
      <c r="K226" s="400"/>
      <c r="L226" s="401" t="s">
        <v>457</v>
      </c>
      <c r="M226" s="402">
        <v>0.17390578975554963</v>
      </c>
      <c r="N226" s="402">
        <v>0.17150881726089598</v>
      </c>
      <c r="O226" s="402">
        <v>0.20454449367784477</v>
      </c>
      <c r="P226" s="402">
        <v>0.16415724355501959</v>
      </c>
      <c r="Q226" s="403">
        <f>F209/F196</f>
        <v>0.17183273979138983</v>
      </c>
      <c r="R226" s="403">
        <f>G209/G196</f>
        <v>0.17625236166860223</v>
      </c>
      <c r="S226" s="403">
        <f>H209/H196</f>
        <v>0.18045917598438263</v>
      </c>
      <c r="T226" s="118">
        <f>I209/I196</f>
        <v>0.18473402140568781</v>
      </c>
      <c r="U226" s="118">
        <f>J209/J196</f>
        <v>0.18921303456799363</v>
      </c>
    </row>
    <row r="227" spans="2:21" ht="19.899999999999999" customHeight="1" x14ac:dyDescent="0.2">
      <c r="B227" s="293" t="s">
        <v>17</v>
      </c>
      <c r="C227" s="105">
        <f>+'ESTADOS FINANCIEROS HISTÓRICOS'!B7</f>
        <v>0</v>
      </c>
      <c r="D227" s="105">
        <f>+'ESTADOS FINANCIEROS HISTÓRICOS'!C7</f>
        <v>0</v>
      </c>
      <c r="E227" s="105">
        <f>+'ESTADOS FINANCIEROS HISTÓRICOS'!D7</f>
        <v>0</v>
      </c>
      <c r="F227" s="105">
        <f>F197*$C$114/360*D108</f>
        <v>2312666055.887682</v>
      </c>
      <c r="G227" s="105">
        <f>G197*$C$114/360*E108</f>
        <v>2475092877.8528624</v>
      </c>
      <c r="H227" s="105">
        <f>H197*$C$114/360*F108</f>
        <v>2648390378.4893174</v>
      </c>
      <c r="I227" s="105">
        <f>I197*$C$114/360*G108</f>
        <v>2835276849.7386088</v>
      </c>
      <c r="J227" s="294">
        <f>J197*$C$114/360*H108</f>
        <v>3037096766.2322202</v>
      </c>
      <c r="K227" s="404"/>
      <c r="L227" s="401" t="s">
        <v>458</v>
      </c>
      <c r="M227" s="402">
        <v>9.6972083307764217E-2</v>
      </c>
      <c r="N227" s="402">
        <v>4.6013513665216763E-2</v>
      </c>
      <c r="O227" s="402">
        <v>0.12198712255758062</v>
      </c>
      <c r="P227" s="402">
        <v>9.4683706788453462E-2</v>
      </c>
      <c r="Q227" s="403">
        <f>F218/F196</f>
        <v>0.11091909645952025</v>
      </c>
      <c r="R227" s="403">
        <f>G218/G196</f>
        <v>0.13770387835816347</v>
      </c>
      <c r="S227" s="403">
        <f>H218/H196</f>
        <v>0.14886200609683434</v>
      </c>
      <c r="T227" s="118">
        <f>I218/I196</f>
        <v>0.16499653808176223</v>
      </c>
      <c r="U227" s="118">
        <f>J218/J196</f>
        <v>0.18007083846353067</v>
      </c>
    </row>
    <row r="228" spans="2:21" ht="19.899999999999999" customHeight="1" x14ac:dyDescent="0.25">
      <c r="B228" s="291" t="s">
        <v>18</v>
      </c>
      <c r="C228" s="133">
        <f>+'ESTADOS FINANCIEROS HISTÓRICOS'!B8</f>
        <v>15586677783</v>
      </c>
      <c r="D228" s="133">
        <f>+'ESTADOS FINANCIEROS HISTÓRICOS'!C8</f>
        <v>17323757328</v>
      </c>
      <c r="E228" s="133">
        <f>+'ESTADOS FINANCIEROS HISTÓRICOS'!D8</f>
        <v>22269590625</v>
      </c>
      <c r="F228" s="133">
        <f>SUM(F224:F227)</f>
        <v>20676082448.327446</v>
      </c>
      <c r="G228" s="133">
        <f>SUM(G224:G227)</f>
        <v>18437634399.989471</v>
      </c>
      <c r="H228" s="133">
        <f>SUM(H224:H227)</f>
        <v>20085986133.709415</v>
      </c>
      <c r="I228" s="133">
        <f>SUM(I224:I227)</f>
        <v>21460230693.043976</v>
      </c>
      <c r="J228" s="296">
        <f>SUM(J224:J227)</f>
        <v>22530678867.678738</v>
      </c>
      <c r="K228" s="400"/>
      <c r="L228" s="401" t="s">
        <v>110</v>
      </c>
      <c r="M228" s="405">
        <v>5182511614</v>
      </c>
      <c r="N228" s="405">
        <v>5026246470</v>
      </c>
      <c r="O228" s="405">
        <v>6659878932</v>
      </c>
      <c r="P228" s="405">
        <v>5964438700</v>
      </c>
      <c r="Q228" s="405">
        <f>F218+F217-F213+F205</f>
        <v>6551840928.3404303</v>
      </c>
      <c r="R228" s="405">
        <f>G218+G217-G213+G205</f>
        <v>9259882287.4942532</v>
      </c>
      <c r="S228" s="405">
        <f>H218+H217-H213+H205</f>
        <v>11091857933.495783</v>
      </c>
      <c r="T228" s="119">
        <f>I218+I217-I213+I205</f>
        <v>13585229296.912405</v>
      </c>
      <c r="U228" s="119">
        <f>J218+J217-J213+J205</f>
        <v>16337257594.136047</v>
      </c>
    </row>
    <row r="229" spans="2:21" ht="19.899999999999999" customHeight="1" x14ac:dyDescent="0.25">
      <c r="B229" s="291"/>
      <c r="C229" s="107"/>
      <c r="D229" s="107"/>
      <c r="E229" s="107"/>
      <c r="F229" s="107"/>
      <c r="G229" s="107"/>
      <c r="H229" s="107"/>
      <c r="I229" s="107"/>
      <c r="J229" s="299"/>
      <c r="K229" s="400"/>
      <c r="L229" s="401" t="s">
        <v>459</v>
      </c>
      <c r="M229" s="406">
        <v>0.18124950224040756</v>
      </c>
      <c r="N229" s="406">
        <v>0.16866901605956991</v>
      </c>
      <c r="O229" s="406">
        <v>0.2025304304219189</v>
      </c>
      <c r="P229" s="406">
        <v>0.15854500939367278</v>
      </c>
      <c r="Q229" s="406">
        <f>Q228/F196</f>
        <v>0.1489543559289874</v>
      </c>
      <c r="R229" s="406">
        <f>R228/G196</f>
        <v>0.19483500087450217</v>
      </c>
      <c r="S229" s="406">
        <f>S228/H196</f>
        <v>0.21601578986449924</v>
      </c>
      <c r="T229" s="130">
        <f>T228/I196</f>
        <v>0.24473950362280708</v>
      </c>
      <c r="U229" s="130">
        <f>U228/J196</f>
        <v>0.27207012518207097</v>
      </c>
    </row>
    <row r="230" spans="2:21" ht="19.899999999999999" customHeight="1" thickBot="1" x14ac:dyDescent="0.25">
      <c r="B230" s="298" t="s">
        <v>62</v>
      </c>
      <c r="C230" s="105">
        <f>+'ESTADOS FINANCIEROS HISTÓRICOS'!B10</f>
        <v>1391433023</v>
      </c>
      <c r="D230" s="105">
        <f>+'ESTADOS FINANCIEROS HISTÓRICOS'!C10</f>
        <v>1924834777</v>
      </c>
      <c r="E230" s="105">
        <f>+'ESTADOS FINANCIEROS HISTÓRICOS'!D10</f>
        <v>2974040180</v>
      </c>
      <c r="F230" s="105">
        <f>F123</f>
        <v>3633823596.9546499</v>
      </c>
      <c r="G230" s="105">
        <f>G123</f>
        <v>4346725455.906992</v>
      </c>
      <c r="H230" s="105">
        <f>H123</f>
        <v>5116937064.5435686</v>
      </c>
      <c r="I230" s="105">
        <f>I123</f>
        <v>5949571095.5733519</v>
      </c>
      <c r="J230" s="294">
        <f>J123</f>
        <v>6850290583.7863474</v>
      </c>
      <c r="K230" s="400"/>
      <c r="L230" s="344"/>
      <c r="P230" s="344"/>
      <c r="Q230" s="344"/>
      <c r="R230" s="344"/>
    </row>
    <row r="231" spans="2:21" ht="19.899999999999999" customHeight="1" x14ac:dyDescent="0.2">
      <c r="B231" s="293" t="s">
        <v>21</v>
      </c>
      <c r="C231" s="105">
        <f>+'ESTADOS FINANCIEROS HISTÓRICOS'!B11</f>
        <v>-695061137</v>
      </c>
      <c r="D231" s="105">
        <f>+'ESTADOS FINANCIEROS HISTÓRICOS'!C11</f>
        <v>-821057557</v>
      </c>
      <c r="E231" s="105">
        <f>+'ESTADOS FINANCIEROS HISTÓRICOS'!D11</f>
        <v>-1010925434</v>
      </c>
      <c r="F231" s="105">
        <f>+F125</f>
        <v>-1341318622.8477325</v>
      </c>
      <c r="G231" s="105">
        <f>+G125</f>
        <v>-1740346075.4908147</v>
      </c>
      <c r="H231" s="105">
        <f>+H125</f>
        <v>-2213529201.5133429</v>
      </c>
      <c r="I231" s="105">
        <f>+I125</f>
        <v>-2766854609.5191889</v>
      </c>
      <c r="J231" s="294">
        <f>+J125</f>
        <v>-3406847693.487174</v>
      </c>
      <c r="K231" s="404"/>
      <c r="L231" s="116" t="s">
        <v>460</v>
      </c>
      <c r="M231" s="120">
        <v>2018</v>
      </c>
      <c r="N231" s="120">
        <v>2019</v>
      </c>
      <c r="O231" s="120">
        <v>2020</v>
      </c>
      <c r="P231" s="120">
        <v>2021</v>
      </c>
      <c r="Q231" s="117">
        <v>2022</v>
      </c>
      <c r="R231" s="117">
        <v>2023</v>
      </c>
      <c r="S231" s="117">
        <v>2024</v>
      </c>
      <c r="T231" s="117">
        <v>2025</v>
      </c>
      <c r="U231" s="117">
        <v>2026</v>
      </c>
    </row>
    <row r="232" spans="2:21" ht="19.899999999999999" customHeight="1" x14ac:dyDescent="0.2">
      <c r="B232" s="293" t="s">
        <v>353</v>
      </c>
      <c r="C232" s="105">
        <f>+'ESTADOS FINANCIEROS HISTÓRICOS'!B12</f>
        <v>0</v>
      </c>
      <c r="D232" s="105">
        <f>+'ESTADOS FINANCIEROS HISTÓRICOS'!C12</f>
        <v>0</v>
      </c>
      <c r="E232" s="105">
        <f>+'ESTADOS FINANCIEROS HISTÓRICOS'!D12</f>
        <v>0</v>
      </c>
      <c r="F232" s="105">
        <f>E232+IF(E225&gt;$G$92,E225-$G$92,0)</f>
        <v>3776260528</v>
      </c>
      <c r="G232" s="105">
        <f>F232+IF(F225&gt;$G$92,F225-$G$92,0)</f>
        <v>12191456533.576683</v>
      </c>
      <c r="H232" s="105">
        <f>G232+IF(G225&gt;$G$92,G225-$G$92,0)</f>
        <v>17624388500.645279</v>
      </c>
      <c r="I232" s="105">
        <f>H232+IF(H225&gt;$G$92,H225-$G$92,0)</f>
        <v>24834065410.31913</v>
      </c>
      <c r="J232" s="294">
        <f>I232+IF(I225&gt;$G$92,I225-$G$92,0)</f>
        <v>33907169385.819637</v>
      </c>
      <c r="K232" s="404"/>
      <c r="L232" s="407" t="s">
        <v>461</v>
      </c>
      <c r="M232" s="408">
        <v>3681692489</v>
      </c>
      <c r="N232" s="408">
        <v>3896631175</v>
      </c>
      <c r="O232" s="408">
        <v>7500571029</v>
      </c>
      <c r="P232" s="408">
        <v>7125612968</v>
      </c>
      <c r="Q232" s="408">
        <f>F228-F245</f>
        <v>12878490819.335857</v>
      </c>
      <c r="R232" s="408">
        <f>G228-G245</f>
        <v>9725267627.599472</v>
      </c>
      <c r="S232" s="408">
        <f>H228-H245</f>
        <v>10505308624.693525</v>
      </c>
      <c r="T232" s="121">
        <f>I228-I245</f>
        <v>10856382221.271727</v>
      </c>
      <c r="U232" s="121">
        <f>J228-J245</f>
        <v>10811930276.995256</v>
      </c>
    </row>
    <row r="233" spans="2:21" ht="19.899999999999999" customHeight="1" x14ac:dyDescent="0.25">
      <c r="B233" s="291" t="s">
        <v>83</v>
      </c>
      <c r="C233" s="133">
        <f>+'ESTADOS FINANCIEROS HISTÓRICOS'!B13</f>
        <v>696371886</v>
      </c>
      <c r="D233" s="133">
        <f>+'ESTADOS FINANCIEROS HISTÓRICOS'!C13</f>
        <v>1103777220</v>
      </c>
      <c r="E233" s="133">
        <f>+'ESTADOS FINANCIEROS HISTÓRICOS'!D13</f>
        <v>1963114746</v>
      </c>
      <c r="F233" s="133">
        <f>SUM(F230:F232)</f>
        <v>6068765502.1069174</v>
      </c>
      <c r="G233" s="133">
        <f>SUM(G230:G232)</f>
        <v>14797835913.992861</v>
      </c>
      <c r="H233" s="133">
        <f>SUM(H230:H232)</f>
        <v>20527796363.675507</v>
      </c>
      <c r="I233" s="133">
        <f>SUM(I230:I232)</f>
        <v>28016781896.373291</v>
      </c>
      <c r="J233" s="296">
        <f>SUM(J230:J232)</f>
        <v>37350612276.118813</v>
      </c>
      <c r="K233" s="404"/>
      <c r="L233" s="407" t="s">
        <v>462</v>
      </c>
      <c r="M233" s="409">
        <v>1.3970261506938031</v>
      </c>
      <c r="N233" s="409">
        <v>1.3333289682808764</v>
      </c>
      <c r="O233" s="409">
        <v>1.7635578518717046</v>
      </c>
      <c r="P233" s="409">
        <v>1.4705245299081862</v>
      </c>
      <c r="Q233" s="409">
        <f>F228/F245</f>
        <v>2.6515985232483055</v>
      </c>
      <c r="R233" s="409">
        <f>G228/G245</f>
        <v>2.1162601255974915</v>
      </c>
      <c r="S233" s="409">
        <f>H228/H245</f>
        <v>2.096509992618738</v>
      </c>
      <c r="T233" s="122">
        <f>I228/I245</f>
        <v>2.0238152921716801</v>
      </c>
      <c r="U233" s="122">
        <f>J228/J245</f>
        <v>1.9226181612592019</v>
      </c>
    </row>
    <row r="234" spans="2:21" ht="19.899999999999999" customHeight="1" x14ac:dyDescent="0.2">
      <c r="B234" s="293"/>
      <c r="C234" s="105"/>
      <c r="D234" s="105"/>
      <c r="E234" s="105"/>
      <c r="F234" s="105"/>
      <c r="G234" s="105"/>
      <c r="H234" s="105"/>
      <c r="I234" s="105"/>
      <c r="J234" s="294"/>
      <c r="K234" s="404"/>
      <c r="L234" s="407" t="s">
        <v>463</v>
      </c>
      <c r="M234" s="409">
        <v>1.3858915426842746</v>
      </c>
      <c r="N234" s="409">
        <v>1.3333289682808764</v>
      </c>
      <c r="O234" s="409">
        <v>1.7635578518717046</v>
      </c>
      <c r="P234" s="409">
        <v>1.4705245299081862</v>
      </c>
      <c r="Q234" s="409">
        <f>(F228-F227)/F245</f>
        <v>2.3550112991509127</v>
      </c>
      <c r="R234" s="409">
        <f>(G228-G227)/G245</f>
        <v>1.8321705156769612</v>
      </c>
      <c r="S234" s="409">
        <f>(H228-H227)/H245</f>
        <v>1.8200796069808693</v>
      </c>
      <c r="T234" s="122">
        <f>(I228-I227)/I245</f>
        <v>1.7564334206477517</v>
      </c>
      <c r="U234" s="122">
        <f>(J228-J227)/J245</f>
        <v>1.6634525393730271</v>
      </c>
    </row>
    <row r="235" spans="2:21" ht="19.899999999999999" customHeight="1" x14ac:dyDescent="0.25">
      <c r="B235" s="291" t="s">
        <v>23</v>
      </c>
      <c r="C235" s="133">
        <f>+'ESTADOS FINANCIEROS HISTÓRICOS'!B15</f>
        <v>16283049669</v>
      </c>
      <c r="D235" s="133">
        <f>+'ESTADOS FINANCIEROS HISTÓRICOS'!C15</f>
        <v>18427534548</v>
      </c>
      <c r="E235" s="133">
        <f>+'ESTADOS FINANCIEROS HISTÓRICOS'!D15</f>
        <v>24232705371</v>
      </c>
      <c r="F235" s="133">
        <f>+F233+F228</f>
        <v>26744847950.434364</v>
      </c>
      <c r="G235" s="133">
        <f>+G233+G228</f>
        <v>33235470313.98233</v>
      </c>
      <c r="H235" s="133">
        <f>+H233+H228</f>
        <v>40613782497.384918</v>
      </c>
      <c r="I235" s="133">
        <f>+I233+I228</f>
        <v>49477012589.417267</v>
      </c>
      <c r="J235" s="296">
        <f>+J233+J228</f>
        <v>59881291143.797546</v>
      </c>
      <c r="K235" s="404"/>
      <c r="L235" s="407" t="s">
        <v>464</v>
      </c>
      <c r="M235" s="409">
        <v>9866079273</v>
      </c>
      <c r="N235" s="409">
        <v>12353450126</v>
      </c>
      <c r="O235" s="409">
        <v>13109362257</v>
      </c>
      <c r="P235" s="409">
        <v>16342146090</v>
      </c>
      <c r="Q235" s="409">
        <f>F226+F227-F242</f>
        <v>7484219531.0329475</v>
      </c>
      <c r="R235" s="409">
        <f>G226+G227-G242</f>
        <v>8069835015.7459459</v>
      </c>
      <c r="S235" s="409">
        <f>H226+H227-H242</f>
        <v>8008557404.1625481</v>
      </c>
      <c r="T235" s="122">
        <f>I226+I227-I242</f>
        <v>7147879347.8410091</v>
      </c>
      <c r="U235" s="122">
        <f>J226+J227-J242</f>
        <v>7705435719.4389706</v>
      </c>
    </row>
    <row r="236" spans="2:21" ht="19.899999999999999" customHeight="1" x14ac:dyDescent="0.2">
      <c r="B236" s="293"/>
      <c r="C236" s="105"/>
      <c r="D236" s="105"/>
      <c r="E236" s="105"/>
      <c r="F236" s="105"/>
      <c r="G236" s="105"/>
      <c r="H236" s="105"/>
      <c r="I236" s="105"/>
      <c r="J236" s="294"/>
      <c r="K236" s="404"/>
      <c r="L236" s="407" t="s">
        <v>465</v>
      </c>
      <c r="M236" s="409">
        <v>0.34504929086216846</v>
      </c>
      <c r="N236" s="409">
        <v>0.41455274629486877</v>
      </c>
      <c r="O236" s="409">
        <v>0.39866261948244497</v>
      </c>
      <c r="P236" s="409">
        <v>0.43440226912749103</v>
      </c>
      <c r="Q236" s="409">
        <f>Q235/F196</f>
        <v>0.17015173476724496</v>
      </c>
      <c r="R236" s="409">
        <f>R235/G196</f>
        <v>0.169795496695824</v>
      </c>
      <c r="S236" s="409">
        <f>S235/H196</f>
        <v>0.15596799595774541</v>
      </c>
      <c r="T236" s="122">
        <f>T235/I196</f>
        <v>0.12876988715559715</v>
      </c>
      <c r="U236" s="122">
        <f>U235/J196</f>
        <v>0.12832134455189298</v>
      </c>
    </row>
    <row r="237" spans="2:21" ht="19.899999999999999" customHeight="1" thickBot="1" x14ac:dyDescent="0.25">
      <c r="B237" s="293"/>
      <c r="C237" s="135"/>
      <c r="D237" s="135"/>
      <c r="E237" s="135"/>
      <c r="F237" s="135"/>
      <c r="G237" s="135"/>
      <c r="H237" s="135"/>
      <c r="I237" s="135"/>
      <c r="J237" s="300"/>
      <c r="K237" s="404"/>
      <c r="L237" s="407" t="s">
        <v>466</v>
      </c>
      <c r="M237" s="409">
        <v>0.52528582738866869</v>
      </c>
      <c r="N237" s="409">
        <v>0.40686985568682421</v>
      </c>
      <c r="O237" s="409">
        <v>0.50802463166687062</v>
      </c>
      <c r="P237" s="409">
        <v>0.36497279287264039</v>
      </c>
      <c r="Q237" s="409">
        <f>Q229/Q236</f>
        <v>0.87542073040128554</v>
      </c>
      <c r="R237" s="409">
        <f t="shared" ref="R237:U237" si="44">R229/R236</f>
        <v>1.1474685999684349</v>
      </c>
      <c r="S237" s="409">
        <f t="shared" si="44"/>
        <v>1.3850007402994513</v>
      </c>
      <c r="T237" s="122">
        <f t="shared" si="44"/>
        <v>1.9005957761466374</v>
      </c>
      <c r="U237" s="122">
        <f t="shared" si="44"/>
        <v>2.1202250189331999</v>
      </c>
    </row>
    <row r="238" spans="2:21" ht="19.899999999999999" customHeight="1" thickBot="1" x14ac:dyDescent="0.3">
      <c r="B238" s="291" t="s">
        <v>41</v>
      </c>
      <c r="C238" s="136">
        <v>2019</v>
      </c>
      <c r="D238" s="136">
        <v>2020</v>
      </c>
      <c r="E238" s="136">
        <f t="shared" ref="E238:J238" si="45">+C$97</f>
        <v>2021</v>
      </c>
      <c r="F238" s="136">
        <f t="shared" si="45"/>
        <v>2022</v>
      </c>
      <c r="G238" s="136">
        <f t="shared" si="45"/>
        <v>2023</v>
      </c>
      <c r="H238" s="136">
        <f t="shared" si="45"/>
        <v>2024</v>
      </c>
      <c r="I238" s="136">
        <f t="shared" si="45"/>
        <v>2025</v>
      </c>
      <c r="J238" s="304">
        <f t="shared" si="45"/>
        <v>2026</v>
      </c>
      <c r="K238" s="400"/>
      <c r="L238" s="400"/>
    </row>
    <row r="239" spans="2:21" ht="19.899999999999999" customHeight="1" x14ac:dyDescent="0.25">
      <c r="B239" s="291" t="s">
        <v>24</v>
      </c>
      <c r="C239" s="108"/>
      <c r="D239" s="108"/>
      <c r="E239" s="108"/>
      <c r="F239" s="112"/>
      <c r="G239" s="112"/>
      <c r="H239" s="104"/>
      <c r="I239" s="104"/>
      <c r="J239" s="305"/>
      <c r="K239" s="400"/>
      <c r="L239" s="400"/>
    </row>
    <row r="240" spans="2:21" ht="19.899999999999999" customHeight="1" x14ac:dyDescent="0.2">
      <c r="B240" s="293" t="s">
        <v>39</v>
      </c>
      <c r="C240" s="105">
        <f>+'ESTADOS FINANCIEROS HISTÓRICOS'!B19</f>
        <v>0</v>
      </c>
      <c r="D240" s="105">
        <f>+'ESTADOS FINANCIEROS HISTÓRICOS'!C19</f>
        <v>0</v>
      </c>
      <c r="E240" s="105">
        <f>+'ESTADOS FINANCIEROS HISTÓRICOS'!D19</f>
        <v>0</v>
      </c>
      <c r="F240" s="105">
        <f>+D285</f>
        <v>0</v>
      </c>
      <c r="G240" s="105">
        <f>+E285</f>
        <v>0</v>
      </c>
      <c r="H240" s="105">
        <f>+F285</f>
        <v>0</v>
      </c>
      <c r="I240" s="105">
        <f>+G285</f>
        <v>0</v>
      </c>
      <c r="J240" s="294">
        <f>+H285</f>
        <v>0</v>
      </c>
      <c r="K240" s="400"/>
      <c r="L240" s="400"/>
    </row>
    <row r="241" spans="2:12" ht="19.899999999999999" customHeight="1" x14ac:dyDescent="0.2">
      <c r="B241" s="293" t="s">
        <v>48</v>
      </c>
      <c r="C241" s="105">
        <f>+'ESTADOS FINANCIEROS HISTÓRICOS'!B20</f>
        <v>1270296297</v>
      </c>
      <c r="D241" s="105">
        <f>+'ESTADOS FINANCIEROS HISTÓRICOS'!C20</f>
        <v>2809701809</v>
      </c>
      <c r="E241" s="105">
        <f>+'ESTADOS FINANCIEROS HISTÓRICOS'!D20</f>
        <v>6527657956</v>
      </c>
      <c r="F241" s="105">
        <f>G149+G160+G171</f>
        <v>850329487.26055169</v>
      </c>
      <c r="G241" s="105">
        <f>H149+H160+H171</f>
        <v>978776170.94925642</v>
      </c>
      <c r="H241" s="105">
        <f>I149+I160+I171</f>
        <v>1133681565.2706966</v>
      </c>
      <c r="I241" s="105">
        <f>J149+J160+J171</f>
        <v>1318723044.6557939</v>
      </c>
      <c r="J241" s="294">
        <f>K149+K160+K171</f>
        <v>1523509128.7280459</v>
      </c>
      <c r="K241" s="400"/>
    </row>
    <row r="242" spans="2:12" ht="19.899999999999999" customHeight="1" x14ac:dyDescent="0.2">
      <c r="B242" s="298" t="s">
        <v>47</v>
      </c>
      <c r="C242" s="105">
        <f>+'ESTADOS FINANCIEROS HISTÓRICOS'!B21</f>
        <v>2988373983</v>
      </c>
      <c r="D242" s="105">
        <f>+'ESTADOS FINANCIEROS HISTÓRICOS'!C21</f>
        <v>1676159901</v>
      </c>
      <c r="E242" s="105">
        <f>+'ESTADOS FINANCIEROS HISTÓRICOS'!D21</f>
        <v>1927669375</v>
      </c>
      <c r="F242" s="105">
        <f>F197*$C$114/360*D109</f>
        <v>1927221713.2397351</v>
      </c>
      <c r="G242" s="105">
        <f>G197*$C$114/360*E109</f>
        <v>2062577398.2107189</v>
      </c>
      <c r="H242" s="105">
        <f>H197*$C$114/360*F109</f>
        <v>2206991982.0744309</v>
      </c>
      <c r="I242" s="105">
        <f>I197*$C$114/360*G109</f>
        <v>2362730708.1155071</v>
      </c>
      <c r="J242" s="294">
        <f>J197*$C$114/360*H109</f>
        <v>2530913971.8601837</v>
      </c>
      <c r="K242" s="400"/>
      <c r="L242" s="400"/>
    </row>
    <row r="243" spans="2:12" ht="19.899999999999999" customHeight="1" x14ac:dyDescent="0.2">
      <c r="B243" s="298" t="s">
        <v>178</v>
      </c>
      <c r="C243" s="105">
        <f t="shared" ref="C243:J243" si="46">C182</f>
        <v>6308103951</v>
      </c>
      <c r="D243" s="105">
        <f t="shared" si="46"/>
        <v>3374610589</v>
      </c>
      <c r="E243" s="105">
        <f t="shared" si="46"/>
        <v>4196159602</v>
      </c>
      <c r="F243" s="105">
        <f t="shared" si="46"/>
        <v>4058836386.6132092</v>
      </c>
      <c r="G243" s="105">
        <f t="shared" si="46"/>
        <v>4381624714.3503933</v>
      </c>
      <c r="H243" s="105">
        <f t="shared" si="46"/>
        <v>4734084323.6082916</v>
      </c>
      <c r="I243" s="105">
        <f t="shared" si="46"/>
        <v>5117977932.6530743</v>
      </c>
      <c r="J243" s="294">
        <f t="shared" si="46"/>
        <v>5534025253.7535105</v>
      </c>
      <c r="K243" s="400"/>
      <c r="L243" s="404"/>
    </row>
    <row r="244" spans="2:12" ht="19.899999999999999" customHeight="1" x14ac:dyDescent="0.2">
      <c r="B244" s="293" t="s">
        <v>37</v>
      </c>
      <c r="C244" s="105">
        <f>+'ESTADOS FINANCIEROS HISTÓRICOS'!B23</f>
        <v>1123272377</v>
      </c>
      <c r="D244" s="105">
        <f>+'ESTADOS FINANCIEROS HISTÓRICOS'!C23</f>
        <v>1962714000</v>
      </c>
      <c r="E244" s="105">
        <f>+'ESTADOS FINANCIEROS HISTÓRICOS'!D23</f>
        <v>2492490724</v>
      </c>
      <c r="F244" s="105">
        <f>F217*(1-$C$111)</f>
        <v>961204041.87809277</v>
      </c>
      <c r="G244" s="105">
        <f>G217*(1-$C$111)</f>
        <v>1289388488.8796315</v>
      </c>
      <c r="H244" s="105">
        <f>H217*(1-$C$111)</f>
        <v>1505919638.0624714</v>
      </c>
      <c r="I244" s="105">
        <f>I217*(1-$C$111)</f>
        <v>1804416786.3478737</v>
      </c>
      <c r="J244" s="294">
        <f>J217*(1-$C$111)</f>
        <v>2130300236.3417413</v>
      </c>
      <c r="K244" s="404"/>
      <c r="L244" s="400"/>
    </row>
    <row r="245" spans="2:12" ht="19.899999999999999" customHeight="1" x14ac:dyDescent="0.25">
      <c r="B245" s="291" t="s">
        <v>28</v>
      </c>
      <c r="C245" s="133">
        <f>+'ESTADOS FINANCIEROS HISTÓRICOS'!B24</f>
        <v>11690046608</v>
      </c>
      <c r="D245" s="133">
        <f>+'ESTADOS FINANCIEROS HISTÓRICOS'!C24</f>
        <v>9823186299</v>
      </c>
      <c r="E245" s="133">
        <f>+'ESTADOS FINANCIEROS HISTÓRICOS'!D24</f>
        <v>15143977657</v>
      </c>
      <c r="F245" s="133">
        <f>SUM(F240:F244)</f>
        <v>7797591628.9915895</v>
      </c>
      <c r="G245" s="133">
        <f>SUM(G240:G244)</f>
        <v>8712366772.3899994</v>
      </c>
      <c r="H245" s="133">
        <f>SUM(H240:H244)</f>
        <v>9580677509.0158901</v>
      </c>
      <c r="I245" s="133">
        <f>SUM(I240:I244)</f>
        <v>10603848471.772249</v>
      </c>
      <c r="J245" s="296">
        <f>SUM(J240:J244)</f>
        <v>11718748590.683481</v>
      </c>
      <c r="K245" s="400"/>
      <c r="L245" s="400"/>
    </row>
    <row r="246" spans="2:12" ht="19.899999999999999" customHeight="1" x14ac:dyDescent="0.2">
      <c r="B246" s="293"/>
      <c r="C246" s="105"/>
      <c r="D246" s="105"/>
      <c r="E246" s="105"/>
      <c r="F246" s="105"/>
      <c r="G246" s="105"/>
      <c r="H246" s="105"/>
      <c r="I246" s="105"/>
      <c r="J246" s="294"/>
      <c r="K246" s="400"/>
      <c r="L246" s="400"/>
    </row>
    <row r="247" spans="2:12" ht="19.899999999999999" customHeight="1" x14ac:dyDescent="0.2">
      <c r="B247" s="298" t="s">
        <v>49</v>
      </c>
      <c r="C247" s="105">
        <f>+'ESTADOS FINANCIEROS HISTÓRICOS'!B26</f>
        <v>0</v>
      </c>
      <c r="D247" s="105">
        <f>+'ESTADOS FINANCIEROS HISTÓRICOS'!C26</f>
        <v>0</v>
      </c>
      <c r="E247" s="105">
        <f>+'ESTADOS FINANCIEROS HISTÓRICOS'!D26</f>
        <v>0</v>
      </c>
      <c r="F247" s="105">
        <f>+F161+F150+F172-F241</f>
        <v>4954689909.6037931</v>
      </c>
      <c r="G247" s="105">
        <f>+G161+G150+G172-G241</f>
        <v>3975913738.6545367</v>
      </c>
      <c r="H247" s="105">
        <f>+H161+H150+H172-H241</f>
        <v>2842232173.3838401</v>
      </c>
      <c r="I247" s="105">
        <f>+I161+I150+I172-I241</f>
        <v>1523509128.7280462</v>
      </c>
      <c r="J247" s="294">
        <f>+J161+J150+J172-J241</f>
        <v>0</v>
      </c>
      <c r="K247" s="400"/>
      <c r="L247" s="400"/>
    </row>
    <row r="248" spans="2:12" ht="19.899999999999999" customHeight="1" x14ac:dyDescent="0.25">
      <c r="B248" s="291" t="s">
        <v>29</v>
      </c>
      <c r="C248" s="133">
        <f>+'ESTADOS FINANCIEROS HISTÓRICOS'!B27</f>
        <v>11690046608</v>
      </c>
      <c r="D248" s="133">
        <f>+'ESTADOS FINANCIEROS HISTÓRICOS'!C27</f>
        <v>9823186299</v>
      </c>
      <c r="E248" s="133">
        <f>+'ESTADOS FINANCIEROS HISTÓRICOS'!D27</f>
        <v>15143977657</v>
      </c>
      <c r="F248" s="133">
        <f>+F247+F245</f>
        <v>12752281538.595383</v>
      </c>
      <c r="G248" s="133">
        <f>+G247+G245</f>
        <v>12688280511.044537</v>
      </c>
      <c r="H248" s="133">
        <f>+H247+H245</f>
        <v>12422909682.399731</v>
      </c>
      <c r="I248" s="133">
        <f>+I247+I245</f>
        <v>12127357600.500296</v>
      </c>
      <c r="J248" s="296">
        <f>+J247+J245</f>
        <v>11718748590.683481</v>
      </c>
      <c r="L248" s="400"/>
    </row>
    <row r="249" spans="2:12" ht="19.899999999999999" customHeight="1" thickBot="1" x14ac:dyDescent="0.25">
      <c r="B249" s="293"/>
      <c r="C249" s="135"/>
      <c r="D249" s="135"/>
      <c r="E249" s="135"/>
      <c r="F249" s="135"/>
      <c r="G249" s="135"/>
      <c r="H249" s="135"/>
      <c r="I249" s="135"/>
      <c r="J249" s="300"/>
      <c r="K249" s="400"/>
      <c r="L249" s="400"/>
    </row>
    <row r="250" spans="2:12" ht="19.899999999999999" customHeight="1" thickBot="1" x14ac:dyDescent="0.3">
      <c r="B250" s="291" t="s">
        <v>42</v>
      </c>
      <c r="C250" s="136">
        <v>2019</v>
      </c>
      <c r="D250" s="136">
        <v>2020</v>
      </c>
      <c r="E250" s="136">
        <f t="shared" ref="E250:J250" si="47">+C$97</f>
        <v>2021</v>
      </c>
      <c r="F250" s="136">
        <f t="shared" si="47"/>
        <v>2022</v>
      </c>
      <c r="G250" s="136">
        <f t="shared" si="47"/>
        <v>2023</v>
      </c>
      <c r="H250" s="136">
        <f t="shared" si="47"/>
        <v>2024</v>
      </c>
      <c r="I250" s="136">
        <f t="shared" si="47"/>
        <v>2025</v>
      </c>
      <c r="J250" s="304">
        <f t="shared" si="47"/>
        <v>2026</v>
      </c>
      <c r="K250" s="400"/>
      <c r="L250" s="400"/>
    </row>
    <row r="251" spans="2:12" ht="19.899999999999999" customHeight="1" x14ac:dyDescent="0.2">
      <c r="B251" s="293" t="s">
        <v>9</v>
      </c>
      <c r="C251" s="105">
        <f>+'ESTADOS FINANCIEROS HISTÓRICOS'!B30</f>
        <v>94664183</v>
      </c>
      <c r="D251" s="105">
        <f>+'ESTADOS FINANCIEROS HISTÓRICOS'!C30</f>
        <v>94664183</v>
      </c>
      <c r="E251" s="105">
        <f>+'ESTADOS FINANCIEROS HISTÓRICOS'!D30</f>
        <v>94664183</v>
      </c>
      <c r="F251" s="105">
        <f>E251+F133</f>
        <v>119664183</v>
      </c>
      <c r="G251" s="105">
        <f>F251+G133</f>
        <v>129664183</v>
      </c>
      <c r="H251" s="105">
        <f>G251+H133</f>
        <v>129664183</v>
      </c>
      <c r="I251" s="105">
        <f>H251+I133</f>
        <v>129664183</v>
      </c>
      <c r="J251" s="294">
        <f>I251+J133</f>
        <v>129664183</v>
      </c>
      <c r="K251" s="400"/>
      <c r="L251" s="400"/>
    </row>
    <row r="252" spans="2:12" ht="19.899999999999999" customHeight="1" x14ac:dyDescent="0.2">
      <c r="B252" s="293" t="s">
        <v>98</v>
      </c>
      <c r="C252" s="105">
        <f>+'ESTADOS FINANCIEROS HISTÓRICOS'!B31</f>
        <v>49553859</v>
      </c>
      <c r="D252" s="105">
        <f>+'ESTADOS FINANCIEROS HISTÓRICOS'!C31</f>
        <v>49553859</v>
      </c>
      <c r="E252" s="105">
        <f>+'ESTADOS FINANCIEROS HISTÓRICOS'!D31</f>
        <v>49553859</v>
      </c>
      <c r="F252" s="105">
        <f>E252+E189</f>
        <v>405752497.60000002</v>
      </c>
      <c r="G252" s="105">
        <f>F252+F189</f>
        <v>893636367.38389802</v>
      </c>
      <c r="H252" s="105">
        <f>G252+G189</f>
        <v>1548098706.4937778</v>
      </c>
      <c r="I252" s="105">
        <f>H252+H189</f>
        <v>2312467007.6985159</v>
      </c>
      <c r="J252" s="294">
        <f>I252+I189</f>
        <v>3228345225.0916948</v>
      </c>
      <c r="K252" s="400"/>
    </row>
    <row r="253" spans="2:12" ht="19.899999999999999" customHeight="1" x14ac:dyDescent="0.2">
      <c r="B253" s="293" t="s">
        <v>77</v>
      </c>
      <c r="C253" s="105">
        <f>+'ESTADOS FINANCIEROS HISTÓRICOS'!B32</f>
        <v>1371178098</v>
      </c>
      <c r="D253" s="105">
        <f>+'ESTADOS FINANCIEROS HISTÓRICOS'!C32</f>
        <v>4011345188</v>
      </c>
      <c r="E253" s="105">
        <f>+'ESTADOS FINANCIEROS HISTÓRICOS'!D32</f>
        <v>3561986386</v>
      </c>
      <c r="F253" s="105">
        <f>+F218</f>
        <v>4878838697.8389797</v>
      </c>
      <c r="G253" s="105">
        <f>+G218</f>
        <v>6544623391.0987959</v>
      </c>
      <c r="H253" s="105">
        <f>+H218</f>
        <v>7643683012.0473804</v>
      </c>
      <c r="I253" s="105">
        <f>+I218</f>
        <v>9158782173.9317875</v>
      </c>
      <c r="J253" s="294">
        <f>+J218</f>
        <v>10812887564.197094</v>
      </c>
      <c r="K253" s="400"/>
      <c r="L253" s="404"/>
    </row>
    <row r="254" spans="2:12" ht="19.899999999999999" customHeight="1" x14ac:dyDescent="0.2">
      <c r="B254" s="298" t="s">
        <v>375</v>
      </c>
      <c r="C254" s="105">
        <f>+'ESTADOS FINANCIEROS HISTÓRICOS'!B33</f>
        <v>3077606921</v>
      </c>
      <c r="D254" s="105">
        <f>+'ESTADOS FINANCIEROS HISTÓRICOS'!C33</f>
        <v>4448785019</v>
      </c>
      <c r="E254" s="105">
        <f>+'ESTADOS FINANCIEROS HISTÓRICOS'!D33</f>
        <v>5382523286</v>
      </c>
      <c r="F254" s="105">
        <f>E192</f>
        <v>8588311033.3999996</v>
      </c>
      <c r="G254" s="105">
        <f>F192</f>
        <v>12979265861.455082</v>
      </c>
      <c r="H254" s="105">
        <f>G192</f>
        <v>18869426913.444</v>
      </c>
      <c r="I254" s="105">
        <f>H192</f>
        <v>25748741624.28664</v>
      </c>
      <c r="J254" s="294">
        <f>I192</f>
        <v>33991645580.825253</v>
      </c>
      <c r="K254" s="404"/>
      <c r="L254" s="400"/>
    </row>
    <row r="255" spans="2:12" ht="19.899999999999999" customHeight="1" x14ac:dyDescent="0.25">
      <c r="B255" s="291" t="s">
        <v>31</v>
      </c>
      <c r="C255" s="133">
        <f>+'ESTADOS FINANCIEROS HISTÓRICOS'!B34</f>
        <v>4593003061</v>
      </c>
      <c r="D255" s="133">
        <f>+'ESTADOS FINANCIEROS HISTÓRICOS'!C34</f>
        <v>8604348249</v>
      </c>
      <c r="E255" s="133">
        <f>+'ESTADOS FINANCIEROS HISTÓRICOS'!D34</f>
        <v>9088727714</v>
      </c>
      <c r="F255" s="133">
        <f>SUM(F251:F254)</f>
        <v>13992566411.83898</v>
      </c>
      <c r="G255" s="133">
        <f>SUM(G251:G254)</f>
        <v>20547189802.937775</v>
      </c>
      <c r="H255" s="133">
        <f>SUM(H251:H254)</f>
        <v>28190872814.985161</v>
      </c>
      <c r="I255" s="133">
        <f>SUM(I251:I254)</f>
        <v>37349654988.916946</v>
      </c>
      <c r="J255" s="296">
        <f>SUM(J251:J254)</f>
        <v>48162542553.114044</v>
      </c>
      <c r="K255" s="400"/>
      <c r="L255" s="400"/>
    </row>
    <row r="256" spans="2:12" ht="19.899999999999999" customHeight="1" thickBot="1" x14ac:dyDescent="0.25">
      <c r="B256" s="293"/>
      <c r="C256" s="140"/>
      <c r="D256" s="140"/>
      <c r="E256" s="140"/>
      <c r="F256" s="140"/>
      <c r="G256" s="140"/>
      <c r="H256" s="140"/>
      <c r="I256" s="140"/>
      <c r="J256" s="306"/>
      <c r="L256" s="400"/>
    </row>
    <row r="257" spans="1:19" ht="19.899999999999999" customHeight="1" thickBot="1" x14ac:dyDescent="0.3">
      <c r="B257" s="301" t="s">
        <v>32</v>
      </c>
      <c r="C257" s="139">
        <f>+'ESTADOS FINANCIEROS HISTÓRICOS'!B36</f>
        <v>16283049669</v>
      </c>
      <c r="D257" s="139">
        <f>+'ESTADOS FINANCIEROS HISTÓRICOS'!C36</f>
        <v>18427534548</v>
      </c>
      <c r="E257" s="139">
        <f>+'ESTADOS FINANCIEROS HISTÓRICOS'!D36</f>
        <v>24232705371</v>
      </c>
      <c r="F257" s="139">
        <f>+F255+F248</f>
        <v>26744847950.434364</v>
      </c>
      <c r="G257" s="139">
        <f>+G255+G248</f>
        <v>33235470313.982311</v>
      </c>
      <c r="H257" s="139">
        <f>+H255+H248</f>
        <v>40613782497.384888</v>
      </c>
      <c r="I257" s="139">
        <f>+I255+I248</f>
        <v>49477012589.417244</v>
      </c>
      <c r="J257" s="307">
        <f>+J255+J248</f>
        <v>59881291143.797523</v>
      </c>
      <c r="K257" s="400"/>
      <c r="L257" s="400"/>
    </row>
    <row r="258" spans="1:19" s="161" customFormat="1" ht="19.899999999999999" customHeight="1" x14ac:dyDescent="0.2">
      <c r="B258" s="104"/>
      <c r="C258" s="113"/>
      <c r="D258" s="113"/>
      <c r="E258" s="113"/>
      <c r="F258" s="113"/>
      <c r="G258" s="113"/>
      <c r="H258" s="113"/>
      <c r="I258" s="113"/>
      <c r="J258" s="113"/>
      <c r="K258" s="103"/>
      <c r="L258" s="353"/>
      <c r="M258" s="103"/>
      <c r="N258" s="103"/>
      <c r="O258" s="103"/>
      <c r="P258" s="103"/>
      <c r="Q258" s="103"/>
      <c r="R258" s="103"/>
      <c r="S258" s="103"/>
    </row>
    <row r="259" spans="1:19" s="161" customFormat="1" ht="30" customHeight="1" thickBot="1" x14ac:dyDescent="0.25">
      <c r="C259" s="601"/>
      <c r="D259" s="601"/>
      <c r="E259" s="601"/>
      <c r="F259" s="601"/>
      <c r="G259" s="601"/>
      <c r="H259" s="601"/>
      <c r="K259" s="103"/>
      <c r="L259" s="343"/>
      <c r="M259" s="103"/>
      <c r="N259" s="103"/>
      <c r="O259" s="103"/>
      <c r="P259" s="103"/>
      <c r="Q259" s="103"/>
      <c r="R259" s="103"/>
      <c r="S259" s="103"/>
    </row>
    <row r="260" spans="1:19" s="131" customFormat="1" ht="25.15" customHeight="1" thickBot="1" x14ac:dyDescent="0.25">
      <c r="A260"/>
      <c r="B260" s="290"/>
      <c r="C260" s="740" t="s">
        <v>467</v>
      </c>
      <c r="D260" s="740"/>
      <c r="E260" s="740"/>
      <c r="F260" s="740"/>
      <c r="G260" s="740"/>
      <c r="H260" s="741"/>
      <c r="I260" s="5"/>
      <c r="J260" s="5"/>
      <c r="K260" s="396"/>
      <c r="L260" s="396"/>
      <c r="M260" s="396"/>
      <c r="N260" s="396"/>
      <c r="O260" s="396"/>
      <c r="P260" s="396"/>
      <c r="Q260" s="396"/>
      <c r="R260" s="396"/>
      <c r="S260" s="396"/>
    </row>
    <row r="261" spans="1:19" ht="19.899999999999999" customHeight="1" thickBot="1" x14ac:dyDescent="0.3">
      <c r="B261" s="291"/>
      <c r="C261" s="309">
        <f t="shared" ref="C261:H261" si="48">+C$97</f>
        <v>2021</v>
      </c>
      <c r="D261" s="309">
        <f t="shared" si="48"/>
        <v>2022</v>
      </c>
      <c r="E261" s="309">
        <f t="shared" si="48"/>
        <v>2023</v>
      </c>
      <c r="F261" s="309">
        <f t="shared" si="48"/>
        <v>2024</v>
      </c>
      <c r="G261" s="309">
        <f t="shared" si="48"/>
        <v>2025</v>
      </c>
      <c r="H261" s="310">
        <f t="shared" si="48"/>
        <v>2026</v>
      </c>
      <c r="I261" s="5"/>
      <c r="J261" s="5"/>
    </row>
    <row r="262" spans="1:19" ht="19.899999999999999" customHeight="1" x14ac:dyDescent="0.25">
      <c r="B262" s="291" t="s">
        <v>7</v>
      </c>
      <c r="C262" s="142"/>
      <c r="D262" s="143">
        <f>E224</f>
        <v>12647152</v>
      </c>
      <c r="E262" s="143">
        <f>F224</f>
        <v>2849445198.4780798</v>
      </c>
      <c r="F262" s="143">
        <f>G224</f>
        <v>2872290018.9642096</v>
      </c>
      <c r="G262" s="143">
        <f>H224</f>
        <v>2660759837.7985821</v>
      </c>
      <c r="H262" s="311">
        <f>I224</f>
        <v>2876516661.5869503</v>
      </c>
      <c r="I262" s="5"/>
    </row>
    <row r="263" spans="1:19" ht="19.899999999999999" customHeight="1" x14ac:dyDescent="0.25">
      <c r="B263" s="291" t="s">
        <v>104</v>
      </c>
      <c r="C263" s="144"/>
      <c r="D263" s="144"/>
      <c r="E263" s="144"/>
      <c r="F263" s="144"/>
      <c r="G263" s="144"/>
      <c r="H263" s="312"/>
      <c r="I263" s="5"/>
      <c r="J263" s="5"/>
    </row>
    <row r="264" spans="1:19" ht="19.899999999999999" customHeight="1" x14ac:dyDescent="0.2">
      <c r="B264" s="313" t="s">
        <v>43</v>
      </c>
      <c r="C264" s="142"/>
      <c r="D264" s="145">
        <f>F67</f>
        <v>1392910000</v>
      </c>
      <c r="E264" s="145">
        <f>G67</f>
        <v>1582873380.1999998</v>
      </c>
      <c r="F264" s="145">
        <f>H67</f>
        <v>1816945252.3325641</v>
      </c>
      <c r="G264" s="145">
        <f>I67</f>
        <v>2106269752.2422786</v>
      </c>
      <c r="H264" s="314">
        <f>J67</f>
        <v>2453942480.3309278</v>
      </c>
      <c r="I264" s="5"/>
      <c r="J264" s="5"/>
    </row>
    <row r="265" spans="1:19" ht="19.899999999999999" customHeight="1" x14ac:dyDescent="0.2">
      <c r="B265" s="313" t="s">
        <v>55</v>
      </c>
      <c r="C265" s="142"/>
      <c r="D265" s="145">
        <f>E226+(F196-F226-D264)</f>
        <v>53974558886.925003</v>
      </c>
      <c r="E265" s="145">
        <f>F226+(G196-G226-E264)</f>
        <v>45385372868.904015</v>
      </c>
      <c r="F265" s="145">
        <f>G226+(H196-H226-F264)</f>
        <v>49620655851.79538</v>
      </c>
      <c r="G265" s="145">
        <f>H226+(I196-I226-G264)</f>
        <v>54294491451.27301</v>
      </c>
      <c r="H265" s="314">
        <f>I226+(J196-J226-H264)</f>
        <v>57070103681.686447</v>
      </c>
      <c r="I265" s="5"/>
      <c r="J265" s="5"/>
    </row>
    <row r="266" spans="1:19" ht="19.899999999999999" customHeight="1" x14ac:dyDescent="0.2">
      <c r="B266" s="313" t="s">
        <v>66</v>
      </c>
      <c r="C266" s="142"/>
      <c r="D266" s="145">
        <f t="shared" ref="D266:H267" si="49">F210</f>
        <v>214554772.45993596</v>
      </c>
      <c r="E266" s="145">
        <f t="shared" si="49"/>
        <v>540373445.25301039</v>
      </c>
      <c r="F266" s="145">
        <f t="shared" si="49"/>
        <v>390383282.15996653</v>
      </c>
      <c r="G266" s="145">
        <f t="shared" si="49"/>
        <v>471786616.46281958</v>
      </c>
      <c r="H266" s="314">
        <f t="shared" si="49"/>
        <v>514551418.77985811</v>
      </c>
      <c r="I266" s="5"/>
      <c r="J266" s="5"/>
    </row>
    <row r="267" spans="1:19" ht="19.899999999999999" customHeight="1" x14ac:dyDescent="0.2">
      <c r="B267" s="313" t="s">
        <v>352</v>
      </c>
      <c r="C267" s="142"/>
      <c r="D267" s="145">
        <f t="shared" si="49"/>
        <v>569535612.83296061</v>
      </c>
      <c r="E267" s="145">
        <f t="shared" si="49"/>
        <v>1758251861.2724295</v>
      </c>
      <c r="F267" s="145">
        <f t="shared" si="49"/>
        <v>2541789309.5630622</v>
      </c>
      <c r="G267" s="145">
        <f t="shared" si="49"/>
        <v>3581568913.4762254</v>
      </c>
      <c r="H267" s="314">
        <f t="shared" si="49"/>
        <v>4703602537.2008982</v>
      </c>
      <c r="I267" s="5"/>
      <c r="J267" s="5"/>
    </row>
    <row r="268" spans="1:19" ht="19.899999999999999" customHeight="1" x14ac:dyDescent="0.2">
      <c r="B268" s="293" t="s">
        <v>45</v>
      </c>
      <c r="C268" s="145">
        <f>(E247-D247)+(E241-D241)</f>
        <v>3717956147</v>
      </c>
      <c r="D268" s="145">
        <f t="shared" ref="D268:H269" si="50">F132</f>
        <v>0</v>
      </c>
      <c r="E268" s="145">
        <f t="shared" si="50"/>
        <v>0</v>
      </c>
      <c r="F268" s="145">
        <f t="shared" si="50"/>
        <v>0</v>
      </c>
      <c r="G268" s="145">
        <f t="shared" si="50"/>
        <v>0</v>
      </c>
      <c r="H268" s="314">
        <f t="shared" si="50"/>
        <v>0</v>
      </c>
      <c r="I268" s="5"/>
      <c r="J268" s="5"/>
    </row>
    <row r="269" spans="1:19" ht="19.899999999999999" customHeight="1" x14ac:dyDescent="0.2">
      <c r="B269" s="298" t="s">
        <v>95</v>
      </c>
      <c r="C269" s="145">
        <f>E251-D251</f>
        <v>0</v>
      </c>
      <c r="D269" s="145">
        <f t="shared" si="50"/>
        <v>25000000</v>
      </c>
      <c r="E269" s="145">
        <f t="shared" si="50"/>
        <v>10000000</v>
      </c>
      <c r="F269" s="145">
        <f t="shared" si="50"/>
        <v>0</v>
      </c>
      <c r="G269" s="145">
        <f t="shared" si="50"/>
        <v>0</v>
      </c>
      <c r="H269" s="314">
        <f t="shared" si="50"/>
        <v>0</v>
      </c>
      <c r="I269" s="5"/>
      <c r="J269" s="5"/>
    </row>
    <row r="270" spans="1:19" ht="19.899999999999999" customHeight="1" x14ac:dyDescent="0.25">
      <c r="B270" s="315" t="s">
        <v>105</v>
      </c>
      <c r="C270" s="142"/>
      <c r="D270" s="138">
        <f>SUM(D264:D269)</f>
        <v>56176559272.217903</v>
      </c>
      <c r="E270" s="138">
        <f>SUM(E264:E269)</f>
        <v>49276871555.629456</v>
      </c>
      <c r="F270" s="138">
        <f>SUM(F264:F269)</f>
        <v>54369773695.850975</v>
      </c>
      <c r="G270" s="138">
        <f>SUM(G264:G269)</f>
        <v>60454116733.454338</v>
      </c>
      <c r="H270" s="316">
        <f>SUM(H264:H269)</f>
        <v>64742200117.998131</v>
      </c>
      <c r="I270" s="5"/>
      <c r="J270" s="5"/>
    </row>
    <row r="271" spans="1:19" ht="19.899999999999999" customHeight="1" x14ac:dyDescent="0.25">
      <c r="B271" s="295" t="s">
        <v>106</v>
      </c>
      <c r="C271" s="137"/>
      <c r="D271" s="137"/>
      <c r="E271" s="137"/>
      <c r="F271" s="137"/>
      <c r="G271" s="137"/>
      <c r="H271" s="317"/>
      <c r="I271" s="5"/>
      <c r="J271" s="5"/>
    </row>
    <row r="272" spans="1:19" ht="19.899999999999999" customHeight="1" x14ac:dyDescent="0.2">
      <c r="B272" s="298" t="s">
        <v>44</v>
      </c>
      <c r="C272" s="142"/>
      <c r="D272" s="145">
        <f>E240</f>
        <v>0</v>
      </c>
      <c r="E272" s="145">
        <f>F240</f>
        <v>0</v>
      </c>
      <c r="F272" s="145">
        <f>G240</f>
        <v>0</v>
      </c>
      <c r="G272" s="145">
        <f>H240</f>
        <v>0</v>
      </c>
      <c r="H272" s="314">
        <f>I240</f>
        <v>0</v>
      </c>
      <c r="I272" s="5"/>
      <c r="J272" s="5"/>
    </row>
    <row r="273" spans="2:18" ht="19.899999999999999" customHeight="1" x14ac:dyDescent="0.2">
      <c r="B273" s="298" t="s">
        <v>377</v>
      </c>
      <c r="C273" s="142"/>
      <c r="D273" s="145">
        <f>F212</f>
        <v>0</v>
      </c>
      <c r="E273" s="145">
        <f>G212</f>
        <v>0</v>
      </c>
      <c r="F273" s="145">
        <f>H212</f>
        <v>0</v>
      </c>
      <c r="G273" s="145">
        <f>I212</f>
        <v>0</v>
      </c>
      <c r="H273" s="314">
        <f>J212</f>
        <v>0</v>
      </c>
      <c r="I273" s="5"/>
      <c r="J273" s="5"/>
    </row>
    <row r="274" spans="2:18" ht="19.899999999999999" customHeight="1" x14ac:dyDescent="0.2">
      <c r="B274" s="293" t="s">
        <v>33</v>
      </c>
      <c r="C274" s="142"/>
      <c r="D274" s="145">
        <f>E242+(F197-F242)+(F227-E227)</f>
        <v>25439774276.524765</v>
      </c>
      <c r="E274" s="145">
        <f>F242+(G197-G242)+(G227-F227)</f>
        <v>24777999915.522816</v>
      </c>
      <c r="F274" s="145">
        <f>G242+(H197-H242)+(H227-G227)</f>
        <v>26512786701.665916</v>
      </c>
      <c r="G274" s="145">
        <f>H242+(I197-I242)+(I227-H227)</f>
        <v>28383916242.594299</v>
      </c>
      <c r="H274" s="314">
        <f>I242+(J197-J242)+(J227-I227)</f>
        <v>30404604315.071133</v>
      </c>
      <c r="J274" s="5"/>
    </row>
    <row r="275" spans="2:18" ht="19.899999999999999" customHeight="1" x14ac:dyDescent="0.2">
      <c r="B275" s="313" t="s">
        <v>65</v>
      </c>
      <c r="C275" s="142"/>
      <c r="D275" s="145">
        <f>E243+F207-F205-F243</f>
        <v>13107671117.689415</v>
      </c>
      <c r="E275" s="145">
        <f>F243+G207-G205-G243</f>
        <v>13677336952.694784</v>
      </c>
      <c r="F275" s="145">
        <f>G243+H207-H205-H243</f>
        <v>14771777240.387363</v>
      </c>
      <c r="G275" s="145">
        <f>H243+I207-I205-I243</f>
        <v>15964559026.791491</v>
      </c>
      <c r="H275" s="314">
        <f>I243+J207-J205-J243</f>
        <v>17259099969.521702</v>
      </c>
      <c r="I275" s="145">
        <f>H275*(1+RATE(4,,-D275,H275))</f>
        <v>18488058061.713135</v>
      </c>
      <c r="J275" s="5"/>
    </row>
    <row r="276" spans="2:18" ht="19.899999999999999" customHeight="1" x14ac:dyDescent="0.2">
      <c r="B276" s="293" t="s">
        <v>36</v>
      </c>
      <c r="C276" s="142"/>
      <c r="D276" s="145">
        <f>F121</f>
        <v>659783416.95465004</v>
      </c>
      <c r="E276" s="145">
        <f>G121</f>
        <v>712901858.95234203</v>
      </c>
      <c r="F276" s="145">
        <f>H121</f>
        <v>770211608.63657689</v>
      </c>
      <c r="G276" s="145">
        <f>I121</f>
        <v>832634031.02978313</v>
      </c>
      <c r="H276" s="314">
        <f>J121</f>
        <v>900719488.21299589</v>
      </c>
      <c r="I276" s="5"/>
      <c r="J276" s="5"/>
    </row>
    <row r="277" spans="2:18" ht="19.899999999999999" customHeight="1" x14ac:dyDescent="0.2">
      <c r="B277" s="293" t="s">
        <v>64</v>
      </c>
      <c r="C277" s="142"/>
      <c r="D277" s="145">
        <f>E244+F217*$C$111</f>
        <v>3934296786.8171391</v>
      </c>
      <c r="E277" s="145">
        <f>F244+G217*$C$111</f>
        <v>2895286775.1975398</v>
      </c>
      <c r="F277" s="145">
        <f>G244+H217*$C$111</f>
        <v>3548267945.9733381</v>
      </c>
      <c r="G277" s="145">
        <f>H244+I217*$C$111</f>
        <v>4212544817.5842819</v>
      </c>
      <c r="H277" s="314">
        <f>I244+J217*$C$111</f>
        <v>4999867140.8604851</v>
      </c>
      <c r="J277" s="5"/>
    </row>
    <row r="278" spans="2:18" ht="19.899999999999999" customHeight="1" x14ac:dyDescent="0.2">
      <c r="B278" s="298" t="s">
        <v>69</v>
      </c>
      <c r="C278" s="142"/>
      <c r="D278" s="145">
        <f t="shared" ref="D278:H279" si="51">F148+F159+F170</f>
        <v>1060401063.041514</v>
      </c>
      <c r="E278" s="145">
        <f t="shared" si="51"/>
        <v>907239778.44670248</v>
      </c>
      <c r="F278" s="145">
        <f t="shared" si="51"/>
        <v>789807299.73030257</v>
      </c>
      <c r="G278" s="145">
        <f t="shared" si="51"/>
        <v>637920250.89491308</v>
      </c>
      <c r="H278" s="314">
        <f t="shared" si="51"/>
        <v>441373644.88338423</v>
      </c>
      <c r="I278" s="5"/>
      <c r="J278" s="5"/>
    </row>
    <row r="279" spans="2:18" ht="19.899999999999999" customHeight="1" x14ac:dyDescent="0.2">
      <c r="B279" s="298" t="s">
        <v>76</v>
      </c>
      <c r="C279" s="142"/>
      <c r="D279" s="145">
        <f t="shared" si="51"/>
        <v>722638559.13565576</v>
      </c>
      <c r="E279" s="145">
        <f t="shared" si="51"/>
        <v>850329487.26055169</v>
      </c>
      <c r="F279" s="145">
        <f t="shared" si="51"/>
        <v>978776170.94925642</v>
      </c>
      <c r="G279" s="145">
        <f t="shared" si="51"/>
        <v>1133681565.2706966</v>
      </c>
      <c r="H279" s="314">
        <f t="shared" si="51"/>
        <v>1318723044.6557939</v>
      </c>
      <c r="I279" s="5"/>
      <c r="J279" s="5"/>
    </row>
    <row r="280" spans="2:18" ht="19.899999999999999" customHeight="1" x14ac:dyDescent="0.2">
      <c r="B280" s="293" t="s">
        <v>34</v>
      </c>
      <c r="C280" s="142"/>
      <c r="D280" s="145">
        <f>E191</f>
        <v>0</v>
      </c>
      <c r="E280" s="145">
        <f>F191</f>
        <v>0</v>
      </c>
      <c r="F280" s="145">
        <f>G191</f>
        <v>0</v>
      </c>
      <c r="G280" s="145">
        <f>H191</f>
        <v>0</v>
      </c>
      <c r="H280" s="314">
        <f>I191</f>
        <v>0</v>
      </c>
      <c r="I280" s="5"/>
      <c r="J280" s="5"/>
    </row>
    <row r="281" spans="2:18" ht="19.899999999999999" customHeight="1" x14ac:dyDescent="0.25">
      <c r="B281" s="295" t="s">
        <v>107</v>
      </c>
      <c r="C281" s="142"/>
      <c r="D281" s="138">
        <f>SUM(D272:D280)</f>
        <v>44924565220.163139</v>
      </c>
      <c r="E281" s="138">
        <f>SUM(E272:E280)</f>
        <v>43821094768.07473</v>
      </c>
      <c r="F281" s="138">
        <f>SUM(F272:F280)</f>
        <v>47371626967.342751</v>
      </c>
      <c r="G281" s="138">
        <f>SUM(G272:G280)</f>
        <v>51165255934.165466</v>
      </c>
      <c r="H281" s="316">
        <f>SUM(H272:H280)</f>
        <v>55324387603.205498</v>
      </c>
      <c r="I281" s="5"/>
      <c r="J281" s="5"/>
    </row>
    <row r="282" spans="2:18" ht="19.899999999999999" customHeight="1" x14ac:dyDescent="0.25">
      <c r="B282" s="291" t="s">
        <v>35</v>
      </c>
      <c r="C282" s="142"/>
      <c r="D282" s="138">
        <f>D262+D270-D281</f>
        <v>11264641204.054764</v>
      </c>
      <c r="E282" s="138">
        <f>E262+E270-E281</f>
        <v>8305221986.0328064</v>
      </c>
      <c r="F282" s="138">
        <f>F262+F270-F281</f>
        <v>9870436747.472435</v>
      </c>
      <c r="G282" s="138">
        <f>G262+G270-G281</f>
        <v>11949620637.087456</v>
      </c>
      <c r="H282" s="316">
        <f>H262+H270-H281</f>
        <v>12294329176.379585</v>
      </c>
      <c r="I282" s="5"/>
      <c r="J282" s="5"/>
    </row>
    <row r="283" spans="2:18" ht="19.899999999999999" customHeight="1" x14ac:dyDescent="0.2">
      <c r="B283" s="298" t="s">
        <v>73</v>
      </c>
      <c r="C283" s="142"/>
      <c r="D283" s="145">
        <f>IF(D291&gt;0,D291,0)</f>
        <v>8415196005.576684</v>
      </c>
      <c r="E283" s="145">
        <f>IF(E291&gt;0,E291,0)</f>
        <v>5432931967.0685968</v>
      </c>
      <c r="F283" s="145">
        <f>IF(F291&gt;0,F291,0)</f>
        <v>7209676909.6738529</v>
      </c>
      <c r="G283" s="145">
        <f>IF(G291&gt;0,G291,0)</f>
        <v>9073103975.5005054</v>
      </c>
      <c r="H283" s="314">
        <f>IF(H291&gt;0,H291,0)</f>
        <v>9212986166.0940628</v>
      </c>
      <c r="I283" s="5"/>
      <c r="J283" s="5"/>
    </row>
    <row r="284" spans="2:18" ht="19.899999999999999" customHeight="1" x14ac:dyDescent="0.2">
      <c r="B284" s="298" t="s">
        <v>71</v>
      </c>
      <c r="C284" s="142"/>
      <c r="D284" s="145">
        <f>IF(D291&lt;0,IF(-D291&gt;E225-(F232-E232),E225-(F232-E232),-D291),0)</f>
        <v>0</v>
      </c>
      <c r="E284" s="145">
        <f>IF(E291&lt;0,IF(-E291&gt;F225-(G232-F232),F225-(G232-F232),-E291),0)</f>
        <v>0</v>
      </c>
      <c r="F284" s="145">
        <f>IF(F291&lt;0,IF(-F291&gt;G225-(H232-G232),G225-(H232-G232),-F291),0)</f>
        <v>0</v>
      </c>
      <c r="G284" s="145">
        <f>IF(G291&lt;0,IF(-G291&gt;H225-(I232-H232),H225-(I232-H232),-G291),0)</f>
        <v>0</v>
      </c>
      <c r="H284" s="314">
        <f>IF(H291&lt;0,IF(-H291&gt;I225-(J232-I232),I225-(J232-I232),-H291),0)</f>
        <v>0</v>
      </c>
      <c r="I284" s="10"/>
      <c r="J284" s="5"/>
    </row>
    <row r="285" spans="2:18" ht="19.899999999999999" customHeight="1" x14ac:dyDescent="0.2">
      <c r="B285" s="293" t="s">
        <v>39</v>
      </c>
      <c r="C285" s="142"/>
      <c r="D285" s="145">
        <f>IF(D291+D284&lt;0,-(D291+D284),0)</f>
        <v>0</v>
      </c>
      <c r="E285" s="145">
        <f>IF(E291+E284&lt;0,-(E291+E284),0)</f>
        <v>0</v>
      </c>
      <c r="F285" s="145">
        <f>IF(F291+F284&lt;0,-(F291+F284),0)</f>
        <v>0</v>
      </c>
      <c r="G285" s="145">
        <f>IF(G291+G284&lt;0,-(G291+G284),0)</f>
        <v>0</v>
      </c>
      <c r="H285" s="314">
        <f>IF(H291+H284&lt;0,-(H291+H284),0)</f>
        <v>0</v>
      </c>
      <c r="I285" s="5"/>
      <c r="J285" s="5"/>
    </row>
    <row r="286" spans="2:18" ht="19.899999999999999" customHeight="1" x14ac:dyDescent="0.25">
      <c r="B286" s="291" t="s">
        <v>81</v>
      </c>
      <c r="C286" s="142"/>
      <c r="D286" s="138">
        <f>-D283+D284+D285</f>
        <v>-8415196005.576684</v>
      </c>
      <c r="E286" s="138">
        <f>-E283+E284+E285</f>
        <v>-5432931967.0685968</v>
      </c>
      <c r="F286" s="138">
        <f>-F283+F284+F285</f>
        <v>-7209676909.6738529</v>
      </c>
      <c r="G286" s="138">
        <f>-G283+G284+G285</f>
        <v>-9073103975.5005054</v>
      </c>
      <c r="H286" s="316">
        <f>-H283+H284+H285</f>
        <v>-9212986166.0940628</v>
      </c>
      <c r="I286" s="5"/>
      <c r="J286" s="5"/>
    </row>
    <row r="287" spans="2:18" ht="19.899999999999999" customHeight="1" x14ac:dyDescent="0.2">
      <c r="B287" s="293"/>
      <c r="C287" s="145"/>
      <c r="D287" s="145"/>
      <c r="E287" s="145"/>
      <c r="F287" s="145"/>
      <c r="G287" s="145"/>
      <c r="H287" s="314"/>
      <c r="I287" s="5"/>
      <c r="J287" s="5"/>
    </row>
    <row r="288" spans="2:18" ht="19.899999999999999" customHeight="1" x14ac:dyDescent="0.25">
      <c r="B288" s="291" t="s">
        <v>56</v>
      </c>
      <c r="C288" s="142"/>
      <c r="D288" s="137">
        <f>+D282+D286</f>
        <v>2849445198.4780798</v>
      </c>
      <c r="E288" s="137">
        <f>+E282+E286</f>
        <v>2872290018.9642096</v>
      </c>
      <c r="F288" s="137">
        <f>+F282+F286</f>
        <v>2660759837.7985821</v>
      </c>
      <c r="G288" s="137">
        <f>+G282+G286</f>
        <v>2876516661.5869503</v>
      </c>
      <c r="H288" s="317">
        <f>+H282+H286</f>
        <v>3081343010.2855225</v>
      </c>
      <c r="I288" s="6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9" ht="19.899999999999999" customHeight="1" x14ac:dyDescent="0.25">
      <c r="B289" s="295" t="s">
        <v>372</v>
      </c>
      <c r="C289" s="146"/>
      <c r="D289" s="137">
        <f>E107+E108-E109</f>
        <v>75</v>
      </c>
      <c r="E289" s="137">
        <f>F107+F108-F109</f>
        <v>70</v>
      </c>
      <c r="F289" s="137">
        <f>G107+G108-G109</f>
        <v>60</v>
      </c>
      <c r="G289" s="137">
        <f>H107+H108-H109</f>
        <v>60</v>
      </c>
      <c r="H289" s="317">
        <f>I107+I108-I109</f>
        <v>60</v>
      </c>
      <c r="I289" s="6"/>
      <c r="S289" s="10"/>
    </row>
    <row r="290" spans="1:19" s="10" customFormat="1" ht="19.899999999999999" customHeight="1" thickBot="1" x14ac:dyDescent="0.3">
      <c r="A290"/>
      <c r="B290" s="295" t="s">
        <v>373</v>
      </c>
      <c r="C290" s="146"/>
      <c r="D290" s="139">
        <f>E275/360*D289</f>
        <v>2849445198.4780798</v>
      </c>
      <c r="E290" s="139">
        <f>F275/360*E289</f>
        <v>2872290018.9642096</v>
      </c>
      <c r="F290" s="139">
        <f>G275/360*F289</f>
        <v>2660759837.7985816</v>
      </c>
      <c r="G290" s="139">
        <f>H275/360*G289</f>
        <v>2876516661.5869503</v>
      </c>
      <c r="H290" s="307">
        <f>I275/360*H289</f>
        <v>3081343010.2855225</v>
      </c>
      <c r="I290"/>
      <c r="J290"/>
      <c r="K290" s="21"/>
      <c r="L290" s="21"/>
      <c r="M290" s="21"/>
      <c r="N290" s="21"/>
      <c r="O290" s="21"/>
      <c r="P290" s="21"/>
      <c r="Q290" s="21"/>
      <c r="R290" s="21"/>
      <c r="S290" s="21"/>
    </row>
    <row r="291" spans="1:19" ht="19.899999999999999" customHeight="1" thickBot="1" x14ac:dyDescent="0.3">
      <c r="B291" s="301" t="s">
        <v>72</v>
      </c>
      <c r="C291" s="308"/>
      <c r="D291" s="139">
        <f>D282-D290</f>
        <v>8415196005.576684</v>
      </c>
      <c r="E291" s="139">
        <f>E282-E290</f>
        <v>5432931967.0685968</v>
      </c>
      <c r="F291" s="139">
        <f>F282-F290</f>
        <v>7209676909.6738529</v>
      </c>
      <c r="G291" s="139">
        <f>G282-G290</f>
        <v>9073103975.5005054</v>
      </c>
      <c r="H291" s="307">
        <f>H282-H290</f>
        <v>9212986166.0940628</v>
      </c>
    </row>
    <row r="292" spans="1:19" s="26" customFormat="1" ht="19.899999999999999" customHeight="1" x14ac:dyDescent="0.25">
      <c r="A292"/>
      <c r="B292" s="106"/>
      <c r="C292" s="148"/>
      <c r="D292" s="148"/>
      <c r="E292" s="148"/>
      <c r="F292" s="148"/>
      <c r="G292" s="148"/>
      <c r="H292" s="148"/>
    </row>
    <row r="293" spans="1:19" s="26" customFormat="1" ht="19.899999999999999" customHeight="1" x14ac:dyDescent="0.25">
      <c r="A293"/>
      <c r="B293" s="106"/>
      <c r="C293" s="148"/>
      <c r="D293" s="148"/>
      <c r="E293" s="148"/>
      <c r="F293" s="148"/>
      <c r="G293" s="148"/>
      <c r="H293" s="148"/>
    </row>
    <row r="294" spans="1:19" s="161" customFormat="1" ht="30" customHeight="1" thickBot="1" x14ac:dyDescent="0.25">
      <c r="B294" s="601"/>
      <c r="C294" s="601"/>
      <c r="D294" s="601"/>
      <c r="E294" s="601"/>
      <c r="F294" s="601"/>
      <c r="G294" s="601"/>
      <c r="K294" s="103"/>
      <c r="L294" s="343"/>
      <c r="M294" s="103"/>
      <c r="N294" s="103"/>
      <c r="O294" s="103"/>
      <c r="P294" s="103"/>
      <c r="Q294" s="103"/>
      <c r="R294" s="103"/>
      <c r="S294" s="103"/>
    </row>
    <row r="295" spans="1:19" s="26" customFormat="1" ht="25.15" customHeight="1" thickBot="1" x14ac:dyDescent="0.3">
      <c r="A295"/>
      <c r="B295" s="321"/>
      <c r="C295" s="742" t="s">
        <v>342</v>
      </c>
      <c r="D295" s="742"/>
      <c r="E295" s="742"/>
      <c r="F295" s="742"/>
      <c r="G295" s="743"/>
      <c r="I295"/>
      <c r="J295"/>
      <c r="K295" s="21"/>
      <c r="L295" s="21"/>
      <c r="M295" s="21"/>
      <c r="N295" s="21"/>
      <c r="O295" s="21"/>
      <c r="P295" s="21"/>
      <c r="Q295" s="21"/>
      <c r="R295" s="21"/>
    </row>
    <row r="296" spans="1:19" ht="19.899999999999999" customHeight="1" thickBot="1" x14ac:dyDescent="0.3">
      <c r="B296" s="291"/>
      <c r="C296" s="136">
        <f>+D$97</f>
        <v>2022</v>
      </c>
      <c r="D296" s="136">
        <f>+E$97</f>
        <v>2023</v>
      </c>
      <c r="E296" s="136">
        <f>+F$97</f>
        <v>2024</v>
      </c>
      <c r="F296" s="136">
        <f>+G$97</f>
        <v>2025</v>
      </c>
      <c r="G296" s="304">
        <f>+H$97</f>
        <v>2026</v>
      </c>
      <c r="H296" s="5"/>
      <c r="I296" s="26"/>
      <c r="J296" s="26"/>
      <c r="K296" s="26"/>
      <c r="L296" s="26"/>
      <c r="M296" s="26"/>
      <c r="N296" s="26"/>
      <c r="O296" s="26"/>
      <c r="P296" s="26"/>
      <c r="Q296" s="26"/>
      <c r="R296" s="26"/>
    </row>
    <row r="297" spans="1:19" s="26" customFormat="1" ht="19.899999999999999" customHeight="1" x14ac:dyDescent="0.25">
      <c r="A297"/>
      <c r="B297" s="322" t="s">
        <v>7</v>
      </c>
      <c r="C297" s="149">
        <f>+MODELO!D262</f>
        <v>12647152</v>
      </c>
      <c r="D297" s="149">
        <f>+MODELO!E262</f>
        <v>2849445198.4780798</v>
      </c>
      <c r="E297" s="149">
        <f>+MODELO!F262</f>
        <v>2872290018.9642096</v>
      </c>
      <c r="F297" s="149">
        <f>+MODELO!G262</f>
        <v>2660759837.7985821</v>
      </c>
      <c r="G297" s="323">
        <f>+MODELO!H262</f>
        <v>2876516661.5869503</v>
      </c>
    </row>
    <row r="298" spans="1:19" s="26" customFormat="1" ht="19.899999999999999" customHeight="1" x14ac:dyDescent="0.25">
      <c r="A298"/>
      <c r="B298" s="322" t="s">
        <v>294</v>
      </c>
      <c r="C298" s="147"/>
      <c r="D298" s="147"/>
      <c r="E298" s="147"/>
      <c r="F298" s="147"/>
      <c r="G298" s="324"/>
    </row>
    <row r="299" spans="1:19" s="26" customFormat="1" ht="19.899999999999999" customHeight="1" x14ac:dyDescent="0.2">
      <c r="A299"/>
      <c r="B299" s="325" t="s">
        <v>295</v>
      </c>
      <c r="C299" s="150">
        <f>+MODELO!D264+MODELO!D265</f>
        <v>55367468886.925003</v>
      </c>
      <c r="D299" s="150">
        <f>+MODELO!E264+MODELO!E265</f>
        <v>46968246249.104012</v>
      </c>
      <c r="E299" s="150">
        <f>+MODELO!F264+MODELO!F265</f>
        <v>51437601104.127945</v>
      </c>
      <c r="F299" s="150">
        <f>+MODELO!G264+MODELO!G265</f>
        <v>56400761203.515289</v>
      </c>
      <c r="G299" s="326">
        <f>+MODELO!H264+MODELO!H265</f>
        <v>59524046162.017372</v>
      </c>
    </row>
    <row r="300" spans="1:19" s="26" customFormat="1" ht="19.899999999999999" customHeight="1" x14ac:dyDescent="0.2">
      <c r="A300"/>
      <c r="B300" s="325" t="s">
        <v>296</v>
      </c>
      <c r="C300" s="150">
        <f>+MODELO!D266</f>
        <v>214554772.45993596</v>
      </c>
      <c r="D300" s="150">
        <f>+MODELO!E266</f>
        <v>540373445.25301039</v>
      </c>
      <c r="E300" s="150">
        <f>+MODELO!F266</f>
        <v>390383282.15996653</v>
      </c>
      <c r="F300" s="150">
        <f>+MODELO!G266</f>
        <v>471786616.46281958</v>
      </c>
      <c r="G300" s="326">
        <f>+MODELO!H266</f>
        <v>514551418.77985811</v>
      </c>
    </row>
    <row r="301" spans="1:19" s="26" customFormat="1" ht="19.899999999999999" customHeight="1" x14ac:dyDescent="0.2">
      <c r="A301"/>
      <c r="B301" s="327" t="s">
        <v>82</v>
      </c>
      <c r="C301" s="150">
        <f>+MODELO!D286</f>
        <v>-8415196005.576684</v>
      </c>
      <c r="D301" s="150">
        <f>+MODELO!E286</f>
        <v>-5432931967.0685968</v>
      </c>
      <c r="E301" s="150">
        <f>+MODELO!F286</f>
        <v>-7209676909.6738529</v>
      </c>
      <c r="F301" s="150">
        <f>+MODELO!G286</f>
        <v>-9073103975.5005054</v>
      </c>
      <c r="G301" s="326">
        <f>+MODELO!H286</f>
        <v>-9212986166.0940628</v>
      </c>
    </row>
    <row r="302" spans="1:19" s="26" customFormat="1" ht="19.899999999999999" customHeight="1" x14ac:dyDescent="0.25">
      <c r="A302"/>
      <c r="B302" s="328" t="s">
        <v>297</v>
      </c>
      <c r="C302" s="318">
        <f>SUM(C299:C301)</f>
        <v>47166827653.808258</v>
      </c>
      <c r="D302" s="318">
        <f>SUM(D299:D301)</f>
        <v>42075687727.288429</v>
      </c>
      <c r="E302" s="318">
        <f>SUM(E299:E301)</f>
        <v>44618307476.614059</v>
      </c>
      <c r="F302" s="318">
        <f>SUM(F299:F301)</f>
        <v>47799443844.477608</v>
      </c>
      <c r="G302" s="329">
        <f>SUM(G299:G301)</f>
        <v>50825611414.703171</v>
      </c>
    </row>
    <row r="303" spans="1:19" s="26" customFormat="1" ht="19.899999999999999" customHeight="1" x14ac:dyDescent="0.2">
      <c r="A303"/>
      <c r="B303" s="327" t="s">
        <v>44</v>
      </c>
      <c r="C303" s="150">
        <f>+MODELO!D272</f>
        <v>0</v>
      </c>
      <c r="D303" s="150">
        <f>+MODELO!E272</f>
        <v>0</v>
      </c>
      <c r="E303" s="150">
        <f>+MODELO!F272</f>
        <v>0</v>
      </c>
      <c r="F303" s="150">
        <f>+MODELO!G272</f>
        <v>0</v>
      </c>
      <c r="G303" s="326">
        <f>+MODELO!H272</f>
        <v>0</v>
      </c>
    </row>
    <row r="304" spans="1:19" s="26" customFormat="1" ht="19.899999999999999" customHeight="1" x14ac:dyDescent="0.2">
      <c r="A304"/>
      <c r="B304" s="325" t="s">
        <v>377</v>
      </c>
      <c r="C304" s="150">
        <f>D273</f>
        <v>0</v>
      </c>
      <c r="D304" s="150">
        <f>E273</f>
        <v>0</v>
      </c>
      <c r="E304" s="150">
        <f>F273</f>
        <v>0</v>
      </c>
      <c r="F304" s="150">
        <f>G273</f>
        <v>0</v>
      </c>
      <c r="G304" s="326">
        <f>H273</f>
        <v>0</v>
      </c>
    </row>
    <row r="305" spans="1:7" s="26" customFormat="1" ht="19.899999999999999" customHeight="1" x14ac:dyDescent="0.2">
      <c r="A305"/>
      <c r="B305" s="325" t="s">
        <v>33</v>
      </c>
      <c r="C305" s="150">
        <f>+MODELO!D274</f>
        <v>25439774276.524765</v>
      </c>
      <c r="D305" s="150">
        <f>+MODELO!E274</f>
        <v>24777999915.522816</v>
      </c>
      <c r="E305" s="150">
        <f>+MODELO!F274</f>
        <v>26512786701.665916</v>
      </c>
      <c r="F305" s="150">
        <f>+MODELO!G274</f>
        <v>28383916242.594299</v>
      </c>
      <c r="G305" s="326">
        <f>+MODELO!H274</f>
        <v>30404604315.071133</v>
      </c>
    </row>
    <row r="306" spans="1:7" s="26" customFormat="1" ht="19.899999999999999" customHeight="1" x14ac:dyDescent="0.2">
      <c r="A306"/>
      <c r="B306" s="325" t="s">
        <v>65</v>
      </c>
      <c r="C306" s="150">
        <f>+MODELO!D275</f>
        <v>13107671117.689415</v>
      </c>
      <c r="D306" s="150">
        <f>+MODELO!E275</f>
        <v>13677336952.694784</v>
      </c>
      <c r="E306" s="150">
        <f>+MODELO!F275</f>
        <v>14771777240.387363</v>
      </c>
      <c r="F306" s="150">
        <f>+MODELO!G275</f>
        <v>15964559026.791491</v>
      </c>
      <c r="G306" s="326">
        <f>+MODELO!H275</f>
        <v>17259099969.521702</v>
      </c>
    </row>
    <row r="307" spans="1:7" s="26" customFormat="1" ht="19.899999999999999" customHeight="1" x14ac:dyDescent="0.2">
      <c r="A307"/>
      <c r="B307" s="325" t="s">
        <v>298</v>
      </c>
      <c r="C307" s="150">
        <f>+MODELO!D277</f>
        <v>3934296786.8171391</v>
      </c>
      <c r="D307" s="150">
        <f>+MODELO!E277</f>
        <v>2895286775.1975398</v>
      </c>
      <c r="E307" s="150">
        <f>+MODELO!F277</f>
        <v>3548267945.9733381</v>
      </c>
      <c r="F307" s="150">
        <f>+MODELO!G277</f>
        <v>4212544817.5842819</v>
      </c>
      <c r="G307" s="326">
        <f>+MODELO!H277</f>
        <v>4999867140.8604851</v>
      </c>
    </row>
    <row r="308" spans="1:7" s="26" customFormat="1" ht="19.899999999999999" customHeight="1" x14ac:dyDescent="0.25">
      <c r="A308"/>
      <c r="B308" s="328" t="s">
        <v>299</v>
      </c>
      <c r="C308" s="318">
        <f>SUM(C303:C307)</f>
        <v>42481742181.031319</v>
      </c>
      <c r="D308" s="318">
        <f>SUM(D303:D307)</f>
        <v>41350623643.415138</v>
      </c>
      <c r="E308" s="318">
        <f>SUM(E303:E307)</f>
        <v>44832831888.026619</v>
      </c>
      <c r="F308" s="318">
        <f>SUM(F303:F307)</f>
        <v>48561020086.97007</v>
      </c>
      <c r="G308" s="329">
        <f>SUM(G303:G307)</f>
        <v>52663571425.453323</v>
      </c>
    </row>
    <row r="309" spans="1:7" s="26" customFormat="1" ht="19.899999999999999" customHeight="1" x14ac:dyDescent="0.25">
      <c r="A309"/>
      <c r="B309" s="328" t="s">
        <v>300</v>
      </c>
      <c r="C309" s="318">
        <f>+C302-C308</f>
        <v>4685085472.7769394</v>
      </c>
      <c r="D309" s="318">
        <f>+D302-D308</f>
        <v>725064083.87329102</v>
      </c>
      <c r="E309" s="318">
        <f>+E302-E308</f>
        <v>-214524411.41255951</v>
      </c>
      <c r="F309" s="318">
        <f>+F302-F308</f>
        <v>-761576242.49246216</v>
      </c>
      <c r="G309" s="329">
        <f>+G302-G308</f>
        <v>-1837960010.7501526</v>
      </c>
    </row>
    <row r="310" spans="1:7" s="26" customFormat="1" ht="19.899999999999999" customHeight="1" x14ac:dyDescent="0.25">
      <c r="A310"/>
      <c r="B310" s="322" t="s">
        <v>301</v>
      </c>
      <c r="C310" s="150"/>
      <c r="D310" s="150"/>
      <c r="E310" s="150"/>
      <c r="F310" s="150"/>
      <c r="G310" s="326"/>
    </row>
    <row r="311" spans="1:7" s="26" customFormat="1" ht="19.899999999999999" customHeight="1" x14ac:dyDescent="0.2">
      <c r="A311"/>
      <c r="B311" s="325" t="s">
        <v>302</v>
      </c>
      <c r="C311" s="150">
        <f>+MODELO!D276</f>
        <v>659783416.95465004</v>
      </c>
      <c r="D311" s="150">
        <f>+MODELO!E276</f>
        <v>712901858.95234203</v>
      </c>
      <c r="E311" s="150">
        <f>+MODELO!F276</f>
        <v>770211608.63657689</v>
      </c>
      <c r="F311" s="150">
        <f>+MODELO!G276</f>
        <v>832634031.02978313</v>
      </c>
      <c r="G311" s="326">
        <f>+MODELO!H276</f>
        <v>900719488.21299589</v>
      </c>
    </row>
    <row r="312" spans="1:7" s="26" customFormat="1" ht="19.899999999999999" customHeight="1" x14ac:dyDescent="0.2">
      <c r="A312"/>
      <c r="B312" s="325" t="s">
        <v>352</v>
      </c>
      <c r="C312" s="150">
        <f>D267</f>
        <v>569535612.83296061</v>
      </c>
      <c r="D312" s="150">
        <f>E267</f>
        <v>1758251861.2724295</v>
      </c>
      <c r="E312" s="150">
        <f>F267</f>
        <v>2541789309.5630622</v>
      </c>
      <c r="F312" s="150">
        <f>G267</f>
        <v>3581568913.4762254</v>
      </c>
      <c r="G312" s="326">
        <f>H267</f>
        <v>4703602537.2008982</v>
      </c>
    </row>
    <row r="313" spans="1:7" s="26" customFormat="1" ht="19.899999999999999" customHeight="1" x14ac:dyDescent="0.25">
      <c r="A313"/>
      <c r="B313" s="328" t="s">
        <v>303</v>
      </c>
      <c r="C313" s="318">
        <f>-C311+C312</f>
        <v>-90247804.121689439</v>
      </c>
      <c r="D313" s="318">
        <f>-D311+D312</f>
        <v>1045350002.3200874</v>
      </c>
      <c r="E313" s="318">
        <f>-E311+E312</f>
        <v>1771577700.9264853</v>
      </c>
      <c r="F313" s="318">
        <f>-F311+F312</f>
        <v>2748934882.4464421</v>
      </c>
      <c r="G313" s="329">
        <f>-G311+G312</f>
        <v>3802883048.9879022</v>
      </c>
    </row>
    <row r="314" spans="1:7" s="26" customFormat="1" ht="19.899999999999999" customHeight="1" x14ac:dyDescent="0.2">
      <c r="A314"/>
      <c r="B314" s="327"/>
      <c r="C314" s="150"/>
      <c r="D314" s="150"/>
      <c r="E314" s="150"/>
      <c r="F314" s="150"/>
      <c r="G314" s="326"/>
    </row>
    <row r="315" spans="1:7" s="26" customFormat="1" ht="19.899999999999999" customHeight="1" x14ac:dyDescent="0.25">
      <c r="A315"/>
      <c r="B315" s="328" t="s">
        <v>304</v>
      </c>
      <c r="C315" s="318">
        <f>+C309+C313</f>
        <v>4594837668.6552496</v>
      </c>
      <c r="D315" s="318">
        <f>+D309+D313</f>
        <v>1770414086.1933784</v>
      </c>
      <c r="E315" s="318">
        <f>+E309+E313</f>
        <v>1557053289.5139258</v>
      </c>
      <c r="F315" s="318">
        <f>+F309+F313</f>
        <v>1987358639.95398</v>
      </c>
      <c r="G315" s="329">
        <f>+G309+G313</f>
        <v>1964923038.2377496</v>
      </c>
    </row>
    <row r="316" spans="1:7" s="26" customFormat="1" ht="19.899999999999999" customHeight="1" x14ac:dyDescent="0.25">
      <c r="A316"/>
      <c r="B316" s="322" t="s">
        <v>305</v>
      </c>
      <c r="C316" s="147"/>
      <c r="D316" s="147"/>
      <c r="E316" s="147"/>
      <c r="F316" s="147"/>
      <c r="G316" s="324"/>
    </row>
    <row r="317" spans="1:7" s="26" customFormat="1" ht="19.899999999999999" customHeight="1" x14ac:dyDescent="0.2">
      <c r="A317"/>
      <c r="B317" s="325" t="s">
        <v>306</v>
      </c>
      <c r="C317" s="150">
        <f>+MODELO!D268</f>
        <v>0</v>
      </c>
      <c r="D317" s="150">
        <f>+MODELO!E268</f>
        <v>0</v>
      </c>
      <c r="E317" s="150">
        <f>+MODELO!F268</f>
        <v>0</v>
      </c>
      <c r="F317" s="150">
        <f>+MODELO!G268</f>
        <v>0</v>
      </c>
      <c r="G317" s="326">
        <f>+MODELO!H268</f>
        <v>0</v>
      </c>
    </row>
    <row r="318" spans="1:7" s="26" customFormat="1" ht="19.899999999999999" customHeight="1" x14ac:dyDescent="0.2">
      <c r="A318"/>
      <c r="B318" s="327" t="s">
        <v>307</v>
      </c>
      <c r="C318" s="150">
        <f>+MODELO!D269</f>
        <v>25000000</v>
      </c>
      <c r="D318" s="150">
        <f>+MODELO!E269</f>
        <v>10000000</v>
      </c>
      <c r="E318" s="150">
        <f>+MODELO!F269</f>
        <v>0</v>
      </c>
      <c r="F318" s="150">
        <f>+MODELO!G269</f>
        <v>0</v>
      </c>
      <c r="G318" s="326">
        <f>+MODELO!H269</f>
        <v>0</v>
      </c>
    </row>
    <row r="319" spans="1:7" s="26" customFormat="1" ht="19.899999999999999" customHeight="1" x14ac:dyDescent="0.25">
      <c r="A319"/>
      <c r="B319" s="328" t="s">
        <v>308</v>
      </c>
      <c r="C319" s="318">
        <f>SUM(C317:C318)</f>
        <v>25000000</v>
      </c>
      <c r="D319" s="318">
        <f>SUM(D317:D318)</f>
        <v>10000000</v>
      </c>
      <c r="E319" s="318">
        <f>SUM(E317:E318)</f>
        <v>0</v>
      </c>
      <c r="F319" s="318">
        <f>SUM(F317:F318)</f>
        <v>0</v>
      </c>
      <c r="G319" s="329">
        <f>SUM(G317:G318)</f>
        <v>0</v>
      </c>
    </row>
    <row r="320" spans="1:7" s="26" customFormat="1" ht="19.899999999999999" customHeight="1" x14ac:dyDescent="0.2">
      <c r="A320"/>
      <c r="B320" s="327"/>
      <c r="C320" s="150"/>
      <c r="D320" s="150"/>
      <c r="E320" s="150"/>
      <c r="F320" s="150"/>
      <c r="G320" s="326"/>
    </row>
    <row r="321" spans="1:21" s="26" customFormat="1" ht="19.899999999999999" customHeight="1" x14ac:dyDescent="0.2">
      <c r="A321"/>
      <c r="B321" s="327" t="s">
        <v>309</v>
      </c>
      <c r="C321" s="150">
        <f>+MODELO!D278</f>
        <v>1060401063.041514</v>
      </c>
      <c r="D321" s="150">
        <f>+MODELO!E278</f>
        <v>907239778.44670248</v>
      </c>
      <c r="E321" s="150">
        <f>+MODELO!F278</f>
        <v>789807299.73030257</v>
      </c>
      <c r="F321" s="150">
        <f>+MODELO!G278</f>
        <v>637920250.89491308</v>
      </c>
      <c r="G321" s="326">
        <f>+MODELO!H278</f>
        <v>441373644.88338423</v>
      </c>
    </row>
    <row r="322" spans="1:21" s="26" customFormat="1" ht="19.899999999999999" customHeight="1" x14ac:dyDescent="0.2">
      <c r="A322"/>
      <c r="B322" s="327" t="s">
        <v>87</v>
      </c>
      <c r="C322" s="150">
        <f>+MODELO!D279</f>
        <v>722638559.13565576</v>
      </c>
      <c r="D322" s="150">
        <f>+MODELO!E279</f>
        <v>850329487.26055169</v>
      </c>
      <c r="E322" s="150">
        <f>+MODELO!F279</f>
        <v>978776170.94925642</v>
      </c>
      <c r="F322" s="150">
        <f>+MODELO!G279</f>
        <v>1133681565.2706966</v>
      </c>
      <c r="G322" s="326">
        <f>+MODELO!H279</f>
        <v>1318723044.6557939</v>
      </c>
    </row>
    <row r="323" spans="1:21" s="26" customFormat="1" ht="19.899999999999999" customHeight="1" x14ac:dyDescent="0.2">
      <c r="A323"/>
      <c r="B323" s="325" t="s">
        <v>263</v>
      </c>
      <c r="C323" s="150">
        <f>+MODELO!D280</f>
        <v>0</v>
      </c>
      <c r="D323" s="150">
        <f>+MODELO!E280</f>
        <v>0</v>
      </c>
      <c r="E323" s="150">
        <f>+MODELO!F280</f>
        <v>0</v>
      </c>
      <c r="F323" s="150">
        <f>+MODELO!G280</f>
        <v>0</v>
      </c>
      <c r="G323" s="326">
        <f>+MODELO!H280</f>
        <v>0</v>
      </c>
    </row>
    <row r="324" spans="1:21" s="26" customFormat="1" ht="19.899999999999999" customHeight="1" x14ac:dyDescent="0.25">
      <c r="A324"/>
      <c r="B324" s="328" t="s">
        <v>310</v>
      </c>
      <c r="C324" s="318">
        <f>SUM(C321:C323)</f>
        <v>1783039622.1771698</v>
      </c>
      <c r="D324" s="318">
        <f>SUM(D321:D323)</f>
        <v>1757569265.7072542</v>
      </c>
      <c r="E324" s="318">
        <f>SUM(E321:E323)</f>
        <v>1768583470.679559</v>
      </c>
      <c r="F324" s="318">
        <f>SUM(F321:F323)</f>
        <v>1771601816.1656098</v>
      </c>
      <c r="G324" s="329">
        <f>SUM(G321:G323)</f>
        <v>1760096689.5391781</v>
      </c>
    </row>
    <row r="325" spans="1:21" s="26" customFormat="1" ht="10.15" customHeight="1" x14ac:dyDescent="0.25">
      <c r="A325"/>
      <c r="B325" s="322"/>
      <c r="C325" s="150"/>
      <c r="D325" s="150"/>
      <c r="E325" s="150"/>
      <c r="F325" s="150"/>
      <c r="G325" s="326"/>
    </row>
    <row r="326" spans="1:21" s="26" customFormat="1" ht="19.899999999999999" customHeight="1" x14ac:dyDescent="0.25">
      <c r="A326"/>
      <c r="B326" s="328" t="s">
        <v>311</v>
      </c>
      <c r="C326" s="318">
        <f>+C319-C324</f>
        <v>-1758039622.1771698</v>
      </c>
      <c r="D326" s="318">
        <f>+D319-D324</f>
        <v>-1747569265.7072542</v>
      </c>
      <c r="E326" s="318">
        <f>+E319-E324</f>
        <v>-1768583470.679559</v>
      </c>
      <c r="F326" s="318">
        <f>+F319-F324</f>
        <v>-1771601816.1656098</v>
      </c>
      <c r="G326" s="329">
        <f>+G319-G324</f>
        <v>-1760096689.5391781</v>
      </c>
    </row>
    <row r="327" spans="1:21" s="26" customFormat="1" ht="10.15" customHeight="1" thickBot="1" x14ac:dyDescent="0.3">
      <c r="A327"/>
      <c r="B327" s="322"/>
      <c r="C327" s="320"/>
      <c r="D327" s="320"/>
      <c r="E327" s="320"/>
      <c r="F327" s="320"/>
      <c r="G327" s="330"/>
    </row>
    <row r="328" spans="1:21" s="26" customFormat="1" ht="19.899999999999999" customHeight="1" thickBot="1" x14ac:dyDescent="0.25">
      <c r="A328"/>
      <c r="B328" s="331" t="s">
        <v>312</v>
      </c>
      <c r="C328" s="319">
        <f>C297+C309+C313+C326</f>
        <v>2849445198.4780798</v>
      </c>
      <c r="D328" s="319">
        <f>D297+D309+D313+D326</f>
        <v>2872290018.9642038</v>
      </c>
      <c r="E328" s="319">
        <f>E297+E309+E313+E326</f>
        <v>2660759837.7985764</v>
      </c>
      <c r="F328" s="319">
        <f>F297+F309+F313+F326</f>
        <v>2876516661.5869517</v>
      </c>
      <c r="G328" s="332">
        <f>G297+G309+G313+G326</f>
        <v>3081343010.2855215</v>
      </c>
    </row>
    <row r="329" spans="1:21" s="26" customFormat="1" ht="19.899999999999999" hidden="1" customHeight="1" x14ac:dyDescent="0.2">
      <c r="A329"/>
      <c r="B329" s="25"/>
      <c r="C329" s="25"/>
      <c r="D329" s="53"/>
      <c r="E329" s="53"/>
      <c r="F329" s="53"/>
      <c r="G329" s="53"/>
      <c r="H329" s="53"/>
      <c r="I329" s="53"/>
      <c r="J329" s="53"/>
    </row>
    <row r="330" spans="1:21" s="26" customFormat="1" ht="19.899999999999999" hidden="1" customHeight="1" x14ac:dyDescent="0.25">
      <c r="A330"/>
      <c r="B330" s="123" t="s">
        <v>313</v>
      </c>
      <c r="C330" s="124"/>
      <c r="D330" s="53"/>
      <c r="E330" s="53"/>
      <c r="F330" s="53"/>
      <c r="G330" s="53"/>
      <c r="H330" s="53"/>
      <c r="I330" s="53"/>
      <c r="J330" s="53"/>
      <c r="L330" s="21"/>
      <c r="M330" s="21"/>
      <c r="N330" s="21"/>
      <c r="O330" s="21"/>
      <c r="P330" s="21"/>
      <c r="Q330" s="21"/>
      <c r="R330" s="21"/>
      <c r="S330" s="21"/>
      <c r="T330"/>
      <c r="U330"/>
    </row>
    <row r="331" spans="1:21" ht="19.899999999999999" hidden="1" customHeight="1" x14ac:dyDescent="0.25">
      <c r="B331" s="125" t="s">
        <v>265</v>
      </c>
      <c r="C331" s="126" t="e">
        <f>+#REF!</f>
        <v>#REF!</v>
      </c>
      <c r="D331" s="126" t="e">
        <f>+#REF!</f>
        <v>#REF!</v>
      </c>
      <c r="E331" s="126" t="e">
        <f>+#REF!</f>
        <v>#REF!</v>
      </c>
      <c r="F331" s="127">
        <f>+C296</f>
        <v>2022</v>
      </c>
      <c r="G331" s="127">
        <f>+D296</f>
        <v>2023</v>
      </c>
      <c r="H331" s="127">
        <f>+E296</f>
        <v>2024</v>
      </c>
      <c r="I331" s="127">
        <f>+F296</f>
        <v>2025</v>
      </c>
      <c r="J331" s="127">
        <f>+G296</f>
        <v>2026</v>
      </c>
      <c r="K331" s="400"/>
      <c r="L331" s="26"/>
      <c r="M331" s="26"/>
      <c r="N331" s="26"/>
      <c r="O331" s="26"/>
      <c r="P331" s="26"/>
      <c r="Q331" s="26"/>
      <c r="R331" s="26"/>
      <c r="S331" s="26"/>
      <c r="T331" s="26"/>
      <c r="U331" s="26"/>
    </row>
    <row r="332" spans="1:21" s="26" customFormat="1" ht="19.899999999999999" hidden="1" customHeight="1" x14ac:dyDescent="0.2">
      <c r="A332"/>
      <c r="B332" s="59" t="s">
        <v>314</v>
      </c>
      <c r="C332" s="70"/>
      <c r="D332" s="70"/>
      <c r="E332" s="70"/>
      <c r="F332" s="70"/>
      <c r="G332" s="45">
        <f>+D302/C302-1</f>
        <v>-0.10793899398720253</v>
      </c>
      <c r="H332" s="45">
        <f>+E302/D302-1</f>
        <v>6.0429665839462965E-2</v>
      </c>
      <c r="I332" s="45">
        <f>+F302/E302-1</f>
        <v>7.1296661567247677E-2</v>
      </c>
      <c r="J332" s="45">
        <f>+G302/F302-1</f>
        <v>6.3309681595284495E-2</v>
      </c>
    </row>
    <row r="333" spans="1:21" s="26" customFormat="1" ht="19.899999999999999" hidden="1" customHeight="1" x14ac:dyDescent="0.25">
      <c r="A333"/>
      <c r="B333" s="59" t="s">
        <v>315</v>
      </c>
      <c r="C333" s="70"/>
      <c r="D333" s="70"/>
      <c r="E333" s="70"/>
      <c r="F333" s="70"/>
      <c r="G333" s="84">
        <f>+D308/C308-1</f>
        <v>-2.6625992239113994E-2</v>
      </c>
      <c r="H333" s="84">
        <f>+E308/D308-1</f>
        <v>8.4211746711249535E-2</v>
      </c>
      <c r="I333" s="84">
        <f>+F308/E308-1</f>
        <v>8.3157544191160726E-2</v>
      </c>
      <c r="J333" s="84">
        <f>+G308/F308-1</f>
        <v>8.4482396192168352E-2</v>
      </c>
    </row>
    <row r="334" spans="1:21" s="26" customFormat="1" ht="19.899999999999999" hidden="1" customHeight="1" x14ac:dyDescent="0.25">
      <c r="A334"/>
      <c r="B334" s="54" t="s">
        <v>316</v>
      </c>
      <c r="C334" s="70"/>
      <c r="D334" s="70"/>
      <c r="E334" s="70"/>
      <c r="F334" s="85">
        <f>+C308/C302</f>
        <v>0.90066990497719712</v>
      </c>
      <c r="G334" s="84">
        <f>+D308/D302</f>
        <v>0.98276762370296211</v>
      </c>
      <c r="H334" s="84">
        <f>+E308/E302</f>
        <v>1.0048079907899914</v>
      </c>
      <c r="I334" s="84">
        <f>+F308/F302</f>
        <v>1.0159327427526219</v>
      </c>
      <c r="J334" s="84">
        <f>+G308/G302</f>
        <v>1.0361620836344421</v>
      </c>
    </row>
    <row r="335" spans="1:21" s="26" customFormat="1" ht="19.899999999999999" hidden="1" customHeight="1" x14ac:dyDescent="0.2">
      <c r="A335"/>
      <c r="B335" s="54" t="s">
        <v>317</v>
      </c>
      <c r="C335" s="70"/>
      <c r="D335" s="70"/>
      <c r="E335" s="70"/>
      <c r="F335" s="45">
        <f>+C323/C302</f>
        <v>0</v>
      </c>
      <c r="G335" s="45">
        <f>+D323/D302</f>
        <v>0</v>
      </c>
      <c r="H335" s="45">
        <f>+E323/E302</f>
        <v>0</v>
      </c>
      <c r="I335" s="45">
        <f>+F323/F302</f>
        <v>0</v>
      </c>
      <c r="J335" s="45">
        <f>+G323/G302</f>
        <v>0</v>
      </c>
    </row>
    <row r="336" spans="1:21" s="26" customFormat="1" ht="19.899999999999999" hidden="1" customHeight="1" x14ac:dyDescent="0.2">
      <c r="A336"/>
      <c r="B336" s="25"/>
      <c r="C336" s="25"/>
      <c r="D336" s="25"/>
      <c r="E336" s="25"/>
      <c r="F336" s="25"/>
      <c r="G336" s="25"/>
      <c r="H336" s="25"/>
      <c r="I336" s="25"/>
      <c r="J336" s="25"/>
    </row>
    <row r="337" spans="1:21" s="26" customFormat="1" ht="19.899999999999999" hidden="1" customHeight="1" x14ac:dyDescent="0.2">
      <c r="A337"/>
      <c r="B337" s="25"/>
      <c r="C337" s="25"/>
      <c r="D337" s="25"/>
      <c r="E337" s="25"/>
      <c r="F337" s="25"/>
      <c r="G337" s="25"/>
      <c r="H337" s="25"/>
      <c r="I337" s="25"/>
      <c r="J337" s="25"/>
    </row>
    <row r="338" spans="1:21" s="26" customFormat="1" ht="19.899999999999999" hidden="1" customHeight="1" x14ac:dyDescent="0.25">
      <c r="A338"/>
      <c r="B338" s="87" t="s">
        <v>336</v>
      </c>
      <c r="C338" s="25"/>
      <c r="D338" s="53"/>
      <c r="E338" s="128"/>
      <c r="F338" s="128"/>
      <c r="G338" s="128"/>
      <c r="H338" s="129" t="s">
        <v>75</v>
      </c>
      <c r="I338" s="128"/>
      <c r="J338" s="128"/>
      <c r="L338" s="21"/>
      <c r="M338" s="21"/>
      <c r="N338" s="21"/>
      <c r="O338" s="21"/>
      <c r="P338" s="21"/>
      <c r="Q338" s="21"/>
      <c r="R338" s="21"/>
      <c r="S338" s="21"/>
      <c r="T338"/>
      <c r="U338"/>
    </row>
    <row r="339" spans="1:21" ht="19.899999999999999" hidden="1" customHeight="1" x14ac:dyDescent="0.25">
      <c r="B339" s="125"/>
      <c r="C339" s="126" t="e">
        <f>+#REF!</f>
        <v>#REF!</v>
      </c>
      <c r="D339" s="126" t="e">
        <f>+#REF!</f>
        <v>#REF!</v>
      </c>
      <c r="E339" s="126">
        <f t="shared" ref="E339:J339" si="52">+C$97</f>
        <v>2021</v>
      </c>
      <c r="F339" s="127">
        <f t="shared" si="52"/>
        <v>2022</v>
      </c>
      <c r="G339" s="127">
        <f t="shared" si="52"/>
        <v>2023</v>
      </c>
      <c r="H339" s="127">
        <f t="shared" si="52"/>
        <v>2024</v>
      </c>
      <c r="I339" s="127">
        <f t="shared" si="52"/>
        <v>2025</v>
      </c>
      <c r="J339" s="127">
        <f t="shared" si="52"/>
        <v>2026</v>
      </c>
      <c r="K339" s="400"/>
      <c r="L339" s="26"/>
      <c r="M339" s="26"/>
      <c r="N339" s="26"/>
      <c r="O339" s="26"/>
      <c r="P339" s="26"/>
      <c r="Q339" s="26"/>
      <c r="R339" s="26"/>
      <c r="S339" s="26"/>
      <c r="T339" s="26"/>
      <c r="U339" s="26"/>
    </row>
    <row r="340" spans="1:21" s="26" customFormat="1" ht="19.899999999999999" hidden="1" customHeight="1" x14ac:dyDescent="0.25">
      <c r="A340"/>
      <c r="B340" s="49" t="s">
        <v>337</v>
      </c>
      <c r="C340" s="50"/>
      <c r="D340" s="64">
        <f t="shared" ref="D340:J340" si="53">C255</f>
        <v>4593003061</v>
      </c>
      <c r="E340" s="64">
        <f t="shared" si="53"/>
        <v>8604348249</v>
      </c>
      <c r="F340" s="64">
        <f t="shared" si="53"/>
        <v>9088727714</v>
      </c>
      <c r="G340" s="64">
        <f t="shared" si="53"/>
        <v>13992566411.83898</v>
      </c>
      <c r="H340" s="64">
        <f t="shared" si="53"/>
        <v>20547189802.937775</v>
      </c>
      <c r="I340" s="64">
        <f t="shared" si="53"/>
        <v>28190872814.985161</v>
      </c>
      <c r="J340" s="64">
        <f t="shared" si="53"/>
        <v>37349654988.916946</v>
      </c>
    </row>
    <row r="341" spans="1:21" s="26" customFormat="1" ht="19.899999999999999" hidden="1" customHeight="1" x14ac:dyDescent="0.25">
      <c r="A341"/>
      <c r="B341" s="52"/>
      <c r="C341" s="25"/>
      <c r="D341" s="65"/>
      <c r="E341" s="65"/>
      <c r="F341" s="65"/>
      <c r="G341" s="65"/>
      <c r="H341" s="65"/>
      <c r="I341" s="65"/>
      <c r="J341" s="65"/>
    </row>
    <row r="342" spans="1:21" s="26" customFormat="1" ht="19.899999999999999" hidden="1" customHeight="1" x14ac:dyDescent="0.25">
      <c r="A342"/>
      <c r="B342" s="54" t="s">
        <v>379</v>
      </c>
      <c r="C342" s="55"/>
      <c r="D342" s="63">
        <f t="shared" ref="D342:J342" si="54">D251-C251</f>
        <v>0</v>
      </c>
      <c r="E342" s="63">
        <f t="shared" si="54"/>
        <v>0</v>
      </c>
      <c r="F342" s="63">
        <f t="shared" si="54"/>
        <v>25000000</v>
      </c>
      <c r="G342" s="63">
        <f t="shared" si="54"/>
        <v>10000000</v>
      </c>
      <c r="H342" s="63">
        <f t="shared" si="54"/>
        <v>0</v>
      </c>
      <c r="I342" s="63">
        <f t="shared" si="54"/>
        <v>0</v>
      </c>
      <c r="J342" s="63">
        <f t="shared" si="54"/>
        <v>0</v>
      </c>
    </row>
    <row r="343" spans="1:21" s="26" customFormat="1" ht="19.899999999999999" hidden="1" customHeight="1" x14ac:dyDescent="0.25">
      <c r="A343"/>
      <c r="B343" s="56" t="s">
        <v>30</v>
      </c>
      <c r="C343" s="57"/>
      <c r="D343" s="63">
        <f t="shared" ref="D343:J343" si="55">D253</f>
        <v>4011345188</v>
      </c>
      <c r="E343" s="63">
        <f t="shared" si="55"/>
        <v>3561986386</v>
      </c>
      <c r="F343" s="63">
        <f t="shared" si="55"/>
        <v>4878838697.8389797</v>
      </c>
      <c r="G343" s="63">
        <f t="shared" si="55"/>
        <v>6544623391.0987959</v>
      </c>
      <c r="H343" s="63">
        <f t="shared" si="55"/>
        <v>7643683012.0473804</v>
      </c>
      <c r="I343" s="63">
        <f t="shared" si="55"/>
        <v>9158782173.9317875</v>
      </c>
      <c r="J343" s="63">
        <f t="shared" si="55"/>
        <v>10812887564.197094</v>
      </c>
    </row>
    <row r="344" spans="1:21" s="26" customFormat="1" ht="19.899999999999999" hidden="1" customHeight="1" x14ac:dyDescent="0.25">
      <c r="A344"/>
      <c r="B344" s="56" t="s">
        <v>263</v>
      </c>
      <c r="C344" s="57"/>
      <c r="D344" s="63">
        <f t="shared" ref="D344:J344" si="56">-C191</f>
        <v>0</v>
      </c>
      <c r="E344" s="63">
        <f t="shared" si="56"/>
        <v>-2931683118.2801061</v>
      </c>
      <c r="F344" s="63">
        <f t="shared" si="56"/>
        <v>0</v>
      </c>
      <c r="G344" s="63">
        <f t="shared" si="56"/>
        <v>0</v>
      </c>
      <c r="H344" s="63">
        <f t="shared" si="56"/>
        <v>0</v>
      </c>
      <c r="I344" s="63">
        <f t="shared" si="56"/>
        <v>0</v>
      </c>
      <c r="J344" s="63">
        <f t="shared" si="56"/>
        <v>0</v>
      </c>
    </row>
    <row r="345" spans="1:21" s="26" customFormat="1" ht="19.899999999999999" hidden="1" customHeight="1" x14ac:dyDescent="0.25">
      <c r="A345"/>
      <c r="B345" s="49" t="s">
        <v>339</v>
      </c>
      <c r="C345" s="50"/>
      <c r="D345" s="64">
        <f t="shared" ref="D345:J345" si="57">SUM(D342:D344)</f>
        <v>4011345188</v>
      </c>
      <c r="E345" s="64">
        <f t="shared" si="57"/>
        <v>630303267.71989393</v>
      </c>
      <c r="F345" s="64">
        <f t="shared" si="57"/>
        <v>4903838697.8389797</v>
      </c>
      <c r="G345" s="64">
        <f t="shared" si="57"/>
        <v>6554623391.0987959</v>
      </c>
      <c r="H345" s="64">
        <f t="shared" si="57"/>
        <v>7643683012.0473804</v>
      </c>
      <c r="I345" s="64">
        <f t="shared" si="57"/>
        <v>9158782173.9317875</v>
      </c>
      <c r="J345" s="64">
        <f t="shared" si="57"/>
        <v>10812887564.197094</v>
      </c>
    </row>
    <row r="346" spans="1:21" s="26" customFormat="1" ht="19.899999999999999" hidden="1" customHeight="1" x14ac:dyDescent="0.2">
      <c r="A346"/>
      <c r="B346" s="25"/>
      <c r="C346" s="25"/>
      <c r="D346" s="65"/>
      <c r="E346" s="65"/>
      <c r="F346" s="65"/>
      <c r="G346" s="65"/>
      <c r="H346" s="65"/>
      <c r="I346" s="65"/>
      <c r="J346" s="65"/>
    </row>
    <row r="347" spans="1:21" s="26" customFormat="1" ht="19.899999999999999" hidden="1" customHeight="1" x14ac:dyDescent="0.25">
      <c r="A347"/>
      <c r="B347" s="58" t="s">
        <v>340</v>
      </c>
      <c r="C347" s="50"/>
      <c r="D347" s="64">
        <f t="shared" ref="D347:J347" si="58">D340+D345</f>
        <v>8604348249</v>
      </c>
      <c r="E347" s="64">
        <f t="shared" si="58"/>
        <v>9234651516.7198944</v>
      </c>
      <c r="F347" s="64">
        <f t="shared" si="58"/>
        <v>13992566411.83898</v>
      </c>
      <c r="G347" s="64">
        <f t="shared" si="58"/>
        <v>20547189802.937775</v>
      </c>
      <c r="H347" s="64">
        <f t="shared" si="58"/>
        <v>28190872814.985153</v>
      </c>
      <c r="I347" s="64">
        <f t="shared" si="58"/>
        <v>37349654988.916946</v>
      </c>
      <c r="J347" s="64">
        <f t="shared" si="58"/>
        <v>48162542553.114044</v>
      </c>
    </row>
    <row r="348" spans="1:21" s="26" customFormat="1" ht="19.899999999999999" hidden="1" customHeight="1" x14ac:dyDescent="0.2">
      <c r="A348"/>
      <c r="B348" s="25"/>
      <c r="C348" s="25"/>
      <c r="D348" s="25"/>
      <c r="E348" s="25"/>
      <c r="F348" s="25"/>
      <c r="G348" s="25"/>
      <c r="H348" s="25"/>
      <c r="I348" s="25"/>
      <c r="J348" s="25"/>
    </row>
    <row r="349" spans="1:21" s="26" customFormat="1" ht="19.899999999999999" hidden="1" customHeight="1" x14ac:dyDescent="0.25">
      <c r="A349"/>
      <c r="B349" s="82" t="s">
        <v>188</v>
      </c>
      <c r="C349" s="60"/>
      <c r="D349" s="60"/>
      <c r="E349" s="60"/>
      <c r="F349" s="83">
        <f>ROUND(F347-F255,1)</f>
        <v>0</v>
      </c>
      <c r="G349" s="83">
        <f>ROUND(G347-G255,1)</f>
        <v>0</v>
      </c>
      <c r="H349" s="83">
        <f>ROUND(H347-H255,1)</f>
        <v>0</v>
      </c>
      <c r="I349" s="83">
        <f>ROUND(I347-I255,1)</f>
        <v>0</v>
      </c>
      <c r="J349" s="83">
        <f>ROUND(J347-J255,1)</f>
        <v>0</v>
      </c>
    </row>
    <row r="350" spans="1:21" s="26" customFormat="1" ht="19.899999999999999" hidden="1" customHeight="1" x14ac:dyDescent="0.2">
      <c r="A350"/>
      <c r="B350" s="25"/>
      <c r="C350" s="25"/>
      <c r="D350" s="25"/>
      <c r="E350" s="25"/>
      <c r="F350" s="25"/>
      <c r="G350" s="25"/>
      <c r="H350" s="25"/>
      <c r="I350" s="25"/>
      <c r="J350" s="25"/>
    </row>
    <row r="351" spans="1:21" s="26" customFormat="1" ht="16.899999999999999" hidden="1" customHeight="1" x14ac:dyDescent="0.2">
      <c r="A351"/>
      <c r="D351" s="46"/>
      <c r="E351" s="46"/>
      <c r="F351" s="46"/>
      <c r="G351" s="46"/>
      <c r="H351" s="46"/>
      <c r="I351" s="46"/>
      <c r="J351" s="46"/>
    </row>
    <row r="352" spans="1:21" s="26" customFormat="1" ht="23.25" hidden="1" x14ac:dyDescent="0.35">
      <c r="A352"/>
      <c r="B352" s="61" t="s">
        <v>313</v>
      </c>
      <c r="C352" s="62"/>
      <c r="D352" s="46"/>
      <c r="E352" s="46"/>
      <c r="F352" s="46"/>
      <c r="G352" s="46"/>
      <c r="H352" s="46"/>
      <c r="I352" s="46"/>
      <c r="J352" s="46"/>
      <c r="L352" s="21"/>
      <c r="M352" s="21"/>
      <c r="N352" s="21"/>
      <c r="O352" s="21"/>
      <c r="P352" s="21"/>
      <c r="Q352" s="21"/>
      <c r="R352" s="21"/>
      <c r="S352" s="21"/>
      <c r="T352"/>
      <c r="U352"/>
    </row>
    <row r="353" spans="1:21" s="26" customFormat="1" ht="15.75" hidden="1" x14ac:dyDescent="0.25">
      <c r="A353"/>
      <c r="B353" s="87" t="s">
        <v>383</v>
      </c>
      <c r="D353" s="46"/>
      <c r="E353" s="47"/>
      <c r="F353" s="47"/>
      <c r="G353" s="47"/>
      <c r="H353" s="48"/>
      <c r="I353" s="47"/>
      <c r="J353" s="47"/>
      <c r="L353" s="21"/>
      <c r="M353" s="21"/>
      <c r="N353" s="21"/>
      <c r="O353" s="21"/>
      <c r="P353" s="21"/>
      <c r="Q353" s="21"/>
      <c r="R353" s="21"/>
      <c r="S353" s="21"/>
      <c r="T353"/>
      <c r="U353"/>
    </row>
    <row r="354" spans="1:21" ht="18" hidden="1" x14ac:dyDescent="0.25">
      <c r="B354" s="14" t="s">
        <v>265</v>
      </c>
      <c r="C354" s="18" t="e">
        <f>C331</f>
        <v>#REF!</v>
      </c>
      <c r="D354" s="18" t="e">
        <f t="shared" ref="D354:J354" si="59">D331</f>
        <v>#REF!</v>
      </c>
      <c r="E354" s="18" t="e">
        <f t="shared" si="59"/>
        <v>#REF!</v>
      </c>
      <c r="F354" s="18">
        <f t="shared" si="59"/>
        <v>2022</v>
      </c>
      <c r="G354" s="18">
        <f t="shared" si="59"/>
        <v>2023</v>
      </c>
      <c r="H354" s="18">
        <f t="shared" si="59"/>
        <v>2024</v>
      </c>
      <c r="I354" s="18">
        <f t="shared" si="59"/>
        <v>2025</v>
      </c>
      <c r="J354" s="18">
        <f t="shared" si="59"/>
        <v>2026</v>
      </c>
      <c r="K354" s="400"/>
      <c r="L354" s="26"/>
      <c r="M354" s="26"/>
      <c r="N354" s="26"/>
      <c r="O354" s="26"/>
      <c r="P354" s="26"/>
      <c r="Q354" s="26"/>
      <c r="R354" s="26"/>
      <c r="S354" s="26"/>
      <c r="T354" s="26"/>
      <c r="U354" s="26"/>
    </row>
    <row r="355" spans="1:21" s="26" customFormat="1" ht="24" hidden="1" customHeight="1" x14ac:dyDescent="0.2">
      <c r="A355"/>
      <c r="B355" s="59" t="s">
        <v>380</v>
      </c>
      <c r="C355" s="86"/>
      <c r="D355" s="86"/>
      <c r="E355" s="45">
        <f t="shared" ref="E355:J355" si="60">E342/(E347-D347)</f>
        <v>0</v>
      </c>
      <c r="F355" s="45">
        <f t="shared" si="60"/>
        <v>5.2544025168769389E-3</v>
      </c>
      <c r="G355" s="45">
        <f>G342/(G347-F347)</f>
        <v>1.5256406666445612E-3</v>
      </c>
      <c r="H355" s="45">
        <f t="shared" si="60"/>
        <v>0</v>
      </c>
      <c r="I355" s="45">
        <f t="shared" si="60"/>
        <v>0</v>
      </c>
      <c r="J355" s="45">
        <f t="shared" si="60"/>
        <v>0</v>
      </c>
    </row>
    <row r="356" spans="1:21" s="26" customFormat="1" ht="24" hidden="1" customHeight="1" x14ac:dyDescent="0.2">
      <c r="A356"/>
      <c r="B356" s="54" t="s">
        <v>381</v>
      </c>
      <c r="C356" s="86"/>
      <c r="D356" s="86"/>
      <c r="E356" s="45">
        <f t="shared" ref="E356:J356" si="61">E343/(E347-D347)</f>
        <v>5.6512262722124111</v>
      </c>
      <c r="F356" s="45">
        <f t="shared" si="61"/>
        <v>1.0254152933344698</v>
      </c>
      <c r="G356" s="45">
        <f>G343/(G347-F347)</f>
        <v>0.9984743593333556</v>
      </c>
      <c r="H356" s="45">
        <f t="shared" si="61"/>
        <v>1.0000000000000002</v>
      </c>
      <c r="I356" s="45">
        <f t="shared" si="61"/>
        <v>0.99999999999999933</v>
      </c>
      <c r="J356" s="45">
        <f t="shared" si="61"/>
        <v>0.99999999999999967</v>
      </c>
    </row>
    <row r="357" spans="1:21" s="26" customFormat="1" ht="24" hidden="1" customHeight="1" x14ac:dyDescent="0.2">
      <c r="A357"/>
      <c r="B357" s="54" t="s">
        <v>382</v>
      </c>
      <c r="C357" s="86"/>
      <c r="D357" s="86"/>
      <c r="E357" s="45">
        <f t="shared" ref="E357:J357" si="62">E344/(E347-D347)</f>
        <v>-4.6512262722124111</v>
      </c>
      <c r="F357" s="45">
        <f t="shared" si="62"/>
        <v>0</v>
      </c>
      <c r="G357" s="45">
        <f>G344/(G347-F347)</f>
        <v>0</v>
      </c>
      <c r="H357" s="45">
        <f t="shared" si="62"/>
        <v>0</v>
      </c>
      <c r="I357" s="45">
        <f t="shared" si="62"/>
        <v>0</v>
      </c>
      <c r="J357" s="45">
        <f t="shared" si="62"/>
        <v>0</v>
      </c>
    </row>
    <row r="358" spans="1:21" s="26" customFormat="1" ht="17.45" hidden="1" customHeight="1" x14ac:dyDescent="0.2">
      <c r="A358"/>
    </row>
    <row r="359" spans="1:21" s="26" customFormat="1" ht="15.75" hidden="1" x14ac:dyDescent="0.25">
      <c r="A359"/>
      <c r="B359" s="87" t="s">
        <v>341</v>
      </c>
      <c r="D359" s="46"/>
      <c r="E359" s="47"/>
      <c r="F359" s="47"/>
      <c r="G359" s="47"/>
      <c r="H359" s="48"/>
      <c r="I359" s="47"/>
      <c r="J359" s="47"/>
      <c r="L359" s="21"/>
      <c r="M359" s="21"/>
      <c r="N359" s="21"/>
      <c r="O359" s="21"/>
      <c r="P359" s="21"/>
      <c r="Q359" s="21"/>
      <c r="R359" s="21"/>
      <c r="S359" s="21"/>
      <c r="T359"/>
      <c r="U359"/>
    </row>
    <row r="360" spans="1:21" ht="18" hidden="1" x14ac:dyDescent="0.25">
      <c r="B360" s="14"/>
      <c r="C360" s="18" t="e">
        <f>+#REF!</f>
        <v>#REF!</v>
      </c>
      <c r="D360" s="18" t="e">
        <f>+#REF!</f>
        <v>#REF!</v>
      </c>
      <c r="E360" s="18">
        <f t="shared" ref="E360:J360" si="63">+C$97</f>
        <v>2021</v>
      </c>
      <c r="F360" s="15">
        <f t="shared" si="63"/>
        <v>2022</v>
      </c>
      <c r="G360" s="15">
        <f t="shared" si="63"/>
        <v>2023</v>
      </c>
      <c r="H360" s="15">
        <f t="shared" si="63"/>
        <v>2024</v>
      </c>
      <c r="I360" s="15">
        <f t="shared" si="63"/>
        <v>2025</v>
      </c>
      <c r="J360" s="15">
        <f t="shared" si="63"/>
        <v>2026</v>
      </c>
      <c r="K360" s="400"/>
      <c r="L360" s="26"/>
      <c r="M360" s="26"/>
      <c r="N360" s="26"/>
      <c r="O360" s="26"/>
      <c r="P360" s="26"/>
      <c r="Q360" s="26"/>
      <c r="R360" s="26"/>
      <c r="S360" s="26"/>
      <c r="T360" s="26"/>
      <c r="U360" s="26"/>
    </row>
    <row r="361" spans="1:21" s="26" customFormat="1" ht="21" hidden="1" customHeight="1" x14ac:dyDescent="0.25">
      <c r="A361"/>
      <c r="B361" s="54" t="s">
        <v>338</v>
      </c>
      <c r="C361" s="51"/>
      <c r="D361" s="51"/>
      <c r="E361" s="17">
        <f t="shared" ref="E361:J363" si="64">E342/E$345</f>
        <v>0</v>
      </c>
      <c r="F361" s="17">
        <f t="shared" si="64"/>
        <v>5.0980469669642649E-3</v>
      </c>
      <c r="G361" s="17">
        <f t="shared" si="64"/>
        <v>1.5256406666445609E-3</v>
      </c>
      <c r="H361" s="17">
        <f t="shared" si="64"/>
        <v>0</v>
      </c>
      <c r="I361" s="17">
        <f t="shared" si="64"/>
        <v>0</v>
      </c>
      <c r="J361" s="17">
        <f t="shared" si="64"/>
        <v>0</v>
      </c>
    </row>
    <row r="362" spans="1:21" s="26" customFormat="1" ht="21" hidden="1" customHeight="1" x14ac:dyDescent="0.25">
      <c r="A362"/>
      <c r="B362" s="56" t="s">
        <v>30</v>
      </c>
      <c r="C362" s="51"/>
      <c r="D362" s="51"/>
      <c r="E362" s="17">
        <f t="shared" si="64"/>
        <v>5.6512262722124147</v>
      </c>
      <c r="F362" s="17">
        <f t="shared" si="64"/>
        <v>0.99490195303303575</v>
      </c>
      <c r="G362" s="17">
        <f t="shared" si="64"/>
        <v>0.99847435933335549</v>
      </c>
      <c r="H362" s="17">
        <f t="shared" si="64"/>
        <v>1</v>
      </c>
      <c r="I362" s="17">
        <f t="shared" si="64"/>
        <v>1</v>
      </c>
      <c r="J362" s="17">
        <f t="shared" si="64"/>
        <v>1</v>
      </c>
    </row>
    <row r="363" spans="1:21" s="26" customFormat="1" ht="21" hidden="1" customHeight="1" x14ac:dyDescent="0.25">
      <c r="A363"/>
      <c r="B363" s="56" t="s">
        <v>263</v>
      </c>
      <c r="C363" s="51"/>
      <c r="D363" s="51"/>
      <c r="E363" s="17">
        <f t="shared" si="64"/>
        <v>-4.6512262722124147</v>
      </c>
      <c r="F363" s="17">
        <f t="shared" si="64"/>
        <v>0</v>
      </c>
      <c r="G363" s="17">
        <f t="shared" si="64"/>
        <v>0</v>
      </c>
      <c r="H363" s="17">
        <f t="shared" si="64"/>
        <v>0</v>
      </c>
      <c r="I363" s="17">
        <f t="shared" si="64"/>
        <v>0</v>
      </c>
      <c r="J363" s="17">
        <f t="shared" si="64"/>
        <v>0</v>
      </c>
    </row>
    <row r="364" spans="1:21" s="26" customFormat="1" ht="21" hidden="1" customHeight="1" x14ac:dyDescent="0.25">
      <c r="A364"/>
      <c r="B364" s="49" t="s">
        <v>339</v>
      </c>
      <c r="C364" s="51"/>
      <c r="D364" s="51"/>
      <c r="E364" s="20">
        <f t="shared" ref="E364:J364" si="65">SUM(E361:E363)</f>
        <v>1</v>
      </c>
      <c r="F364" s="20">
        <f t="shared" si="65"/>
        <v>1</v>
      </c>
      <c r="G364" s="20">
        <f t="shared" si="65"/>
        <v>1</v>
      </c>
      <c r="H364" s="20">
        <f t="shared" si="65"/>
        <v>1</v>
      </c>
      <c r="I364" s="20">
        <f t="shared" si="65"/>
        <v>1</v>
      </c>
      <c r="J364" s="20">
        <f t="shared" si="65"/>
        <v>1</v>
      </c>
      <c r="L364" s="21"/>
      <c r="M364" s="21"/>
      <c r="N364" s="21"/>
      <c r="O364" s="21"/>
      <c r="P364" s="21"/>
      <c r="Q364" s="21"/>
      <c r="R364" s="21"/>
      <c r="S364" s="21"/>
      <c r="T364"/>
      <c r="U364"/>
    </row>
    <row r="365" spans="1:21" ht="19.149999999999999" hidden="1" customHeight="1" x14ac:dyDescent="0.2"/>
    <row r="366" spans="1:21" ht="19.149999999999999" hidden="1" customHeight="1" x14ac:dyDescent="0.2"/>
    <row r="367" spans="1:21" ht="27.6" hidden="1" customHeight="1" x14ac:dyDescent="0.2">
      <c r="B367" s="40"/>
      <c r="C367" s="40" t="s">
        <v>116</v>
      </c>
      <c r="D367" s="40"/>
      <c r="E367" s="40"/>
      <c r="F367" s="40"/>
      <c r="G367" s="40"/>
      <c r="H367" s="40"/>
      <c r="I367" s="40"/>
      <c r="J367" s="40"/>
    </row>
    <row r="368" spans="1:21" ht="12" hidden="1" customHeight="1" x14ac:dyDescent="0.2">
      <c r="B368" s="40"/>
      <c r="C368" s="40"/>
      <c r="D368" s="40"/>
      <c r="E368" s="40"/>
      <c r="F368" s="40"/>
      <c r="G368" s="40"/>
      <c r="H368" s="40"/>
      <c r="I368" s="40"/>
      <c r="J368" s="40"/>
    </row>
    <row r="369" spans="1:21" ht="19.899999999999999" hidden="1" customHeight="1" x14ac:dyDescent="0.3">
      <c r="B369" s="66" t="s">
        <v>267</v>
      </c>
      <c r="C369" s="67"/>
      <c r="D369" s="40"/>
      <c r="E369" s="40"/>
      <c r="F369" s="40"/>
      <c r="G369" s="40"/>
      <c r="H369" s="40"/>
      <c r="I369" s="40"/>
      <c r="J369" s="40"/>
    </row>
    <row r="370" spans="1:21" ht="19.899999999999999" hidden="1" customHeight="1" x14ac:dyDescent="0.3">
      <c r="B370" s="68"/>
      <c r="C370" s="67"/>
      <c r="D370" s="40"/>
      <c r="E370" s="40"/>
      <c r="F370" s="40"/>
      <c r="G370" s="40"/>
      <c r="H370" s="40"/>
      <c r="I370" s="40"/>
      <c r="J370" s="40"/>
    </row>
    <row r="371" spans="1:21" ht="19.899999999999999" hidden="1" customHeight="1" x14ac:dyDescent="0.3">
      <c r="B371" s="68"/>
      <c r="C371" s="67"/>
      <c r="D371" s="40"/>
      <c r="E371" s="40"/>
      <c r="F371" s="40"/>
      <c r="G371" s="40"/>
      <c r="H371" s="40"/>
      <c r="I371" s="40"/>
      <c r="J371" s="40"/>
    </row>
    <row r="372" spans="1:21" s="161" customFormat="1" ht="19.149999999999999" customHeight="1" thickBot="1" x14ac:dyDescent="0.25">
      <c r="B372" s="601"/>
      <c r="C372" s="601"/>
      <c r="D372" s="601"/>
      <c r="E372" s="601"/>
      <c r="F372" s="601"/>
      <c r="G372" s="601"/>
      <c r="H372" s="601"/>
      <c r="I372" s="601"/>
      <c r="J372" s="104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</row>
    <row r="373" spans="1:21" s="7" customFormat="1" ht="28.5" thickBot="1" x14ac:dyDescent="0.45">
      <c r="A373"/>
      <c r="B373" s="279"/>
      <c r="C373" s="727" t="s">
        <v>189</v>
      </c>
      <c r="D373" s="727"/>
      <c r="E373" s="727"/>
      <c r="F373" s="727"/>
      <c r="G373" s="727"/>
      <c r="H373" s="727"/>
      <c r="I373" s="728"/>
    </row>
    <row r="374" spans="1:21" s="7" customFormat="1" ht="21" customHeight="1" thickBot="1" x14ac:dyDescent="0.25">
      <c r="A374"/>
      <c r="B374" s="280"/>
      <c r="C374" s="157">
        <v>2020</v>
      </c>
      <c r="D374" s="157">
        <f t="shared" ref="D374:I374" si="66">+C$97</f>
        <v>2021</v>
      </c>
      <c r="E374" s="157">
        <f t="shared" si="66"/>
        <v>2022</v>
      </c>
      <c r="F374" s="157">
        <f t="shared" si="66"/>
        <v>2023</v>
      </c>
      <c r="G374" s="157">
        <f t="shared" si="66"/>
        <v>2024</v>
      </c>
      <c r="H374" s="157">
        <f t="shared" si="66"/>
        <v>2025</v>
      </c>
      <c r="I374" s="281">
        <f t="shared" si="66"/>
        <v>2026</v>
      </c>
    </row>
    <row r="375" spans="1:21" s="7" customFormat="1" ht="21" customHeight="1" x14ac:dyDescent="0.2">
      <c r="A375"/>
      <c r="B375" s="274" t="s">
        <v>180</v>
      </c>
      <c r="C375" s="154">
        <f t="shared" ref="C375:I375" si="67">D218</f>
        <v>4011345188</v>
      </c>
      <c r="D375" s="154">
        <f t="shared" si="67"/>
        <v>3561986386</v>
      </c>
      <c r="E375" s="154">
        <f t="shared" si="67"/>
        <v>4878838697.8389797</v>
      </c>
      <c r="F375" s="154">
        <f t="shared" si="67"/>
        <v>6544623391.0987959</v>
      </c>
      <c r="G375" s="154">
        <f t="shared" si="67"/>
        <v>7643683012.0473804</v>
      </c>
      <c r="H375" s="154">
        <f t="shared" si="67"/>
        <v>9158782173.9317875</v>
      </c>
      <c r="I375" s="282">
        <f t="shared" si="67"/>
        <v>10812887564.197094</v>
      </c>
    </row>
    <row r="376" spans="1:21" s="7" customFormat="1" ht="21" customHeight="1" x14ac:dyDescent="0.2">
      <c r="A376"/>
      <c r="B376" s="274" t="s">
        <v>165</v>
      </c>
      <c r="C376" s="156">
        <f t="shared" ref="C376:I376" si="68">D217</f>
        <v>1887691853</v>
      </c>
      <c r="D376" s="156">
        <f t="shared" si="68"/>
        <v>1600312724</v>
      </c>
      <c r="E376" s="156">
        <f t="shared" si="68"/>
        <v>2403010104.6952319</v>
      </c>
      <c r="F376" s="156">
        <f t="shared" si="68"/>
        <v>3223471222.1990786</v>
      </c>
      <c r="G376" s="156">
        <f t="shared" si="68"/>
        <v>3764799095.156178</v>
      </c>
      <c r="H376" s="156">
        <f t="shared" si="68"/>
        <v>4511041965.8696842</v>
      </c>
      <c r="I376" s="275">
        <f t="shared" si="68"/>
        <v>5325750590.854353</v>
      </c>
    </row>
    <row r="377" spans="1:21" s="7" customFormat="1" ht="21" customHeight="1" x14ac:dyDescent="0.2">
      <c r="A377"/>
      <c r="B377" s="274" t="s">
        <v>166</v>
      </c>
      <c r="C377" s="156">
        <f t="shared" ref="C377:I377" si="69">D213</f>
        <v>960147055</v>
      </c>
      <c r="D377" s="156">
        <f t="shared" si="69"/>
        <v>1072539349</v>
      </c>
      <c r="E377" s="156">
        <f t="shared" si="69"/>
        <v>1060401063.041514</v>
      </c>
      <c r="F377" s="156">
        <f t="shared" si="69"/>
        <v>907239778.44670248</v>
      </c>
      <c r="G377" s="156">
        <f t="shared" si="69"/>
        <v>789807299.73030257</v>
      </c>
      <c r="H377" s="156">
        <f t="shared" si="69"/>
        <v>637920250.89491308</v>
      </c>
      <c r="I377" s="275">
        <f t="shared" si="69"/>
        <v>441373644.88338423</v>
      </c>
    </row>
    <row r="378" spans="1:21" s="7" customFormat="1" ht="21" customHeight="1" x14ac:dyDescent="0.2">
      <c r="A378"/>
      <c r="B378" s="276" t="s">
        <v>114</v>
      </c>
      <c r="C378" s="158">
        <f>SUM(C375:C377)</f>
        <v>6859184096</v>
      </c>
      <c r="D378" s="158">
        <f t="shared" ref="D378:I378" si="70">SUM(D375:D377)</f>
        <v>6234838459</v>
      </c>
      <c r="E378" s="158">
        <f t="shared" si="70"/>
        <v>8342249865.5757265</v>
      </c>
      <c r="F378" s="158">
        <f t="shared" si="70"/>
        <v>10675334391.744577</v>
      </c>
      <c r="G378" s="158">
        <f t="shared" si="70"/>
        <v>12198289406.933861</v>
      </c>
      <c r="H378" s="158">
        <f t="shared" si="70"/>
        <v>14307744390.696384</v>
      </c>
      <c r="I378" s="283">
        <f t="shared" si="70"/>
        <v>16580011799.934832</v>
      </c>
    </row>
    <row r="379" spans="1:21" s="7" customFormat="1" ht="10.9" customHeight="1" x14ac:dyDescent="0.2">
      <c r="A379"/>
      <c r="B379" s="284"/>
      <c r="C379" s="156"/>
      <c r="D379" s="156"/>
      <c r="E379" s="156"/>
      <c r="F379" s="156"/>
      <c r="G379" s="156"/>
      <c r="H379" s="156"/>
      <c r="I379" s="275"/>
    </row>
    <row r="380" spans="1:21" s="7" customFormat="1" ht="21" customHeight="1" x14ac:dyDescent="0.2">
      <c r="A380"/>
      <c r="B380" s="285" t="s">
        <v>167</v>
      </c>
      <c r="C380" s="156">
        <f t="shared" ref="C380:I380" si="71">IF(C378&gt;0,C378*D18,0)</f>
        <v>2194938910.5804687</v>
      </c>
      <c r="D380" s="156">
        <f t="shared" si="71"/>
        <v>1932799922.1692235</v>
      </c>
      <c r="E380" s="156">
        <f t="shared" si="71"/>
        <v>2752942455.4783902</v>
      </c>
      <c r="F380" s="156">
        <f t="shared" si="71"/>
        <v>3522860349.0689163</v>
      </c>
      <c r="G380" s="156">
        <f t="shared" si="71"/>
        <v>4025435504.0518785</v>
      </c>
      <c r="H380" s="156">
        <f t="shared" si="71"/>
        <v>4721555648.6526489</v>
      </c>
      <c r="I380" s="275">
        <f t="shared" si="71"/>
        <v>5471403893.6573191</v>
      </c>
    </row>
    <row r="381" spans="1:21" s="7" customFormat="1" ht="21" customHeight="1" x14ac:dyDescent="0.2">
      <c r="A381"/>
      <c r="B381" s="286" t="s">
        <v>468</v>
      </c>
      <c r="C381" s="158">
        <f>C378-C380</f>
        <v>4664245185.4195309</v>
      </c>
      <c r="D381" s="158">
        <f t="shared" ref="D381:I381" si="72">D378-D380</f>
        <v>4302038536.8307762</v>
      </c>
      <c r="E381" s="158">
        <f t="shared" si="72"/>
        <v>5589307410.0973358</v>
      </c>
      <c r="F381" s="158">
        <f t="shared" si="72"/>
        <v>7152474042.6756611</v>
      </c>
      <c r="G381" s="158">
        <f t="shared" si="72"/>
        <v>8172853902.8819828</v>
      </c>
      <c r="H381" s="158">
        <f t="shared" si="72"/>
        <v>9586188742.0437355</v>
      </c>
      <c r="I381" s="283">
        <f t="shared" si="72"/>
        <v>11108607906.277512</v>
      </c>
    </row>
    <row r="382" spans="1:21" s="7" customFormat="1" ht="10.9" customHeight="1" x14ac:dyDescent="0.2">
      <c r="A382"/>
      <c r="B382" s="284"/>
      <c r="C382" s="156"/>
      <c r="D382" s="156"/>
      <c r="E382" s="156"/>
      <c r="F382" s="156"/>
      <c r="G382" s="156"/>
      <c r="H382" s="156"/>
      <c r="I382" s="275"/>
    </row>
    <row r="383" spans="1:21" s="7" customFormat="1" ht="21" customHeight="1" x14ac:dyDescent="0.2">
      <c r="A383"/>
      <c r="B383" s="274" t="s">
        <v>168</v>
      </c>
      <c r="C383" s="156">
        <f t="shared" ref="C383:I383" si="73">D205</f>
        <v>125996417</v>
      </c>
      <c r="D383" s="156">
        <f t="shared" si="73"/>
        <v>207758977</v>
      </c>
      <c r="E383" s="156">
        <f t="shared" si="73"/>
        <v>330393188.84773248</v>
      </c>
      <c r="F383" s="156">
        <f t="shared" si="73"/>
        <v>399027452.64308208</v>
      </c>
      <c r="G383" s="156">
        <f t="shared" si="73"/>
        <v>473183126.02252805</v>
      </c>
      <c r="H383" s="156">
        <f t="shared" si="73"/>
        <v>553325408.00584602</v>
      </c>
      <c r="I383" s="275">
        <f t="shared" si="73"/>
        <v>639993083.96798491</v>
      </c>
    </row>
    <row r="384" spans="1:21" s="7" customFormat="1" ht="21" customHeight="1" x14ac:dyDescent="0.2">
      <c r="A384"/>
      <c r="B384" s="286" t="s">
        <v>169</v>
      </c>
      <c r="C384" s="158">
        <f>C381+C383</f>
        <v>4790241602.4195309</v>
      </c>
      <c r="D384" s="158">
        <f t="shared" ref="D384:I384" si="74">D381+D383</f>
        <v>4509797513.8307762</v>
      </c>
      <c r="E384" s="158">
        <f t="shared" si="74"/>
        <v>5919700598.9450684</v>
      </c>
      <c r="F384" s="158">
        <f t="shared" si="74"/>
        <v>7551501495.3187428</v>
      </c>
      <c r="G384" s="158">
        <f t="shared" si="74"/>
        <v>8646037028.9045105</v>
      </c>
      <c r="H384" s="158">
        <f t="shared" si="74"/>
        <v>10139514150.049582</v>
      </c>
      <c r="I384" s="283">
        <f t="shared" si="74"/>
        <v>11748600990.245497</v>
      </c>
    </row>
    <row r="385" spans="1:10" s="7" customFormat="1" ht="9" customHeight="1" x14ac:dyDescent="0.2">
      <c r="A385"/>
      <c r="B385" s="284"/>
      <c r="C385" s="156"/>
      <c r="D385" s="156"/>
      <c r="E385" s="156"/>
      <c r="F385" s="156"/>
      <c r="G385" s="156"/>
      <c r="H385" s="156"/>
      <c r="I385" s="275"/>
    </row>
    <row r="386" spans="1:10" s="7" customFormat="1" ht="21" customHeight="1" x14ac:dyDescent="0.2">
      <c r="A386"/>
      <c r="B386" s="274" t="s">
        <v>170</v>
      </c>
      <c r="C386" s="156">
        <f t="shared" ref="C386:I386" si="75">D399</f>
        <v>5143345366</v>
      </c>
      <c r="D386" s="156">
        <f t="shared" si="75"/>
        <v>3342998086</v>
      </c>
      <c r="E386" s="156">
        <f t="shared" si="75"/>
        <v>75549382.596408844</v>
      </c>
      <c r="F386" s="156">
        <f t="shared" si="75"/>
        <v>-3024776508.0476799</v>
      </c>
      <c r="G386" s="156">
        <f t="shared" si="75"/>
        <v>934946391.41549301</v>
      </c>
      <c r="H386" s="156">
        <f t="shared" si="75"/>
        <v>536115075.9632988</v>
      </c>
      <c r="I386" s="275">
        <f t="shared" si="75"/>
        <v>160334139.79578209</v>
      </c>
    </row>
    <row r="387" spans="1:10" s="7" customFormat="1" ht="21" customHeight="1" x14ac:dyDescent="0.2">
      <c r="A387"/>
      <c r="B387" s="274" t="s">
        <v>171</v>
      </c>
      <c r="C387" s="156">
        <f t="shared" ref="C387:I387" si="76">(D230-C230)+(D232-C232)</f>
        <v>533401754</v>
      </c>
      <c r="D387" s="156">
        <f t="shared" si="76"/>
        <v>1049205403</v>
      </c>
      <c r="E387" s="156">
        <f t="shared" si="76"/>
        <v>4436043944.9546499</v>
      </c>
      <c r="F387" s="156">
        <f t="shared" si="76"/>
        <v>9128097864.529026</v>
      </c>
      <c r="G387" s="156">
        <f t="shared" si="76"/>
        <v>6203143575.7051725</v>
      </c>
      <c r="H387" s="156">
        <f t="shared" si="76"/>
        <v>8042310940.7036343</v>
      </c>
      <c r="I387" s="275">
        <f t="shared" si="76"/>
        <v>9973823463.7135029</v>
      </c>
    </row>
    <row r="388" spans="1:10" s="7" customFormat="1" ht="21" customHeight="1" x14ac:dyDescent="0.2">
      <c r="A388"/>
      <c r="B388" s="286" t="s">
        <v>172</v>
      </c>
      <c r="C388" s="158">
        <f>C386+C387</f>
        <v>5676747120</v>
      </c>
      <c r="D388" s="158">
        <f t="shared" ref="D388:I388" si="77">D386+D387</f>
        <v>4392203489</v>
      </c>
      <c r="E388" s="158">
        <f t="shared" si="77"/>
        <v>4511593327.5510588</v>
      </c>
      <c r="F388" s="158">
        <f t="shared" si="77"/>
        <v>6103321356.4813461</v>
      </c>
      <c r="G388" s="158">
        <f t="shared" si="77"/>
        <v>7138089967.1206656</v>
      </c>
      <c r="H388" s="158">
        <f t="shared" si="77"/>
        <v>8578426016.6669331</v>
      </c>
      <c r="I388" s="283">
        <f t="shared" si="77"/>
        <v>10134157603.509285</v>
      </c>
    </row>
    <row r="389" spans="1:10" s="7" customFormat="1" ht="10.9" customHeight="1" thickBot="1" x14ac:dyDescent="0.25">
      <c r="A389"/>
      <c r="B389" s="287"/>
      <c r="C389" s="160"/>
      <c r="D389" s="160"/>
      <c r="E389" s="160"/>
      <c r="F389" s="160"/>
      <c r="G389" s="160"/>
      <c r="H389" s="160"/>
      <c r="I389" s="288"/>
    </row>
    <row r="390" spans="1:10" s="7" customFormat="1" ht="21" customHeight="1" thickBot="1" x14ac:dyDescent="0.25">
      <c r="A390"/>
      <c r="B390" s="289" t="s">
        <v>255</v>
      </c>
      <c r="C390" s="159">
        <f>C384-C388</f>
        <v>-886505517.58046913</v>
      </c>
      <c r="D390" s="159">
        <f t="shared" ref="D390:I390" si="78">D384-D388</f>
        <v>117594024.83077621</v>
      </c>
      <c r="E390" s="159">
        <f t="shared" si="78"/>
        <v>1408107271.3940096</v>
      </c>
      <c r="F390" s="159">
        <f t="shared" si="78"/>
        <v>1448180138.8373966</v>
      </c>
      <c r="G390" s="159">
        <f t="shared" si="78"/>
        <v>1507947061.7838449</v>
      </c>
      <c r="H390" s="159">
        <f t="shared" si="78"/>
        <v>1561088133.3826485</v>
      </c>
      <c r="I390" s="277">
        <f t="shared" si="78"/>
        <v>1614443386.7362118</v>
      </c>
      <c r="J390" s="115"/>
    </row>
    <row r="391" spans="1:10" s="7" customFormat="1" ht="21" hidden="1" customHeight="1" x14ac:dyDescent="0.2">
      <c r="A391"/>
      <c r="B391" s="278" t="s">
        <v>186</v>
      </c>
      <c r="C391" s="168" t="e">
        <f>+#REF!</f>
        <v>#REF!</v>
      </c>
      <c r="D391" s="168" t="e">
        <f>+#REF!</f>
        <v>#REF!</v>
      </c>
      <c r="E391" s="168">
        <f t="shared" ref="E391:J391" si="79">+C$97</f>
        <v>2021</v>
      </c>
      <c r="F391" s="168">
        <f t="shared" si="79"/>
        <v>2022</v>
      </c>
      <c r="G391" s="168">
        <f t="shared" si="79"/>
        <v>2023</v>
      </c>
      <c r="H391" s="168">
        <f t="shared" si="79"/>
        <v>2024</v>
      </c>
      <c r="I391" s="168">
        <f t="shared" si="79"/>
        <v>2025</v>
      </c>
      <c r="J391" s="169">
        <f t="shared" si="79"/>
        <v>2026</v>
      </c>
    </row>
    <row r="392" spans="1:10" s="7" customFormat="1" ht="21" hidden="1" customHeight="1" x14ac:dyDescent="0.2">
      <c r="A392"/>
      <c r="B392" s="170" t="s">
        <v>181</v>
      </c>
      <c r="C392" s="165">
        <f t="shared" ref="C392:J392" si="80">C228</f>
        <v>15586677783</v>
      </c>
      <c r="D392" s="165">
        <f t="shared" si="80"/>
        <v>17323757328</v>
      </c>
      <c r="E392" s="165">
        <f t="shared" si="80"/>
        <v>22269590625</v>
      </c>
      <c r="F392" s="165">
        <f t="shared" si="80"/>
        <v>20676082448.327446</v>
      </c>
      <c r="G392" s="165">
        <f t="shared" si="80"/>
        <v>18437634399.989471</v>
      </c>
      <c r="H392" s="165">
        <f t="shared" si="80"/>
        <v>20085986133.709415</v>
      </c>
      <c r="I392" s="165">
        <f t="shared" si="80"/>
        <v>21460230693.043976</v>
      </c>
      <c r="J392" s="165">
        <f t="shared" si="80"/>
        <v>22530678867.678738</v>
      </c>
    </row>
    <row r="393" spans="1:10" s="7" customFormat="1" ht="5.45" hidden="1" customHeight="1" x14ac:dyDescent="0.2">
      <c r="A393"/>
      <c r="B393" s="171"/>
      <c r="C393" s="164"/>
      <c r="D393" s="164"/>
      <c r="E393" s="164"/>
      <c r="F393" s="164"/>
      <c r="G393" s="164"/>
      <c r="H393" s="164"/>
      <c r="I393" s="164"/>
      <c r="J393" s="164"/>
    </row>
    <row r="394" spans="1:10" s="7" customFormat="1" ht="21" hidden="1" customHeight="1" x14ac:dyDescent="0.2">
      <c r="A394"/>
      <c r="B394" s="171" t="s">
        <v>182</v>
      </c>
      <c r="C394" s="164">
        <f t="shared" ref="C394:J394" si="81">C245</f>
        <v>11690046608</v>
      </c>
      <c r="D394" s="164">
        <f t="shared" si="81"/>
        <v>9823186299</v>
      </c>
      <c r="E394" s="164">
        <f t="shared" si="81"/>
        <v>15143977657</v>
      </c>
      <c r="F394" s="164">
        <f t="shared" si="81"/>
        <v>7797591628.9915895</v>
      </c>
      <c r="G394" s="164">
        <f t="shared" si="81"/>
        <v>8712366772.3899994</v>
      </c>
      <c r="H394" s="164">
        <f t="shared" si="81"/>
        <v>9580677509.0158901</v>
      </c>
      <c r="I394" s="164">
        <f t="shared" si="81"/>
        <v>10603848471.772249</v>
      </c>
      <c r="J394" s="164">
        <f t="shared" si="81"/>
        <v>11718748590.683481</v>
      </c>
    </row>
    <row r="395" spans="1:10" s="7" customFormat="1" ht="21" hidden="1" customHeight="1" x14ac:dyDescent="0.2">
      <c r="A395"/>
      <c r="B395" s="171" t="s">
        <v>183</v>
      </c>
      <c r="C395" s="164">
        <f t="shared" ref="C395:J395" si="82">-C241</f>
        <v>-1270296297</v>
      </c>
      <c r="D395" s="164">
        <f t="shared" si="82"/>
        <v>-2809701809</v>
      </c>
      <c r="E395" s="164">
        <f t="shared" si="82"/>
        <v>-6527657956</v>
      </c>
      <c r="F395" s="164">
        <f t="shared" si="82"/>
        <v>-850329487.26055169</v>
      </c>
      <c r="G395" s="164">
        <f t="shared" si="82"/>
        <v>-978776170.94925642</v>
      </c>
      <c r="H395" s="164">
        <f t="shared" si="82"/>
        <v>-1133681565.2706966</v>
      </c>
      <c r="I395" s="164">
        <f t="shared" si="82"/>
        <v>-1318723044.6557939</v>
      </c>
      <c r="J395" s="164">
        <f t="shared" si="82"/>
        <v>-1523509128.7280459</v>
      </c>
    </row>
    <row r="396" spans="1:10" s="7" customFormat="1" ht="21" hidden="1" customHeight="1" x14ac:dyDescent="0.2">
      <c r="A396"/>
      <c r="B396" s="170" t="s">
        <v>184</v>
      </c>
      <c r="C396" s="165">
        <f>C394+C395</f>
        <v>10419750311</v>
      </c>
      <c r="D396" s="165">
        <f>D394+D395</f>
        <v>7013484490</v>
      </c>
      <c r="E396" s="165">
        <f t="shared" ref="E396:J396" si="83">E394+E395</f>
        <v>8616319701</v>
      </c>
      <c r="F396" s="165">
        <f t="shared" si="83"/>
        <v>6947262141.7310381</v>
      </c>
      <c r="G396" s="165">
        <f t="shared" si="83"/>
        <v>7733590601.4407425</v>
      </c>
      <c r="H396" s="165">
        <f t="shared" si="83"/>
        <v>8446995943.7451935</v>
      </c>
      <c r="I396" s="165">
        <f t="shared" si="83"/>
        <v>9285125427.1164551</v>
      </c>
      <c r="J396" s="165">
        <f t="shared" si="83"/>
        <v>10195239461.955435</v>
      </c>
    </row>
    <row r="397" spans="1:10" s="7" customFormat="1" ht="5.45" hidden="1" customHeight="1" x14ac:dyDescent="0.2">
      <c r="A397"/>
      <c r="B397" s="171"/>
      <c r="C397" s="164"/>
      <c r="D397" s="164"/>
      <c r="E397" s="164"/>
      <c r="F397" s="164"/>
      <c r="G397" s="164"/>
      <c r="H397" s="164"/>
      <c r="I397" s="164"/>
      <c r="J397" s="164"/>
    </row>
    <row r="398" spans="1:10" s="7" customFormat="1" ht="21" hidden="1" customHeight="1" x14ac:dyDescent="0.2">
      <c r="A398"/>
      <c r="B398" s="170" t="s">
        <v>185</v>
      </c>
      <c r="C398" s="165">
        <f>C392-C396</f>
        <v>5166927472</v>
      </c>
      <c r="D398" s="165">
        <f>D392-D396</f>
        <v>10310272838</v>
      </c>
      <c r="E398" s="165">
        <f t="shared" ref="E398:J398" si="84">E392-E396</f>
        <v>13653270924</v>
      </c>
      <c r="F398" s="165">
        <f t="shared" si="84"/>
        <v>13728820306.596409</v>
      </c>
      <c r="G398" s="165">
        <f t="shared" si="84"/>
        <v>10704043798.548729</v>
      </c>
      <c r="H398" s="165">
        <f t="shared" si="84"/>
        <v>11638990189.964222</v>
      </c>
      <c r="I398" s="165">
        <f t="shared" si="84"/>
        <v>12175105265.927521</v>
      </c>
      <c r="J398" s="165">
        <f t="shared" si="84"/>
        <v>12335439405.723303</v>
      </c>
    </row>
    <row r="399" spans="1:10" s="7" customFormat="1" ht="21" hidden="1" customHeight="1" x14ac:dyDescent="0.2">
      <c r="A399"/>
      <c r="B399" s="170" t="s">
        <v>187</v>
      </c>
      <c r="C399" s="165"/>
      <c r="D399" s="165">
        <f>D398-C398</f>
        <v>5143345366</v>
      </c>
      <c r="E399" s="165">
        <f t="shared" ref="E399:J399" si="85">E398-D398</f>
        <v>3342998086</v>
      </c>
      <c r="F399" s="165">
        <f t="shared" si="85"/>
        <v>75549382.596408844</v>
      </c>
      <c r="G399" s="165">
        <f>G398-F398</f>
        <v>-3024776508.0476799</v>
      </c>
      <c r="H399" s="165">
        <f t="shared" si="85"/>
        <v>934946391.41549301</v>
      </c>
      <c r="I399" s="165">
        <f t="shared" si="85"/>
        <v>536115075.9632988</v>
      </c>
      <c r="J399" s="165">
        <f t="shared" si="85"/>
        <v>160334139.79578209</v>
      </c>
    </row>
    <row r="400" spans="1:10" s="7" customFormat="1" ht="21" hidden="1" customHeight="1" x14ac:dyDescent="0.2">
      <c r="A400"/>
      <c r="B400" s="152"/>
      <c r="C400" s="142"/>
      <c r="D400" s="142"/>
      <c r="E400" s="172"/>
      <c r="F400" s="145"/>
      <c r="G400" s="145"/>
      <c r="H400" s="145"/>
      <c r="I400" s="145"/>
      <c r="J400" s="145"/>
    </row>
    <row r="401" spans="1:10" s="7" customFormat="1" ht="21" hidden="1" customHeight="1" x14ac:dyDescent="0.2">
      <c r="A401"/>
      <c r="B401" s="173" t="s">
        <v>190</v>
      </c>
      <c r="C401" s="169" t="e">
        <f>+#REF!</f>
        <v>#REF!</v>
      </c>
      <c r="D401" s="169" t="e">
        <f>+#REF!</f>
        <v>#REF!</v>
      </c>
      <c r="E401" s="169">
        <f t="shared" ref="E401:J401" si="86">+C$97</f>
        <v>2021</v>
      </c>
      <c r="F401" s="169">
        <f t="shared" si="86"/>
        <v>2022</v>
      </c>
      <c r="G401" s="169">
        <f t="shared" si="86"/>
        <v>2023</v>
      </c>
      <c r="H401" s="169">
        <f t="shared" si="86"/>
        <v>2024</v>
      </c>
      <c r="I401" s="169">
        <f t="shared" si="86"/>
        <v>2025</v>
      </c>
      <c r="J401" s="169">
        <f t="shared" si="86"/>
        <v>2026</v>
      </c>
    </row>
    <row r="402" spans="1:10" s="7" customFormat="1" ht="24" hidden="1" customHeight="1" x14ac:dyDescent="0.2">
      <c r="A402"/>
      <c r="B402" s="174" t="s">
        <v>134</v>
      </c>
      <c r="C402" s="175"/>
      <c r="D402" s="175"/>
      <c r="E402" s="175"/>
      <c r="F402" s="176"/>
      <c r="G402" s="176"/>
      <c r="H402" s="176"/>
      <c r="I402" s="176"/>
      <c r="J402" s="176"/>
    </row>
    <row r="403" spans="1:10" s="7" customFormat="1" ht="21" hidden="1" customHeight="1" x14ac:dyDescent="0.2">
      <c r="A403"/>
      <c r="B403" s="171" t="s">
        <v>135</v>
      </c>
      <c r="C403" s="177"/>
      <c r="D403" s="177"/>
      <c r="E403" s="177"/>
      <c r="F403" s="164">
        <f>-D269</f>
        <v>-25000000</v>
      </c>
      <c r="G403" s="164">
        <f>-E269</f>
        <v>-10000000</v>
      </c>
      <c r="H403" s="164">
        <f>-F269</f>
        <v>0</v>
      </c>
      <c r="I403" s="164">
        <f>-G269</f>
        <v>0</v>
      </c>
      <c r="J403" s="164">
        <f>-H269</f>
        <v>0</v>
      </c>
    </row>
    <row r="404" spans="1:10" s="7" customFormat="1" ht="21" hidden="1" customHeight="1" x14ac:dyDescent="0.2">
      <c r="A404"/>
      <c r="B404" s="171" t="s">
        <v>136</v>
      </c>
      <c r="C404" s="177"/>
      <c r="D404" s="177"/>
      <c r="E404" s="177"/>
      <c r="F404" s="164">
        <f>+D280</f>
        <v>0</v>
      </c>
      <c r="G404" s="164">
        <f>+E280</f>
        <v>0</v>
      </c>
      <c r="H404" s="164">
        <f>+F280</f>
        <v>0</v>
      </c>
      <c r="I404" s="164">
        <f>+G280</f>
        <v>0</v>
      </c>
      <c r="J404" s="164">
        <f>+H280</f>
        <v>0</v>
      </c>
    </row>
    <row r="405" spans="1:10" s="7" customFormat="1" ht="21" hidden="1" customHeight="1" x14ac:dyDescent="0.2">
      <c r="A405"/>
      <c r="B405" s="178" t="s">
        <v>137</v>
      </c>
      <c r="C405" s="177"/>
      <c r="D405" s="177"/>
      <c r="E405" s="177"/>
      <c r="F405" s="165">
        <f>SUM(F403:F404)</f>
        <v>-25000000</v>
      </c>
      <c r="G405" s="165">
        <f>SUM(G403:G404)</f>
        <v>-10000000</v>
      </c>
      <c r="H405" s="165">
        <f>SUM(H403:H404)</f>
        <v>0</v>
      </c>
      <c r="I405" s="165">
        <f>SUM(I403:I404)</f>
        <v>0</v>
      </c>
      <c r="J405" s="165">
        <f>SUM(J403:J404)</f>
        <v>0</v>
      </c>
    </row>
    <row r="406" spans="1:10" s="7" customFormat="1" ht="9.75" hidden="1" customHeight="1" x14ac:dyDescent="0.2">
      <c r="A406"/>
      <c r="B406" s="179"/>
      <c r="C406" s="179"/>
      <c r="D406" s="179"/>
      <c r="E406" s="180"/>
      <c r="F406" s="181"/>
      <c r="G406" s="181"/>
      <c r="H406" s="181"/>
      <c r="I406" s="181"/>
      <c r="J406" s="181"/>
    </row>
    <row r="407" spans="1:10" s="7" customFormat="1" ht="21" hidden="1" customHeight="1" x14ac:dyDescent="0.2">
      <c r="A407"/>
      <c r="B407" s="174" t="s">
        <v>138</v>
      </c>
      <c r="C407" s="142"/>
      <c r="D407" s="142"/>
      <c r="E407" s="182"/>
      <c r="F407" s="183"/>
      <c r="G407" s="183"/>
      <c r="H407" s="183"/>
      <c r="I407" s="183"/>
      <c r="J407" s="183"/>
    </row>
    <row r="408" spans="1:10" s="7" customFormat="1" ht="21" hidden="1" customHeight="1" x14ac:dyDescent="0.2">
      <c r="A408"/>
      <c r="B408" s="171" t="s">
        <v>139</v>
      </c>
      <c r="C408" s="177"/>
      <c r="D408" s="177"/>
      <c r="E408" s="177"/>
      <c r="F408" s="164">
        <f>-D268</f>
        <v>0</v>
      </c>
      <c r="G408" s="164">
        <f>-E268</f>
        <v>0</v>
      </c>
      <c r="H408" s="164">
        <f>-F268</f>
        <v>0</v>
      </c>
      <c r="I408" s="164">
        <f>-G268</f>
        <v>0</v>
      </c>
      <c r="J408" s="164">
        <f>-H268</f>
        <v>0</v>
      </c>
    </row>
    <row r="409" spans="1:10" s="7" customFormat="1" ht="21" hidden="1" customHeight="1" x14ac:dyDescent="0.2">
      <c r="A409"/>
      <c r="B409" s="171" t="s">
        <v>141</v>
      </c>
      <c r="C409" s="177"/>
      <c r="D409" s="177"/>
      <c r="E409" s="177"/>
      <c r="F409" s="164">
        <f t="shared" ref="F409:J410" si="87">D278</f>
        <v>1060401063.041514</v>
      </c>
      <c r="G409" s="164">
        <f>E278</f>
        <v>907239778.44670248</v>
      </c>
      <c r="H409" s="164">
        <f>F278</f>
        <v>789807299.73030257</v>
      </c>
      <c r="I409" s="164">
        <f t="shared" si="87"/>
        <v>637920250.89491308</v>
      </c>
      <c r="J409" s="164">
        <f t="shared" si="87"/>
        <v>441373644.88338423</v>
      </c>
    </row>
    <row r="410" spans="1:10" s="7" customFormat="1" ht="21" hidden="1" customHeight="1" x14ac:dyDescent="0.2">
      <c r="A410"/>
      <c r="B410" s="171" t="s">
        <v>140</v>
      </c>
      <c r="C410" s="177"/>
      <c r="D410" s="177"/>
      <c r="E410" s="177"/>
      <c r="F410" s="164">
        <f t="shared" si="87"/>
        <v>722638559.13565576</v>
      </c>
      <c r="G410" s="164">
        <f>E279</f>
        <v>850329487.26055169</v>
      </c>
      <c r="H410" s="164">
        <f>F279</f>
        <v>978776170.94925642</v>
      </c>
      <c r="I410" s="164">
        <f t="shared" si="87"/>
        <v>1133681565.2706966</v>
      </c>
      <c r="J410" s="164">
        <f t="shared" si="87"/>
        <v>1318723044.6557939</v>
      </c>
    </row>
    <row r="411" spans="1:10" s="7" customFormat="1" ht="21" hidden="1" customHeight="1" x14ac:dyDescent="0.2">
      <c r="A411"/>
      <c r="B411" s="178" t="s">
        <v>142</v>
      </c>
      <c r="C411" s="177"/>
      <c r="D411" s="177"/>
      <c r="E411" s="177"/>
      <c r="F411" s="165">
        <f>SUM(F408:F410)</f>
        <v>1783039622.1771698</v>
      </c>
      <c r="G411" s="165">
        <f>SUM(G408:G410)</f>
        <v>1757569265.7072542</v>
      </c>
      <c r="H411" s="165">
        <f>SUM(H408:H410)</f>
        <v>1768583470.679559</v>
      </c>
      <c r="I411" s="165">
        <f>SUM(I408:I410)</f>
        <v>1771601816.1656098</v>
      </c>
      <c r="J411" s="165">
        <f>SUM(J408:J410)</f>
        <v>1760096689.5391781</v>
      </c>
    </row>
    <row r="412" spans="1:10" s="7" customFormat="1" ht="9.75" hidden="1" customHeight="1" x14ac:dyDescent="0.2">
      <c r="A412"/>
      <c r="B412" s="179"/>
      <c r="C412" s="179"/>
      <c r="D412" s="179"/>
      <c r="E412" s="180"/>
      <c r="F412" s="181"/>
      <c r="G412" s="181"/>
      <c r="H412" s="181"/>
      <c r="I412" s="181"/>
      <c r="J412" s="181"/>
    </row>
    <row r="413" spans="1:10" s="7" customFormat="1" ht="21" hidden="1" customHeight="1" x14ac:dyDescent="0.2">
      <c r="A413"/>
      <c r="B413" s="174" t="s">
        <v>143</v>
      </c>
      <c r="C413" s="142"/>
      <c r="D413" s="142"/>
      <c r="E413" s="182"/>
      <c r="F413" s="183"/>
      <c r="G413" s="183"/>
      <c r="H413" s="183"/>
      <c r="I413" s="183"/>
      <c r="J413" s="183"/>
    </row>
    <row r="414" spans="1:10" s="7" customFormat="1" ht="21" hidden="1" customHeight="1" x14ac:dyDescent="0.2">
      <c r="A414"/>
      <c r="B414" s="184" t="s">
        <v>144</v>
      </c>
      <c r="C414" s="177"/>
      <c r="D414" s="177"/>
      <c r="E414" s="177"/>
      <c r="F414" s="165">
        <f>F405+F411</f>
        <v>1758039622.1771698</v>
      </c>
      <c r="G414" s="165">
        <f>G405+G411</f>
        <v>1747569265.7072542</v>
      </c>
      <c r="H414" s="165">
        <f>H405+H411</f>
        <v>1768583470.679559</v>
      </c>
      <c r="I414" s="165">
        <f>I405+I411</f>
        <v>1771601816.1656098</v>
      </c>
      <c r="J414" s="165">
        <f>J405+J411</f>
        <v>1760096689.5391781</v>
      </c>
    </row>
    <row r="415" spans="1:10" s="7" customFormat="1" ht="9.75" hidden="1" customHeight="1" x14ac:dyDescent="0.2">
      <c r="A415"/>
      <c r="B415" s="179"/>
      <c r="C415" s="179"/>
      <c r="D415" s="179"/>
      <c r="E415" s="180"/>
      <c r="F415" s="181"/>
      <c r="G415" s="181"/>
      <c r="H415" s="181"/>
      <c r="I415" s="181"/>
      <c r="J415" s="181"/>
    </row>
    <row r="416" spans="1:10" s="7" customFormat="1" ht="21" hidden="1" customHeight="1" x14ac:dyDescent="0.2">
      <c r="A416"/>
      <c r="B416" s="174" t="s">
        <v>145</v>
      </c>
      <c r="C416" s="142"/>
      <c r="D416" s="142"/>
      <c r="E416" s="182"/>
      <c r="F416" s="183"/>
      <c r="G416" s="183"/>
      <c r="H416" s="183"/>
      <c r="I416" s="183"/>
      <c r="J416" s="183"/>
    </row>
    <row r="417" spans="1:21" s="7" customFormat="1" ht="21" hidden="1" customHeight="1" x14ac:dyDescent="0.2">
      <c r="A417"/>
      <c r="B417" s="171" t="s">
        <v>146</v>
      </c>
      <c r="C417" s="177"/>
      <c r="D417" s="177"/>
      <c r="E417" s="177"/>
      <c r="F417" s="164">
        <f>F414</f>
        <v>1758039622.1771698</v>
      </c>
      <c r="G417" s="164">
        <f>G414</f>
        <v>1747569265.7072542</v>
      </c>
      <c r="H417" s="164">
        <f>H414</f>
        <v>1768583470.679559</v>
      </c>
      <c r="I417" s="164">
        <f>I414</f>
        <v>1771601816.1656098</v>
      </c>
      <c r="J417" s="164">
        <f>J414</f>
        <v>1760096689.5391781</v>
      </c>
    </row>
    <row r="418" spans="1:21" s="7" customFormat="1" ht="21" hidden="1" customHeight="1" x14ac:dyDescent="0.2">
      <c r="A418"/>
      <c r="B418" s="171" t="s">
        <v>147</v>
      </c>
      <c r="C418" s="177"/>
      <c r="D418" s="177"/>
      <c r="E418" s="177"/>
      <c r="F418" s="164">
        <f>-(E380-E376)</f>
        <v>-349932350.7831583</v>
      </c>
      <c r="G418" s="164">
        <f>-(F380-F376)</f>
        <v>-299389126.86983776</v>
      </c>
      <c r="H418" s="164">
        <f>-(G380-G376)</f>
        <v>-260636408.89570045</v>
      </c>
      <c r="I418" s="164">
        <f>-(H380-H376)</f>
        <v>-210513682.78296471</v>
      </c>
      <c r="J418" s="164">
        <f>-(I380-I376)</f>
        <v>-145653302.80296612</v>
      </c>
      <c r="L418" s="400"/>
      <c r="M418" s="21"/>
      <c r="N418" s="21"/>
      <c r="O418" s="21"/>
      <c r="P418" s="21"/>
      <c r="Q418" s="21"/>
      <c r="R418" s="21"/>
      <c r="S418" s="21"/>
      <c r="T418"/>
    </row>
    <row r="419" spans="1:21" s="7" customFormat="1" ht="21" hidden="1" customHeight="1" x14ac:dyDescent="0.2">
      <c r="A419"/>
      <c r="B419" s="184" t="s">
        <v>254</v>
      </c>
      <c r="C419" s="177"/>
      <c r="D419" s="177"/>
      <c r="E419" s="177"/>
      <c r="F419" s="165">
        <f>SUM(F417:F418)</f>
        <v>1408107271.3940115</v>
      </c>
      <c r="G419" s="165">
        <f>SUM(G417:G418)</f>
        <v>1448180138.8374164</v>
      </c>
      <c r="H419" s="165">
        <f>SUM(H417:H418)</f>
        <v>1507947061.7838585</v>
      </c>
      <c r="I419" s="165">
        <f>SUM(I417:I418)</f>
        <v>1561088133.3826451</v>
      </c>
      <c r="J419" s="165">
        <f>SUM(J417:J418)</f>
        <v>1614443386.736212</v>
      </c>
      <c r="K419" s="21"/>
      <c r="L419" s="21"/>
      <c r="M419" s="21"/>
      <c r="N419" s="21"/>
      <c r="O419" s="21"/>
      <c r="P419" s="21"/>
      <c r="Q419" s="21"/>
      <c r="R419" s="21"/>
      <c r="S419" s="21"/>
      <c r="T419"/>
    </row>
    <row r="420" spans="1:21" s="7" customFormat="1" ht="12.6" hidden="1" customHeight="1" thickBot="1" x14ac:dyDescent="0.25">
      <c r="A420"/>
      <c r="B420" s="176"/>
      <c r="C420" s="142"/>
      <c r="D420" s="142"/>
      <c r="E420" s="172"/>
      <c r="F420" s="145"/>
      <c r="G420" s="145"/>
      <c r="H420" s="145"/>
      <c r="I420" s="145"/>
      <c r="J420" s="145"/>
      <c r="K420" s="21"/>
      <c r="L420" s="21"/>
      <c r="M420" s="21"/>
      <c r="N420" s="21"/>
      <c r="O420" s="21"/>
      <c r="P420" s="21"/>
      <c r="Q420" s="21"/>
      <c r="R420" s="21"/>
      <c r="S420" s="21"/>
      <c r="T420"/>
      <c r="U420"/>
    </row>
    <row r="421" spans="1:21" ht="15.75" hidden="1" x14ac:dyDescent="0.2">
      <c r="B421" s="185" t="s">
        <v>188</v>
      </c>
      <c r="C421" s="177"/>
      <c r="D421" s="177"/>
      <c r="E421" s="177"/>
      <c r="F421" s="186">
        <f>ROUND(F419-E390,1)</f>
        <v>0</v>
      </c>
      <c r="G421" s="186">
        <f>ROUND(G419-F390,1)</f>
        <v>0</v>
      </c>
      <c r="H421" s="186">
        <f>ROUND(H419-G390,1)</f>
        <v>0</v>
      </c>
      <c r="I421" s="186">
        <f>ROUND(I419-H390,1)</f>
        <v>0</v>
      </c>
      <c r="J421" s="186">
        <f>ROUND(J419-I390,1)</f>
        <v>0</v>
      </c>
    </row>
    <row r="422" spans="1:21" ht="17.649999999999999" hidden="1" customHeight="1" x14ac:dyDescent="0.2">
      <c r="B422" s="155"/>
      <c r="C422" s="142"/>
      <c r="D422" s="142"/>
      <c r="E422" s="142"/>
      <c r="F422" s="187">
        <f>F409*F18</f>
        <v>349932350.78315836</v>
      </c>
      <c r="G422" s="187">
        <f>G409*G18</f>
        <v>299389126.86983746</v>
      </c>
      <c r="H422" s="187">
        <f>H409*H18</f>
        <v>260636408.89570034</v>
      </c>
      <c r="I422" s="187">
        <f>I409*I18</f>
        <v>210513682.78296402</v>
      </c>
      <c r="J422" s="187">
        <f>J409*J18</f>
        <v>145653302.80296686</v>
      </c>
    </row>
    <row r="423" spans="1:21" ht="18" hidden="1" customHeight="1" x14ac:dyDescent="0.2">
      <c r="B423" s="188" t="s">
        <v>265</v>
      </c>
      <c r="C423" s="189" t="e">
        <f>+#REF!</f>
        <v>#REF!</v>
      </c>
      <c r="D423" s="189" t="e">
        <f>+#REF!</f>
        <v>#REF!</v>
      </c>
      <c r="E423" s="190">
        <f t="shared" ref="E423:J423" si="88">+C$97</f>
        <v>2021</v>
      </c>
      <c r="F423" s="169">
        <f t="shared" si="88"/>
        <v>2022</v>
      </c>
      <c r="G423" s="169">
        <f t="shared" si="88"/>
        <v>2023</v>
      </c>
      <c r="H423" s="169">
        <f t="shared" si="88"/>
        <v>2024</v>
      </c>
      <c r="I423" s="169">
        <f t="shared" si="88"/>
        <v>2025</v>
      </c>
      <c r="J423" s="169">
        <f t="shared" si="88"/>
        <v>2026</v>
      </c>
    </row>
    <row r="424" spans="1:21" ht="18" hidden="1" customHeight="1" x14ac:dyDescent="0.2">
      <c r="B424" s="191" t="s">
        <v>266</v>
      </c>
      <c r="C424" s="192"/>
      <c r="D424" s="192"/>
      <c r="E424" s="193">
        <f t="shared" ref="E424:J424" si="89">D255</f>
        <v>8604348249</v>
      </c>
      <c r="F424" s="193">
        <f t="shared" si="89"/>
        <v>9088727714</v>
      </c>
      <c r="G424" s="193">
        <f>F255</f>
        <v>13992566411.83898</v>
      </c>
      <c r="H424" s="193">
        <f t="shared" si="89"/>
        <v>20547189802.937775</v>
      </c>
      <c r="I424" s="193">
        <f t="shared" si="89"/>
        <v>28190872814.985161</v>
      </c>
      <c r="J424" s="193">
        <f t="shared" si="89"/>
        <v>37349654988.916946</v>
      </c>
    </row>
    <row r="425" spans="1:21" ht="8.4499999999999993" hidden="1" customHeight="1" x14ac:dyDescent="0.2">
      <c r="B425" s="155"/>
      <c r="C425" s="194"/>
      <c r="D425" s="194"/>
      <c r="E425" s="194"/>
      <c r="F425" s="194"/>
      <c r="G425" s="194"/>
      <c r="H425" s="194"/>
      <c r="I425" s="194"/>
      <c r="J425" s="194"/>
    </row>
    <row r="426" spans="1:21" ht="35.450000000000003" hidden="1" customHeight="1" x14ac:dyDescent="0.2">
      <c r="B426" s="737" t="s">
        <v>191</v>
      </c>
      <c r="C426" s="738"/>
      <c r="D426" s="739"/>
      <c r="E426" s="164">
        <f t="shared" ref="E426:J426" si="90">D241+D247+C268</f>
        <v>6527657956</v>
      </c>
      <c r="F426" s="164">
        <f t="shared" si="90"/>
        <v>6527657956</v>
      </c>
      <c r="G426" s="164">
        <f t="shared" si="90"/>
        <v>5805019396.8643446</v>
      </c>
      <c r="H426" s="164">
        <f t="shared" si="90"/>
        <v>4954689909.6037931</v>
      </c>
      <c r="I426" s="164">
        <f t="shared" si="90"/>
        <v>3975913738.6545367</v>
      </c>
      <c r="J426" s="164">
        <f t="shared" si="90"/>
        <v>2842232173.3838401</v>
      </c>
    </row>
    <row r="427" spans="1:21" ht="35.450000000000003" hidden="1" customHeight="1" x14ac:dyDescent="0.2">
      <c r="B427" s="737" t="s">
        <v>395</v>
      </c>
      <c r="C427" s="738"/>
      <c r="D427" s="739"/>
      <c r="E427" s="164" t="e">
        <f>IF($A$1="C",E424,#REF!)+C269</f>
        <v>#REF!</v>
      </c>
      <c r="F427" s="164" t="e">
        <f>IF($A$1="C",F424,#REF!)+D269</f>
        <v>#REF!</v>
      </c>
      <c r="G427" s="164" t="e">
        <f>IF($A$1="C",G424,#REF!)+E269</f>
        <v>#REF!</v>
      </c>
      <c r="H427" s="164" t="e">
        <f>IF($A$1="C",H424,#REF!)+F269</f>
        <v>#REF!</v>
      </c>
      <c r="I427" s="164" t="e">
        <f>IF($A$1="C",I424,#REF!)+G269</f>
        <v>#REF!</v>
      </c>
      <c r="J427" s="164" t="e">
        <f>IF($A$1="C",J424,#REF!)+H269</f>
        <v>#REF!</v>
      </c>
    </row>
    <row r="428" spans="1:21" ht="18" hidden="1" customHeight="1" x14ac:dyDescent="0.2">
      <c r="B428" s="195" t="s">
        <v>192</v>
      </c>
      <c r="C428" s="165"/>
      <c r="D428" s="165"/>
      <c r="E428" s="165" t="e">
        <f t="shared" ref="E428:J428" si="91">E426+E427</f>
        <v>#REF!</v>
      </c>
      <c r="F428" s="165" t="e">
        <f t="shared" si="91"/>
        <v>#REF!</v>
      </c>
      <c r="G428" s="165" t="e">
        <f t="shared" si="91"/>
        <v>#REF!</v>
      </c>
      <c r="H428" s="165" t="e">
        <f t="shared" si="91"/>
        <v>#REF!</v>
      </c>
      <c r="I428" s="165" t="e">
        <f t="shared" si="91"/>
        <v>#REF!</v>
      </c>
      <c r="J428" s="165" t="e">
        <f t="shared" si="91"/>
        <v>#REF!</v>
      </c>
    </row>
    <row r="429" spans="1:21" ht="4.1500000000000004" hidden="1" customHeight="1" x14ac:dyDescent="0.2">
      <c r="B429" s="162"/>
      <c r="C429" s="162"/>
      <c r="D429" s="162"/>
      <c r="E429" s="162"/>
      <c r="F429" s="162"/>
      <c r="G429" s="162"/>
      <c r="H429" s="162"/>
      <c r="I429" s="162"/>
      <c r="J429" s="162"/>
    </row>
    <row r="430" spans="1:21" ht="20.25" hidden="1" x14ac:dyDescent="0.2">
      <c r="B430" s="196" t="s">
        <v>217</v>
      </c>
      <c r="C430" s="169" t="e">
        <f>+#REF!</f>
        <v>#REF!</v>
      </c>
      <c r="D430" s="169" t="e">
        <f>+#REF!</f>
        <v>#REF!</v>
      </c>
      <c r="E430" s="169">
        <f t="shared" ref="E430:J430" si="92">+C$97</f>
        <v>2021</v>
      </c>
      <c r="F430" s="169">
        <f t="shared" si="92"/>
        <v>2022</v>
      </c>
      <c r="G430" s="169">
        <f t="shared" si="92"/>
        <v>2023</v>
      </c>
      <c r="H430" s="169">
        <f t="shared" si="92"/>
        <v>2024</v>
      </c>
      <c r="I430" s="169">
        <f t="shared" si="92"/>
        <v>2025</v>
      </c>
      <c r="J430" s="169">
        <f t="shared" si="92"/>
        <v>2026</v>
      </c>
    </row>
    <row r="431" spans="1:21" ht="18" hidden="1" customHeight="1" x14ac:dyDescent="0.2">
      <c r="B431" s="170" t="s">
        <v>218</v>
      </c>
      <c r="C431" s="197"/>
      <c r="D431" s="197"/>
      <c r="E431" s="164">
        <f t="shared" ref="E431:J431" si="93">(E218+E217+E213)*(1-E18)</f>
        <v>4302038536.8307762</v>
      </c>
      <c r="F431" s="164">
        <f t="shared" si="93"/>
        <v>5589307410.0973358</v>
      </c>
      <c r="G431" s="164">
        <f t="shared" si="93"/>
        <v>7152474042.6756611</v>
      </c>
      <c r="H431" s="164">
        <f t="shared" si="93"/>
        <v>8172853902.8819828</v>
      </c>
      <c r="I431" s="164">
        <f t="shared" si="93"/>
        <v>9586188742.0437355</v>
      </c>
      <c r="J431" s="164">
        <f t="shared" si="93"/>
        <v>11108607906.277512</v>
      </c>
    </row>
    <row r="432" spans="1:21" ht="15" hidden="1" customHeight="1" x14ac:dyDescent="0.2">
      <c r="B432" s="162"/>
      <c r="C432" s="142"/>
      <c r="D432" s="142"/>
      <c r="E432" s="142"/>
      <c r="F432" s="142"/>
      <c r="G432" s="142"/>
      <c r="H432" s="142"/>
      <c r="I432" s="142"/>
      <c r="J432" s="142"/>
    </row>
    <row r="433" spans="2:10" ht="20.25" hidden="1" x14ac:dyDescent="0.2">
      <c r="B433" s="196" t="s">
        <v>384</v>
      </c>
      <c r="C433" s="169" t="e">
        <f>+#REF!</f>
        <v>#REF!</v>
      </c>
      <c r="D433" s="169" t="e">
        <f>+#REF!</f>
        <v>#REF!</v>
      </c>
      <c r="E433" s="169">
        <f t="shared" ref="E433:J433" si="94">+C$97</f>
        <v>2021</v>
      </c>
      <c r="F433" s="169">
        <f t="shared" si="94"/>
        <v>2022</v>
      </c>
      <c r="G433" s="169">
        <f t="shared" si="94"/>
        <v>2023</v>
      </c>
      <c r="H433" s="169">
        <f t="shared" si="94"/>
        <v>2024</v>
      </c>
      <c r="I433" s="169">
        <f t="shared" si="94"/>
        <v>2025</v>
      </c>
      <c r="J433" s="169">
        <f t="shared" si="94"/>
        <v>2026</v>
      </c>
    </row>
    <row r="434" spans="2:10" ht="18" hidden="1" x14ac:dyDescent="0.2">
      <c r="B434" s="195" t="s">
        <v>318</v>
      </c>
      <c r="C434" s="197"/>
      <c r="D434" s="197"/>
      <c r="E434" s="198" t="e">
        <f t="shared" ref="E434:J434" si="95">E426/E427</f>
        <v>#REF!</v>
      </c>
      <c r="F434" s="198" t="e">
        <f t="shared" si="95"/>
        <v>#REF!</v>
      </c>
      <c r="G434" s="198" t="e">
        <f t="shared" si="95"/>
        <v>#REF!</v>
      </c>
      <c r="H434" s="198" t="e">
        <f t="shared" si="95"/>
        <v>#REF!</v>
      </c>
      <c r="I434" s="198" t="e">
        <f t="shared" si="95"/>
        <v>#REF!</v>
      </c>
      <c r="J434" s="198" t="e">
        <f t="shared" si="95"/>
        <v>#REF!</v>
      </c>
    </row>
    <row r="435" spans="2:10" ht="18" hidden="1" x14ac:dyDescent="0.2">
      <c r="B435" s="195" t="s">
        <v>123</v>
      </c>
      <c r="C435" s="197"/>
      <c r="D435" s="197"/>
      <c r="E435" s="199" t="e">
        <f t="shared" ref="E435:J435" si="96">E426/E428</f>
        <v>#REF!</v>
      </c>
      <c r="F435" s="199" t="e">
        <f t="shared" si="96"/>
        <v>#REF!</v>
      </c>
      <c r="G435" s="199" t="e">
        <f t="shared" si="96"/>
        <v>#REF!</v>
      </c>
      <c r="H435" s="199" t="e">
        <f t="shared" si="96"/>
        <v>#REF!</v>
      </c>
      <c r="I435" s="199" t="e">
        <f t="shared" si="96"/>
        <v>#REF!</v>
      </c>
      <c r="J435" s="199" t="e">
        <f t="shared" si="96"/>
        <v>#REF!</v>
      </c>
    </row>
    <row r="436" spans="2:10" ht="18" hidden="1" x14ac:dyDescent="0.2">
      <c r="B436" s="195" t="s">
        <v>117</v>
      </c>
      <c r="C436" s="197"/>
      <c r="D436" s="197"/>
      <c r="E436" s="199" t="e">
        <f t="shared" ref="E436:J436" si="97">E427/E428</f>
        <v>#REF!</v>
      </c>
      <c r="F436" s="199" t="e">
        <f t="shared" si="97"/>
        <v>#REF!</v>
      </c>
      <c r="G436" s="199" t="e">
        <f t="shared" si="97"/>
        <v>#REF!</v>
      </c>
      <c r="H436" s="199" t="e">
        <f t="shared" si="97"/>
        <v>#REF!</v>
      </c>
      <c r="I436" s="199" t="e">
        <f t="shared" si="97"/>
        <v>#REF!</v>
      </c>
      <c r="J436" s="199" t="e">
        <f t="shared" si="97"/>
        <v>#REF!</v>
      </c>
    </row>
    <row r="437" spans="2:10" ht="15" hidden="1" x14ac:dyDescent="0.2">
      <c r="B437" s="162"/>
      <c r="C437" s="142"/>
      <c r="D437" s="142"/>
      <c r="E437" s="142"/>
      <c r="F437" s="142"/>
      <c r="G437" s="142"/>
      <c r="H437" s="142"/>
      <c r="I437" s="142"/>
      <c r="J437" s="142"/>
    </row>
    <row r="438" spans="2:10" ht="15" hidden="1" x14ac:dyDescent="0.2">
      <c r="B438" s="162"/>
      <c r="C438" s="142"/>
      <c r="D438" s="142"/>
      <c r="E438" s="142"/>
      <c r="F438" s="142"/>
      <c r="G438" s="142"/>
      <c r="H438" s="142"/>
      <c r="I438" s="142"/>
      <c r="J438" s="142"/>
    </row>
    <row r="439" spans="2:10" ht="26.25" hidden="1" x14ac:dyDescent="0.2">
      <c r="B439" s="200" t="s">
        <v>219</v>
      </c>
      <c r="C439" s="201"/>
      <c r="D439" s="142"/>
      <c r="E439" s="142"/>
      <c r="F439" s="142"/>
      <c r="G439" s="142"/>
      <c r="H439" s="142"/>
      <c r="I439" s="142"/>
      <c r="J439" s="142"/>
    </row>
    <row r="440" spans="2:10" ht="15" hidden="1" x14ac:dyDescent="0.2">
      <c r="B440" s="162"/>
      <c r="C440" s="142"/>
      <c r="D440" s="142"/>
      <c r="E440" s="142"/>
      <c r="F440" s="142"/>
      <c r="G440" s="142"/>
      <c r="H440" s="142"/>
      <c r="I440" s="142"/>
      <c r="J440" s="142"/>
    </row>
    <row r="441" spans="2:10" ht="15" hidden="1" x14ac:dyDescent="0.2">
      <c r="B441" s="162"/>
      <c r="C441" s="142"/>
      <c r="D441" s="142"/>
      <c r="E441" s="142"/>
      <c r="F441" s="142"/>
      <c r="G441" s="142"/>
      <c r="H441" s="142"/>
      <c r="I441" s="142"/>
      <c r="J441" s="142"/>
    </row>
    <row r="442" spans="2:10" ht="15" hidden="1" x14ac:dyDescent="0.2">
      <c r="B442" s="162"/>
      <c r="C442" s="142"/>
      <c r="D442" s="142"/>
      <c r="E442" s="142"/>
      <c r="F442" s="142"/>
      <c r="G442" s="142"/>
      <c r="H442" s="142"/>
      <c r="I442" s="142"/>
      <c r="J442" s="142"/>
    </row>
    <row r="443" spans="2:10" ht="18" hidden="1" x14ac:dyDescent="0.2">
      <c r="B443" s="162"/>
      <c r="C443" s="202" t="e">
        <f>+#REF!</f>
        <v>#REF!</v>
      </c>
      <c r="D443" s="202" t="e">
        <f>+#REF!</f>
        <v>#REF!</v>
      </c>
      <c r="E443" s="202">
        <f t="shared" ref="E443:J443" si="98">+C$97</f>
        <v>2021</v>
      </c>
      <c r="F443" s="202">
        <f t="shared" si="98"/>
        <v>2022</v>
      </c>
      <c r="G443" s="202">
        <f t="shared" si="98"/>
        <v>2023</v>
      </c>
      <c r="H443" s="202">
        <f t="shared" si="98"/>
        <v>2024</v>
      </c>
      <c r="I443" s="202">
        <f t="shared" si="98"/>
        <v>2025</v>
      </c>
      <c r="J443" s="202">
        <f t="shared" si="98"/>
        <v>2026</v>
      </c>
    </row>
    <row r="444" spans="2:10" ht="18" hidden="1" x14ac:dyDescent="0.2">
      <c r="B444" s="203" t="s">
        <v>125</v>
      </c>
      <c r="C444" s="177"/>
      <c r="D444" s="177"/>
      <c r="E444" s="164">
        <f t="shared" ref="E444:J444" si="99">E213</f>
        <v>1072539349</v>
      </c>
      <c r="F444" s="164">
        <f t="shared" si="99"/>
        <v>1060401063.041514</v>
      </c>
      <c r="G444" s="164">
        <f t="shared" si="99"/>
        <v>907239778.44670248</v>
      </c>
      <c r="H444" s="164">
        <f t="shared" si="99"/>
        <v>789807299.73030257</v>
      </c>
      <c r="I444" s="164">
        <f t="shared" si="99"/>
        <v>637920250.89491308</v>
      </c>
      <c r="J444" s="164">
        <f t="shared" si="99"/>
        <v>441373644.88338423</v>
      </c>
    </row>
    <row r="445" spans="2:10" ht="18" hidden="1" x14ac:dyDescent="0.2">
      <c r="B445" s="203" t="s">
        <v>124</v>
      </c>
      <c r="C445" s="177"/>
      <c r="D445" s="177"/>
      <c r="E445" s="164">
        <f t="shared" ref="E445:J445" si="100">+E426</f>
        <v>6527657956</v>
      </c>
      <c r="F445" s="164">
        <f t="shared" si="100"/>
        <v>6527657956</v>
      </c>
      <c r="G445" s="164">
        <f t="shared" si="100"/>
        <v>5805019396.8643446</v>
      </c>
      <c r="H445" s="164">
        <f t="shared" si="100"/>
        <v>4954689909.6037931</v>
      </c>
      <c r="I445" s="164">
        <f t="shared" si="100"/>
        <v>3975913738.6545367</v>
      </c>
      <c r="J445" s="164">
        <f t="shared" si="100"/>
        <v>2842232173.3838401</v>
      </c>
    </row>
    <row r="446" spans="2:10" ht="4.9000000000000004" hidden="1" customHeight="1" x14ac:dyDescent="0.2">
      <c r="B446" s="204"/>
      <c r="C446" s="205"/>
      <c r="D446" s="206"/>
      <c r="E446" s="206"/>
      <c r="F446" s="206"/>
      <c r="G446" s="206"/>
      <c r="H446" s="206"/>
      <c r="I446" s="206"/>
      <c r="J446" s="206"/>
    </row>
    <row r="447" spans="2:10" ht="21" hidden="1" x14ac:dyDescent="0.2">
      <c r="B447" s="171" t="s">
        <v>161</v>
      </c>
      <c r="C447" s="177"/>
      <c r="D447" s="207" t="s">
        <v>268</v>
      </c>
      <c r="E447" s="199">
        <f t="shared" ref="E447:J447" si="101">IF(E445=0,0,E444/E445)</f>
        <v>0.16430691623695731</v>
      </c>
      <c r="F447" s="199">
        <f t="shared" si="101"/>
        <v>0.16244739999999994</v>
      </c>
      <c r="G447" s="199">
        <f t="shared" si="101"/>
        <v>0.15628539999999994</v>
      </c>
      <c r="H447" s="199">
        <f t="shared" si="101"/>
        <v>0.15940600000000008</v>
      </c>
      <c r="I447" s="199">
        <f t="shared" si="101"/>
        <v>0.16044619999999987</v>
      </c>
      <c r="J447" s="199">
        <f t="shared" si="101"/>
        <v>0.15529119999999988</v>
      </c>
    </row>
    <row r="448" spans="2:10" ht="4.9000000000000004" hidden="1" customHeight="1" x14ac:dyDescent="0.2">
      <c r="B448" s="204"/>
      <c r="C448" s="205"/>
      <c r="D448" s="206"/>
      <c r="E448" s="206"/>
      <c r="F448" s="206"/>
      <c r="G448" s="206"/>
      <c r="H448" s="206"/>
      <c r="I448" s="206"/>
      <c r="J448" s="206"/>
    </row>
    <row r="449" spans="1:21" ht="21" hidden="1" x14ac:dyDescent="0.2">
      <c r="B449" s="171" t="s">
        <v>162</v>
      </c>
      <c r="C449" s="177"/>
      <c r="D449" s="208"/>
      <c r="E449" s="199">
        <f t="shared" ref="E449:J449" si="102">E447*(1-E18)</f>
        <v>0.11337177220668337</v>
      </c>
      <c r="F449" s="199">
        <f t="shared" si="102"/>
        <v>0.10883975800314676</v>
      </c>
      <c r="G449" s="199">
        <f t="shared" si="102"/>
        <v>0.10471121800302739</v>
      </c>
      <c r="H449" s="199">
        <f t="shared" si="102"/>
        <v>0.10680202000308794</v>
      </c>
      <c r="I449" s="199">
        <f t="shared" si="102"/>
        <v>0.10749895400310795</v>
      </c>
      <c r="J449" s="199">
        <f t="shared" si="102"/>
        <v>0.10404510400300809</v>
      </c>
    </row>
    <row r="450" spans="1:21" ht="18" hidden="1" x14ac:dyDescent="0.2">
      <c r="B450" s="155"/>
      <c r="C450" s="194"/>
      <c r="D450" s="194"/>
      <c r="E450" s="194"/>
      <c r="F450" s="194"/>
      <c r="G450" s="194"/>
      <c r="H450" s="194"/>
      <c r="I450" s="194"/>
      <c r="J450" s="194"/>
    </row>
    <row r="451" spans="1:21" ht="18" hidden="1" x14ac:dyDescent="0.2">
      <c r="B451" s="155"/>
      <c r="C451" s="194"/>
      <c r="D451" s="194"/>
      <c r="E451" s="194"/>
      <c r="F451" s="194"/>
      <c r="G451" s="194"/>
      <c r="H451" s="194"/>
      <c r="I451" s="194"/>
      <c r="J451" s="194"/>
    </row>
    <row r="452" spans="1:21" ht="26.25" hidden="1" x14ac:dyDescent="0.2">
      <c r="B452" s="200" t="s">
        <v>220</v>
      </c>
      <c r="C452" s="201"/>
      <c r="D452" s="194"/>
      <c r="E452" s="194"/>
      <c r="F452" s="194"/>
      <c r="G452" s="194"/>
      <c r="H452" s="194"/>
      <c r="I452" s="194"/>
      <c r="J452" s="194"/>
    </row>
    <row r="453" spans="1:21" ht="18" hidden="1" x14ac:dyDescent="0.2">
      <c r="B453" s="155"/>
      <c r="C453" s="194"/>
      <c r="D453" s="194"/>
      <c r="E453" s="194"/>
      <c r="F453" s="194"/>
      <c r="G453" s="194"/>
      <c r="H453" s="194"/>
      <c r="I453" s="194"/>
      <c r="J453" s="194"/>
      <c r="Q453" s="7"/>
      <c r="R453" s="7"/>
      <c r="S453" s="7"/>
      <c r="T453" s="7"/>
    </row>
    <row r="454" spans="1:21" ht="18" hidden="1" x14ac:dyDescent="0.2">
      <c r="B454" s="155"/>
      <c r="C454" s="194"/>
      <c r="D454" s="194"/>
      <c r="E454" s="194"/>
      <c r="F454" s="194"/>
      <c r="G454" s="194"/>
      <c r="H454" s="194"/>
      <c r="I454" s="194"/>
      <c r="J454" s="194"/>
      <c r="Q454" s="7"/>
      <c r="R454" s="7"/>
      <c r="S454" s="7"/>
      <c r="T454" s="7"/>
    </row>
    <row r="455" spans="1:21" ht="20.45" hidden="1" customHeight="1" x14ac:dyDescent="0.2">
      <c r="B455" s="155"/>
      <c r="C455" s="194"/>
      <c r="D455" s="194"/>
      <c r="E455" s="194"/>
      <c r="F455" s="194"/>
      <c r="G455" s="194"/>
      <c r="H455" s="194"/>
      <c r="I455" s="194"/>
      <c r="J455" s="194"/>
      <c r="Q455" s="7"/>
      <c r="R455" s="7"/>
      <c r="S455" s="7"/>
      <c r="T455" s="7"/>
      <c r="U455" s="7"/>
    </row>
    <row r="456" spans="1:21" s="7" customFormat="1" ht="22.9" hidden="1" customHeight="1" x14ac:dyDescent="0.2">
      <c r="A456"/>
      <c r="B456" s="209" t="s">
        <v>241</v>
      </c>
      <c r="C456" s="176"/>
      <c r="D456" s="176"/>
      <c r="E456" s="210">
        <f>+D$11</f>
        <v>0</v>
      </c>
      <c r="F456" s="735" t="s">
        <v>335</v>
      </c>
      <c r="G456" s="736"/>
      <c r="H456" s="211" t="s">
        <v>334</v>
      </c>
      <c r="I456" s="212"/>
      <c r="J456" s="734" t="s">
        <v>221</v>
      </c>
      <c r="K456" s="714" t="s">
        <v>222</v>
      </c>
      <c r="L456" s="714" t="s">
        <v>223</v>
      </c>
      <c r="M456" s="714" t="s">
        <v>224</v>
      </c>
      <c r="N456" s="714" t="s">
        <v>225</v>
      </c>
      <c r="O456" s="714" t="s">
        <v>226</v>
      </c>
      <c r="P456" s="744" t="s">
        <v>227</v>
      </c>
    </row>
    <row r="457" spans="1:21" s="7" customFormat="1" ht="18.600000000000001" hidden="1" customHeight="1" x14ac:dyDescent="0.2">
      <c r="A457"/>
      <c r="B457" s="163" t="s">
        <v>228</v>
      </c>
      <c r="C457" s="204"/>
      <c r="D457" s="204"/>
      <c r="E457" s="213">
        <f>AVERAGE(K458:K467)</f>
        <v>2.5920586049758491E-2</v>
      </c>
      <c r="F457" s="214" t="s">
        <v>229</v>
      </c>
      <c r="G457" s="176"/>
      <c r="H457" s="176"/>
      <c r="I457" s="176"/>
      <c r="J457" s="734"/>
      <c r="K457" s="714"/>
      <c r="L457" s="714"/>
      <c r="M457" s="714"/>
      <c r="N457" s="714"/>
      <c r="O457" s="714"/>
      <c r="P457" s="744"/>
    </row>
    <row r="458" spans="1:21" s="7" customFormat="1" ht="21" hidden="1" customHeight="1" x14ac:dyDescent="0.2">
      <c r="A458"/>
      <c r="B458" s="215" t="s">
        <v>230</v>
      </c>
      <c r="C458" s="205"/>
      <c r="D458" s="205"/>
      <c r="E458" s="213">
        <f>AVERAGE(L458:L467)</f>
        <v>2.1440000000000001E-2</v>
      </c>
      <c r="F458" s="176"/>
      <c r="G458" s="176"/>
      <c r="H458" s="176"/>
      <c r="I458" s="176"/>
      <c r="J458" s="197">
        <v>2012</v>
      </c>
      <c r="K458" s="36">
        <v>2.971571978018946E-2</v>
      </c>
      <c r="L458" s="36">
        <v>1.7399999999999999E-2</v>
      </c>
      <c r="M458" s="36">
        <v>2.4399999999999998E-2</v>
      </c>
      <c r="N458" s="36">
        <v>0.03</v>
      </c>
      <c r="O458" s="36">
        <v>0.09</v>
      </c>
      <c r="P458" s="36">
        <v>4.0439438063715014E-2</v>
      </c>
    </row>
    <row r="459" spans="1:21" s="7" customFormat="1" ht="21" hidden="1" customHeight="1" x14ac:dyDescent="0.2">
      <c r="A459"/>
      <c r="B459" s="163" t="s">
        <v>231</v>
      </c>
      <c r="C459" s="204"/>
      <c r="D459" s="204"/>
      <c r="E459" s="213">
        <f>(1+E457)/(1+E458)-1</f>
        <v>4.3865386608694656E-3</v>
      </c>
      <c r="F459" s="146"/>
      <c r="G459" s="176"/>
      <c r="H459" s="176"/>
      <c r="I459" s="176"/>
      <c r="J459" s="197">
        <v>2013</v>
      </c>
      <c r="K459" s="37">
        <v>-9.104568794347262E-2</v>
      </c>
      <c r="L459" s="37">
        <v>1.4999999999999999E-2</v>
      </c>
      <c r="M459" s="37">
        <v>1.9400000000000001E-2</v>
      </c>
      <c r="N459" s="37">
        <v>3.3000000000000002E-2</v>
      </c>
      <c r="O459" s="37">
        <v>8.7999999999999995E-2</v>
      </c>
      <c r="P459" s="37">
        <v>4.9362895005096871E-2</v>
      </c>
    </row>
    <row r="460" spans="1:21" s="7" customFormat="1" ht="21" hidden="1" customHeight="1" x14ac:dyDescent="0.2">
      <c r="A460"/>
      <c r="B460" s="142"/>
      <c r="C460" s="142"/>
      <c r="D460" s="142"/>
      <c r="E460" s="216"/>
      <c r="F460" s="176"/>
      <c r="G460" s="176"/>
      <c r="H460" s="176"/>
      <c r="I460" s="176"/>
      <c r="J460" s="197">
        <v>2014</v>
      </c>
      <c r="K460" s="36">
        <v>0.10746180452004755</v>
      </c>
      <c r="L460" s="36">
        <v>7.3000000000000001E-3</v>
      </c>
      <c r="M460" s="36">
        <v>3.6600000000000001E-2</v>
      </c>
      <c r="N460" s="36">
        <v>3.3000000000000002E-2</v>
      </c>
      <c r="O460" s="36">
        <v>8.3000000000000004E-2</v>
      </c>
      <c r="P460" s="36">
        <v>3.1E-2</v>
      </c>
    </row>
    <row r="461" spans="1:21" s="7" customFormat="1" ht="21" hidden="1" customHeight="1" x14ac:dyDescent="0.2">
      <c r="A461"/>
      <c r="B461" s="215" t="s">
        <v>232</v>
      </c>
      <c r="C461" s="205"/>
      <c r="D461" s="205"/>
      <c r="E461" s="213">
        <f>AVERAGE(M458:M467)</f>
        <v>3.8859999999999992E-2</v>
      </c>
      <c r="F461" s="176"/>
      <c r="G461" s="176"/>
      <c r="H461" s="176"/>
      <c r="I461" s="176"/>
      <c r="J461" s="197">
        <v>2015</v>
      </c>
      <c r="K461" s="37">
        <v>1.2842996709792224E-2</v>
      </c>
      <c r="L461" s="37">
        <v>7.3000000000000001E-3</v>
      </c>
      <c r="M461" s="37">
        <v>6.7699999999999996E-2</v>
      </c>
      <c r="N461" s="37">
        <v>2.8500000000000001E-2</v>
      </c>
      <c r="O461" s="37">
        <v>8.5999999999999993E-2</v>
      </c>
      <c r="P461" s="37">
        <v>2.8000000000000001E-2</v>
      </c>
    </row>
    <row r="462" spans="1:21" s="7" customFormat="1" ht="21" hidden="1" customHeight="1" x14ac:dyDescent="0.2">
      <c r="A462"/>
      <c r="B462" s="163" t="s">
        <v>233</v>
      </c>
      <c r="C462" s="204"/>
      <c r="D462" s="204"/>
      <c r="E462" s="213">
        <f>(1+E459)*(1+E461)-1</f>
        <v>4.3416999553230751E-2</v>
      </c>
      <c r="F462" s="146"/>
      <c r="G462" s="176"/>
      <c r="H462" s="176"/>
      <c r="I462" s="176"/>
      <c r="J462" s="197">
        <v>2016</v>
      </c>
      <c r="K462" s="36">
        <v>6.9055046987477921E-3</v>
      </c>
      <c r="L462" s="36">
        <v>2.07E-2</v>
      </c>
      <c r="M462" s="36">
        <v>5.7500000000000002E-2</v>
      </c>
      <c r="N462" s="36">
        <v>2.98E-2</v>
      </c>
      <c r="O462" s="36">
        <v>9.5100000000000004E-2</v>
      </c>
      <c r="P462" s="36">
        <v>2.4E-2</v>
      </c>
    </row>
    <row r="463" spans="1:21" s="7" customFormat="1" ht="21" hidden="1" customHeight="1" x14ac:dyDescent="0.2">
      <c r="A463"/>
      <c r="B463" s="142"/>
      <c r="C463" s="142"/>
      <c r="D463" s="142"/>
      <c r="E463" s="142"/>
      <c r="F463" s="176"/>
      <c r="G463" s="176"/>
      <c r="H463" s="176"/>
      <c r="I463" s="176"/>
      <c r="J463" s="197">
        <v>2017</v>
      </c>
      <c r="K463" s="37">
        <v>2.8017162707789457E-2</v>
      </c>
      <c r="L463" s="37">
        <v>2.1100000000000001E-2</v>
      </c>
      <c r="M463" s="37">
        <v>4.0899999999999999E-2</v>
      </c>
      <c r="N463" s="37">
        <v>2.7099999999999999E-2</v>
      </c>
      <c r="O463" s="37">
        <v>8.4000000000000005E-2</v>
      </c>
      <c r="P463" s="37">
        <v>0.02</v>
      </c>
    </row>
    <row r="464" spans="1:21" s="7" customFormat="1" ht="21" hidden="1" customHeight="1" x14ac:dyDescent="0.2">
      <c r="A464"/>
      <c r="B464" s="215" t="s">
        <v>234</v>
      </c>
      <c r="C464" s="205"/>
      <c r="D464" s="205"/>
      <c r="E464" s="213">
        <f>AVERAGE(N458:N467)</f>
        <v>2.5930000000000002E-2</v>
      </c>
      <c r="F464" s="214" t="s">
        <v>229</v>
      </c>
      <c r="G464" s="176"/>
      <c r="H464" s="176"/>
      <c r="I464" s="176"/>
      <c r="J464" s="197">
        <v>2018</v>
      </c>
      <c r="K464" s="36">
        <v>-1.6692385713402633E-4</v>
      </c>
      <c r="L464" s="36">
        <v>1.9099999999999999E-2</v>
      </c>
      <c r="M464" s="36">
        <v>3.1800000000000002E-2</v>
      </c>
      <c r="N464" s="36">
        <v>2.1899999999999999E-2</v>
      </c>
      <c r="O464" s="36">
        <v>8.5999999999999993E-2</v>
      </c>
      <c r="P464" s="36">
        <v>2.5999999999999999E-2</v>
      </c>
    </row>
    <row r="465" spans="1:21" s="7" customFormat="1" ht="21" hidden="1" customHeight="1" x14ac:dyDescent="0.2">
      <c r="A465"/>
      <c r="B465" s="142"/>
      <c r="C465" s="142"/>
      <c r="D465" s="142"/>
      <c r="E465" s="142"/>
      <c r="F465" s="217" t="s">
        <v>324</v>
      </c>
      <c r="G465" s="176"/>
      <c r="H465" s="176"/>
      <c r="I465" s="176"/>
      <c r="J465" s="197">
        <v>2019</v>
      </c>
      <c r="K465" s="37">
        <v>9.6356307415483927E-2</v>
      </c>
      <c r="L465" s="37">
        <v>2.29E-2</v>
      </c>
      <c r="M465" s="37">
        <v>3.7999999999999999E-2</v>
      </c>
      <c r="N465" s="37">
        <v>1.8800000000000001E-2</v>
      </c>
      <c r="O465" s="37">
        <v>7.0800000000000002E-2</v>
      </c>
      <c r="P465" s="37">
        <v>3.3000000000000002E-2</v>
      </c>
    </row>
    <row r="466" spans="1:21" s="7" customFormat="1" ht="21" hidden="1" customHeight="1" x14ac:dyDescent="0.2">
      <c r="A466"/>
      <c r="B466" s="191" t="s">
        <v>237</v>
      </c>
      <c r="C466" s="218"/>
      <c r="D466" s="218"/>
      <c r="E466" s="199">
        <f>E462+E464</f>
        <v>6.9346999553230759E-2</v>
      </c>
      <c r="F466" s="219">
        <f>IF(C16=1,0,IF(C16=2,-0.5%,1%))</f>
        <v>-5.0000000000000001E-3</v>
      </c>
      <c r="G466" s="220">
        <f>E466+F466</f>
        <v>6.4346999553230755E-2</v>
      </c>
      <c r="H466" s="176"/>
      <c r="I466" s="176"/>
      <c r="J466" s="197">
        <v>2020</v>
      </c>
      <c r="K466" s="36">
        <v>0.1133189764661412</v>
      </c>
      <c r="L466" s="36">
        <v>1.3599999999999999E-2</v>
      </c>
      <c r="M466" s="36">
        <v>1.61E-2</v>
      </c>
      <c r="N466" s="36">
        <v>1.84E-2</v>
      </c>
      <c r="O466" s="36">
        <v>6.5600000000000006E-2</v>
      </c>
      <c r="P466" s="79">
        <v>-6.8000000000000005E-2</v>
      </c>
      <c r="Q466" s="21"/>
      <c r="R466" s="21"/>
      <c r="S466" s="21"/>
      <c r="T466"/>
    </row>
    <row r="467" spans="1:21" s="7" customFormat="1" ht="18" hidden="1" x14ac:dyDescent="0.2">
      <c r="A467"/>
      <c r="B467" s="155"/>
      <c r="C467" s="194"/>
      <c r="D467" s="194"/>
      <c r="E467" s="194"/>
      <c r="F467" s="194"/>
      <c r="G467" s="194"/>
      <c r="H467" s="194"/>
      <c r="I467" s="194"/>
      <c r="J467" s="197">
        <v>2021</v>
      </c>
      <c r="K467" s="80">
        <v>-4.4200000000000003E-2</v>
      </c>
      <c r="L467" s="80">
        <v>7.0000000000000007E-2</v>
      </c>
      <c r="M467" s="80">
        <v>5.62E-2</v>
      </c>
      <c r="N467" s="80">
        <v>1.8800000000000001E-2</v>
      </c>
      <c r="O467" s="80">
        <v>6.1199999999999997E-2</v>
      </c>
      <c r="P467" s="81">
        <v>7.5999999999999998E-2</v>
      </c>
      <c r="Q467" s="16" t="s">
        <v>370</v>
      </c>
      <c r="R467" s="21"/>
      <c r="S467" s="21"/>
      <c r="T467"/>
    </row>
    <row r="468" spans="1:21" s="7" customFormat="1" hidden="1" x14ac:dyDescent="0.2">
      <c r="A468"/>
      <c r="B468" s="176"/>
      <c r="C468" s="176"/>
      <c r="D468" s="176"/>
      <c r="E468" s="176"/>
      <c r="F468" s="176"/>
      <c r="G468" s="176"/>
      <c r="H468" s="176"/>
      <c r="I468" s="176"/>
      <c r="J468" s="221" t="s">
        <v>235</v>
      </c>
      <c r="K468" s="38" t="s">
        <v>236</v>
      </c>
      <c r="L468" s="21"/>
      <c r="M468" s="21"/>
      <c r="N468" s="21"/>
      <c r="O468" s="21"/>
      <c r="P468" s="78">
        <v>2.7E-2</v>
      </c>
      <c r="Q468" s="393">
        <v>2022</v>
      </c>
      <c r="R468" s="21"/>
      <c r="S468" s="21"/>
      <c r="T468"/>
      <c r="U468"/>
    </row>
    <row r="469" spans="1:21" ht="21" hidden="1" x14ac:dyDescent="0.2">
      <c r="B469" s="209" t="s">
        <v>387</v>
      </c>
      <c r="C469" s="209"/>
      <c r="D469" s="209"/>
      <c r="E469" s="162"/>
      <c r="F469" s="162"/>
      <c r="G469" s="162"/>
      <c r="H469" s="162"/>
      <c r="I469" s="162"/>
      <c r="J469" s="153"/>
      <c r="K469" s="1" t="s">
        <v>238</v>
      </c>
      <c r="P469" s="78">
        <v>2.7E-2</v>
      </c>
      <c r="Q469" s="393">
        <v>2023</v>
      </c>
    </row>
    <row r="470" spans="1:21" ht="19.5" hidden="1" x14ac:dyDescent="0.2">
      <c r="B470" s="222" t="s">
        <v>389</v>
      </c>
      <c r="C470" s="223"/>
      <c r="D470" s="223"/>
      <c r="E470" s="223"/>
      <c r="F470" s="223"/>
      <c r="G470" s="223"/>
      <c r="H470" s="162"/>
      <c r="I470" s="162"/>
      <c r="J470" s="153"/>
      <c r="K470" s="1" t="s">
        <v>239</v>
      </c>
      <c r="P470" s="78">
        <v>0.03</v>
      </c>
      <c r="Q470" s="393">
        <v>2024</v>
      </c>
    </row>
    <row r="471" spans="1:21" ht="18" hidden="1" x14ac:dyDescent="0.2">
      <c r="B471" s="155"/>
      <c r="C471" s="209"/>
      <c r="D471" s="209"/>
      <c r="E471" s="210">
        <f>+D$11</f>
        <v>0</v>
      </c>
      <c r="F471" s="162"/>
      <c r="G471" s="162"/>
      <c r="H471" s="162"/>
      <c r="I471" s="162"/>
      <c r="J471" s="153"/>
      <c r="K471" s="16" t="s">
        <v>240</v>
      </c>
      <c r="P471" s="78">
        <v>2.8000000000000001E-2</v>
      </c>
      <c r="Q471" s="393">
        <v>2025</v>
      </c>
    </row>
    <row r="472" spans="1:21" ht="23.25" hidden="1" x14ac:dyDescent="0.2">
      <c r="B472" s="224" t="s">
        <v>388</v>
      </c>
      <c r="C472" s="177"/>
      <c r="D472" s="177"/>
      <c r="E472" s="198">
        <f>E21</f>
        <v>0</v>
      </c>
      <c r="F472" s="194" t="s">
        <v>390</v>
      </c>
      <c r="G472" s="194"/>
      <c r="H472" s="194"/>
      <c r="I472" s="194"/>
      <c r="J472" s="194"/>
    </row>
    <row r="473" spans="1:21" ht="18" hidden="1" x14ac:dyDescent="0.2">
      <c r="B473" s="162"/>
      <c r="C473" s="162"/>
      <c r="D473" s="162"/>
      <c r="E473" s="162"/>
      <c r="F473" s="194"/>
      <c r="G473" s="194"/>
      <c r="H473" s="194"/>
      <c r="I473" s="194"/>
      <c r="J473" s="194"/>
      <c r="R473" s="7"/>
      <c r="S473" s="7"/>
      <c r="T473" s="7"/>
      <c r="U473" s="7"/>
    </row>
    <row r="474" spans="1:21" s="7" customFormat="1" ht="21" hidden="1" x14ac:dyDescent="0.2">
      <c r="A474"/>
      <c r="B474" s="225" t="s">
        <v>392</v>
      </c>
      <c r="C474" s="226"/>
      <c r="D474" s="226"/>
      <c r="E474" s="226"/>
      <c r="F474" s="176"/>
      <c r="G474" s="176"/>
      <c r="H474" s="176"/>
      <c r="I474" s="176"/>
      <c r="J474" s="176"/>
      <c r="K474" s="21"/>
      <c r="L474" s="21"/>
      <c r="M474" s="21"/>
      <c r="N474" s="21"/>
      <c r="O474" s="21"/>
    </row>
    <row r="475" spans="1:21" s="7" customFormat="1" ht="33.6" hidden="1" customHeight="1" x14ac:dyDescent="0.2">
      <c r="A475"/>
      <c r="B475" s="227" t="s">
        <v>269</v>
      </c>
      <c r="C475" s="228"/>
      <c r="D475" s="176"/>
      <c r="E475" s="720" t="s">
        <v>362</v>
      </c>
      <c r="F475" s="721"/>
      <c r="G475" s="721"/>
      <c r="H475" s="721"/>
      <c r="I475" s="721"/>
      <c r="J475" s="722"/>
      <c r="K475" s="21"/>
      <c r="L475" s="21"/>
      <c r="M475" s="21"/>
      <c r="N475" s="21"/>
      <c r="O475" s="21"/>
      <c r="P475" s="21"/>
      <c r="Q475" s="21"/>
      <c r="R475" s="21"/>
      <c r="S475" s="21"/>
      <c r="T475"/>
      <c r="U475"/>
    </row>
    <row r="476" spans="1:21" ht="23.25" hidden="1" x14ac:dyDescent="0.2">
      <c r="B476" s="229"/>
      <c r="C476" s="202" t="e">
        <f>+#REF!</f>
        <v>#REF!</v>
      </c>
      <c r="D476" s="202" t="e">
        <f>+#REF!</f>
        <v>#REF!</v>
      </c>
      <c r="E476" s="202">
        <f t="shared" ref="E476:J476" si="103">+C$97</f>
        <v>2021</v>
      </c>
      <c r="F476" s="202">
        <f t="shared" si="103"/>
        <v>2022</v>
      </c>
      <c r="G476" s="202">
        <f t="shared" si="103"/>
        <v>2023</v>
      </c>
      <c r="H476" s="202">
        <f t="shared" si="103"/>
        <v>2024</v>
      </c>
      <c r="I476" s="202">
        <f t="shared" si="103"/>
        <v>2025</v>
      </c>
      <c r="J476" s="202">
        <f t="shared" si="103"/>
        <v>2026</v>
      </c>
    </row>
    <row r="477" spans="1:21" ht="19.5" hidden="1" customHeight="1" x14ac:dyDescent="0.2">
      <c r="A477">
        <v>1</v>
      </c>
      <c r="B477" s="230" t="s">
        <v>329</v>
      </c>
      <c r="C477" s="177"/>
      <c r="D477" s="177"/>
      <c r="E477" s="231">
        <v>2</v>
      </c>
      <c r="F477" s="231">
        <v>-1</v>
      </c>
      <c r="G477" s="231">
        <v>1</v>
      </c>
      <c r="H477" s="231">
        <v>0</v>
      </c>
      <c r="I477" s="231">
        <v>-1</v>
      </c>
      <c r="J477" s="231">
        <v>-2</v>
      </c>
    </row>
    <row r="478" spans="1:21" ht="19.5" hidden="1" customHeight="1" x14ac:dyDescent="0.2">
      <c r="A478">
        <f>A477+1</f>
        <v>2</v>
      </c>
      <c r="B478" s="230" t="s">
        <v>357</v>
      </c>
      <c r="C478" s="177"/>
      <c r="D478" s="177"/>
      <c r="E478" s="231">
        <v>-2</v>
      </c>
      <c r="F478" s="231">
        <v>-2</v>
      </c>
      <c r="G478" s="231">
        <v>-1</v>
      </c>
      <c r="H478" s="231">
        <v>1</v>
      </c>
      <c r="I478" s="231">
        <v>2</v>
      </c>
      <c r="J478" s="231">
        <v>2</v>
      </c>
    </row>
    <row r="479" spans="1:21" ht="19.5" hidden="1" customHeight="1" x14ac:dyDescent="0.2">
      <c r="A479">
        <f>A478+1</f>
        <v>3</v>
      </c>
      <c r="B479" s="230" t="s">
        <v>360</v>
      </c>
      <c r="C479" s="177"/>
      <c r="D479" s="177"/>
      <c r="E479" s="231">
        <v>0</v>
      </c>
      <c r="F479" s="231">
        <v>-1</v>
      </c>
      <c r="G479" s="231">
        <v>0</v>
      </c>
      <c r="H479" s="231">
        <v>1</v>
      </c>
      <c r="I479" s="231">
        <v>2</v>
      </c>
      <c r="J479" s="231">
        <v>2</v>
      </c>
    </row>
    <row r="480" spans="1:21" ht="19.5" hidden="1" customHeight="1" x14ac:dyDescent="0.2">
      <c r="A480">
        <f>A479+1</f>
        <v>4</v>
      </c>
      <c r="B480" s="232" t="s">
        <v>359</v>
      </c>
      <c r="C480" s="177"/>
      <c r="D480" s="177"/>
      <c r="E480" s="231">
        <v>0</v>
      </c>
      <c r="F480" s="231">
        <v>0</v>
      </c>
      <c r="G480" s="231">
        <v>0</v>
      </c>
      <c r="H480" s="231">
        <v>0</v>
      </c>
      <c r="I480" s="231">
        <v>0</v>
      </c>
      <c r="J480" s="231">
        <v>0</v>
      </c>
    </row>
    <row r="481" spans="1:21" ht="19.5" hidden="1" customHeight="1" x14ac:dyDescent="0.2">
      <c r="A481">
        <f>A480+1</f>
        <v>5</v>
      </c>
      <c r="B481" s="230" t="s">
        <v>358</v>
      </c>
      <c r="C481" s="177"/>
      <c r="D481" s="177"/>
      <c r="E481" s="231">
        <v>2</v>
      </c>
      <c r="F481" s="231">
        <v>1</v>
      </c>
      <c r="G481" s="231">
        <v>1</v>
      </c>
      <c r="H481" s="231">
        <v>0</v>
      </c>
      <c r="I481" s="231">
        <v>0</v>
      </c>
      <c r="J481" s="231">
        <v>0</v>
      </c>
    </row>
    <row r="482" spans="1:21" ht="19.5" hidden="1" customHeight="1" x14ac:dyDescent="0.2">
      <c r="A482">
        <f>A481+1</f>
        <v>6</v>
      </c>
      <c r="B482" s="230" t="s">
        <v>361</v>
      </c>
      <c r="C482" s="177"/>
      <c r="D482" s="177"/>
      <c r="E482" s="231">
        <v>2</v>
      </c>
      <c r="F482" s="231">
        <v>-2</v>
      </c>
      <c r="G482" s="231">
        <v>-1</v>
      </c>
      <c r="H482" s="231">
        <v>0</v>
      </c>
      <c r="I482" s="231">
        <v>1</v>
      </c>
      <c r="J482" s="231">
        <v>1</v>
      </c>
    </row>
    <row r="483" spans="1:21" ht="19.5" hidden="1" customHeight="1" x14ac:dyDescent="0.2">
      <c r="B483" s="233" t="s">
        <v>330</v>
      </c>
      <c r="C483" s="234"/>
      <c r="D483" s="234"/>
      <c r="E483" s="234"/>
      <c r="F483" s="235">
        <f>AVERAGE(F477:F482)/100</f>
        <v>-8.3333333333333332E-3</v>
      </c>
      <c r="G483" s="235">
        <f>AVERAGE(G477:G482)/100</f>
        <v>0</v>
      </c>
      <c r="H483" s="235">
        <f>AVERAGE(H477:H482)/100</f>
        <v>3.3333333333333331E-3</v>
      </c>
      <c r="I483" s="235">
        <f>AVERAGE(I477:I482)/100</f>
        <v>6.6666666666666662E-3</v>
      </c>
      <c r="J483" s="235">
        <f>AVERAGE(J477:J482)/100</f>
        <v>5.0000000000000001E-3</v>
      </c>
    </row>
    <row r="484" spans="1:21" ht="9.6" hidden="1" customHeight="1" x14ac:dyDescent="0.2">
      <c r="B484" s="162"/>
      <c r="C484" s="162"/>
      <c r="D484" s="162"/>
      <c r="E484" s="162"/>
      <c r="F484" s="194"/>
      <c r="G484" s="194"/>
      <c r="H484" s="194"/>
      <c r="I484" s="194"/>
      <c r="J484" s="194"/>
      <c r="R484" s="7"/>
      <c r="S484" s="7"/>
      <c r="T484" s="7"/>
      <c r="U484" s="7"/>
    </row>
    <row r="485" spans="1:21" ht="19.5" hidden="1" customHeight="1" x14ac:dyDescent="0.2">
      <c r="B485" s="170" t="s">
        <v>385</v>
      </c>
      <c r="C485" s="236"/>
      <c r="D485" s="236"/>
      <c r="E485" s="237">
        <f>+E472</f>
        <v>0</v>
      </c>
      <c r="F485" s="237">
        <f>+E485-F483</f>
        <v>8.3333333333333332E-3</v>
      </c>
      <c r="G485" s="237">
        <f>+F485-G483</f>
        <v>8.3333333333333332E-3</v>
      </c>
      <c r="H485" s="237">
        <f>+G485-H483</f>
        <v>5.0000000000000001E-3</v>
      </c>
      <c r="I485" s="237">
        <f>+H485-I483</f>
        <v>-1.6666666666666661E-3</v>
      </c>
      <c r="J485" s="237">
        <f>+I485-J483</f>
        <v>-6.6666666666666662E-3</v>
      </c>
    </row>
    <row r="486" spans="1:21" ht="18" hidden="1" x14ac:dyDescent="0.2">
      <c r="B486" s="162"/>
      <c r="C486" s="162"/>
      <c r="D486" s="162"/>
      <c r="E486" s="162"/>
      <c r="F486" s="194"/>
      <c r="G486" s="194"/>
      <c r="H486" s="194"/>
      <c r="I486" s="194"/>
      <c r="J486" s="194"/>
      <c r="R486" s="7"/>
      <c r="S486" s="7"/>
      <c r="T486" s="7"/>
      <c r="U486" s="7"/>
    </row>
    <row r="487" spans="1:21" ht="18" hidden="1" x14ac:dyDescent="0.2">
      <c r="B487" s="162"/>
      <c r="C487" s="162"/>
      <c r="D487" s="162"/>
      <c r="E487" s="162"/>
      <c r="F487" s="194"/>
      <c r="G487" s="194"/>
      <c r="H487" s="194"/>
      <c r="I487" s="194"/>
      <c r="J487" s="194"/>
      <c r="R487" s="7"/>
      <c r="S487" s="7"/>
      <c r="T487" s="7"/>
      <c r="U487" s="7"/>
    </row>
    <row r="488" spans="1:21" ht="21" hidden="1" x14ac:dyDescent="0.2">
      <c r="B488" s="225" t="s">
        <v>393</v>
      </c>
      <c r="C488" s="162"/>
      <c r="D488" s="162"/>
      <c r="E488" s="162"/>
      <c r="F488" s="194"/>
      <c r="G488" s="194"/>
      <c r="H488" s="194"/>
      <c r="I488" s="194"/>
      <c r="J488" s="194"/>
      <c r="R488" s="7"/>
      <c r="S488" s="7"/>
      <c r="T488" s="7"/>
      <c r="U488" s="7"/>
    </row>
    <row r="489" spans="1:21" ht="23.25" hidden="1" x14ac:dyDescent="0.2">
      <c r="B489" s="229"/>
      <c r="C489" s="202" t="e">
        <f>+#REF!</f>
        <v>#REF!</v>
      </c>
      <c r="D489" s="202" t="e">
        <f>+#REF!</f>
        <v>#REF!</v>
      </c>
      <c r="E489" s="202">
        <f t="shared" ref="E489:J489" si="104">+C$97</f>
        <v>2021</v>
      </c>
      <c r="F489" s="202">
        <f t="shared" si="104"/>
        <v>2022</v>
      </c>
      <c r="G489" s="202">
        <f t="shared" si="104"/>
        <v>2023</v>
      </c>
      <c r="H489" s="202">
        <f t="shared" si="104"/>
        <v>2024</v>
      </c>
      <c r="I489" s="202">
        <f t="shared" si="104"/>
        <v>2025</v>
      </c>
      <c r="J489" s="202">
        <f t="shared" si="104"/>
        <v>2026</v>
      </c>
    </row>
    <row r="490" spans="1:21" ht="19.5" hidden="1" customHeight="1" x14ac:dyDescent="0.2">
      <c r="B490" s="171" t="s">
        <v>394</v>
      </c>
      <c r="C490" s="177"/>
      <c r="D490" s="177"/>
      <c r="E490" s="198">
        <f>E485</f>
        <v>0</v>
      </c>
      <c r="F490" s="198">
        <f t="shared" ref="F490:J490" si="105">F485</f>
        <v>8.3333333333333332E-3</v>
      </c>
      <c r="G490" s="198">
        <f t="shared" si="105"/>
        <v>8.3333333333333332E-3</v>
      </c>
      <c r="H490" s="198">
        <f t="shared" si="105"/>
        <v>5.0000000000000001E-3</v>
      </c>
      <c r="I490" s="198">
        <f t="shared" si="105"/>
        <v>-1.6666666666666661E-3</v>
      </c>
      <c r="J490" s="198">
        <f t="shared" si="105"/>
        <v>-6.6666666666666662E-3</v>
      </c>
    </row>
    <row r="491" spans="1:21" ht="19.5" hidden="1" customHeight="1" x14ac:dyDescent="0.2">
      <c r="B491" s="171" t="s">
        <v>391</v>
      </c>
      <c r="C491" s="177"/>
      <c r="D491" s="177"/>
      <c r="E491" s="198" t="e">
        <f t="shared" ref="E491:J491" si="106">E426/E427</f>
        <v>#REF!</v>
      </c>
      <c r="F491" s="198" t="e">
        <f t="shared" si="106"/>
        <v>#REF!</v>
      </c>
      <c r="G491" s="198" t="e">
        <f t="shared" si="106"/>
        <v>#REF!</v>
      </c>
      <c r="H491" s="198" t="e">
        <f t="shared" si="106"/>
        <v>#REF!</v>
      </c>
      <c r="I491" s="198" t="e">
        <f t="shared" si="106"/>
        <v>#REF!</v>
      </c>
      <c r="J491" s="198" t="e">
        <f t="shared" si="106"/>
        <v>#REF!</v>
      </c>
    </row>
    <row r="492" spans="1:21" ht="19.5" hidden="1" customHeight="1" x14ac:dyDescent="0.2">
      <c r="B492" s="170" t="s">
        <v>386</v>
      </c>
      <c r="C492" s="236"/>
      <c r="D492" s="236"/>
      <c r="E492" s="237" t="e">
        <f t="shared" ref="E492:J492" si="107">E490*(1+E491*(1-E18))</f>
        <v>#REF!</v>
      </c>
      <c r="F492" s="237" t="e">
        <f t="shared" si="107"/>
        <v>#REF!</v>
      </c>
      <c r="G492" s="237" t="e">
        <f t="shared" si="107"/>
        <v>#REF!</v>
      </c>
      <c r="H492" s="237" t="e">
        <f t="shared" si="107"/>
        <v>#REF!</v>
      </c>
      <c r="I492" s="237" t="e">
        <f t="shared" si="107"/>
        <v>#REF!</v>
      </c>
      <c r="J492" s="237" t="e">
        <f t="shared" si="107"/>
        <v>#REF!</v>
      </c>
      <c r="K492" s="16"/>
    </row>
    <row r="493" spans="1:21" ht="18" hidden="1" x14ac:dyDescent="0.2">
      <c r="B493" s="155"/>
      <c r="C493" s="194"/>
      <c r="D493" s="194"/>
      <c r="E493" s="194"/>
      <c r="F493" s="194"/>
      <c r="G493" s="194"/>
      <c r="H493" s="194"/>
      <c r="I493" s="194"/>
      <c r="J493" s="194"/>
      <c r="K493" s="16"/>
    </row>
    <row r="494" spans="1:21" ht="23.25" hidden="1" x14ac:dyDescent="0.2">
      <c r="B494" s="209" t="s">
        <v>242</v>
      </c>
      <c r="C494" s="209"/>
      <c r="D494" s="209"/>
      <c r="E494" s="210">
        <f>+D$11</f>
        <v>0</v>
      </c>
      <c r="F494" s="194"/>
      <c r="G494" s="194"/>
      <c r="H494" s="194"/>
      <c r="I494" s="194"/>
      <c r="J494" s="194"/>
    </row>
    <row r="495" spans="1:21" ht="18" hidden="1" x14ac:dyDescent="0.2">
      <c r="B495" s="203" t="s">
        <v>215</v>
      </c>
      <c r="C495" s="177"/>
      <c r="D495" s="177"/>
      <c r="E495" s="199">
        <f>AVERAGE(O458:O467)</f>
        <v>8.097E-2</v>
      </c>
      <c r="F495" s="194"/>
      <c r="G495" s="162"/>
      <c r="H495" s="194"/>
      <c r="I495" s="194"/>
      <c r="J495" s="194"/>
    </row>
    <row r="496" spans="1:21" ht="18" hidden="1" x14ac:dyDescent="0.2">
      <c r="B496" s="162"/>
      <c r="C496" s="162"/>
      <c r="D496" s="162"/>
      <c r="E496" s="162"/>
      <c r="F496" s="194"/>
      <c r="G496" s="194"/>
      <c r="H496" s="194"/>
      <c r="I496" s="194"/>
      <c r="J496" s="194"/>
    </row>
    <row r="497" spans="1:21" ht="18" hidden="1" x14ac:dyDescent="0.2">
      <c r="B497" s="162"/>
      <c r="C497" s="162"/>
      <c r="D497" s="162"/>
      <c r="E497" s="162"/>
      <c r="F497" s="194"/>
      <c r="G497" s="194"/>
      <c r="H497" s="194"/>
      <c r="I497" s="194"/>
      <c r="J497" s="194"/>
    </row>
    <row r="498" spans="1:21" ht="23.25" hidden="1" x14ac:dyDescent="0.2">
      <c r="B498" s="209" t="s">
        <v>243</v>
      </c>
      <c r="C498" s="209"/>
      <c r="D498" s="209"/>
      <c r="E498" s="210">
        <f>+D$11</f>
        <v>0</v>
      </c>
      <c r="F498" s="194"/>
      <c r="G498" s="194"/>
      <c r="H498" s="194"/>
      <c r="I498" s="194"/>
      <c r="J498" s="194"/>
      <c r="Q498" s="7"/>
      <c r="R498" s="7"/>
      <c r="S498" s="7"/>
      <c r="T498" s="7"/>
    </row>
    <row r="499" spans="1:21" ht="18" hidden="1" x14ac:dyDescent="0.2">
      <c r="B499" s="171" t="s">
        <v>281</v>
      </c>
      <c r="C499" s="177"/>
      <c r="D499" s="177"/>
      <c r="E499" s="199">
        <v>0.04</v>
      </c>
      <c r="F499" s="238" t="s">
        <v>280</v>
      </c>
      <c r="G499" s="194"/>
      <c r="H499" s="194"/>
      <c r="I499" s="194"/>
      <c r="J499" s="194"/>
      <c r="Q499" s="7"/>
      <c r="R499" s="7"/>
      <c r="S499" s="7"/>
      <c r="T499" s="7"/>
    </row>
    <row r="500" spans="1:21" ht="18" hidden="1" x14ac:dyDescent="0.2">
      <c r="B500" s="162"/>
      <c r="C500" s="162"/>
      <c r="D500" s="162"/>
      <c r="E500" s="162"/>
      <c r="F500" s="194"/>
      <c r="G500" s="194"/>
      <c r="H500" s="194"/>
      <c r="I500" s="194"/>
      <c r="J500" s="194"/>
      <c r="Q500" s="7"/>
      <c r="R500" s="7"/>
      <c r="S500" s="7"/>
      <c r="T500" s="7"/>
      <c r="U500" s="7"/>
    </row>
    <row r="501" spans="1:21" s="7" customFormat="1" ht="18" hidden="1" x14ac:dyDescent="0.2">
      <c r="A501"/>
      <c r="B501" s="209" t="s">
        <v>252</v>
      </c>
      <c r="C501" s="176"/>
      <c r="D501" s="176"/>
      <c r="E501" s="176"/>
      <c r="F501" s="176"/>
      <c r="G501" s="176"/>
      <c r="H501" s="176"/>
      <c r="I501" s="176"/>
      <c r="J501" s="176"/>
      <c r="K501" s="21"/>
      <c r="L501" s="21"/>
      <c r="M501" s="21"/>
      <c r="N501" s="21"/>
      <c r="O501" s="21"/>
      <c r="P501" s="21"/>
    </row>
    <row r="502" spans="1:21" s="7" customFormat="1" ht="19.5" hidden="1" customHeight="1" x14ac:dyDescent="0.2">
      <c r="A502"/>
      <c r="B502" s="227" t="s">
        <v>269</v>
      </c>
      <c r="C502" s="228"/>
      <c r="D502" s="176"/>
      <c r="E502" s="717" t="s">
        <v>270</v>
      </c>
      <c r="F502" s="718"/>
      <c r="G502" s="718"/>
      <c r="H502" s="718"/>
      <c r="I502" s="718"/>
      <c r="J502" s="719"/>
      <c r="K502" s="21"/>
      <c r="L502" s="21"/>
      <c r="M502" s="21"/>
      <c r="N502" s="21"/>
      <c r="O502" s="21"/>
      <c r="P502" s="21"/>
    </row>
    <row r="503" spans="1:21" s="7" customFormat="1" ht="19.5" hidden="1" customHeight="1" x14ac:dyDescent="0.2">
      <c r="A503"/>
      <c r="B503" s="188" t="s">
        <v>265</v>
      </c>
      <c r="C503" s="202" t="e">
        <f>+#REF!</f>
        <v>#REF!</v>
      </c>
      <c r="D503" s="202" t="e">
        <f>+#REF!</f>
        <v>#REF!</v>
      </c>
      <c r="E503" s="202">
        <f t="shared" ref="E503:J503" si="108">+C$97</f>
        <v>2021</v>
      </c>
      <c r="F503" s="202">
        <f t="shared" si="108"/>
        <v>2022</v>
      </c>
      <c r="G503" s="202">
        <f t="shared" si="108"/>
        <v>2023</v>
      </c>
      <c r="H503" s="202">
        <f t="shared" si="108"/>
        <v>2024</v>
      </c>
      <c r="I503" s="202">
        <f t="shared" si="108"/>
        <v>2025</v>
      </c>
      <c r="J503" s="202">
        <f t="shared" si="108"/>
        <v>2026</v>
      </c>
      <c r="K503" s="21"/>
      <c r="L503" s="21"/>
      <c r="M503" s="21"/>
      <c r="N503" s="21"/>
      <c r="O503" s="21"/>
      <c r="P503" s="21"/>
    </row>
    <row r="504" spans="1:21" s="7" customFormat="1" ht="19.5" hidden="1" customHeight="1" x14ac:dyDescent="0.2">
      <c r="A504">
        <v>1</v>
      </c>
      <c r="B504" s="230" t="s">
        <v>271</v>
      </c>
      <c r="C504" s="239"/>
      <c r="D504" s="239"/>
      <c r="E504" s="240">
        <v>2</v>
      </c>
      <c r="F504" s="240">
        <v>2</v>
      </c>
      <c r="G504" s="240">
        <v>2</v>
      </c>
      <c r="H504" s="240">
        <v>3</v>
      </c>
      <c r="I504" s="240">
        <v>3</v>
      </c>
      <c r="J504" s="240">
        <v>3</v>
      </c>
      <c r="K504" s="21"/>
      <c r="L504" s="21"/>
      <c r="M504" s="21"/>
      <c r="N504" s="21"/>
      <c r="O504" s="21"/>
      <c r="P504" s="21"/>
    </row>
    <row r="505" spans="1:21" s="7" customFormat="1" ht="19.5" hidden="1" customHeight="1" x14ac:dyDescent="0.2">
      <c r="A505">
        <v>2</v>
      </c>
      <c r="B505" s="232" t="s">
        <v>331</v>
      </c>
      <c r="C505" s="241"/>
      <c r="D505" s="241"/>
      <c r="E505" s="240">
        <v>2</v>
      </c>
      <c r="F505" s="240">
        <v>2</v>
      </c>
      <c r="G505" s="240">
        <v>2</v>
      </c>
      <c r="H505" s="240">
        <v>2</v>
      </c>
      <c r="I505" s="240">
        <v>2</v>
      </c>
      <c r="J505" s="240">
        <v>2</v>
      </c>
      <c r="K505" s="21"/>
      <c r="L505" s="21"/>
      <c r="M505" s="21"/>
      <c r="N505" s="21"/>
      <c r="O505" s="21"/>
      <c r="P505" s="21"/>
    </row>
    <row r="506" spans="1:21" s="7" customFormat="1" ht="19.5" hidden="1" customHeight="1" x14ac:dyDescent="0.2">
      <c r="A506">
        <v>3</v>
      </c>
      <c r="B506" s="230" t="s">
        <v>274</v>
      </c>
      <c r="C506" s="241"/>
      <c r="D506" s="241"/>
      <c r="E506" s="240">
        <v>4</v>
      </c>
      <c r="F506" s="240">
        <v>4</v>
      </c>
      <c r="G506" s="240">
        <v>4</v>
      </c>
      <c r="H506" s="240">
        <v>3</v>
      </c>
      <c r="I506" s="240">
        <v>3</v>
      </c>
      <c r="J506" s="240">
        <v>3</v>
      </c>
      <c r="K506" s="21"/>
      <c r="L506" s="21"/>
      <c r="M506" s="21"/>
      <c r="N506" s="21"/>
      <c r="O506" s="21"/>
      <c r="P506" s="21"/>
    </row>
    <row r="507" spans="1:21" s="7" customFormat="1" ht="19.5" hidden="1" customHeight="1" x14ac:dyDescent="0.2">
      <c r="A507">
        <v>4</v>
      </c>
      <c r="B507" s="230" t="s">
        <v>332</v>
      </c>
      <c r="C507" s="241"/>
      <c r="D507" s="241"/>
      <c r="E507" s="240">
        <v>2</v>
      </c>
      <c r="F507" s="240">
        <v>2</v>
      </c>
      <c r="G507" s="240">
        <v>2</v>
      </c>
      <c r="H507" s="240">
        <v>1</v>
      </c>
      <c r="I507" s="240">
        <v>1</v>
      </c>
      <c r="J507" s="240">
        <v>1</v>
      </c>
      <c r="K507" s="21"/>
      <c r="L507" s="21"/>
      <c r="M507" s="21"/>
      <c r="N507" s="21"/>
      <c r="O507" s="21"/>
      <c r="P507" s="21"/>
    </row>
    <row r="508" spans="1:21" s="7" customFormat="1" ht="19.5" hidden="1" customHeight="1" x14ac:dyDescent="0.2">
      <c r="A508">
        <v>5</v>
      </c>
      <c r="B508" s="230" t="s">
        <v>275</v>
      </c>
      <c r="C508" s="241"/>
      <c r="D508" s="241"/>
      <c r="E508" s="240">
        <v>3</v>
      </c>
      <c r="F508" s="240">
        <v>2</v>
      </c>
      <c r="G508" s="240">
        <v>2</v>
      </c>
      <c r="H508" s="240">
        <v>1</v>
      </c>
      <c r="I508" s="240">
        <v>1</v>
      </c>
      <c r="J508" s="240">
        <v>0</v>
      </c>
      <c r="K508" s="21"/>
      <c r="L508" s="21"/>
      <c r="M508" s="21"/>
      <c r="N508" s="21"/>
      <c r="O508" s="21"/>
      <c r="P508" s="21"/>
    </row>
    <row r="509" spans="1:21" s="7" customFormat="1" ht="19.5" hidden="1" customHeight="1" x14ac:dyDescent="0.2">
      <c r="A509">
        <v>6</v>
      </c>
      <c r="B509" s="230" t="s">
        <v>333</v>
      </c>
      <c r="C509" s="241"/>
      <c r="D509" s="241"/>
      <c r="E509" s="240">
        <v>4</v>
      </c>
      <c r="F509" s="240">
        <v>3</v>
      </c>
      <c r="G509" s="240">
        <v>3</v>
      </c>
      <c r="H509" s="240">
        <v>2</v>
      </c>
      <c r="I509" s="240">
        <v>2</v>
      </c>
      <c r="J509" s="240">
        <v>1</v>
      </c>
      <c r="K509" s="21"/>
      <c r="L509" s="21"/>
      <c r="M509" s="21"/>
      <c r="N509" s="21"/>
      <c r="O509" s="21"/>
      <c r="P509" s="21"/>
    </row>
    <row r="510" spans="1:21" s="7" customFormat="1" ht="19.5" hidden="1" customHeight="1" x14ac:dyDescent="0.2">
      <c r="A510">
        <v>7</v>
      </c>
      <c r="B510" s="232" t="s">
        <v>356</v>
      </c>
      <c r="C510" s="241"/>
      <c r="D510" s="241"/>
      <c r="E510" s="240">
        <f t="shared" ref="E510:J510" si="109">VLOOKUP(E525,$L$521:$N$525,3)</f>
        <v>4</v>
      </c>
      <c r="F510" s="240">
        <f t="shared" si="109"/>
        <v>2</v>
      </c>
      <c r="G510" s="240">
        <f t="shared" si="109"/>
        <v>2</v>
      </c>
      <c r="H510" s="240">
        <f t="shared" si="109"/>
        <v>2</v>
      </c>
      <c r="I510" s="240">
        <f t="shared" si="109"/>
        <v>2</v>
      </c>
      <c r="J510" s="240">
        <f t="shared" si="109"/>
        <v>2</v>
      </c>
      <c r="K510" s="21"/>
      <c r="L510" s="21"/>
      <c r="M510" s="21"/>
      <c r="N510" s="21"/>
      <c r="O510" s="21"/>
      <c r="P510" s="21"/>
    </row>
    <row r="511" spans="1:21" s="7" customFormat="1" ht="19.5" hidden="1" customHeight="1" x14ac:dyDescent="0.2">
      <c r="A511">
        <v>8</v>
      </c>
      <c r="B511" s="232" t="s">
        <v>115</v>
      </c>
      <c r="C511" s="241"/>
      <c r="D511" s="241"/>
      <c r="E511" s="240">
        <f t="shared" ref="E511:J511" si="110">VLOOKUP(E526,$O$521:$Q$525,3)</f>
        <v>1</v>
      </c>
      <c r="F511" s="240">
        <f t="shared" si="110"/>
        <v>1</v>
      </c>
      <c r="G511" s="240">
        <f t="shared" si="110"/>
        <v>0</v>
      </c>
      <c r="H511" s="240">
        <f t="shared" si="110"/>
        <v>0</v>
      </c>
      <c r="I511" s="240">
        <f t="shared" si="110"/>
        <v>0</v>
      </c>
      <c r="J511" s="240">
        <f t="shared" si="110"/>
        <v>0</v>
      </c>
      <c r="K511" s="21"/>
      <c r="L511" s="21"/>
      <c r="M511" s="21"/>
      <c r="N511" s="21"/>
      <c r="O511" s="21"/>
      <c r="P511" s="21"/>
    </row>
    <row r="512" spans="1:21" s="7" customFormat="1" ht="19.5" hidden="1" customHeight="1" x14ac:dyDescent="0.2">
      <c r="A512">
        <v>9</v>
      </c>
      <c r="B512" s="230" t="s">
        <v>272</v>
      </c>
      <c r="C512" s="241"/>
      <c r="D512" s="241"/>
      <c r="E512" s="240">
        <v>2</v>
      </c>
      <c r="F512" s="240">
        <v>2</v>
      </c>
      <c r="G512" s="240">
        <v>2</v>
      </c>
      <c r="H512" s="240">
        <v>2</v>
      </c>
      <c r="I512" s="240">
        <v>2</v>
      </c>
      <c r="J512" s="240">
        <v>2</v>
      </c>
      <c r="K512" s="21"/>
      <c r="L512" s="21"/>
      <c r="M512" s="21"/>
      <c r="N512" s="21"/>
      <c r="O512" s="21"/>
      <c r="P512" s="21"/>
    </row>
    <row r="513" spans="1:21" s="7" customFormat="1" ht="19.5" hidden="1" customHeight="1" x14ac:dyDescent="0.2">
      <c r="A513">
        <v>10</v>
      </c>
      <c r="B513" s="230" t="s">
        <v>273</v>
      </c>
      <c r="C513" s="241"/>
      <c r="D513" s="241"/>
      <c r="E513" s="240">
        <v>3</v>
      </c>
      <c r="F513" s="240">
        <v>3</v>
      </c>
      <c r="G513" s="240">
        <v>2</v>
      </c>
      <c r="H513" s="240">
        <v>2</v>
      </c>
      <c r="I513" s="240">
        <v>1</v>
      </c>
      <c r="J513" s="240">
        <v>1</v>
      </c>
      <c r="K513" s="21"/>
      <c r="L513" s="21"/>
      <c r="M513" s="21"/>
      <c r="N513" s="21"/>
      <c r="O513" s="21"/>
      <c r="P513" s="21"/>
    </row>
    <row r="514" spans="1:21" s="7" customFormat="1" ht="19.5" hidden="1" customHeight="1" x14ac:dyDescent="0.2">
      <c r="A514">
        <v>11</v>
      </c>
      <c r="B514" s="230" t="s">
        <v>276</v>
      </c>
      <c r="C514" s="241"/>
      <c r="D514" s="241"/>
      <c r="E514" s="240">
        <v>2</v>
      </c>
      <c r="F514" s="240">
        <v>2</v>
      </c>
      <c r="G514" s="240">
        <v>2</v>
      </c>
      <c r="H514" s="240">
        <v>2</v>
      </c>
      <c r="I514" s="240">
        <v>2</v>
      </c>
      <c r="J514" s="240">
        <v>2</v>
      </c>
      <c r="K514" s="21"/>
      <c r="L514" s="1"/>
      <c r="M514" s="1"/>
      <c r="N514" s="1"/>
      <c r="O514" s="1"/>
      <c r="P514" s="1"/>
      <c r="Q514" s="1"/>
      <c r="R514" s="1"/>
      <c r="S514" s="1"/>
      <c r="T514" s="1"/>
    </row>
    <row r="515" spans="1:21" s="7" customFormat="1" ht="19.5" hidden="1" customHeight="1" x14ac:dyDescent="0.2">
      <c r="A515">
        <v>12</v>
      </c>
      <c r="B515" s="230" t="s">
        <v>277</v>
      </c>
      <c r="C515" s="241"/>
      <c r="D515" s="241"/>
      <c r="E515" s="240">
        <v>4</v>
      </c>
      <c r="F515" s="240">
        <v>3</v>
      </c>
      <c r="G515" s="240">
        <v>3</v>
      </c>
      <c r="H515" s="240">
        <v>3</v>
      </c>
      <c r="I515" s="240">
        <v>2</v>
      </c>
      <c r="J515" s="240">
        <v>2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1" s="7" customFormat="1" ht="19.5" hidden="1" customHeight="1" x14ac:dyDescent="0.2">
      <c r="A516">
        <v>13</v>
      </c>
      <c r="B516" s="232" t="s">
        <v>355</v>
      </c>
      <c r="C516" s="241"/>
      <c r="D516" s="241"/>
      <c r="E516" s="240">
        <v>4</v>
      </c>
      <c r="F516" s="240">
        <v>4</v>
      </c>
      <c r="G516" s="240">
        <v>3</v>
      </c>
      <c r="H516" s="240">
        <v>3</v>
      </c>
      <c r="I516" s="240">
        <v>2</v>
      </c>
      <c r="J516" s="240">
        <v>2</v>
      </c>
      <c r="K516" s="1"/>
    </row>
    <row r="517" spans="1:21" s="7" customFormat="1" ht="19.5" hidden="1" customHeight="1" x14ac:dyDescent="0.2">
      <c r="A517">
        <v>14</v>
      </c>
      <c r="B517" s="230" t="s">
        <v>278</v>
      </c>
      <c r="C517" s="241"/>
      <c r="D517" s="241"/>
      <c r="E517" s="240">
        <v>1</v>
      </c>
      <c r="F517" s="240">
        <v>1</v>
      </c>
      <c r="G517" s="240">
        <v>1</v>
      </c>
      <c r="H517" s="240">
        <v>1</v>
      </c>
      <c r="I517" s="240">
        <v>1</v>
      </c>
      <c r="J517" s="240">
        <v>1</v>
      </c>
      <c r="U517" s="1"/>
    </row>
    <row r="518" spans="1:21" s="1" customFormat="1" ht="19.5" hidden="1" customHeight="1" x14ac:dyDescent="0.2">
      <c r="A518"/>
      <c r="B518" s="227" t="s">
        <v>279</v>
      </c>
      <c r="C518" s="241"/>
      <c r="D518" s="241"/>
      <c r="E518" s="242">
        <f t="shared" ref="E518:J518" si="111">SUM(E504:E517)</f>
        <v>38</v>
      </c>
      <c r="F518" s="242">
        <f t="shared" si="111"/>
        <v>33</v>
      </c>
      <c r="G518" s="242">
        <f t="shared" si="111"/>
        <v>30</v>
      </c>
      <c r="H518" s="242">
        <f t="shared" si="111"/>
        <v>27</v>
      </c>
      <c r="I518" s="242">
        <f t="shared" si="111"/>
        <v>24</v>
      </c>
      <c r="J518" s="242">
        <f t="shared" si="111"/>
        <v>22</v>
      </c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s="7" customFormat="1" ht="8.4499999999999993" hidden="1" customHeight="1" x14ac:dyDescent="0.2">
      <c r="A519"/>
      <c r="B519" s="243"/>
      <c r="C519" s="244"/>
      <c r="D519" s="176"/>
      <c r="E519" s="245"/>
      <c r="F519" s="246"/>
      <c r="G519" s="246"/>
      <c r="H519" s="246"/>
      <c r="I519" s="246"/>
      <c r="J519" s="246"/>
      <c r="L519" s="21"/>
      <c r="M519" s="21"/>
      <c r="N519" s="21"/>
      <c r="O519" s="21"/>
      <c r="P519" s="21"/>
      <c r="Q519" s="21"/>
      <c r="R519" s="21"/>
      <c r="S519" s="21"/>
      <c r="T519"/>
    </row>
    <row r="520" spans="1:21" s="7" customFormat="1" ht="21" hidden="1" customHeight="1" x14ac:dyDescent="0.2">
      <c r="A520"/>
      <c r="B520" s="170" t="s">
        <v>326</v>
      </c>
      <c r="C520" s="212"/>
      <c r="D520" s="212"/>
      <c r="E520" s="247">
        <f t="shared" ref="E520:J520" si="112">E518/(4*COUNTA($B$504:$B$517))*$E$499-$E$499</f>
        <v>-1.2857142857142855E-2</v>
      </c>
      <c r="F520" s="247">
        <f t="shared" si="112"/>
        <v>-1.6428571428571428E-2</v>
      </c>
      <c r="G520" s="247">
        <f t="shared" si="112"/>
        <v>-1.8571428571428572E-2</v>
      </c>
      <c r="H520" s="247">
        <f t="shared" si="112"/>
        <v>-2.0714285714285713E-2</v>
      </c>
      <c r="I520" s="247">
        <f t="shared" si="112"/>
        <v>-2.2857142857142857E-2</v>
      </c>
      <c r="J520" s="248">
        <f t="shared" si="112"/>
        <v>-2.4285714285714285E-2</v>
      </c>
      <c r="K520" s="714" t="s">
        <v>364</v>
      </c>
      <c r="L520" s="715" t="s">
        <v>365</v>
      </c>
      <c r="M520" s="716"/>
      <c r="N520" s="716"/>
      <c r="O520" s="715" t="s">
        <v>366</v>
      </c>
      <c r="P520" s="716"/>
      <c r="Q520" s="716"/>
      <c r="R520" s="21"/>
      <c r="S520" s="21"/>
      <c r="T520"/>
    </row>
    <row r="521" spans="1:21" s="7" customFormat="1" ht="18.600000000000001" hidden="1" customHeight="1" x14ac:dyDescent="0.2">
      <c r="A521"/>
      <c r="B521" s="152"/>
      <c r="C521" s="245"/>
      <c r="D521" s="245"/>
      <c r="E521" s="245"/>
      <c r="F521" s="245"/>
      <c r="G521" s="245"/>
      <c r="H521" s="245"/>
      <c r="I521" s="245"/>
      <c r="J521" s="249"/>
      <c r="K521" s="714"/>
      <c r="L521" s="74">
        <v>-1000</v>
      </c>
      <c r="M521" s="74">
        <v>0</v>
      </c>
      <c r="N521" s="74">
        <v>4</v>
      </c>
      <c r="O521" s="74">
        <v>-1000</v>
      </c>
      <c r="P521" s="74">
        <v>0</v>
      </c>
      <c r="Q521" s="74">
        <v>4</v>
      </c>
      <c r="R521" s="21"/>
      <c r="S521" s="21"/>
      <c r="T521"/>
      <c r="U521"/>
    </row>
    <row r="522" spans="1:21" s="7" customFormat="1" ht="19.5" hidden="1" customHeight="1" x14ac:dyDescent="0.2">
      <c r="A522"/>
      <c r="B522" s="171" t="s">
        <v>4</v>
      </c>
      <c r="C522" s="250"/>
      <c r="D522" s="251">
        <f t="shared" ref="D522:J522" si="113">D196</f>
        <v>32883349520</v>
      </c>
      <c r="E522" s="251">
        <f t="shared" si="113"/>
        <v>37619845133</v>
      </c>
      <c r="F522" s="251">
        <f t="shared" si="113"/>
        <v>43985561130.310005</v>
      </c>
      <c r="G522" s="251">
        <f t="shared" si="113"/>
        <v>47526790596.822807</v>
      </c>
      <c r="H522" s="251">
        <f t="shared" si="113"/>
        <v>51347440575.771797</v>
      </c>
      <c r="I522" s="251">
        <f t="shared" si="113"/>
        <v>55508935401.985542</v>
      </c>
      <c r="J522" s="251">
        <f t="shared" si="113"/>
        <v>60047965880.866394</v>
      </c>
      <c r="K522" s="73">
        <f>J522/I522-1</f>
        <v>8.1771167939179934E-2</v>
      </c>
      <c r="L522" s="75">
        <f>+M521</f>
        <v>0</v>
      </c>
      <c r="M522" s="76">
        <v>1</v>
      </c>
      <c r="N522" s="74">
        <v>3</v>
      </c>
      <c r="O522" s="75">
        <f>+P521</f>
        <v>0</v>
      </c>
      <c r="P522" s="76">
        <v>2</v>
      </c>
      <c r="Q522" s="74">
        <v>3</v>
      </c>
      <c r="R522" s="21"/>
      <c r="S522" s="21"/>
      <c r="T522"/>
      <c r="U522"/>
    </row>
    <row r="523" spans="1:21" s="7" customFormat="1" ht="19.5" hidden="1" customHeight="1" x14ac:dyDescent="0.2">
      <c r="A523"/>
      <c r="B523" s="171" t="s">
        <v>363</v>
      </c>
      <c r="C523" s="250"/>
      <c r="D523" s="251">
        <f t="shared" ref="D523:J523" si="114">D218+D217+D213</f>
        <v>6859184096</v>
      </c>
      <c r="E523" s="251">
        <f t="shared" si="114"/>
        <v>6234838459</v>
      </c>
      <c r="F523" s="251">
        <f t="shared" si="114"/>
        <v>8342249865.5757265</v>
      </c>
      <c r="G523" s="251">
        <f t="shared" si="114"/>
        <v>10675334391.744577</v>
      </c>
      <c r="H523" s="251">
        <f t="shared" si="114"/>
        <v>12198289406.933861</v>
      </c>
      <c r="I523" s="251">
        <f t="shared" si="114"/>
        <v>14307744390.696384</v>
      </c>
      <c r="J523" s="251">
        <f t="shared" si="114"/>
        <v>16580011799.934832</v>
      </c>
      <c r="K523" s="73">
        <f>J523/I523-1</f>
        <v>0.15881381070212508</v>
      </c>
      <c r="L523" s="75">
        <f>+M522</f>
        <v>1</v>
      </c>
      <c r="M523" s="76">
        <v>5</v>
      </c>
      <c r="N523" s="74">
        <v>2</v>
      </c>
      <c r="O523" s="75">
        <f>+P522</f>
        <v>2</v>
      </c>
      <c r="P523" s="76">
        <v>5</v>
      </c>
      <c r="Q523" s="74">
        <v>2</v>
      </c>
      <c r="R523" s="21"/>
      <c r="S523" s="21"/>
      <c r="T523"/>
      <c r="U523"/>
    </row>
    <row r="524" spans="1:21" s="7" customFormat="1" ht="19.5" hidden="1" customHeight="1" x14ac:dyDescent="0.2">
      <c r="A524"/>
      <c r="B524" s="171" t="s">
        <v>8</v>
      </c>
      <c r="C524" s="250"/>
      <c r="D524" s="251">
        <f t="shared" ref="D524:J524" si="115">D213</f>
        <v>960147055</v>
      </c>
      <c r="E524" s="251">
        <f t="shared" si="115"/>
        <v>1072539349</v>
      </c>
      <c r="F524" s="251">
        <f t="shared" si="115"/>
        <v>1060401063.041514</v>
      </c>
      <c r="G524" s="251">
        <f t="shared" si="115"/>
        <v>907239778.44670248</v>
      </c>
      <c r="H524" s="251">
        <f t="shared" si="115"/>
        <v>789807299.73030257</v>
      </c>
      <c r="I524" s="251">
        <f t="shared" si="115"/>
        <v>637920250.89491308</v>
      </c>
      <c r="J524" s="251">
        <f t="shared" si="115"/>
        <v>441373644.88338423</v>
      </c>
      <c r="K524" s="393"/>
      <c r="L524" s="75">
        <f>+M523</f>
        <v>5</v>
      </c>
      <c r="M524" s="76">
        <v>10</v>
      </c>
      <c r="N524" s="74">
        <v>1</v>
      </c>
      <c r="O524" s="75">
        <f>+P523</f>
        <v>5</v>
      </c>
      <c r="P524" s="76">
        <v>10</v>
      </c>
      <c r="Q524" s="74">
        <v>1</v>
      </c>
      <c r="R524" s="21"/>
      <c r="S524" s="21"/>
      <c r="T524"/>
      <c r="U524"/>
    </row>
    <row r="525" spans="1:21" s="7" customFormat="1" ht="19.5" hidden="1" customHeight="1" x14ac:dyDescent="0.2">
      <c r="A525"/>
      <c r="B525" s="171" t="s">
        <v>356</v>
      </c>
      <c r="C525" s="250"/>
      <c r="D525" s="252"/>
      <c r="E525" s="252">
        <f t="shared" ref="E525:J525" si="116">(E523/D523-1)/(E522/D522-1)</f>
        <v>-0.63193372185945607</v>
      </c>
      <c r="F525" s="252">
        <f t="shared" si="116"/>
        <v>1.9975325513146882</v>
      </c>
      <c r="G525" s="252">
        <f>(G523/F523-1)/(G522/F522-1)</f>
        <v>3.4737882917099947</v>
      </c>
      <c r="H525" s="252">
        <f t="shared" si="116"/>
        <v>1.7746259317356585</v>
      </c>
      <c r="I525" s="252">
        <f t="shared" si="116"/>
        <v>2.1337364241613481</v>
      </c>
      <c r="J525" s="252">
        <f t="shared" si="116"/>
        <v>1.9421736866990602</v>
      </c>
      <c r="K525" s="72">
        <f>K523/K522</f>
        <v>1.9421736866990602</v>
      </c>
      <c r="L525" s="75">
        <f>+M524</f>
        <v>10</v>
      </c>
      <c r="M525" s="76">
        <v>100</v>
      </c>
      <c r="N525" s="74">
        <v>0</v>
      </c>
      <c r="O525" s="75">
        <f>+P524</f>
        <v>10</v>
      </c>
      <c r="P525" s="76">
        <v>1000</v>
      </c>
      <c r="Q525" s="74">
        <v>0</v>
      </c>
      <c r="R525" s="21"/>
      <c r="S525" s="21"/>
      <c r="T525"/>
      <c r="U525"/>
    </row>
    <row r="526" spans="1:21" s="7" customFormat="1" ht="19.5" hidden="1" customHeight="1" x14ac:dyDescent="0.2">
      <c r="A526"/>
      <c r="B526" s="171" t="s">
        <v>115</v>
      </c>
      <c r="C526" s="250"/>
      <c r="D526" s="252"/>
      <c r="E526" s="252">
        <f t="shared" ref="E526:J526" si="117">E523/E524</f>
        <v>5.8131559134060264</v>
      </c>
      <c r="F526" s="252">
        <f t="shared" si="117"/>
        <v>7.8670704475228659</v>
      </c>
      <c r="G526" s="252">
        <f t="shared" si="117"/>
        <v>11.766827960323743</v>
      </c>
      <c r="H526" s="252">
        <f t="shared" si="117"/>
        <v>15.444639991424795</v>
      </c>
      <c r="I526" s="252">
        <f t="shared" si="117"/>
        <v>22.428735207299997</v>
      </c>
      <c r="J526" s="252">
        <f t="shared" si="117"/>
        <v>37.564571405969318</v>
      </c>
      <c r="K526" s="21"/>
      <c r="L526" s="21"/>
      <c r="M526" s="21"/>
      <c r="N526" s="21"/>
      <c r="O526" s="21"/>
      <c r="P526" s="21"/>
      <c r="Q526" s="21"/>
      <c r="R526" s="21"/>
      <c r="S526" s="21"/>
      <c r="T526"/>
      <c r="U526"/>
    </row>
    <row r="527" spans="1:21" s="7" customFormat="1" ht="13.5" hidden="1" customHeight="1" x14ac:dyDescent="0.2">
      <c r="A527"/>
      <c r="B527" s="152"/>
      <c r="C527" s="245"/>
      <c r="D527" s="245"/>
      <c r="E527" s="245"/>
      <c r="F527" s="245"/>
      <c r="G527" s="245"/>
      <c r="H527" s="245"/>
      <c r="I527" s="245"/>
      <c r="J527" s="249"/>
      <c r="K527" s="21"/>
      <c r="L527" s="21"/>
      <c r="M527" s="21"/>
      <c r="N527" s="21"/>
      <c r="O527" s="21"/>
      <c r="P527" s="21"/>
      <c r="Q527" s="21"/>
      <c r="R527" s="21"/>
      <c r="S527" s="21"/>
      <c r="T527"/>
      <c r="U527"/>
    </row>
    <row r="528" spans="1:21" ht="23.25" hidden="1" x14ac:dyDescent="0.2">
      <c r="B528" s="229"/>
      <c r="C528" s="202" t="e">
        <f>+#REF!</f>
        <v>#REF!</v>
      </c>
      <c r="D528" s="202" t="e">
        <f>+#REF!</f>
        <v>#REF!</v>
      </c>
      <c r="E528" s="202">
        <f t="shared" ref="E528:J528" si="118">+C$97</f>
        <v>2021</v>
      </c>
      <c r="F528" s="202">
        <f t="shared" si="118"/>
        <v>2022</v>
      </c>
      <c r="G528" s="202">
        <f t="shared" si="118"/>
        <v>2023</v>
      </c>
      <c r="H528" s="202">
        <f t="shared" si="118"/>
        <v>2024</v>
      </c>
      <c r="I528" s="202">
        <f t="shared" si="118"/>
        <v>2025</v>
      </c>
      <c r="J528" s="202">
        <f t="shared" si="118"/>
        <v>2026</v>
      </c>
      <c r="L528" s="69" t="s">
        <v>321</v>
      </c>
      <c r="M528" s="69" t="s">
        <v>322</v>
      </c>
      <c r="N528" s="69" t="s">
        <v>323</v>
      </c>
    </row>
    <row r="529" spans="2:15" ht="18.399999999999999" hidden="1" customHeight="1" x14ac:dyDescent="0.2">
      <c r="B529" s="171" t="s">
        <v>253</v>
      </c>
      <c r="C529" s="177"/>
      <c r="D529" s="177"/>
      <c r="E529" s="253">
        <f>$E$499</f>
        <v>0.04</v>
      </c>
      <c r="F529" s="253">
        <f>$E$499</f>
        <v>0.04</v>
      </c>
      <c r="G529" s="253">
        <f>F529</f>
        <v>0.04</v>
      </c>
      <c r="H529" s="253">
        <f>G529</f>
        <v>0.04</v>
      </c>
      <c r="I529" s="253">
        <f>H529</f>
        <v>0.04</v>
      </c>
      <c r="J529" s="253">
        <f>I529</f>
        <v>0.04</v>
      </c>
      <c r="L529" s="393">
        <v>1</v>
      </c>
      <c r="M529" s="393">
        <v>2</v>
      </c>
      <c r="N529" s="393">
        <v>3</v>
      </c>
    </row>
    <row r="530" spans="2:15" ht="18.399999999999999" hidden="1" customHeight="1" x14ac:dyDescent="0.2">
      <c r="B530" s="171" t="s">
        <v>282</v>
      </c>
      <c r="C530" s="177"/>
      <c r="D530" s="177"/>
      <c r="E530" s="253">
        <f t="shared" ref="E530:J530" si="119">+E520</f>
        <v>-1.2857142857142855E-2</v>
      </c>
      <c r="F530" s="253">
        <f t="shared" si="119"/>
        <v>-1.6428571428571428E-2</v>
      </c>
      <c r="G530" s="253">
        <f t="shared" si="119"/>
        <v>-1.8571428571428572E-2</v>
      </c>
      <c r="H530" s="253">
        <f t="shared" si="119"/>
        <v>-2.0714285714285713E-2</v>
      </c>
      <c r="I530" s="253">
        <f t="shared" si="119"/>
        <v>-2.2857142857142857E-2</v>
      </c>
      <c r="J530" s="253">
        <f t="shared" si="119"/>
        <v>-2.4285714285714285E-2</v>
      </c>
      <c r="L530" s="410">
        <v>4.0000000000000001E-3</v>
      </c>
      <c r="M530" s="410">
        <v>2E-3</v>
      </c>
      <c r="N530" s="410">
        <v>5.0000000000000001E-3</v>
      </c>
      <c r="O530" s="21" t="s">
        <v>367</v>
      </c>
    </row>
    <row r="531" spans="2:15" ht="18.399999999999999" hidden="1" customHeight="1" x14ac:dyDescent="0.2">
      <c r="B531" s="171" t="s">
        <v>251</v>
      </c>
      <c r="C531" s="177"/>
      <c r="D531" s="177"/>
      <c r="E531" s="177"/>
      <c r="F531" s="253">
        <f>IF($G$27=0,0,HLOOKUP($C$16,$L$529:$N$532,2))</f>
        <v>2E-3</v>
      </c>
      <c r="G531" s="253">
        <f>IF($G$27=1,F531,0)</f>
        <v>2E-3</v>
      </c>
      <c r="H531" s="253">
        <f>IF($G$27=1,G531-0.05%,0)</f>
        <v>1.5E-3</v>
      </c>
      <c r="I531" s="253">
        <f>IF($G$27=1,H531-0.1%,0)</f>
        <v>5.0000000000000001E-4</v>
      </c>
      <c r="J531" s="253">
        <f>IF($G$27=1,I531-0.1%,0)</f>
        <v>-5.0000000000000001E-4</v>
      </c>
      <c r="L531" s="410">
        <v>3.0000000000000001E-3</v>
      </c>
      <c r="M531" s="393">
        <v>0</v>
      </c>
      <c r="N531" s="410">
        <v>7.0000000000000001E-3</v>
      </c>
      <c r="O531" s="21" t="s">
        <v>288</v>
      </c>
    </row>
    <row r="532" spans="2:15" ht="18.399999999999999" hidden="1" customHeight="1" x14ac:dyDescent="0.2">
      <c r="B532" s="171" t="s">
        <v>249</v>
      </c>
      <c r="C532" s="177"/>
      <c r="D532" s="177"/>
      <c r="E532" s="177"/>
      <c r="F532" s="253">
        <f>IF($D$42=0,0,HLOOKUP($C$16,$L$529:$N$532,3))</f>
        <v>0</v>
      </c>
      <c r="G532" s="253">
        <f>IF($D$42=1,F532-0.1%,0)</f>
        <v>0</v>
      </c>
      <c r="H532" s="253">
        <f>IF($D$42=1,G532-0.1%,0)</f>
        <v>0</v>
      </c>
      <c r="I532" s="253">
        <f>IF($D$42=1,H532-0.1%,0)</f>
        <v>0</v>
      </c>
      <c r="J532" s="253">
        <f>+I532</f>
        <v>0</v>
      </c>
      <c r="L532" s="410">
        <v>1E-3</v>
      </c>
      <c r="M532" s="410">
        <v>-2E-3</v>
      </c>
      <c r="N532" s="410">
        <v>3.0000000000000001E-3</v>
      </c>
      <c r="O532" s="21" t="s">
        <v>368</v>
      </c>
    </row>
    <row r="533" spans="2:15" ht="18.399999999999999" hidden="1" customHeight="1" x14ac:dyDescent="0.2">
      <c r="B533" s="171" t="s">
        <v>250</v>
      </c>
      <c r="C533" s="177"/>
      <c r="D533" s="177"/>
      <c r="E533" s="177"/>
      <c r="F533" s="253">
        <f>IF($D$50=0,0,HLOOKUP($C$16,$L$529:$N$532,4))</f>
        <v>-2E-3</v>
      </c>
      <c r="G533" s="253">
        <f>IF($D$50=1,F533-0.05%,0)</f>
        <v>-2.5000000000000001E-3</v>
      </c>
      <c r="H533" s="253">
        <f>IF($D$50=1,G533-0.05%,0)</f>
        <v>-3.0000000000000001E-3</v>
      </c>
      <c r="I533" s="253">
        <f>+H533</f>
        <v>-3.0000000000000001E-3</v>
      </c>
      <c r="J533" s="253">
        <f>+I533</f>
        <v>-3.0000000000000001E-3</v>
      </c>
    </row>
    <row r="534" spans="2:15" ht="18.399999999999999" hidden="1" customHeight="1" x14ac:dyDescent="0.2">
      <c r="B534" s="170" t="s">
        <v>252</v>
      </c>
      <c r="C534" s="236"/>
      <c r="D534" s="236"/>
      <c r="E534" s="254">
        <f t="shared" ref="E534:J534" si="120">SUM(E529:E533)</f>
        <v>2.7142857142857146E-2</v>
      </c>
      <c r="F534" s="254">
        <f t="shared" si="120"/>
        <v>2.357142857142857E-2</v>
      </c>
      <c r="G534" s="254">
        <f t="shared" si="120"/>
        <v>2.0928571428571432E-2</v>
      </c>
      <c r="H534" s="254">
        <f t="shared" si="120"/>
        <v>1.778571428571429E-2</v>
      </c>
      <c r="I534" s="254">
        <f t="shared" si="120"/>
        <v>1.4642857142857145E-2</v>
      </c>
      <c r="J534" s="254">
        <f t="shared" si="120"/>
        <v>1.2214285714285716E-2</v>
      </c>
    </row>
    <row r="535" spans="2:15" ht="4.9000000000000004" hidden="1" customHeight="1" x14ac:dyDescent="0.2">
      <c r="B535" s="204"/>
      <c r="C535" s="205"/>
      <c r="D535" s="206"/>
      <c r="E535" s="206"/>
      <c r="F535" s="206"/>
      <c r="G535" s="206"/>
      <c r="H535" s="206"/>
      <c r="I535" s="206"/>
      <c r="J535" s="206"/>
    </row>
    <row r="536" spans="2:15" ht="23.25" hidden="1" x14ac:dyDescent="0.2">
      <c r="B536" s="170" t="s">
        <v>244</v>
      </c>
      <c r="C536" s="236"/>
      <c r="D536" s="236"/>
      <c r="E536" s="255" t="e">
        <f t="shared" ref="E536:J536" si="121">$G$466+E492*$E$495+E534</f>
        <v>#REF!</v>
      </c>
      <c r="F536" s="255" t="e">
        <f t="shared" si="121"/>
        <v>#REF!</v>
      </c>
      <c r="G536" s="255" t="e">
        <f t="shared" si="121"/>
        <v>#REF!</v>
      </c>
      <c r="H536" s="255" t="e">
        <f t="shared" si="121"/>
        <v>#REF!</v>
      </c>
      <c r="I536" s="255" t="e">
        <f t="shared" si="121"/>
        <v>#REF!</v>
      </c>
      <c r="J536" s="255" t="e">
        <f t="shared" si="121"/>
        <v>#REF!</v>
      </c>
    </row>
    <row r="537" spans="2:15" ht="18" hidden="1" x14ac:dyDescent="0.2">
      <c r="B537" s="155"/>
      <c r="C537" s="194"/>
      <c r="D537" s="194"/>
      <c r="E537" s="194"/>
      <c r="F537" s="194"/>
      <c r="G537" s="194"/>
      <c r="H537" s="194"/>
      <c r="I537" s="194"/>
      <c r="J537" s="194"/>
    </row>
    <row r="538" spans="2:15" ht="18" hidden="1" x14ac:dyDescent="0.2">
      <c r="B538" s="155"/>
      <c r="C538" s="194"/>
      <c r="D538" s="194"/>
      <c r="E538" s="194"/>
      <c r="F538" s="194"/>
      <c r="G538" s="194"/>
      <c r="H538" s="194"/>
      <c r="I538" s="194"/>
      <c r="J538" s="194"/>
    </row>
    <row r="539" spans="2:15" ht="25.15" hidden="1" customHeight="1" x14ac:dyDescent="0.2">
      <c r="B539" s="162"/>
      <c r="C539" s="142"/>
      <c r="D539" s="142"/>
      <c r="E539" s="142"/>
      <c r="F539" s="142"/>
      <c r="G539" s="142"/>
      <c r="H539" s="142"/>
      <c r="I539" s="142"/>
      <c r="J539" s="142"/>
    </row>
    <row r="540" spans="2:15" ht="25.15" hidden="1" customHeight="1" x14ac:dyDescent="0.2">
      <c r="B540" s="162"/>
      <c r="C540" s="142"/>
      <c r="D540" s="142"/>
      <c r="E540" s="142"/>
      <c r="F540" s="142"/>
      <c r="G540" s="142"/>
      <c r="H540" s="142"/>
      <c r="I540" s="142"/>
      <c r="J540" s="142"/>
    </row>
    <row r="541" spans="2:15" ht="18" hidden="1" x14ac:dyDescent="0.2">
      <c r="B541" s="162"/>
      <c r="C541" s="142"/>
      <c r="D541" s="256" t="e">
        <f>VLOOKUP($A$1,#REF!,2)</f>
        <v>#REF!</v>
      </c>
      <c r="E541" s="257"/>
      <c r="F541" s="257"/>
      <c r="G541" s="257"/>
      <c r="H541" s="257"/>
      <c r="I541" s="258"/>
      <c r="J541" s="142"/>
    </row>
    <row r="542" spans="2:15" ht="23.25" hidden="1" x14ac:dyDescent="0.2">
      <c r="B542" s="229" t="s">
        <v>126</v>
      </c>
      <c r="C542" s="169" t="e">
        <f>+#REF!</f>
        <v>#REF!</v>
      </c>
      <c r="D542" s="169" t="e">
        <f>+#REF!</f>
        <v>#REF!</v>
      </c>
      <c r="E542" s="169">
        <f t="shared" ref="E542:J542" si="122">+C$97</f>
        <v>2021</v>
      </c>
      <c r="F542" s="169">
        <f t="shared" si="122"/>
        <v>2022</v>
      </c>
      <c r="G542" s="169">
        <f t="shared" si="122"/>
        <v>2023</v>
      </c>
      <c r="H542" s="169">
        <f t="shared" si="122"/>
        <v>2024</v>
      </c>
      <c r="I542" s="169">
        <f t="shared" si="122"/>
        <v>2025</v>
      </c>
      <c r="J542" s="169">
        <f t="shared" si="122"/>
        <v>2026</v>
      </c>
    </row>
    <row r="543" spans="2:15" ht="21" hidden="1" x14ac:dyDescent="0.2">
      <c r="B543" s="163" t="s">
        <v>127</v>
      </c>
      <c r="C543" s="259" t="s">
        <v>129</v>
      </c>
      <c r="D543" s="260"/>
      <c r="E543" s="261">
        <f>E449</f>
        <v>0.11337177220668337</v>
      </c>
      <c r="F543" s="261">
        <f t="shared" ref="F543:J543" si="123">F449</f>
        <v>0.10883975800314676</v>
      </c>
      <c r="G543" s="261">
        <f t="shared" si="123"/>
        <v>0.10471121800302739</v>
      </c>
      <c r="H543" s="261">
        <f t="shared" si="123"/>
        <v>0.10680202000308794</v>
      </c>
      <c r="I543" s="261">
        <f t="shared" si="123"/>
        <v>0.10749895400310795</v>
      </c>
      <c r="J543" s="261">
        <f t="shared" si="123"/>
        <v>0.10404510400300809</v>
      </c>
    </row>
    <row r="544" spans="2:15" ht="18" hidden="1" x14ac:dyDescent="0.2">
      <c r="B544" s="163" t="s">
        <v>193</v>
      </c>
      <c r="C544" s="262" t="s">
        <v>123</v>
      </c>
      <c r="D544" s="263"/>
      <c r="E544" s="261" t="e">
        <f t="shared" ref="E544:J544" si="124">E435</f>
        <v>#REF!</v>
      </c>
      <c r="F544" s="261" t="e">
        <f t="shared" si="124"/>
        <v>#REF!</v>
      </c>
      <c r="G544" s="261" t="e">
        <f t="shared" si="124"/>
        <v>#REF!</v>
      </c>
      <c r="H544" s="261" t="e">
        <f t="shared" si="124"/>
        <v>#REF!</v>
      </c>
      <c r="I544" s="261" t="e">
        <f t="shared" si="124"/>
        <v>#REF!</v>
      </c>
      <c r="J544" s="261" t="e">
        <f t="shared" si="124"/>
        <v>#REF!</v>
      </c>
    </row>
    <row r="545" spans="2:10" ht="21" hidden="1" x14ac:dyDescent="0.2">
      <c r="B545" s="163" t="s">
        <v>128</v>
      </c>
      <c r="C545" s="264" t="s">
        <v>131</v>
      </c>
      <c r="D545" s="265"/>
      <c r="E545" s="266" t="e">
        <f>E543*E544</f>
        <v>#REF!</v>
      </c>
      <c r="F545" s="266" t="e">
        <f t="shared" ref="F545:J545" si="125">F543*F544</f>
        <v>#REF!</v>
      </c>
      <c r="G545" s="266" t="e">
        <f t="shared" si="125"/>
        <v>#REF!</v>
      </c>
      <c r="H545" s="266" t="e">
        <f t="shared" si="125"/>
        <v>#REF!</v>
      </c>
      <c r="I545" s="266" t="e">
        <f t="shared" si="125"/>
        <v>#REF!</v>
      </c>
      <c r="J545" s="266" t="e">
        <f t="shared" si="125"/>
        <v>#REF!</v>
      </c>
    </row>
    <row r="546" spans="2:10" ht="4.9000000000000004" hidden="1" customHeight="1" x14ac:dyDescent="0.2">
      <c r="B546" s="204"/>
      <c r="C546" s="267"/>
      <c r="D546" s="268"/>
      <c r="E546" s="206"/>
      <c r="F546" s="206"/>
      <c r="G546" s="206"/>
      <c r="H546" s="206"/>
      <c r="I546" s="206"/>
      <c r="J546" s="206"/>
    </row>
    <row r="547" spans="2:10" ht="23.25" hidden="1" x14ac:dyDescent="0.2">
      <c r="B547" s="163" t="s">
        <v>130</v>
      </c>
      <c r="C547" s="269" t="s">
        <v>195</v>
      </c>
      <c r="D547" s="263"/>
      <c r="E547" s="261" t="e">
        <f>E536</f>
        <v>#REF!</v>
      </c>
      <c r="F547" s="261" t="e">
        <f t="shared" ref="F547:J547" si="126">F536</f>
        <v>#REF!</v>
      </c>
      <c r="G547" s="261" t="e">
        <f t="shared" si="126"/>
        <v>#REF!</v>
      </c>
      <c r="H547" s="261" t="e">
        <f t="shared" si="126"/>
        <v>#REF!</v>
      </c>
      <c r="I547" s="261" t="e">
        <f t="shared" si="126"/>
        <v>#REF!</v>
      </c>
      <c r="J547" s="261" t="e">
        <f t="shared" si="126"/>
        <v>#REF!</v>
      </c>
    </row>
    <row r="548" spans="2:10" ht="18" hidden="1" x14ac:dyDescent="0.2">
      <c r="B548" s="163" t="s">
        <v>194</v>
      </c>
      <c r="C548" s="262" t="s">
        <v>117</v>
      </c>
      <c r="D548" s="263"/>
      <c r="E548" s="261" t="e">
        <f t="shared" ref="E548:J548" si="127">E436</f>
        <v>#REF!</v>
      </c>
      <c r="F548" s="261" t="e">
        <f t="shared" si="127"/>
        <v>#REF!</v>
      </c>
      <c r="G548" s="261" t="e">
        <f t="shared" si="127"/>
        <v>#REF!</v>
      </c>
      <c r="H548" s="261" t="e">
        <f t="shared" si="127"/>
        <v>#REF!</v>
      </c>
      <c r="I548" s="261" t="e">
        <f t="shared" si="127"/>
        <v>#REF!</v>
      </c>
      <c r="J548" s="261" t="e">
        <f t="shared" si="127"/>
        <v>#REF!</v>
      </c>
    </row>
    <row r="549" spans="2:10" ht="21" hidden="1" x14ac:dyDescent="0.2">
      <c r="B549" s="163" t="s">
        <v>320</v>
      </c>
      <c r="C549" s="270" t="s">
        <v>132</v>
      </c>
      <c r="D549" s="271"/>
      <c r="E549" s="266" t="e">
        <f>E547*E548</f>
        <v>#REF!</v>
      </c>
      <c r="F549" s="266" t="e">
        <f t="shared" ref="F549:J549" si="128">F547*F548</f>
        <v>#REF!</v>
      </c>
      <c r="G549" s="266" t="e">
        <f t="shared" si="128"/>
        <v>#REF!</v>
      </c>
      <c r="H549" s="266" t="e">
        <f t="shared" si="128"/>
        <v>#REF!</v>
      </c>
      <c r="I549" s="266" t="e">
        <f t="shared" si="128"/>
        <v>#REF!</v>
      </c>
      <c r="J549" s="266" t="e">
        <f t="shared" si="128"/>
        <v>#REF!</v>
      </c>
    </row>
    <row r="550" spans="2:10" ht="4.9000000000000004" hidden="1" customHeight="1" x14ac:dyDescent="0.2">
      <c r="B550" s="204"/>
      <c r="C550" s="205"/>
      <c r="D550" s="206"/>
      <c r="E550" s="206"/>
      <c r="F550" s="206"/>
      <c r="G550" s="206"/>
      <c r="H550" s="206"/>
      <c r="I550" s="206"/>
      <c r="J550" s="206"/>
    </row>
    <row r="551" spans="2:10" ht="18" hidden="1" x14ac:dyDescent="0.2">
      <c r="B551" s="170" t="s">
        <v>133</v>
      </c>
      <c r="C551" s="272" t="s">
        <v>148</v>
      </c>
      <c r="D551" s="271"/>
      <c r="E551" s="273" t="e">
        <f>E545+E549</f>
        <v>#REF!</v>
      </c>
      <c r="F551" s="273" t="e">
        <f t="shared" ref="F551:J551" si="129">F545+F549</f>
        <v>#REF!</v>
      </c>
      <c r="G551" s="273" t="e">
        <f t="shared" si="129"/>
        <v>#REF!</v>
      </c>
      <c r="H551" s="273" t="e">
        <f t="shared" si="129"/>
        <v>#REF!</v>
      </c>
      <c r="I551" s="273" t="e">
        <f t="shared" si="129"/>
        <v>#REF!</v>
      </c>
      <c r="J551" s="273" t="e">
        <f t="shared" si="129"/>
        <v>#REF!</v>
      </c>
    </row>
    <row r="552" spans="2:10" ht="17.649999999999999" hidden="1" customHeight="1" x14ac:dyDescent="0.2">
      <c r="B552" s="155"/>
      <c r="C552" s="142"/>
      <c r="D552" s="142"/>
      <c r="E552" s="142"/>
      <c r="F552" s="142"/>
      <c r="G552" s="142"/>
      <c r="H552" s="142"/>
      <c r="I552" s="142"/>
      <c r="J552" s="142"/>
    </row>
    <row r="553" spans="2:10" x14ac:dyDescent="0.2">
      <c r="B553" s="103"/>
      <c r="C553" s="103"/>
      <c r="D553" s="103"/>
      <c r="E553" s="103"/>
      <c r="F553" s="103"/>
      <c r="G553" s="103"/>
      <c r="H553" s="103"/>
      <c r="I553" s="103"/>
      <c r="J553" s="103"/>
    </row>
    <row r="554" spans="2:10" x14ac:dyDescent="0.2">
      <c r="B554" s="103"/>
      <c r="C554" s="103"/>
      <c r="D554" s="103"/>
      <c r="E554" s="103"/>
      <c r="F554" s="103"/>
      <c r="G554" s="103"/>
      <c r="H554" s="103"/>
      <c r="I554" s="103"/>
      <c r="J554" s="103"/>
    </row>
  </sheetData>
  <scenarios current="9" show="0" sqref="T3">
    <scenario name="1 REALISTA" locked="1" count="7" user="wilson" comment="Creado por wilson el 16/07/2022_x000a__x000a_">
      <inputCells r="C3" val="REALISTA"/>
      <inputCells r="C16" val="1" numFmtId="3"/>
      <inputCells r="J22" val="0,02" numFmtId="166"/>
      <inputCells r="F32" val="0,1" numFmtId="166"/>
      <inputCells r="D103" val="0,6" numFmtId="166"/>
      <inputCells r="M126" val="0,05" numFmtId="166"/>
      <inputCells r="F51" val="0,065" numFmtId="166"/>
    </scenario>
    <scenario name="2 OPTIMISTA" locked="1" count="7" user="wilson" comment="Creado por wilson el 16/07/2022_x000a_ ">
      <inputCells r="C3" val="EXPANSIÓN"/>
      <inputCells r="C16" val="2" numFmtId="3"/>
      <inputCells r="J22" val="0,03" numFmtId="166"/>
      <inputCells r="F32" val="0,12" numFmtId="166"/>
      <inputCells r="D103" val="0,62" numFmtId="166"/>
      <inputCells r="M126" val="0,08" numFmtId="166"/>
      <inputCells r="F51" val="0,1" numFmtId="166"/>
    </scenario>
    <scenario name="3 PESIMISTA" locked="1" count="7" user="wilson" comment="Creado por wilson el 16/07/2022">
      <inputCells r="C3" val="RECESIÓN"/>
      <inputCells r="C16" val="3" numFmtId="3"/>
      <inputCells r="J22" val="0,01" numFmtId="166"/>
      <inputCells r="F32" val="0,05" numFmtId="166"/>
      <inputCells r="D103" val="0,58" numFmtId="166"/>
      <inputCells r="M126" val="0,03" numFmtId="166"/>
      <inputCells r="F51" val="0,01" numFmtId="166"/>
    </scenario>
    <scenario name="0 NO OPTIMIZAR SEDE SALUD MENTAL" locked="1" count="2" user="wilson" comment="Creado por wilson el 17/04/2022_x000a__x000a_Modificado por wilson el 16/07/2022">
      <inputCells r="B1" val="0 NO OPTIMIZAR SEDE SALUD MENTAL"/>
      <inputCells r="G27" val="0" numFmtId="3"/>
    </scenario>
    <scenario name="1 OPTIMIZAR SEDE SALUD MENTAL" locked="1" count="2" user="wilson" comment="Creado por wilson el 17/04/2022_x000a__x000a_Modificado por wilson el 16/07/2022">
      <inputCells r="B1" val="1 OPTIMIZAR SEDE SALUD MENTAL"/>
      <inputCells r="G27" val="1" numFmtId="3"/>
    </scenario>
    <scenario name="0 NO AMPLIAR LOS SERVICIOS OFRECIDOS A PARTICULARES" locked="1" count="2" user="wilson" comment="Creado por wilson el 17/04/2022_x000a__x000a_Modificado por wilson el 16/07/2022">
      <inputCells r="B2" val="0 NO AMPLIAR LOS SERVICIOS OFRECIDOS A PARTICULARES"/>
      <inputCells r="D50" val="0" numFmtId="3"/>
    </scenario>
    <scenario name="1 AMPLIACIÓN DE SERVICIOS OFRECIDOS A PARTICULARES" locked="1" count="2" user="wilson" comment="Creado por wilson el 17/04/2022_x000a_Modificado por wilson el 16/07/2022">
      <inputCells r="B2" val="1 AMPLIACIÓN DE SERVICIOS OFRECIDOS A PARTICULARES"/>
      <inputCells r="D50" val="1" numFmtId="3"/>
    </scenario>
    <scenario name="0 DEUDA 0%" locked="1" count="1" user="wilson" comment="Creado por  wilson el 16/07/2022">
      <inputCells r="C1" val="0" numFmtId="177"/>
    </scenario>
    <scenario name="1 DEUDA 25%" locked="1" count="1" user="wilson" comment="Creado wilson el 16/07/2022">
      <inputCells r="C1" val="0,25" numFmtId="177"/>
    </scenario>
    <scenario name="2 DEUDA 50%" locked="1" count="1" user="wilson" comment="Creado por wilson el 16/07/2022_x000a_Modificado por wilson el 16/07/2022">
      <inputCells r="C1" val="0,5" numFmtId="177"/>
    </scenario>
  </scenarios>
  <mergeCells count="38">
    <mergeCell ref="L49:Q49"/>
    <mergeCell ref="B2:F2"/>
    <mergeCell ref="B3:F3"/>
    <mergeCell ref="B28:F28"/>
    <mergeCell ref="L25:Q25"/>
    <mergeCell ref="D16:E16"/>
    <mergeCell ref="B1:F1"/>
    <mergeCell ref="B27:F27"/>
    <mergeCell ref="L30:Q30"/>
    <mergeCell ref="L4:Q4"/>
    <mergeCell ref="M9:N9"/>
    <mergeCell ref="L13:P13"/>
    <mergeCell ref="L17:P17"/>
    <mergeCell ref="L21:P21"/>
    <mergeCell ref="O520:Q520"/>
    <mergeCell ref="P456:P457"/>
    <mergeCell ref="O456:O457"/>
    <mergeCell ref="N456:N457"/>
    <mergeCell ref="M456:M457"/>
    <mergeCell ref="K125:L125"/>
    <mergeCell ref="B141:B142"/>
    <mergeCell ref="B152:B153"/>
    <mergeCell ref="K456:K457"/>
    <mergeCell ref="B163:B164"/>
    <mergeCell ref="J456:J457"/>
    <mergeCell ref="F456:G456"/>
    <mergeCell ref="B426:D426"/>
    <mergeCell ref="B427:D427"/>
    <mergeCell ref="C260:H260"/>
    <mergeCell ref="C295:G295"/>
    <mergeCell ref="K520:K521"/>
    <mergeCell ref="L520:N520"/>
    <mergeCell ref="E502:J502"/>
    <mergeCell ref="E475:J475"/>
    <mergeCell ref="C194:J194"/>
    <mergeCell ref="C221:J221"/>
    <mergeCell ref="C373:I373"/>
    <mergeCell ref="L456:L457"/>
  </mergeCells>
  <phoneticPr fontId="9" type="noConversion"/>
  <conditionalFormatting sqref="D291:H291">
    <cfRule type="expression" dxfId="21" priority="393">
      <formula>D291&lt;0</formula>
    </cfRule>
  </conditionalFormatting>
  <conditionalFormatting sqref="B1">
    <cfRule type="expression" dxfId="20" priority="394">
      <formula>#REF!="INVERTIR"</formula>
    </cfRule>
  </conditionalFormatting>
  <conditionalFormatting sqref="A501:A520">
    <cfRule type="expression" dxfId="19" priority="147">
      <formula>$A$1="M"</formula>
    </cfRule>
  </conditionalFormatting>
  <conditionalFormatting sqref="E520:J520">
    <cfRule type="expression" dxfId="18" priority="149">
      <formula>E520&gt;#REF!</formula>
    </cfRule>
  </conditionalFormatting>
  <conditionalFormatting sqref="A521:A527">
    <cfRule type="expression" dxfId="17" priority="146">
      <formula>$A$1="M"</formula>
    </cfRule>
  </conditionalFormatting>
  <conditionalFormatting sqref="A474:A475">
    <cfRule type="expression" dxfId="16" priority="113">
      <formula>$A$1="M"</formula>
    </cfRule>
  </conditionalFormatting>
  <conditionalFormatting sqref="A477:A482">
    <cfRule type="expression" dxfId="15" priority="112">
      <formula>$A$1="M"</formula>
    </cfRule>
  </conditionalFormatting>
  <conditionalFormatting sqref="A483">
    <cfRule type="expression" dxfId="14" priority="111">
      <formula>$A$1="M"</formula>
    </cfRule>
  </conditionalFormatting>
  <conditionalFormatting sqref="E361:J363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85 A428:A432 A423:A426 A434:A483 A491:A552">
    <cfRule type="expression" dxfId="13" priority="105">
      <formula>$A$1="C"</formula>
    </cfRule>
  </conditionalFormatting>
  <conditionalFormatting sqref="D541:I541">
    <cfRule type="expression" dxfId="12" priority="104">
      <formula>$A$1="M"</formula>
    </cfRule>
  </conditionalFormatting>
  <conditionalFormatting sqref="F421">
    <cfRule type="expression" dxfId="11" priority="26">
      <formula>F421&lt;&gt;0</formula>
    </cfRule>
  </conditionalFormatting>
  <conditionalFormatting sqref="G421:J421">
    <cfRule type="expression" dxfId="10" priority="25">
      <formula>G421&lt;&gt;0</formula>
    </cfRule>
  </conditionalFormatting>
  <conditionalFormatting sqref="G333">
    <cfRule type="expression" dxfId="9" priority="18">
      <formula>G333&lt;G332</formula>
    </cfRule>
  </conditionalFormatting>
  <conditionalFormatting sqref="H333:J333">
    <cfRule type="expression" dxfId="8" priority="17">
      <formula>H333&lt;H332</formula>
    </cfRule>
  </conditionalFormatting>
  <conditionalFormatting sqref="G334:J334">
    <cfRule type="expression" dxfId="7" priority="16">
      <formula>G334&lt;F334</formula>
    </cfRule>
  </conditionalFormatting>
  <conditionalFormatting sqref="F349:J349">
    <cfRule type="expression" dxfId="6" priority="14">
      <formula>F349&lt;&gt;0</formula>
    </cfRule>
  </conditionalFormatting>
  <conditionalFormatting sqref="A433">
    <cfRule type="expression" dxfId="5" priority="13">
      <formula>$A$1="C"</formula>
    </cfRule>
  </conditionalFormatting>
  <conditionalFormatting sqref="A486:A488">
    <cfRule type="expression" dxfId="4" priority="12">
      <formula>$A$1="C"</formula>
    </cfRule>
  </conditionalFormatting>
  <conditionalFormatting sqref="A489">
    <cfRule type="expression" dxfId="3" priority="11">
      <formula>$A$1="C"</formula>
    </cfRule>
  </conditionalFormatting>
  <conditionalFormatting sqref="A490">
    <cfRule type="expression" dxfId="2" priority="10">
      <formula>$A$1="C"</formula>
    </cfRule>
  </conditionalFormatting>
  <conditionalFormatting sqref="A427">
    <cfRule type="expression" dxfId="1" priority="9">
      <formula>$A$1="C"</formula>
    </cfRule>
  </conditionalFormatting>
  <conditionalFormatting sqref="A484">
    <cfRule type="expression" dxfId="0" priority="1">
      <formula>$A$1="C"</formula>
    </cfRule>
  </conditionalFormatting>
  <dataValidations count="4">
    <dataValidation type="whole" allowBlank="1" showInputMessage="1" showErrorMessage="1" sqref="L1" xr:uid="{00000000-0002-0000-0200-000000000000}">
      <formula1>0</formula1>
      <formula2>1</formula2>
    </dataValidation>
    <dataValidation type="decimal" allowBlank="1" showInputMessage="1" showErrorMessage="1" sqref="J1" xr:uid="{00000000-0002-0000-0200-000001000000}">
      <formula1>0</formula1>
      <formula2>1.1</formula2>
    </dataValidation>
    <dataValidation type="whole" allowBlank="1" showInputMessage="1" showErrorMessage="1" sqref="K1" xr:uid="{00000000-0002-0000-0200-000002000000}">
      <formula1>1</formula1>
      <formula2>4</formula2>
    </dataValidation>
    <dataValidation allowBlank="1" showInputMessage="1" showErrorMessage="1" prompt="ATENCIÓN:_x000a_La selección debe hacerse en la celda F2" sqref="G92" xr:uid="{00000000-0002-0000-0200-000005000000}"/>
  </dataValidations>
  <hyperlinks>
    <hyperlink ref="H456" r:id="rId1" display="http://people.stern.nyu.edu/adamodar/pdfiles/papers/riskfreerate.pdf" xr:uid="{00000000-0004-0000-0200-000000000000}"/>
  </hyperlinks>
  <pageMargins left="0.59055118110236227" right="0.39370078740157483" top="0.70866141732283472" bottom="0.43307086614173229" header="0" footer="0"/>
  <pageSetup scale="10" orientation="portrait" horizontalDpi="300" verticalDpi="300" r:id="rId2"/>
  <headerFooter alignWithMargins="0"/>
  <ignoredErrors>
    <ignoredError sqref="F34" formula="1"/>
  </ignoredErrors>
  <drawing r:id="rId3"/>
  <legacyDrawing r:id="rId4"/>
  <oleObjects>
    <mc:AlternateContent xmlns:mc="http://schemas.openxmlformats.org/markup-compatibility/2006">
      <mc:Choice Requires="x14">
        <oleObject progId="Equation.3" shapeId="1469" r:id="rId5">
          <objectPr defaultSize="0" autoPict="0" r:id="rId6">
            <anchor moveWithCells="1">
              <from>
                <xdr:col>2</xdr:col>
                <xdr:colOff>0</xdr:colOff>
                <xdr:row>390</xdr:row>
                <xdr:rowOff>0</xdr:rowOff>
              </from>
              <to>
                <xdr:col>3</xdr:col>
                <xdr:colOff>200025</xdr:colOff>
                <xdr:row>390</xdr:row>
                <xdr:rowOff>0</xdr:rowOff>
              </to>
            </anchor>
          </objectPr>
        </oleObject>
      </mc:Choice>
      <mc:Fallback>
        <oleObject progId="Equation.3" shapeId="1469" r:id="rId5"/>
      </mc:Fallback>
    </mc:AlternateContent>
    <mc:AlternateContent xmlns:mc="http://schemas.openxmlformats.org/markup-compatibility/2006">
      <mc:Choice Requires="x14">
        <oleObject progId="Equation.3" shapeId="1470" r:id="rId7">
          <objectPr defaultSize="0" autoPict="0" r:id="rId6">
            <anchor moveWithCells="1">
              <from>
                <xdr:col>2</xdr:col>
                <xdr:colOff>0</xdr:colOff>
                <xdr:row>390</xdr:row>
                <xdr:rowOff>0</xdr:rowOff>
              </from>
              <to>
                <xdr:col>3</xdr:col>
                <xdr:colOff>276225</xdr:colOff>
                <xdr:row>390</xdr:row>
                <xdr:rowOff>0</xdr:rowOff>
              </to>
            </anchor>
          </objectPr>
        </oleObject>
      </mc:Choice>
      <mc:Fallback>
        <oleObject progId="Equation.3" shapeId="1470" r:id="rId7"/>
      </mc:Fallback>
    </mc:AlternateContent>
  </oleObject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00000000-0003-0000-0200-00001F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MODELO!C334:I334</xm:f>
              <xm:sqref>K334</xm:sqref>
            </x14:sparkline>
            <x14:sparkline>
              <xm:f>MODELO!C335:I335</xm:f>
              <xm:sqref>K335</xm:sqref>
            </x14:sparkline>
          </x14:sparklines>
        </x14:sparklineGroup>
        <x14:sparklineGroup manualMax="0" manualMin="0" displayEmptyCellsAs="gap" xr2:uid="{00000000-0003-0000-0200-00001E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MODELO!C332:I332</xm:f>
              <xm:sqref>K332</xm:sqref>
            </x14:sparkline>
            <x14:sparkline>
              <xm:f>MODELO!C333:I333</xm:f>
              <xm:sqref>K333</xm:sqref>
            </x14:sparkline>
          </x14:sparklines>
        </x14:sparklineGroup>
        <x14:sparklineGroup manualMax="0" manualMin="0" displayEmptyCellsAs="gap" xr2:uid="{00000000-0003-0000-0200-000017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MODELO!C356:I356</xm:f>
              <xm:sqref>K356</xm:sqref>
            </x14:sparkline>
          </x14:sparklines>
        </x14:sparklineGroup>
        <x14:sparklineGroup manualMax="0" manualMin="0" displayEmptyCellsAs="gap" xr2:uid="{00000000-0003-0000-0200-000018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MODELO!C355:I355</xm:f>
              <xm:sqref>K355</xm:sqref>
            </x14:sparkline>
          </x14:sparklines>
        </x14:sparklineGroup>
        <x14:sparklineGroup manualMax="0" manualMin="0" displayEmptyCellsAs="gap" xr2:uid="{00000000-0003-0000-0200-000016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MODELO!C357:I357</xm:f>
              <xm:sqref>K357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B1:E217"/>
  <sheetViews>
    <sheetView showGridLines="0" zoomScale="80" zoomScaleNormal="80" workbookViewId="0">
      <selection activeCell="F21" sqref="F21"/>
    </sheetView>
  </sheetViews>
  <sheetFormatPr baseColWidth="10" defaultColWidth="10.7109375" defaultRowHeight="12.75" x14ac:dyDescent="0.2"/>
  <cols>
    <col min="1" max="1" width="2" customWidth="1"/>
    <col min="2" max="2" width="43.7109375" customWidth="1"/>
    <col min="3" max="3" width="20.5703125" customWidth="1"/>
    <col min="4" max="4" width="41.85546875" customWidth="1"/>
    <col min="5" max="5" width="18" customWidth="1"/>
    <col min="6" max="6" width="33.28515625" customWidth="1"/>
    <col min="7" max="7" width="27.140625" customWidth="1"/>
    <col min="8" max="8" width="34.7109375" customWidth="1"/>
    <col min="9" max="9" width="25.28515625" customWidth="1"/>
    <col min="10" max="10" width="25.85546875" customWidth="1"/>
    <col min="11" max="11" width="19.85546875" customWidth="1"/>
  </cols>
  <sheetData>
    <row r="1" spans="2:5" ht="7.15" customHeight="1" thickBot="1" x14ac:dyDescent="0.25"/>
    <row r="2" spans="2:5" ht="23.25" x14ac:dyDescent="0.35">
      <c r="B2" s="757" t="s">
        <v>176</v>
      </c>
      <c r="C2" s="758"/>
      <c r="D2" s="758"/>
      <c r="E2" s="759"/>
    </row>
    <row r="3" spans="2:5" ht="15.6" customHeight="1" x14ac:dyDescent="0.2">
      <c r="B3" s="378" t="s">
        <v>473</v>
      </c>
      <c r="C3" s="365" t="s">
        <v>469</v>
      </c>
      <c r="D3" s="365" t="s">
        <v>470</v>
      </c>
      <c r="E3" s="379" t="s">
        <v>471</v>
      </c>
    </row>
    <row r="4" spans="2:5" ht="18" customHeight="1" x14ac:dyDescent="0.2">
      <c r="B4" s="372" t="s">
        <v>286</v>
      </c>
      <c r="C4" s="367">
        <v>0.02</v>
      </c>
      <c r="D4" s="367">
        <v>0.03</v>
      </c>
      <c r="E4" s="380">
        <v>0.01</v>
      </c>
    </row>
    <row r="5" spans="2:5" ht="18" customHeight="1" x14ac:dyDescent="0.2">
      <c r="B5" s="372" t="s">
        <v>264</v>
      </c>
      <c r="C5" s="367">
        <v>0.1</v>
      </c>
      <c r="D5" s="367">
        <v>0.12</v>
      </c>
      <c r="E5" s="380">
        <v>0.05</v>
      </c>
    </row>
    <row r="6" spans="2:5" ht="18" customHeight="1" x14ac:dyDescent="0.25">
      <c r="B6" s="381" t="s">
        <v>472</v>
      </c>
      <c r="C6" s="367">
        <v>6.5000000000000002E-2</v>
      </c>
      <c r="D6" s="367">
        <v>0.1</v>
      </c>
      <c r="E6" s="380">
        <v>0.01</v>
      </c>
    </row>
    <row r="7" spans="2:5" ht="18" customHeight="1" x14ac:dyDescent="0.2">
      <c r="B7" s="372" t="s">
        <v>196</v>
      </c>
      <c r="C7" s="367">
        <v>0.6</v>
      </c>
      <c r="D7" s="367">
        <v>0.62</v>
      </c>
      <c r="E7" s="380">
        <v>0.57999999999999996</v>
      </c>
    </row>
    <row r="8" spans="2:5" ht="18" customHeight="1" thickBot="1" x14ac:dyDescent="0.25">
      <c r="B8" s="375" t="s">
        <v>177</v>
      </c>
      <c r="C8" s="382">
        <v>0.05</v>
      </c>
      <c r="D8" s="382">
        <v>0.08</v>
      </c>
      <c r="E8" s="383">
        <v>2.5000000000000001E-2</v>
      </c>
    </row>
    <row r="9" spans="2:5" ht="13.5" thickBot="1" x14ac:dyDescent="0.25"/>
    <row r="10" spans="2:5" ht="23.25" x14ac:dyDescent="0.35">
      <c r="B10" s="757" t="str">
        <f>MODELO!B10</f>
        <v>E1: Ampliación de portafolio de servicios de salud mental 2022</v>
      </c>
      <c r="C10" s="758"/>
      <c r="D10" s="759"/>
    </row>
    <row r="11" spans="2:5" ht="18" x14ac:dyDescent="0.2">
      <c r="B11" s="370" t="s">
        <v>149</v>
      </c>
      <c r="C11" s="369" t="s">
        <v>396</v>
      </c>
      <c r="D11" s="371" t="s">
        <v>397</v>
      </c>
    </row>
    <row r="12" spans="2:5" ht="18" customHeight="1" x14ac:dyDescent="0.2">
      <c r="B12" s="372" t="s">
        <v>209</v>
      </c>
      <c r="C12" s="339">
        <v>0</v>
      </c>
      <c r="D12" s="373">
        <v>1</v>
      </c>
    </row>
    <row r="13" spans="2:5" ht="18" customHeight="1" x14ac:dyDescent="0.2">
      <c r="B13" s="372" t="s">
        <v>343</v>
      </c>
      <c r="C13" s="339">
        <v>0</v>
      </c>
      <c r="D13" s="373">
        <v>12000000</v>
      </c>
    </row>
    <row r="14" spans="2:5" ht="18" customHeight="1" x14ac:dyDescent="0.2">
      <c r="B14" s="372" t="s">
        <v>412</v>
      </c>
      <c r="C14" s="32">
        <v>0.01</v>
      </c>
      <c r="D14" s="374">
        <v>0.05</v>
      </c>
    </row>
    <row r="15" spans="2:5" ht="18" customHeight="1" x14ac:dyDescent="0.2">
      <c r="B15" s="372" t="s">
        <v>109</v>
      </c>
      <c r="C15" s="32">
        <v>0.01</v>
      </c>
      <c r="D15" s="374">
        <v>0.04</v>
      </c>
    </row>
    <row r="16" spans="2:5" ht="18" customHeight="1" x14ac:dyDescent="0.2">
      <c r="B16" s="372" t="s">
        <v>122</v>
      </c>
      <c r="C16" s="339">
        <v>0</v>
      </c>
      <c r="D16" s="373">
        <v>0</v>
      </c>
    </row>
    <row r="17" spans="2:4" ht="18" customHeight="1" x14ac:dyDescent="0.2">
      <c r="B17" s="372" t="s">
        <v>112</v>
      </c>
      <c r="C17" s="32">
        <v>0.04</v>
      </c>
      <c r="D17" s="374">
        <v>0.08</v>
      </c>
    </row>
    <row r="18" spans="2:4" ht="18" customHeight="1" thickBot="1" x14ac:dyDescent="0.25">
      <c r="B18" s="375" t="s">
        <v>68</v>
      </c>
      <c r="C18" s="376">
        <v>0.01</v>
      </c>
      <c r="D18" s="377">
        <v>-5.0000000000000001E-3</v>
      </c>
    </row>
    <row r="19" spans="2:4" ht="13.5" thickBot="1" x14ac:dyDescent="0.25"/>
    <row r="20" spans="2:4" ht="23.25" x14ac:dyDescent="0.35">
      <c r="B20" s="757" t="str">
        <f>MODELO!B11</f>
        <v>E2: Ampliación de servicios ofrecidos a particulares en el 2022</v>
      </c>
      <c r="C20" s="758"/>
      <c r="D20" s="759"/>
    </row>
    <row r="21" spans="2:4" ht="31.5" x14ac:dyDescent="0.2">
      <c r="B21" s="368" t="s">
        <v>149</v>
      </c>
      <c r="C21" s="384" t="s">
        <v>396</v>
      </c>
      <c r="D21" s="384" t="s">
        <v>397</v>
      </c>
    </row>
    <row r="22" spans="2:4" ht="18" customHeight="1" x14ac:dyDescent="0.2">
      <c r="B22" s="167" t="s">
        <v>209</v>
      </c>
      <c r="C22" s="339">
        <v>0</v>
      </c>
      <c r="D22" s="339">
        <v>1</v>
      </c>
    </row>
    <row r="23" spans="2:4" ht="18" customHeight="1" x14ac:dyDescent="0.2">
      <c r="B23" s="385" t="s">
        <v>203</v>
      </c>
      <c r="C23" s="339">
        <v>0</v>
      </c>
      <c r="D23" s="339">
        <v>0</v>
      </c>
    </row>
    <row r="24" spans="2:4" ht="18" customHeight="1" x14ac:dyDescent="0.2">
      <c r="B24" s="386" t="s">
        <v>206</v>
      </c>
      <c r="C24" s="339">
        <v>0</v>
      </c>
      <c r="D24" s="339">
        <v>0</v>
      </c>
    </row>
    <row r="25" spans="2:4" ht="18" customHeight="1" x14ac:dyDescent="0.2">
      <c r="B25" s="386" t="str">
        <f>"Campaña publicitaria "&amp;TEXT(MODELO!$F$53,"####")</f>
        <v>Campaña publicitaria 2022</v>
      </c>
      <c r="C25" s="339">
        <v>0</v>
      </c>
      <c r="D25" s="339">
        <v>25000000</v>
      </c>
    </row>
    <row r="26" spans="2:4" ht="18" customHeight="1" x14ac:dyDescent="0.2">
      <c r="B26" s="386" t="str">
        <f>"Campaña publicitaria "&amp;TEXT(MODELO!$G$53,"####")</f>
        <v>Campaña publicitaria 2023</v>
      </c>
      <c r="C26" s="339">
        <v>0</v>
      </c>
      <c r="D26" s="339">
        <v>10000000</v>
      </c>
    </row>
    <row r="27" spans="2:4" ht="13.5" thickBot="1" x14ac:dyDescent="0.25"/>
    <row r="28" spans="2:4" ht="23.25" x14ac:dyDescent="0.35">
      <c r="B28" s="757" t="str">
        <f>MODELO!B12</f>
        <v>E3: Acortar el ciclo de efectivo con pronto pago 2022</v>
      </c>
      <c r="C28" s="758"/>
      <c r="D28" s="759"/>
    </row>
    <row r="29" spans="2:4" ht="18" x14ac:dyDescent="0.2">
      <c r="B29" s="368" t="s">
        <v>149</v>
      </c>
      <c r="C29" s="384" t="s">
        <v>413</v>
      </c>
      <c r="D29" s="384" t="s">
        <v>414</v>
      </c>
    </row>
    <row r="30" spans="2:4" ht="18" customHeight="1" thickBot="1" x14ac:dyDescent="0.25">
      <c r="B30" s="167" t="s">
        <v>209</v>
      </c>
      <c r="C30" s="339">
        <v>0</v>
      </c>
      <c r="D30" s="339">
        <v>1</v>
      </c>
    </row>
    <row r="31" spans="2:4" ht="18" customHeight="1" x14ac:dyDescent="0.2">
      <c r="B31" s="385" t="s">
        <v>197</v>
      </c>
      <c r="C31" s="339">
        <v>0</v>
      </c>
      <c r="D31" s="387">
        <v>0.05</v>
      </c>
    </row>
    <row r="32" spans="2:4" ht="18" customHeight="1" x14ac:dyDescent="0.2">
      <c r="B32" s="386" t="s">
        <v>415</v>
      </c>
      <c r="C32" s="339">
        <v>0</v>
      </c>
      <c r="D32" s="373">
        <f>((17968801981)*33%)*6%</f>
        <v>355782279.2238</v>
      </c>
    </row>
    <row r="33" spans="2:5" ht="18" customHeight="1" x14ac:dyDescent="0.2">
      <c r="B33" s="386" t="s">
        <v>206</v>
      </c>
      <c r="C33" s="339">
        <v>0</v>
      </c>
      <c r="D33" s="339">
        <v>0</v>
      </c>
    </row>
    <row r="34" spans="2:5" ht="14.45" customHeight="1" thickBot="1" x14ac:dyDescent="0.25"/>
    <row r="35" spans="2:5" ht="23.25" x14ac:dyDescent="0.35">
      <c r="B35" s="757" t="s">
        <v>261</v>
      </c>
      <c r="C35" s="758"/>
      <c r="D35" s="759"/>
    </row>
    <row r="36" spans="2:5" s="161" customFormat="1" ht="15.6" customHeight="1" x14ac:dyDescent="0.2">
      <c r="B36" s="362" t="s">
        <v>149</v>
      </c>
      <c r="C36" s="363" t="s">
        <v>287</v>
      </c>
      <c r="D36" s="363" t="s">
        <v>260</v>
      </c>
      <c r="E36" s="363" t="s">
        <v>474</v>
      </c>
    </row>
    <row r="37" spans="2:5" s="161" customFormat="1" ht="18" customHeight="1" x14ac:dyDescent="0.2">
      <c r="B37" s="167" t="s">
        <v>210</v>
      </c>
      <c r="C37" s="32">
        <v>0</v>
      </c>
      <c r="D37" s="32">
        <v>0.25</v>
      </c>
      <c r="E37" s="32">
        <v>0.5</v>
      </c>
    </row>
    <row r="217" spans="5:5" x14ac:dyDescent="0.2">
      <c r="E217">
        <v>100</v>
      </c>
    </row>
  </sheetData>
  <mergeCells count="5">
    <mergeCell ref="B2:E2"/>
    <mergeCell ref="B10:D10"/>
    <mergeCell ref="B20:D20"/>
    <mergeCell ref="B28:D28"/>
    <mergeCell ref="B35:D35"/>
  </mergeCells>
  <pageMargins left="0" right="0" top="0" bottom="0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0F1B-7A07-4185-AB32-4BA39BACCD55}">
  <dimension ref="B1:G27"/>
  <sheetViews>
    <sheetView showGridLines="0" topLeftCell="A4" workbookViewId="0">
      <selection activeCell="C13" sqref="C13"/>
    </sheetView>
  </sheetViews>
  <sheetFormatPr baseColWidth="10" defaultColWidth="11.42578125" defaultRowHeight="15.75" x14ac:dyDescent="0.25"/>
  <cols>
    <col min="1" max="1" width="11.42578125" style="89"/>
    <col min="2" max="2" width="67.140625" style="89" customWidth="1"/>
    <col min="3" max="3" width="21.28515625" style="89" customWidth="1"/>
    <col min="4" max="4" width="19.7109375" style="89" customWidth="1"/>
    <col min="5" max="6" width="20.5703125" style="89" bestFit="1" customWidth="1"/>
    <col min="7" max="7" width="19.42578125" style="89" bestFit="1" customWidth="1"/>
    <col min="8" max="16384" width="11.42578125" style="89"/>
  </cols>
  <sheetData>
    <row r="1" spans="2:7" x14ac:dyDescent="0.25">
      <c r="B1" s="88" t="s">
        <v>426</v>
      </c>
      <c r="C1" s="88" t="s">
        <v>427</v>
      </c>
      <c r="D1" s="88" t="s">
        <v>428</v>
      </c>
      <c r="E1" s="88" t="s">
        <v>429</v>
      </c>
    </row>
    <row r="2" spans="2:7" x14ac:dyDescent="0.25">
      <c r="B2" s="90" t="s">
        <v>453</v>
      </c>
      <c r="C2" s="91">
        <v>100000</v>
      </c>
      <c r="D2" s="92">
        <v>4200</v>
      </c>
      <c r="E2" s="93">
        <f>C2*D2</f>
        <v>420000000</v>
      </c>
    </row>
    <row r="3" spans="2:7" x14ac:dyDescent="0.25">
      <c r="B3" s="760" t="s">
        <v>430</v>
      </c>
      <c r="C3" s="761"/>
      <c r="D3" s="95">
        <f>SUM(D2:D2)</f>
        <v>4200</v>
      </c>
      <c r="E3" s="96">
        <f>SUM(E2:E2)</f>
        <v>420000000</v>
      </c>
      <c r="F3" s="94"/>
    </row>
    <row r="5" spans="2:7" x14ac:dyDescent="0.25">
      <c r="B5" s="88" t="s">
        <v>431</v>
      </c>
      <c r="C5" s="88" t="s">
        <v>427</v>
      </c>
      <c r="D5" s="88" t="s">
        <v>428</v>
      </c>
      <c r="E5" s="88" t="s">
        <v>429</v>
      </c>
    </row>
    <row r="6" spans="2:7" x14ac:dyDescent="0.25">
      <c r="B6" s="97" t="s">
        <v>432</v>
      </c>
      <c r="C6" s="98">
        <v>50000</v>
      </c>
      <c r="D6" s="99">
        <v>7000</v>
      </c>
      <c r="E6" s="100">
        <f>C6*D6</f>
        <v>350000000</v>
      </c>
      <c r="F6" s="101">
        <f>D6/$D$27</f>
        <v>0.37463205780037462</v>
      </c>
      <c r="G6" s="102">
        <f>F6*C6</f>
        <v>18731.60289001873</v>
      </c>
    </row>
    <row r="7" spans="2:7" x14ac:dyDescent="0.25">
      <c r="B7" s="97" t="s">
        <v>433</v>
      </c>
      <c r="C7" s="98">
        <v>50000</v>
      </c>
      <c r="D7" s="99">
        <v>5000</v>
      </c>
      <c r="E7" s="100">
        <f t="shared" ref="E7:E26" si="0">C7*D7</f>
        <v>250000000</v>
      </c>
      <c r="F7" s="101">
        <f t="shared" ref="F7:F26" si="1">D7/$D$27</f>
        <v>0.26759432700026758</v>
      </c>
      <c r="G7" s="102">
        <f t="shared" ref="G7:G26" si="2">F7*C7</f>
        <v>13379.716350013379</v>
      </c>
    </row>
    <row r="8" spans="2:7" x14ac:dyDescent="0.25">
      <c r="B8" s="97" t="s">
        <v>434</v>
      </c>
      <c r="C8" s="98">
        <v>45000</v>
      </c>
      <c r="D8" s="99">
        <v>250</v>
      </c>
      <c r="E8" s="100">
        <f t="shared" si="0"/>
        <v>11250000</v>
      </c>
      <c r="F8" s="101">
        <f t="shared" si="1"/>
        <v>1.3379716350013379E-2</v>
      </c>
      <c r="G8" s="102">
        <f t="shared" si="2"/>
        <v>602.08723575060208</v>
      </c>
    </row>
    <row r="9" spans="2:7" x14ac:dyDescent="0.25">
      <c r="B9" s="97" t="s">
        <v>435</v>
      </c>
      <c r="C9" s="98">
        <v>45000</v>
      </c>
      <c r="D9" s="99">
        <v>1500</v>
      </c>
      <c r="E9" s="100">
        <f>C9*D9</f>
        <v>67500000</v>
      </c>
      <c r="F9" s="101">
        <f t="shared" si="1"/>
        <v>8.0278298100080275E-2</v>
      </c>
      <c r="G9" s="102">
        <f t="shared" si="2"/>
        <v>3612.5234145036125</v>
      </c>
    </row>
    <row r="10" spans="2:7" x14ac:dyDescent="0.25">
      <c r="B10" s="97" t="s">
        <v>436</v>
      </c>
      <c r="C10" s="98">
        <v>45000</v>
      </c>
      <c r="D10" s="99">
        <v>150</v>
      </c>
      <c r="E10" s="100">
        <f t="shared" si="0"/>
        <v>6750000</v>
      </c>
      <c r="F10" s="101">
        <f t="shared" si="1"/>
        <v>8.0278298100080279E-3</v>
      </c>
      <c r="G10" s="102">
        <f t="shared" si="2"/>
        <v>361.25234145036126</v>
      </c>
    </row>
    <row r="11" spans="2:7" x14ac:dyDescent="0.25">
      <c r="B11" s="97" t="s">
        <v>437</v>
      </c>
      <c r="C11" s="98">
        <v>50000</v>
      </c>
      <c r="D11" s="99">
        <v>300</v>
      </c>
      <c r="E11" s="100">
        <f t="shared" si="0"/>
        <v>15000000</v>
      </c>
      <c r="F11" s="101">
        <f t="shared" si="1"/>
        <v>1.6055659620016056E-2</v>
      </c>
      <c r="G11" s="102">
        <f t="shared" si="2"/>
        <v>802.78298100080281</v>
      </c>
    </row>
    <row r="12" spans="2:7" x14ac:dyDescent="0.25">
      <c r="B12" s="97" t="s">
        <v>438</v>
      </c>
      <c r="C12" s="98">
        <v>70000</v>
      </c>
      <c r="D12" s="99">
        <v>280</v>
      </c>
      <c r="E12" s="100">
        <f t="shared" si="0"/>
        <v>19600000</v>
      </c>
      <c r="F12" s="101">
        <f t="shared" si="1"/>
        <v>1.4985282312014986E-2</v>
      </c>
      <c r="G12" s="102">
        <f t="shared" si="2"/>
        <v>1048.9697618410489</v>
      </c>
    </row>
    <row r="13" spans="2:7" x14ac:dyDescent="0.25">
      <c r="B13" s="97" t="s">
        <v>439</v>
      </c>
      <c r="C13" s="98">
        <v>100000</v>
      </c>
      <c r="D13" s="99">
        <v>180</v>
      </c>
      <c r="E13" s="100">
        <f t="shared" si="0"/>
        <v>18000000</v>
      </c>
      <c r="F13" s="101">
        <f t="shared" si="1"/>
        <v>9.6333957720096328E-3</v>
      </c>
      <c r="G13" s="102">
        <f t="shared" si="2"/>
        <v>963.33957720096328</v>
      </c>
    </row>
    <row r="14" spans="2:7" x14ac:dyDescent="0.25">
      <c r="B14" s="97" t="s">
        <v>440</v>
      </c>
      <c r="C14" s="98">
        <v>200000</v>
      </c>
      <c r="D14" s="99">
        <v>150</v>
      </c>
      <c r="E14" s="100">
        <f t="shared" si="0"/>
        <v>30000000</v>
      </c>
      <c r="F14" s="101">
        <f t="shared" si="1"/>
        <v>8.0278298100080279E-3</v>
      </c>
      <c r="G14" s="102">
        <f t="shared" si="2"/>
        <v>1605.5659620016056</v>
      </c>
    </row>
    <row r="15" spans="2:7" x14ac:dyDescent="0.25">
      <c r="B15" s="97" t="s">
        <v>441</v>
      </c>
      <c r="C15" s="98">
        <v>48000</v>
      </c>
      <c r="D15" s="99">
        <v>450</v>
      </c>
      <c r="E15" s="100">
        <f t="shared" si="0"/>
        <v>21600000</v>
      </c>
      <c r="F15" s="101">
        <f t="shared" si="1"/>
        <v>2.4083489430024082E-2</v>
      </c>
      <c r="G15" s="102">
        <f t="shared" si="2"/>
        <v>1156.007492641156</v>
      </c>
    </row>
    <row r="16" spans="2:7" x14ac:dyDescent="0.25">
      <c r="B16" s="97" t="s">
        <v>442</v>
      </c>
      <c r="C16" s="98">
        <v>50000</v>
      </c>
      <c r="D16" s="99">
        <v>800</v>
      </c>
      <c r="E16" s="100">
        <f t="shared" si="0"/>
        <v>40000000</v>
      </c>
      <c r="F16" s="101">
        <f t="shared" si="1"/>
        <v>4.2815092320042818E-2</v>
      </c>
      <c r="G16" s="102">
        <f t="shared" si="2"/>
        <v>2140.7546160021407</v>
      </c>
    </row>
    <row r="17" spans="2:7" x14ac:dyDescent="0.25">
      <c r="B17" s="97" t="s">
        <v>443</v>
      </c>
      <c r="C17" s="98">
        <v>50000</v>
      </c>
      <c r="D17" s="99">
        <v>550</v>
      </c>
      <c r="E17" s="100">
        <f t="shared" si="0"/>
        <v>27500000</v>
      </c>
      <c r="F17" s="101">
        <f t="shared" si="1"/>
        <v>2.9435375970029435E-2</v>
      </c>
      <c r="G17" s="102">
        <f t="shared" si="2"/>
        <v>1471.7687985014718</v>
      </c>
    </row>
    <row r="18" spans="2:7" x14ac:dyDescent="0.25">
      <c r="B18" s="97" t="s">
        <v>444</v>
      </c>
      <c r="C18" s="98">
        <v>48000</v>
      </c>
      <c r="D18" s="99">
        <v>620</v>
      </c>
      <c r="E18" s="100">
        <f t="shared" si="0"/>
        <v>29760000</v>
      </c>
      <c r="F18" s="101">
        <f t="shared" si="1"/>
        <v>3.3181696548033185E-2</v>
      </c>
      <c r="G18" s="102">
        <f t="shared" si="2"/>
        <v>1592.7214343055928</v>
      </c>
    </row>
    <row r="19" spans="2:7" x14ac:dyDescent="0.25">
      <c r="B19" s="97" t="s">
        <v>445</v>
      </c>
      <c r="C19" s="98">
        <v>50000</v>
      </c>
      <c r="D19" s="99">
        <v>330</v>
      </c>
      <c r="E19" s="100">
        <f t="shared" si="0"/>
        <v>16500000</v>
      </c>
      <c r="F19" s="101">
        <f t="shared" si="1"/>
        <v>1.7661225582017662E-2</v>
      </c>
      <c r="G19" s="102">
        <f t="shared" si="2"/>
        <v>883.0612791008831</v>
      </c>
    </row>
    <row r="20" spans="2:7" ht="31.5" x14ac:dyDescent="0.25">
      <c r="B20" s="97" t="s">
        <v>446</v>
      </c>
      <c r="C20" s="98">
        <v>70000</v>
      </c>
      <c r="D20" s="99">
        <v>15</v>
      </c>
      <c r="E20" s="100">
        <f t="shared" si="0"/>
        <v>1050000</v>
      </c>
      <c r="F20" s="101">
        <f t="shared" si="1"/>
        <v>8.0278298100080277E-4</v>
      </c>
      <c r="G20" s="102">
        <f t="shared" si="2"/>
        <v>56.19480867005619</v>
      </c>
    </row>
    <row r="21" spans="2:7" x14ac:dyDescent="0.25">
      <c r="B21" s="97" t="s">
        <v>447</v>
      </c>
      <c r="C21" s="98">
        <v>200000</v>
      </c>
      <c r="D21" s="99">
        <v>80</v>
      </c>
      <c r="E21" s="100">
        <f t="shared" si="0"/>
        <v>16000000</v>
      </c>
      <c r="F21" s="101">
        <f t="shared" si="1"/>
        <v>4.2815092320042814E-3</v>
      </c>
      <c r="G21" s="102">
        <f t="shared" si="2"/>
        <v>856.30184640085633</v>
      </c>
    </row>
    <row r="22" spans="2:7" x14ac:dyDescent="0.25">
      <c r="B22" s="97" t="s">
        <v>448</v>
      </c>
      <c r="C22" s="98">
        <v>40000</v>
      </c>
      <c r="D22" s="99">
        <v>150</v>
      </c>
      <c r="E22" s="100">
        <f t="shared" si="0"/>
        <v>6000000</v>
      </c>
      <c r="F22" s="101">
        <f t="shared" si="1"/>
        <v>8.0278298100080279E-3</v>
      </c>
      <c r="G22" s="102">
        <f t="shared" si="2"/>
        <v>321.11319240032111</v>
      </c>
    </row>
    <row r="23" spans="2:7" x14ac:dyDescent="0.25">
      <c r="B23" s="97" t="s">
        <v>449</v>
      </c>
      <c r="C23" s="98">
        <v>75000</v>
      </c>
      <c r="D23" s="99">
        <v>180</v>
      </c>
      <c r="E23" s="100">
        <f t="shared" si="0"/>
        <v>13500000</v>
      </c>
      <c r="F23" s="101">
        <f t="shared" si="1"/>
        <v>9.6333957720096328E-3</v>
      </c>
      <c r="G23" s="102">
        <f t="shared" si="2"/>
        <v>722.5046829007224</v>
      </c>
    </row>
    <row r="24" spans="2:7" x14ac:dyDescent="0.25">
      <c r="B24" s="97" t="s">
        <v>450</v>
      </c>
      <c r="C24" s="98">
        <v>90000</v>
      </c>
      <c r="D24" s="99">
        <v>120</v>
      </c>
      <c r="E24" s="100">
        <f t="shared" si="0"/>
        <v>10800000</v>
      </c>
      <c r="F24" s="101">
        <f t="shared" si="1"/>
        <v>6.4222638480064221E-3</v>
      </c>
      <c r="G24" s="102">
        <f t="shared" si="2"/>
        <v>578.00374632057799</v>
      </c>
    </row>
    <row r="25" spans="2:7" x14ac:dyDescent="0.25">
      <c r="B25" s="97" t="s">
        <v>451</v>
      </c>
      <c r="C25" s="98">
        <v>120000</v>
      </c>
      <c r="D25" s="99">
        <v>80</v>
      </c>
      <c r="E25" s="100">
        <f t="shared" si="0"/>
        <v>9600000</v>
      </c>
      <c r="F25" s="101">
        <f t="shared" si="1"/>
        <v>4.2815092320042814E-3</v>
      </c>
      <c r="G25" s="102">
        <f t="shared" si="2"/>
        <v>513.78110784051376</v>
      </c>
    </row>
    <row r="26" spans="2:7" x14ac:dyDescent="0.25">
      <c r="B26" s="97" t="s">
        <v>452</v>
      </c>
      <c r="C26" s="98">
        <v>25000</v>
      </c>
      <c r="D26" s="99">
        <v>500</v>
      </c>
      <c r="E26" s="100">
        <f t="shared" si="0"/>
        <v>12500000</v>
      </c>
      <c r="F26" s="101">
        <f t="shared" si="1"/>
        <v>2.6759432700026758E-2</v>
      </c>
      <c r="G26" s="102">
        <f t="shared" si="2"/>
        <v>668.98581750066899</v>
      </c>
    </row>
    <row r="27" spans="2:7" x14ac:dyDescent="0.25">
      <c r="C27" s="95">
        <f>SUM(C6:C26)</f>
        <v>1521000</v>
      </c>
      <c r="D27" s="95">
        <f>SUM(D6:D26)</f>
        <v>18685</v>
      </c>
      <c r="E27" s="96">
        <f>SUM(E6:E26)</f>
        <v>972910000</v>
      </c>
      <c r="G27" s="96">
        <f>SUM(G6:G26)</f>
        <v>52069.039336366062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1B9-CA23-4449-8E6B-EE39E565331E}">
  <dimension ref="A1:AC25"/>
  <sheetViews>
    <sheetView showGridLines="0" topLeftCell="P1" workbookViewId="0">
      <selection activeCell="S21" sqref="S21"/>
    </sheetView>
  </sheetViews>
  <sheetFormatPr baseColWidth="10" defaultColWidth="11.5703125" defaultRowHeight="15" x14ac:dyDescent="0.25"/>
  <cols>
    <col min="1" max="1" width="36.7109375" style="602" hidden="1" customWidth="1"/>
    <col min="2" max="2" width="15.28515625" style="602" hidden="1" customWidth="1"/>
    <col min="3" max="3" width="15.42578125" style="602" hidden="1" customWidth="1"/>
    <col min="4" max="13" width="13.85546875" style="602" hidden="1" customWidth="1"/>
    <col min="14" max="14" width="16.42578125" style="602" hidden="1" customWidth="1"/>
    <col min="15" max="15" width="15.42578125" style="602" hidden="1" customWidth="1"/>
    <col min="16" max="16" width="44.85546875" style="602" customWidth="1"/>
    <col min="17" max="17" width="15.28515625" style="619" bestFit="1" customWidth="1"/>
    <col min="18" max="18" width="12.85546875" style="602" bestFit="1" customWidth="1"/>
    <col min="19" max="19" width="11.85546875" style="602" bestFit="1" customWidth="1"/>
    <col min="20" max="20" width="2.7109375" style="602" customWidth="1"/>
    <col min="21" max="21" width="43.42578125" style="602" customWidth="1"/>
    <col min="22" max="22" width="17.28515625" style="602" bestFit="1" customWidth="1"/>
    <col min="23" max="23" width="4.42578125" style="602" customWidth="1"/>
    <col min="24" max="24" width="43" style="602" bestFit="1" customWidth="1"/>
    <col min="25" max="25" width="14" style="602" bestFit="1" customWidth="1"/>
    <col min="26" max="26" width="2.42578125" style="602" customWidth="1"/>
    <col min="27" max="27" width="43" style="602" bestFit="1" customWidth="1"/>
    <col min="28" max="28" width="15.5703125" style="602" bestFit="1" customWidth="1"/>
    <col min="29" max="16384" width="11.5703125" style="602"/>
  </cols>
  <sheetData>
    <row r="1" spans="1:28" x14ac:dyDescent="0.25">
      <c r="P1" s="763" t="s">
        <v>491</v>
      </c>
      <c r="Q1" s="763"/>
      <c r="U1" s="764" t="s">
        <v>492</v>
      </c>
      <c r="V1" s="764"/>
      <c r="X1" s="763" t="s">
        <v>493</v>
      </c>
      <c r="Y1" s="763"/>
      <c r="AA1" s="763" t="s">
        <v>494</v>
      </c>
      <c r="AB1" s="763"/>
    </row>
    <row r="2" spans="1:28" x14ac:dyDescent="0.25">
      <c r="P2" s="765" t="s">
        <v>495</v>
      </c>
      <c r="Q2" s="765"/>
      <c r="U2" s="765" t="s">
        <v>495</v>
      </c>
      <c r="V2" s="765"/>
      <c r="X2" s="765" t="s">
        <v>496</v>
      </c>
      <c r="Y2" s="765"/>
      <c r="AA2" s="765" t="s">
        <v>496</v>
      </c>
      <c r="AB2" s="765"/>
    </row>
    <row r="3" spans="1:28" x14ac:dyDescent="0.25">
      <c r="A3" s="762" t="s">
        <v>497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62"/>
      <c r="P3" s="603" t="s">
        <v>498</v>
      </c>
      <c r="Q3" s="604">
        <v>42064750</v>
      </c>
      <c r="U3" s="603" t="s">
        <v>498</v>
      </c>
      <c r="V3" s="604">
        <f>(Q3*1.1)*12</f>
        <v>555254700.00000012</v>
      </c>
      <c r="X3" s="603" t="s">
        <v>498</v>
      </c>
      <c r="Y3" s="604">
        <f>B8</f>
        <v>198690197.20000002</v>
      </c>
      <c r="AA3" s="603" t="s">
        <v>498</v>
      </c>
      <c r="AB3" s="604">
        <f>N8</f>
        <v>2339416838.0000005</v>
      </c>
    </row>
    <row r="4" spans="1:28" x14ac:dyDescent="0.25">
      <c r="A4" s="605" t="s">
        <v>499</v>
      </c>
      <c r="B4" s="606" t="s">
        <v>500</v>
      </c>
      <c r="C4" s="606" t="s">
        <v>501</v>
      </c>
      <c r="D4" s="606" t="s">
        <v>502</v>
      </c>
      <c r="E4" s="606" t="s">
        <v>503</v>
      </c>
      <c r="F4" s="606" t="s">
        <v>504</v>
      </c>
      <c r="G4" s="606" t="s">
        <v>505</v>
      </c>
      <c r="H4" s="606" t="s">
        <v>506</v>
      </c>
      <c r="I4" s="606" t="s">
        <v>507</v>
      </c>
      <c r="J4" s="606" t="s">
        <v>508</v>
      </c>
      <c r="K4" s="606" t="s">
        <v>509</v>
      </c>
      <c r="L4" s="606" t="s">
        <v>510</v>
      </c>
      <c r="M4" s="606" t="s">
        <v>511</v>
      </c>
      <c r="N4" s="606" t="s">
        <v>512</v>
      </c>
      <c r="P4" s="603" t="s">
        <v>513</v>
      </c>
      <c r="Q4" s="604">
        <f>SUM(Q5:Q14)</f>
        <v>26287000</v>
      </c>
      <c r="U4" s="603" t="s">
        <v>513</v>
      </c>
      <c r="V4" s="604">
        <f>SUM(V5:V14)</f>
        <v>343833960</v>
      </c>
      <c r="X4" s="603" t="s">
        <v>513</v>
      </c>
      <c r="Y4" s="604">
        <f>SUM(Y5:Y14)</f>
        <v>72748015.195045739</v>
      </c>
      <c r="AA4" s="603" t="s">
        <v>513</v>
      </c>
      <c r="AB4" s="604">
        <f>SUM(AB5:AB14)</f>
        <v>872976182.34054887</v>
      </c>
    </row>
    <row r="5" spans="1:28" x14ac:dyDescent="0.25">
      <c r="A5" s="605" t="s">
        <v>514</v>
      </c>
      <c r="B5" s="606">
        <f>76*31</f>
        <v>2356</v>
      </c>
      <c r="C5" s="606">
        <f>76*28</f>
        <v>2128</v>
      </c>
      <c r="D5" s="606">
        <f>76*31</f>
        <v>2356</v>
      </c>
      <c r="E5" s="606">
        <f>76*30</f>
        <v>2280</v>
      </c>
      <c r="F5" s="606">
        <f>76*31</f>
        <v>2356</v>
      </c>
      <c r="G5" s="606">
        <f>76*30</f>
        <v>2280</v>
      </c>
      <c r="H5" s="606">
        <f>76*31</f>
        <v>2356</v>
      </c>
      <c r="I5" s="606">
        <f>76*31</f>
        <v>2356</v>
      </c>
      <c r="J5" s="606">
        <f>76*30</f>
        <v>2280</v>
      </c>
      <c r="K5" s="606">
        <f>76*31</f>
        <v>2356</v>
      </c>
      <c r="L5" s="606">
        <f>76*30</f>
        <v>2280</v>
      </c>
      <c r="M5" s="606">
        <f>76*31</f>
        <v>2356</v>
      </c>
      <c r="N5" s="606">
        <f>SUM(B5:M5)</f>
        <v>27740</v>
      </c>
      <c r="P5" s="607" t="s">
        <v>515</v>
      </c>
      <c r="Q5" s="608">
        <v>21771000</v>
      </c>
      <c r="R5" s="609">
        <f>Q5/$Q$3</f>
        <v>0.51755923903030443</v>
      </c>
      <c r="S5" s="602">
        <f>R5/2</f>
        <v>0.25877961951515221</v>
      </c>
      <c r="U5" s="607" t="s">
        <v>515</v>
      </c>
      <c r="V5" s="608">
        <f>(Q5*1.09)*12</f>
        <v>284764680</v>
      </c>
      <c r="X5" s="607" t="s">
        <v>515</v>
      </c>
      <c r="Y5" s="608">
        <f>$Y$3*S5</f>
        <v>51416973.632806569</v>
      </c>
      <c r="AA5" s="607" t="s">
        <v>515</v>
      </c>
      <c r="AB5" s="608">
        <f>Y5*12</f>
        <v>617003683.59367883</v>
      </c>
    </row>
    <row r="6" spans="1:28" x14ac:dyDescent="0.25">
      <c r="A6" s="605" t="s">
        <v>516</v>
      </c>
      <c r="B6" s="606">
        <v>27</v>
      </c>
      <c r="C6" s="606">
        <v>32</v>
      </c>
      <c r="D6" s="606">
        <v>25</v>
      </c>
      <c r="E6" s="606">
        <v>25</v>
      </c>
      <c r="F6" s="606">
        <v>26</v>
      </c>
      <c r="G6" s="606">
        <v>25</v>
      </c>
      <c r="H6" s="606">
        <v>26</v>
      </c>
      <c r="I6" s="606">
        <v>25</v>
      </c>
      <c r="J6" s="606">
        <v>23</v>
      </c>
      <c r="K6" s="606">
        <v>79</v>
      </c>
      <c r="L6" s="606">
        <v>112</v>
      </c>
      <c r="M6" s="606">
        <v>72</v>
      </c>
      <c r="N6" s="606">
        <f>SUM(B6:M6)</f>
        <v>497</v>
      </c>
      <c r="P6" s="607" t="s">
        <v>517</v>
      </c>
      <c r="Q6" s="610">
        <v>0</v>
      </c>
      <c r="R6" s="609">
        <f t="shared" ref="R6:R14" si="0">Q6/$Q$3</f>
        <v>0</v>
      </c>
      <c r="U6" s="607" t="s">
        <v>517</v>
      </c>
      <c r="V6" s="610">
        <v>0</v>
      </c>
      <c r="X6" s="607" t="s">
        <v>517</v>
      </c>
      <c r="Y6" s="608">
        <f t="shared" ref="Y6:Y14" si="1">$Y$3*R6</f>
        <v>0</v>
      </c>
      <c r="AA6" s="607" t="s">
        <v>517</v>
      </c>
      <c r="AB6" s="610">
        <v>0</v>
      </c>
    </row>
    <row r="7" spans="1:28" x14ac:dyDescent="0.25">
      <c r="A7" s="605" t="s">
        <v>518</v>
      </c>
      <c r="B7" s="611">
        <f>577566*B6</f>
        <v>15594282</v>
      </c>
      <c r="C7" s="611">
        <f t="shared" ref="C7:L7" si="2">577566*C6</f>
        <v>18482112</v>
      </c>
      <c r="D7" s="611">
        <f t="shared" si="2"/>
        <v>14439150</v>
      </c>
      <c r="E7" s="611">
        <f t="shared" si="2"/>
        <v>14439150</v>
      </c>
      <c r="F7" s="611">
        <f t="shared" si="2"/>
        <v>15016716</v>
      </c>
      <c r="G7" s="611">
        <f t="shared" si="2"/>
        <v>14439150</v>
      </c>
      <c r="H7" s="611">
        <f t="shared" si="2"/>
        <v>15016716</v>
      </c>
      <c r="I7" s="611">
        <f t="shared" si="2"/>
        <v>14439150</v>
      </c>
      <c r="J7" s="611">
        <f t="shared" si="2"/>
        <v>13284018</v>
      </c>
      <c r="K7" s="611">
        <f t="shared" si="2"/>
        <v>45627714</v>
      </c>
      <c r="L7" s="611">
        <f t="shared" si="2"/>
        <v>64687392</v>
      </c>
      <c r="M7" s="611">
        <v>42064750</v>
      </c>
      <c r="N7" s="612">
        <f>SUM(B7:M7)</f>
        <v>287530300</v>
      </c>
      <c r="P7" s="607" t="s">
        <v>519</v>
      </c>
      <c r="Q7" s="608">
        <v>738000</v>
      </c>
      <c r="R7" s="609">
        <f t="shared" si="0"/>
        <v>1.7544380984078119E-2</v>
      </c>
      <c r="U7" s="607" t="s">
        <v>519</v>
      </c>
      <c r="V7" s="608">
        <f>(Q7*1.09)*12</f>
        <v>9653040.0000000019</v>
      </c>
      <c r="X7" s="607" t="s">
        <v>519</v>
      </c>
      <c r="Y7" s="608">
        <f t="shared" si="1"/>
        <v>3485896.517478412</v>
      </c>
      <c r="AA7" s="607" t="s">
        <v>519</v>
      </c>
      <c r="AB7" s="608">
        <f t="shared" ref="AB7:AB14" si="3">Y7*12</f>
        <v>41830758.209740944</v>
      </c>
    </row>
    <row r="8" spans="1:28" x14ac:dyDescent="0.25">
      <c r="A8" s="605" t="s">
        <v>520</v>
      </c>
      <c r="B8" s="611">
        <f>(76667*1.1)*B5</f>
        <v>198690197.20000002</v>
      </c>
      <c r="C8" s="611">
        <f>(76667*1.1)*C5</f>
        <v>179462113.60000002</v>
      </c>
      <c r="D8" s="611">
        <f t="shared" ref="D8:M8" si="4">(76667*1.1)*D5</f>
        <v>198690197.20000002</v>
      </c>
      <c r="E8" s="611">
        <f t="shared" si="4"/>
        <v>192280836.00000003</v>
      </c>
      <c r="F8" s="611">
        <f t="shared" si="4"/>
        <v>198690197.20000002</v>
      </c>
      <c r="G8" s="611">
        <f t="shared" si="4"/>
        <v>192280836.00000003</v>
      </c>
      <c r="H8" s="611">
        <f t="shared" si="4"/>
        <v>198690197.20000002</v>
      </c>
      <c r="I8" s="611">
        <f t="shared" si="4"/>
        <v>198690197.20000002</v>
      </c>
      <c r="J8" s="611">
        <f t="shared" si="4"/>
        <v>192280836.00000003</v>
      </c>
      <c r="K8" s="611">
        <f t="shared" si="4"/>
        <v>198690197.20000002</v>
      </c>
      <c r="L8" s="611">
        <f t="shared" si="4"/>
        <v>192280836.00000003</v>
      </c>
      <c r="M8" s="611">
        <f t="shared" si="4"/>
        <v>198690197.20000002</v>
      </c>
      <c r="N8" s="612">
        <f>SUM(B8:M8)</f>
        <v>2339416838.0000005</v>
      </c>
      <c r="P8" s="607" t="s">
        <v>521</v>
      </c>
      <c r="Q8" s="610">
        <v>0</v>
      </c>
      <c r="R8" s="609">
        <f t="shared" si="0"/>
        <v>0</v>
      </c>
      <c r="U8" s="607" t="s">
        <v>521</v>
      </c>
      <c r="V8" s="610">
        <v>0</v>
      </c>
      <c r="X8" s="607" t="s">
        <v>521</v>
      </c>
      <c r="Y8" s="608">
        <f t="shared" si="1"/>
        <v>0</v>
      </c>
      <c r="AA8" s="607" t="s">
        <v>521</v>
      </c>
      <c r="AB8" s="608">
        <f t="shared" si="3"/>
        <v>0</v>
      </c>
    </row>
    <row r="9" spans="1:28" x14ac:dyDescent="0.25">
      <c r="B9" s="613">
        <f>B7/B8</f>
        <v>7.8485412062392373E-2</v>
      </c>
      <c r="C9" s="613">
        <f t="shared" ref="C9:M9" si="5">C7/C8</f>
        <v>0.10298614916123443</v>
      </c>
      <c r="D9" s="613">
        <f t="shared" si="5"/>
        <v>7.2671677835548495E-2</v>
      </c>
      <c r="E9" s="613">
        <f t="shared" si="5"/>
        <v>7.5094067096733441E-2</v>
      </c>
      <c r="F9" s="613">
        <f t="shared" si="5"/>
        <v>7.5578544948970428E-2</v>
      </c>
      <c r="G9" s="613">
        <f t="shared" si="5"/>
        <v>7.5094067096733441E-2</v>
      </c>
      <c r="H9" s="613">
        <f t="shared" si="5"/>
        <v>7.5578544948970428E-2</v>
      </c>
      <c r="I9" s="613">
        <f t="shared" si="5"/>
        <v>7.2671677835548495E-2</v>
      </c>
      <c r="J9" s="613">
        <f t="shared" si="5"/>
        <v>6.9086541728994755E-2</v>
      </c>
      <c r="K9" s="613">
        <f t="shared" si="5"/>
        <v>0.22964250196033323</v>
      </c>
      <c r="L9" s="613">
        <f t="shared" si="5"/>
        <v>0.33642142059336577</v>
      </c>
      <c r="M9" s="613">
        <f t="shared" si="5"/>
        <v>0.211710243347627</v>
      </c>
      <c r="N9" s="614">
        <f>AVERAGE(B9:M9)</f>
        <v>0.12291840405137101</v>
      </c>
      <c r="O9" s="615">
        <f>N8-N7</f>
        <v>2051886538.0000005</v>
      </c>
      <c r="P9" s="607" t="s">
        <v>522</v>
      </c>
      <c r="Q9" s="610">
        <v>0</v>
      </c>
      <c r="R9" s="609">
        <f t="shared" si="0"/>
        <v>0</v>
      </c>
      <c r="U9" s="607" t="s">
        <v>522</v>
      </c>
      <c r="V9" s="610">
        <v>0</v>
      </c>
      <c r="X9" s="607" t="s">
        <v>522</v>
      </c>
      <c r="Y9" s="608">
        <f t="shared" si="1"/>
        <v>0</v>
      </c>
      <c r="AA9" s="607" t="s">
        <v>522</v>
      </c>
      <c r="AB9" s="608">
        <f t="shared" si="3"/>
        <v>0</v>
      </c>
    </row>
    <row r="10" spans="1:28" x14ac:dyDescent="0.25">
      <c r="B10" s="606"/>
      <c r="P10" s="607" t="s">
        <v>523</v>
      </c>
      <c r="Q10" s="610">
        <v>0</v>
      </c>
      <c r="R10" s="609">
        <f t="shared" si="0"/>
        <v>0</v>
      </c>
      <c r="U10" s="607" t="s">
        <v>523</v>
      </c>
      <c r="V10" s="610">
        <v>0</v>
      </c>
      <c r="X10" s="607" t="s">
        <v>523</v>
      </c>
      <c r="Y10" s="608">
        <f t="shared" si="1"/>
        <v>0</v>
      </c>
      <c r="AA10" s="607" t="s">
        <v>523</v>
      </c>
      <c r="AB10" s="608">
        <f t="shared" si="3"/>
        <v>0</v>
      </c>
    </row>
    <row r="11" spans="1:28" x14ac:dyDescent="0.25">
      <c r="P11" s="607" t="s">
        <v>524</v>
      </c>
      <c r="Q11" s="610">
        <v>0</v>
      </c>
      <c r="R11" s="609">
        <f t="shared" si="0"/>
        <v>0</v>
      </c>
      <c r="U11" s="607" t="s">
        <v>524</v>
      </c>
      <c r="V11" s="610">
        <v>0</v>
      </c>
      <c r="X11" s="607" t="s">
        <v>524</v>
      </c>
      <c r="Y11" s="608">
        <f t="shared" si="1"/>
        <v>0</v>
      </c>
      <c r="AA11" s="607" t="s">
        <v>524</v>
      </c>
      <c r="AB11" s="608">
        <f t="shared" si="3"/>
        <v>0</v>
      </c>
    </row>
    <row r="12" spans="1:28" x14ac:dyDescent="0.25">
      <c r="A12" s="602" t="s">
        <v>525</v>
      </c>
      <c r="B12" s="602">
        <v>2550000</v>
      </c>
      <c r="C12" s="602">
        <v>30</v>
      </c>
      <c r="D12" s="602">
        <f>B12/C12</f>
        <v>85000</v>
      </c>
      <c r="P12" s="607" t="s">
        <v>526</v>
      </c>
      <c r="Q12" s="608">
        <v>3778000</v>
      </c>
      <c r="R12" s="609">
        <f t="shared" si="0"/>
        <v>8.9813917829061146E-2</v>
      </c>
      <c r="U12" s="607" t="s">
        <v>526</v>
      </c>
      <c r="V12" s="608">
        <f>(Q12*1.09)*12</f>
        <v>49416240.000000007</v>
      </c>
      <c r="X12" s="607" t="s">
        <v>526</v>
      </c>
      <c r="Y12" s="608">
        <f t="shared" si="1"/>
        <v>17845145.044760756</v>
      </c>
      <c r="AA12" s="607" t="s">
        <v>526</v>
      </c>
      <c r="AB12" s="608">
        <f t="shared" si="3"/>
        <v>214141740.53712907</v>
      </c>
    </row>
    <row r="13" spans="1:28" x14ac:dyDescent="0.25">
      <c r="P13" s="607" t="s">
        <v>527</v>
      </c>
      <c r="Q13" s="610">
        <v>0</v>
      </c>
      <c r="R13" s="609">
        <f t="shared" si="0"/>
        <v>0</v>
      </c>
      <c r="U13" s="607" t="s">
        <v>527</v>
      </c>
      <c r="V13" s="610">
        <v>0</v>
      </c>
      <c r="X13" s="607" t="s">
        <v>527</v>
      </c>
      <c r="Y13" s="608">
        <f t="shared" si="1"/>
        <v>0</v>
      </c>
      <c r="AA13" s="607" t="s">
        <v>527</v>
      </c>
      <c r="AB13" s="608">
        <f t="shared" si="3"/>
        <v>0</v>
      </c>
    </row>
    <row r="14" spans="1:28" x14ac:dyDescent="0.25">
      <c r="A14" s="602" t="s">
        <v>528</v>
      </c>
      <c r="B14" s="602" t="s">
        <v>529</v>
      </c>
      <c r="P14" s="607" t="s">
        <v>530</v>
      </c>
      <c r="Q14" s="610">
        <v>0</v>
      </c>
      <c r="R14" s="609">
        <f t="shared" si="0"/>
        <v>0</v>
      </c>
      <c r="U14" s="607" t="s">
        <v>530</v>
      </c>
      <c r="V14" s="610">
        <v>0</v>
      </c>
      <c r="X14" s="607" t="s">
        <v>530</v>
      </c>
      <c r="Y14" s="608">
        <f t="shared" si="1"/>
        <v>0</v>
      </c>
      <c r="AA14" s="607" t="s">
        <v>530</v>
      </c>
      <c r="AB14" s="608">
        <f t="shared" si="3"/>
        <v>0</v>
      </c>
    </row>
    <row r="15" spans="1:28" x14ac:dyDescent="0.25">
      <c r="A15" s="602" t="s">
        <v>531</v>
      </c>
      <c r="B15" s="602" t="s">
        <v>532</v>
      </c>
      <c r="P15" s="603" t="s">
        <v>533</v>
      </c>
      <c r="Q15" s="616">
        <f>Q3-Q4</f>
        <v>15777750</v>
      </c>
      <c r="R15" s="609"/>
      <c r="U15" s="603" t="s">
        <v>533</v>
      </c>
      <c r="V15" s="616">
        <f>V3-V4</f>
        <v>211420740.00000012</v>
      </c>
      <c r="X15" s="603" t="s">
        <v>533</v>
      </c>
      <c r="Y15" s="616">
        <f>Y3-Y4</f>
        <v>125942182.00495428</v>
      </c>
      <c r="AA15" s="603" t="s">
        <v>533</v>
      </c>
      <c r="AB15" s="616">
        <f>AB3-AB4</f>
        <v>1466440655.6594515</v>
      </c>
    </row>
    <row r="16" spans="1:28" x14ac:dyDescent="0.25">
      <c r="A16" s="602" t="s">
        <v>534</v>
      </c>
      <c r="B16" s="602" t="s">
        <v>535</v>
      </c>
      <c r="P16" s="603" t="s">
        <v>536</v>
      </c>
      <c r="Q16" s="616">
        <f>SUM(Q17:Q18)</f>
        <v>10662000</v>
      </c>
      <c r="R16" s="609"/>
      <c r="U16" s="603" t="s">
        <v>536</v>
      </c>
      <c r="V16" s="616">
        <f>SUM(V17:V18)</f>
        <v>139458960</v>
      </c>
      <c r="X16" s="603" t="s">
        <v>536</v>
      </c>
      <c r="Y16" s="616">
        <f>SUM(Y17:Y18)</f>
        <v>19874025.705109388</v>
      </c>
      <c r="AA16" s="603" t="s">
        <v>536</v>
      </c>
      <c r="AB16" s="616">
        <f>SUM(AB17:AB18)</f>
        <v>238488308.46131262</v>
      </c>
    </row>
    <row r="17" spans="1:29" x14ac:dyDescent="0.25">
      <c r="P17" s="607" t="s">
        <v>537</v>
      </c>
      <c r="Q17" s="617">
        <f>3897000+S19</f>
        <v>3897000</v>
      </c>
      <c r="R17" s="609"/>
      <c r="U17" s="607" t="s">
        <v>537</v>
      </c>
      <c r="V17" s="608">
        <f>(Q17*1.09)*12</f>
        <v>50972760</v>
      </c>
      <c r="X17" s="607" t="s">
        <v>537</v>
      </c>
      <c r="Y17" s="617">
        <f>3897000</f>
        <v>3897000</v>
      </c>
      <c r="AA17" s="607" t="s">
        <v>537</v>
      </c>
      <c r="AB17" s="608">
        <f>Y17*12</f>
        <v>46764000</v>
      </c>
    </row>
    <row r="18" spans="1:29" x14ac:dyDescent="0.25">
      <c r="A18" s="602" t="s">
        <v>538</v>
      </c>
      <c r="P18" s="607" t="s">
        <v>539</v>
      </c>
      <c r="Q18" s="617">
        <v>6765000</v>
      </c>
      <c r="R18" s="609">
        <f>Q18/Q3</f>
        <v>0.16082349235404941</v>
      </c>
      <c r="S18" s="602">
        <f>R18/2</f>
        <v>8.0411746177024707E-2</v>
      </c>
      <c r="U18" s="607" t="s">
        <v>539</v>
      </c>
      <c r="V18" s="608">
        <f>(Q18*1.09)*12</f>
        <v>88486200.000000015</v>
      </c>
      <c r="X18" s="607" t="s">
        <v>539</v>
      </c>
      <c r="Y18" s="617">
        <f>Y3*S18</f>
        <v>15977025.705109386</v>
      </c>
      <c r="AA18" s="607" t="s">
        <v>539</v>
      </c>
      <c r="AB18" s="608">
        <f>Y18*12</f>
        <v>191724308.46131262</v>
      </c>
    </row>
    <row r="19" spans="1:29" x14ac:dyDescent="0.25">
      <c r="A19" s="602" t="s">
        <v>540</v>
      </c>
      <c r="B19" s="602">
        <v>700</v>
      </c>
      <c r="P19" s="603" t="s">
        <v>541</v>
      </c>
      <c r="Q19" s="616">
        <f>Q16+Q4</f>
        <v>36949000</v>
      </c>
      <c r="U19" s="603" t="s">
        <v>541</v>
      </c>
      <c r="V19" s="616">
        <f>V16+V4</f>
        <v>483292920</v>
      </c>
      <c r="X19" s="603" t="s">
        <v>541</v>
      </c>
      <c r="Y19" s="616">
        <f>Y16+Y4</f>
        <v>92622040.900155127</v>
      </c>
      <c r="AA19" s="603" t="s">
        <v>541</v>
      </c>
      <c r="AB19" s="616">
        <f>AB16+AB4</f>
        <v>1111464490.8018615</v>
      </c>
    </row>
    <row r="20" spans="1:29" x14ac:dyDescent="0.25">
      <c r="A20" s="602" t="s">
        <v>542</v>
      </c>
      <c r="B20" s="602">
        <v>1300</v>
      </c>
      <c r="P20" s="603" t="s">
        <v>543</v>
      </c>
      <c r="Q20" s="616">
        <f>Q3-Q19</f>
        <v>5115750</v>
      </c>
      <c r="U20" s="603" t="s">
        <v>543</v>
      </c>
      <c r="V20" s="616">
        <f>V3-V19</f>
        <v>71961780.000000119</v>
      </c>
      <c r="X20" s="603" t="s">
        <v>543</v>
      </c>
      <c r="Y20" s="616">
        <f>Y3-Y19</f>
        <v>106068156.29984489</v>
      </c>
      <c r="AA20" s="603" t="s">
        <v>543</v>
      </c>
      <c r="AB20" s="616">
        <f>AB3-AB19</f>
        <v>1227952347.198139</v>
      </c>
    </row>
    <row r="21" spans="1:29" x14ac:dyDescent="0.25">
      <c r="A21" s="602" t="s">
        <v>528</v>
      </c>
      <c r="B21" s="602">
        <v>400</v>
      </c>
      <c r="P21" s="607" t="s">
        <v>544</v>
      </c>
      <c r="Q21" s="617">
        <f>Q20*35%</f>
        <v>1790512.5</v>
      </c>
      <c r="U21" s="607" t="s">
        <v>544</v>
      </c>
      <c r="V21" s="617">
        <f>V20*35%</f>
        <v>25186623.000000041</v>
      </c>
      <c r="X21" s="607" t="s">
        <v>544</v>
      </c>
      <c r="Y21" s="617">
        <f>Y20*35%</f>
        <v>37123854.704945706</v>
      </c>
      <c r="AA21" s="607" t="s">
        <v>544</v>
      </c>
      <c r="AB21" s="617">
        <f>AB20*35%</f>
        <v>429783321.51934862</v>
      </c>
    </row>
    <row r="22" spans="1:29" x14ac:dyDescent="0.25">
      <c r="A22" s="602" t="s">
        <v>545</v>
      </c>
      <c r="B22" s="602">
        <f>SUM(B19:B21)</f>
        <v>2400</v>
      </c>
      <c r="C22" s="602" t="s">
        <v>546</v>
      </c>
      <c r="P22" s="603" t="s">
        <v>547</v>
      </c>
      <c r="Q22" s="616">
        <f>Q21</f>
        <v>1790512.5</v>
      </c>
      <c r="U22" s="603" t="s">
        <v>547</v>
      </c>
      <c r="V22" s="616">
        <f>V21</f>
        <v>25186623.000000041</v>
      </c>
      <c r="X22" s="603" t="s">
        <v>547</v>
      </c>
      <c r="Y22" s="616">
        <f>Y21</f>
        <v>37123854.704945706</v>
      </c>
      <c r="AA22" s="603" t="s">
        <v>547</v>
      </c>
      <c r="AB22" s="616">
        <f>AB21</f>
        <v>429783321.51934862</v>
      </c>
    </row>
    <row r="23" spans="1:29" x14ac:dyDescent="0.25">
      <c r="P23" s="603" t="s">
        <v>548</v>
      </c>
      <c r="Q23" s="616">
        <f>Q20-Q22</f>
        <v>3325237.5</v>
      </c>
      <c r="R23" s="615"/>
      <c r="U23" s="603" t="s">
        <v>549</v>
      </c>
      <c r="V23" s="616">
        <f>V20-V22</f>
        <v>46775157.000000075</v>
      </c>
      <c r="W23" s="615"/>
      <c r="X23" s="603" t="s">
        <v>550</v>
      </c>
      <c r="Y23" s="616">
        <f>Y20-Y22</f>
        <v>68944301.594899178</v>
      </c>
      <c r="Z23" s="615"/>
      <c r="AA23" s="603" t="s">
        <v>551</v>
      </c>
      <c r="AB23" s="616">
        <f>AB20-AB22</f>
        <v>798169025.67879033</v>
      </c>
      <c r="AC23" s="618">
        <f>(AB23-V23)/V23</f>
        <v>16.063951825512611</v>
      </c>
    </row>
    <row r="25" spans="1:29" x14ac:dyDescent="0.25">
      <c r="V25" s="618">
        <f>(V23-Q23)/Q23</f>
        <v>13.066711625861332</v>
      </c>
    </row>
  </sheetData>
  <mergeCells count="9">
    <mergeCell ref="A3:N3"/>
    <mergeCell ref="P1:Q1"/>
    <mergeCell ref="U1:V1"/>
    <mergeCell ref="X1:Y1"/>
    <mergeCell ref="AA1:AB1"/>
    <mergeCell ref="P2:Q2"/>
    <mergeCell ref="U2:V2"/>
    <mergeCell ref="X2:Y2"/>
    <mergeCell ref="AA2:A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ESTADOS FINANCIEROS HISTÓRICOS</vt:lpstr>
      <vt:lpstr>Indicadores Financieros</vt:lpstr>
      <vt:lpstr>MODELO</vt:lpstr>
      <vt:lpstr>ESCENARIOS</vt:lpstr>
      <vt:lpstr>Servicios Domiciliarios</vt:lpstr>
      <vt:lpstr>Salud Mental</vt:lpstr>
      <vt:lpstr>Balance</vt:lpstr>
      <vt:lpstr>cambios_patrimonio</vt:lpstr>
      <vt:lpstr>DEFINIR</vt:lpstr>
      <vt:lpstr>FCL</vt:lpstr>
      <vt:lpstr>Flujo_tesoreria</vt:lpstr>
      <vt:lpstr>LISTA</vt:lpstr>
      <vt:lpstr>MEDIR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GUTIERREZ CARMONA</dc:creator>
  <cp:lastModifiedBy>Comunicaciones</cp:lastModifiedBy>
  <cp:lastPrinted>2021-08-07T18:31:17Z</cp:lastPrinted>
  <dcterms:created xsi:type="dcterms:W3CDTF">2004-07-07T21:39:13Z</dcterms:created>
  <dcterms:modified xsi:type="dcterms:W3CDTF">2022-09-13T14:16:12Z</dcterms:modified>
</cp:coreProperties>
</file>