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gruposocofar-my.sharepoint.com/personal/lady_corredor_cruzverde_com_co/Documents/Escritorio/"/>
    </mc:Choice>
  </mc:AlternateContent>
  <xr:revisionPtr revIDLastSave="0" documentId="8_{7D99A8E5-8292-4EF9-B2FC-02BA7D901AD8}" xr6:coauthVersionLast="47" xr6:coauthVersionMax="47" xr10:uidLastSave="{00000000-0000-0000-0000-000000000000}"/>
  <bookViews>
    <workbookView xWindow="-110" yWindow="-110" windowWidth="19420" windowHeight="10420" tabRatio="750" xr2:uid="{B0622D19-5D34-4B77-B1D4-79E52B0FCE23}"/>
  </bookViews>
  <sheets>
    <sheet name="CARÁTULA" sheetId="10" r:id="rId1"/>
    <sheet name="INPUTS" sheetId="1" r:id="rId2"/>
    <sheet name="CAPEX - OPEX" sheetId="3" r:id="rId3"/>
    <sheet name="INGRESOS" sheetId="2" r:id="rId4"/>
    <sheet name="Depreciación" sheetId="4" r:id="rId5"/>
    <sheet name="Deuda" sheetId="5" r:id="rId6"/>
    <sheet name="Modelo" sheetId="6" r:id="rId7"/>
    <sheet name="Sensibilidad" sheetId="9" r:id="rId8"/>
  </sheets>
  <externalReferences>
    <externalReference r:id="rId9"/>
  </externalReferences>
  <definedNames>
    <definedName name="Escenario">INPUTS!$A$7:$A$9</definedName>
    <definedName name="FRaiz">INPUTS!$A$3:$A$4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5" l="1"/>
  <c r="D69" i="3"/>
  <c r="E304" i="6"/>
  <c r="F304" i="6"/>
  <c r="G304" i="6"/>
  <c r="H304" i="6"/>
  <c r="I304" i="6"/>
  <c r="J304" i="6"/>
  <c r="K304" i="6"/>
  <c r="L304" i="6"/>
  <c r="M304" i="6"/>
  <c r="D304" i="6"/>
  <c r="E268" i="6" l="1"/>
  <c r="F268" i="6"/>
  <c r="G268" i="6"/>
  <c r="H268" i="6"/>
  <c r="I268" i="6"/>
  <c r="J268" i="6"/>
  <c r="K268" i="6"/>
  <c r="L268" i="6"/>
  <c r="M268" i="6"/>
  <c r="D268" i="6"/>
  <c r="D155" i="6"/>
  <c r="E155" i="6"/>
  <c r="F155" i="6"/>
  <c r="G155" i="6"/>
  <c r="H155" i="6"/>
  <c r="I155" i="6"/>
  <c r="J155" i="6"/>
  <c r="K155" i="6"/>
  <c r="L155" i="6"/>
  <c r="M155" i="6"/>
  <c r="C275" i="6" l="1"/>
  <c r="C279" i="6" l="1"/>
  <c r="M150" i="6" l="1"/>
  <c r="L150" i="6"/>
  <c r="K150" i="6"/>
  <c r="J150" i="6"/>
  <c r="I150" i="6"/>
  <c r="H150" i="6"/>
  <c r="G150" i="6"/>
  <c r="F150" i="6"/>
  <c r="E150" i="6"/>
  <c r="D150" i="6"/>
  <c r="C151" i="6"/>
  <c r="J148" i="6"/>
  <c r="I148" i="6"/>
  <c r="H148" i="6"/>
  <c r="G148" i="6"/>
  <c r="F148" i="6"/>
  <c r="E148" i="6"/>
  <c r="D148" i="6"/>
  <c r="C148" i="6"/>
  <c r="C124" i="6"/>
  <c r="C125" i="6"/>
  <c r="C126" i="6"/>
  <c r="C130" i="6"/>
  <c r="C127" i="6" l="1"/>
  <c r="C128" i="6" s="1"/>
  <c r="C129" i="6" l="1"/>
  <c r="C131" i="6" s="1"/>
  <c r="C165" i="6"/>
  <c r="C3" i="5"/>
  <c r="C69" i="6" l="1"/>
  <c r="C89" i="3"/>
  <c r="D3" i="5" l="1"/>
  <c r="E3" i="5" s="1"/>
  <c r="F3" i="5" s="1"/>
  <c r="G3" i="5" s="1"/>
  <c r="H3" i="5" s="1"/>
  <c r="I3" i="5" s="1"/>
  <c r="J3" i="5" s="1"/>
  <c r="K3" i="5" s="1"/>
  <c r="L3" i="5" s="1"/>
  <c r="M3" i="5" s="1"/>
  <c r="N3" i="5" s="1"/>
  <c r="O3" i="5" s="1"/>
  <c r="P3" i="5" s="1"/>
  <c r="Q3" i="5" s="1"/>
  <c r="R3" i="5" s="1"/>
  <c r="S3" i="5" s="1"/>
  <c r="T3" i="5" s="1"/>
  <c r="U3" i="5" s="1"/>
  <c r="V3" i="5" s="1"/>
  <c r="W3" i="5" s="1"/>
  <c r="X3" i="5" s="1"/>
  <c r="Y3" i="5" s="1"/>
  <c r="Z3" i="5" s="1"/>
  <c r="AA3" i="5" s="1"/>
  <c r="AB3" i="5" s="1"/>
  <c r="AC3" i="5" s="1"/>
  <c r="AD3" i="5" s="1"/>
  <c r="AE3" i="5" s="1"/>
  <c r="AF3" i="5" s="1"/>
  <c r="AG3" i="5" s="1"/>
  <c r="AH3" i="5" s="1"/>
  <c r="AI3" i="5" s="1"/>
  <c r="AJ3" i="5" s="1"/>
  <c r="AK3" i="5" s="1"/>
  <c r="AL3" i="5" s="1"/>
  <c r="AM3" i="5" s="1"/>
  <c r="AN3" i="5" s="1"/>
  <c r="AO3" i="5" s="1"/>
  <c r="AP3" i="5" s="1"/>
  <c r="AQ3" i="5" s="1"/>
  <c r="AR3" i="5" s="1"/>
  <c r="AS3" i="5" s="1"/>
  <c r="AT3" i="5" s="1"/>
  <c r="AU3" i="5" s="1"/>
  <c r="AV3" i="5" s="1"/>
  <c r="AW3" i="5" s="1"/>
  <c r="AX3" i="5" s="1"/>
  <c r="AY3" i="5" s="1"/>
  <c r="AZ3" i="5" s="1"/>
  <c r="BA3" i="5" s="1"/>
  <c r="BB3" i="5" s="1"/>
  <c r="BC3" i="5" s="1"/>
  <c r="BD3" i="5" s="1"/>
  <c r="BE3" i="5" s="1"/>
  <c r="BF3" i="5" s="1"/>
  <c r="BG3" i="5" s="1"/>
  <c r="BH3" i="5" s="1"/>
  <c r="BI3" i="5" s="1"/>
  <c r="BJ3" i="5" s="1"/>
  <c r="BK3" i="5" s="1"/>
  <c r="BL3" i="5" s="1"/>
  <c r="BM3" i="5" s="1"/>
  <c r="BN3" i="5" s="1"/>
  <c r="BO3" i="5" s="1"/>
  <c r="BP3" i="5" s="1"/>
  <c r="BQ3" i="5" s="1"/>
  <c r="BR3" i="5" s="1"/>
  <c r="BS3" i="5" s="1"/>
  <c r="BT3" i="5" s="1"/>
  <c r="BU3" i="5" s="1"/>
  <c r="BV3" i="5" s="1"/>
  <c r="BW3" i="5" s="1"/>
  <c r="BX3" i="5" s="1"/>
  <c r="BY3" i="5" s="1"/>
  <c r="BZ3" i="5" s="1"/>
  <c r="CA3" i="5" s="1"/>
  <c r="CB3" i="5" s="1"/>
  <c r="CC3" i="5" s="1"/>
  <c r="CD3" i="5" s="1"/>
  <c r="CE3" i="5" s="1"/>
  <c r="CF3" i="5" s="1"/>
  <c r="CG3" i="5" s="1"/>
  <c r="CH3" i="5" s="1"/>
  <c r="CI3" i="5" s="1"/>
  <c r="CJ3" i="5" s="1"/>
  <c r="CK3" i="5" s="1"/>
  <c r="CL3" i="5" s="1"/>
  <c r="CM3" i="5" s="1"/>
  <c r="CN3" i="5" s="1"/>
  <c r="CO3" i="5" s="1"/>
  <c r="CP3" i="5" s="1"/>
  <c r="CQ3" i="5" s="1"/>
  <c r="CR3" i="5" s="1"/>
  <c r="CS3" i="5" s="1"/>
  <c r="CT3" i="5" s="1"/>
  <c r="CU3" i="5" s="1"/>
  <c r="CV3" i="5" s="1"/>
  <c r="CW3" i="5" s="1"/>
  <c r="CX3" i="5" s="1"/>
  <c r="CY3" i="5" s="1"/>
  <c r="CZ3" i="5" s="1"/>
  <c r="DA3" i="5" s="1"/>
  <c r="DB3" i="5" s="1"/>
  <c r="DC3" i="5" s="1"/>
  <c r="DD3" i="5" s="1"/>
  <c r="DE3" i="5" s="1"/>
  <c r="DF3" i="5" s="1"/>
  <c r="DG3" i="5" s="1"/>
  <c r="DH3" i="5" s="1"/>
  <c r="DI3" i="5" s="1"/>
  <c r="DJ3" i="5" s="1"/>
  <c r="DK3" i="5" s="1"/>
  <c r="DL3" i="5" s="1"/>
  <c r="DM3" i="5" s="1"/>
  <c r="DN3" i="5" s="1"/>
  <c r="DO3" i="5" s="1"/>
  <c r="DP3" i="5" s="1"/>
  <c r="DQ3" i="5" s="1"/>
  <c r="DR3" i="5" s="1"/>
  <c r="DS3" i="5" s="1"/>
  <c r="DT3" i="5" s="1"/>
  <c r="DU3" i="5" s="1"/>
  <c r="DV3" i="5" s="1"/>
  <c r="DW3" i="5" s="1"/>
  <c r="DX3" i="5" s="1"/>
  <c r="DY3" i="5" s="1"/>
  <c r="C73" i="4" l="1"/>
  <c r="C74" i="4"/>
  <c r="D10" i="5"/>
  <c r="B10" i="5"/>
  <c r="DX13" i="5" l="1"/>
  <c r="DR13" i="5"/>
  <c r="DL13" i="5"/>
  <c r="DF13" i="5"/>
  <c r="CZ13" i="5"/>
  <c r="CT13" i="5"/>
  <c r="CN13" i="5"/>
  <c r="CH13" i="5"/>
  <c r="CB13" i="5"/>
  <c r="BV13" i="5"/>
  <c r="BP13" i="5"/>
  <c r="DW13" i="5"/>
  <c r="DQ13" i="5"/>
  <c r="DK13" i="5"/>
  <c r="DE13" i="5"/>
  <c r="CY13" i="5"/>
  <c r="CS13" i="5"/>
  <c r="CM13" i="5"/>
  <c r="CG13" i="5"/>
  <c r="CA13" i="5"/>
  <c r="BU13" i="5"/>
  <c r="BO13" i="5"/>
  <c r="CV13" i="5"/>
  <c r="CJ13" i="5"/>
  <c r="BX13" i="5"/>
  <c r="BL13" i="5"/>
  <c r="DY13" i="5"/>
  <c r="DS13" i="5"/>
  <c r="DG13" i="5"/>
  <c r="DA13" i="5"/>
  <c r="CO13" i="5"/>
  <c r="CC13" i="5"/>
  <c r="BQ13" i="5"/>
  <c r="DV13" i="5"/>
  <c r="DP13" i="5"/>
  <c r="DJ13" i="5"/>
  <c r="DD13" i="5"/>
  <c r="CX13" i="5"/>
  <c r="CR13" i="5"/>
  <c r="CL13" i="5"/>
  <c r="CF13" i="5"/>
  <c r="BZ13" i="5"/>
  <c r="BT13" i="5"/>
  <c r="BN13" i="5"/>
  <c r="DU13" i="5"/>
  <c r="DO13" i="5"/>
  <c r="DI13" i="5"/>
  <c r="DC13" i="5"/>
  <c r="CW13" i="5"/>
  <c r="CQ13" i="5"/>
  <c r="CK13" i="5"/>
  <c r="CE13" i="5"/>
  <c r="BY13" i="5"/>
  <c r="BS13" i="5"/>
  <c r="BM13" i="5"/>
  <c r="DT13" i="5"/>
  <c r="DN13" i="5"/>
  <c r="DH13" i="5"/>
  <c r="DB13" i="5"/>
  <c r="CP13" i="5"/>
  <c r="CD13" i="5"/>
  <c r="BR13" i="5"/>
  <c r="DM13" i="5"/>
  <c r="CU13" i="5"/>
  <c r="CI13" i="5"/>
  <c r="BW13" i="5"/>
  <c r="M71" i="6"/>
  <c r="B89" i="3"/>
  <c r="C183" i="6" l="1"/>
  <c r="D48" i="1"/>
  <c r="D183" i="6" s="1"/>
  <c r="E48" i="1" l="1"/>
  <c r="F48" i="1" s="1"/>
  <c r="F183" i="6" s="1"/>
  <c r="A114" i="3"/>
  <c r="E75" i="3"/>
  <c r="J75" i="3" s="1"/>
  <c r="M141" i="6"/>
  <c r="M75" i="3" l="1"/>
  <c r="L75" i="3"/>
  <c r="G75" i="3"/>
  <c r="K75" i="3"/>
  <c r="Q75" i="3"/>
  <c r="I75" i="3"/>
  <c r="O75" i="3"/>
  <c r="N75" i="3"/>
  <c r="E183" i="6"/>
  <c r="G48" i="1"/>
  <c r="H48" i="1" s="1"/>
  <c r="H75" i="3"/>
  <c r="P75" i="3"/>
  <c r="M112" i="6"/>
  <c r="E90" i="6"/>
  <c r="F90" i="6"/>
  <c r="G90" i="6"/>
  <c r="H90" i="6"/>
  <c r="I90" i="6"/>
  <c r="J90" i="6"/>
  <c r="K90" i="6"/>
  <c r="L90" i="6"/>
  <c r="M90" i="6"/>
  <c r="D90" i="6"/>
  <c r="A106" i="3"/>
  <c r="C3" i="6"/>
  <c r="G183" i="6" l="1"/>
  <c r="I48" i="1"/>
  <c r="H183" i="6"/>
  <c r="J48" i="1" l="1"/>
  <c r="I183" i="6"/>
  <c r="G24" i="1"/>
  <c r="D18" i="5"/>
  <c r="DS7" i="5"/>
  <c r="DR7" i="5"/>
  <c r="DQ7" i="5"/>
  <c r="DP7" i="5"/>
  <c r="DO7" i="5"/>
  <c r="DN7" i="5"/>
  <c r="DM7" i="5"/>
  <c r="DL7" i="5"/>
  <c r="DK7" i="5"/>
  <c r="DJ7" i="5"/>
  <c r="DI7" i="5"/>
  <c r="DH7" i="5"/>
  <c r="DG7" i="5"/>
  <c r="DF7" i="5"/>
  <c r="DE7" i="5"/>
  <c r="DD7" i="5"/>
  <c r="DC7" i="5"/>
  <c r="DB7" i="5"/>
  <c r="DA7" i="5"/>
  <c r="CZ7" i="5"/>
  <c r="CY7" i="5"/>
  <c r="CX7" i="5"/>
  <c r="CW7" i="5"/>
  <c r="CV7" i="5"/>
  <c r="CU7" i="5"/>
  <c r="CT7" i="5"/>
  <c r="CS7" i="5"/>
  <c r="CR7" i="5"/>
  <c r="CQ7" i="5"/>
  <c r="CP7" i="5"/>
  <c r="CO7" i="5"/>
  <c r="CN7" i="5"/>
  <c r="CM7" i="5"/>
  <c r="CL7" i="5"/>
  <c r="CK7" i="5"/>
  <c r="CJ7" i="5"/>
  <c r="CI7" i="5"/>
  <c r="CH7" i="5"/>
  <c r="CG7" i="5"/>
  <c r="CF7" i="5"/>
  <c r="CE7" i="5"/>
  <c r="CD7" i="5"/>
  <c r="CC7" i="5"/>
  <c r="CB7" i="5"/>
  <c r="CA7" i="5"/>
  <c r="BZ7" i="5"/>
  <c r="BY7" i="5"/>
  <c r="BX7" i="5"/>
  <c r="BW7" i="5"/>
  <c r="BV7" i="5"/>
  <c r="BU7" i="5"/>
  <c r="BT7" i="5"/>
  <c r="BS7" i="5"/>
  <c r="BR7" i="5"/>
  <c r="BQ7" i="5"/>
  <c r="BP7" i="5"/>
  <c r="BO7" i="5"/>
  <c r="BN7" i="5"/>
  <c r="BM7" i="5"/>
  <c r="BL7" i="5"/>
  <c r="BK7" i="5"/>
  <c r="BJ7" i="5"/>
  <c r="BI7" i="5"/>
  <c r="BH7" i="5"/>
  <c r="BG7" i="5"/>
  <c r="BF7" i="5"/>
  <c r="BE7" i="5"/>
  <c r="BD7" i="5"/>
  <c r="BC7" i="5"/>
  <c r="BB7" i="5"/>
  <c r="BA7" i="5"/>
  <c r="AZ7" i="5"/>
  <c r="AY7" i="5"/>
  <c r="AX7" i="5"/>
  <c r="AW7" i="5"/>
  <c r="AV7" i="5"/>
  <c r="AU7" i="5"/>
  <c r="AT7" i="5"/>
  <c r="AS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2" i="5"/>
  <c r="DY1" i="5"/>
  <c r="DX1" i="5"/>
  <c r="DW1" i="5"/>
  <c r="DV1" i="5"/>
  <c r="DU1" i="5"/>
  <c r="DT1" i="5"/>
  <c r="DS1" i="5"/>
  <c r="DR1" i="5"/>
  <c r="DQ1" i="5"/>
  <c r="DP1" i="5"/>
  <c r="DO1" i="5"/>
  <c r="DN1" i="5"/>
  <c r="DM1" i="5"/>
  <c r="DL1" i="5"/>
  <c r="DK1" i="5"/>
  <c r="DJ1" i="5"/>
  <c r="DI1" i="5"/>
  <c r="DH1" i="5"/>
  <c r="DG1" i="5"/>
  <c r="DF1" i="5"/>
  <c r="DE1" i="5"/>
  <c r="DD1" i="5"/>
  <c r="DC1" i="5"/>
  <c r="DB1" i="5"/>
  <c r="DA1" i="5"/>
  <c r="CZ1" i="5"/>
  <c r="CY1" i="5"/>
  <c r="CX1" i="5"/>
  <c r="CW1" i="5"/>
  <c r="CV1" i="5"/>
  <c r="CU1" i="5"/>
  <c r="CT1" i="5"/>
  <c r="CS1" i="5"/>
  <c r="CR1" i="5"/>
  <c r="CQ1" i="5"/>
  <c r="CP1" i="5"/>
  <c r="CO1" i="5"/>
  <c r="CN1" i="5"/>
  <c r="CM1" i="5"/>
  <c r="CL1" i="5"/>
  <c r="CK1" i="5"/>
  <c r="CJ1" i="5"/>
  <c r="CI1" i="5"/>
  <c r="CH1" i="5"/>
  <c r="CG1" i="5"/>
  <c r="CF1" i="5"/>
  <c r="CE1" i="5"/>
  <c r="CD1" i="5"/>
  <c r="CC1" i="5"/>
  <c r="CB1" i="5"/>
  <c r="CA1" i="5"/>
  <c r="BZ1" i="5"/>
  <c r="BY1" i="5"/>
  <c r="BX1" i="5"/>
  <c r="BW1" i="5"/>
  <c r="BV1" i="5"/>
  <c r="BU1" i="5"/>
  <c r="BT1" i="5"/>
  <c r="BS1" i="5"/>
  <c r="BR1" i="5"/>
  <c r="BQ1" i="5"/>
  <c r="BP1" i="5"/>
  <c r="BO1" i="5"/>
  <c r="BN1" i="5"/>
  <c r="BM1" i="5"/>
  <c r="BL1" i="5"/>
  <c r="BK1" i="5"/>
  <c r="BJ1" i="5"/>
  <c r="BI1" i="5"/>
  <c r="BH1" i="5"/>
  <c r="BG1" i="5"/>
  <c r="BF1" i="5"/>
  <c r="BE1" i="5"/>
  <c r="BD1" i="5"/>
  <c r="BC1" i="5"/>
  <c r="BB1" i="5"/>
  <c r="BA1" i="5"/>
  <c r="AZ1" i="5"/>
  <c r="AY1" i="5"/>
  <c r="AX1" i="5"/>
  <c r="AW1" i="5"/>
  <c r="AV1" i="5"/>
  <c r="AU1" i="5"/>
  <c r="AT1" i="5"/>
  <c r="AS1" i="5"/>
  <c r="AR1" i="5"/>
  <c r="AQ1" i="5"/>
  <c r="AP1" i="5"/>
  <c r="AO1" i="5"/>
  <c r="AN1" i="5"/>
  <c r="AM1" i="5"/>
  <c r="AL1" i="5"/>
  <c r="AK1" i="5"/>
  <c r="AJ1" i="5"/>
  <c r="AI1" i="5"/>
  <c r="AH1" i="5"/>
  <c r="AG1" i="5"/>
  <c r="AF1" i="5"/>
  <c r="AE1" i="5"/>
  <c r="AD1" i="5"/>
  <c r="AC1" i="5"/>
  <c r="AB1" i="5"/>
  <c r="AA1" i="5"/>
  <c r="Z1" i="5"/>
  <c r="Y1" i="5"/>
  <c r="X1" i="5"/>
  <c r="W1" i="5"/>
  <c r="V1" i="5"/>
  <c r="U1" i="5"/>
  <c r="T1" i="5"/>
  <c r="S1" i="5"/>
  <c r="R1" i="5"/>
  <c r="Q1" i="5"/>
  <c r="P1" i="5"/>
  <c r="O1" i="5"/>
  <c r="N1" i="5"/>
  <c r="M1" i="5"/>
  <c r="L1" i="5"/>
  <c r="K1" i="5"/>
  <c r="J1" i="5"/>
  <c r="I1" i="5"/>
  <c r="H1" i="5"/>
  <c r="G1" i="5"/>
  <c r="F1" i="5"/>
  <c r="E1" i="5"/>
  <c r="D1" i="5"/>
  <c r="C1" i="5"/>
  <c r="E2" i="5" l="1"/>
  <c r="K48" i="1"/>
  <c r="J183" i="6"/>
  <c r="E10" i="5"/>
  <c r="E18" i="5"/>
  <c r="F2" i="5" l="1"/>
  <c r="L48" i="1"/>
  <c r="K183" i="6"/>
  <c r="F18" i="5"/>
  <c r="G2" i="5" l="1"/>
  <c r="M48" i="1"/>
  <c r="M183" i="6" s="1"/>
  <c r="L183" i="6"/>
  <c r="G18" i="5"/>
  <c r="H2" i="5" l="1"/>
  <c r="H18" i="5"/>
  <c r="I2" i="5" l="1"/>
  <c r="I18" i="5"/>
  <c r="J2" i="5" l="1"/>
  <c r="J18" i="5"/>
  <c r="K2" i="5" l="1"/>
  <c r="K18" i="5"/>
  <c r="L2" i="5" l="1"/>
  <c r="L18" i="5"/>
  <c r="M2" i="5" l="1"/>
  <c r="M18" i="5"/>
  <c r="N2" i="5" l="1"/>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2" i="4"/>
  <c r="A31" i="4"/>
  <c r="A30" i="4"/>
  <c r="A29" i="4"/>
  <c r="A28" i="4"/>
  <c r="A27" i="4"/>
  <c r="A26" i="4"/>
  <c r="A25" i="4"/>
  <c r="A24" i="4"/>
  <c r="A23" i="4"/>
  <c r="A22" i="4"/>
  <c r="A21" i="4"/>
  <c r="A20" i="4"/>
  <c r="A19" i="4"/>
  <c r="A18" i="4"/>
  <c r="A17" i="4"/>
  <c r="A16" i="4"/>
  <c r="A15" i="4"/>
  <c r="A14" i="4"/>
  <c r="A13" i="4"/>
  <c r="A12" i="4"/>
  <c r="A11" i="4"/>
  <c r="A9" i="4"/>
  <c r="A8" i="4"/>
  <c r="A7" i="4"/>
  <c r="A6" i="4"/>
  <c r="A5" i="4"/>
  <c r="A4" i="4"/>
  <c r="D2" i="4"/>
  <c r="C113" i="3"/>
  <c r="C112" i="3"/>
  <c r="D83" i="3"/>
  <c r="E83" i="3"/>
  <c r="F83" i="3"/>
  <c r="G83" i="3"/>
  <c r="H83" i="3"/>
  <c r="I83" i="3"/>
  <c r="J83" i="3"/>
  <c r="K83" i="3"/>
  <c r="L83" i="3"/>
  <c r="M83" i="3"/>
  <c r="C83" i="3"/>
  <c r="D84" i="3" s="1"/>
  <c r="C82" i="3"/>
  <c r="D82" i="3" s="1"/>
  <c r="E82" i="3" s="1"/>
  <c r="F82" i="3" s="1"/>
  <c r="G82" i="3" s="1"/>
  <c r="H82" i="3" s="1"/>
  <c r="I82" i="3" s="1"/>
  <c r="J82" i="3" s="1"/>
  <c r="K82" i="3" s="1"/>
  <c r="L82" i="3" s="1"/>
  <c r="M82" i="3" s="1"/>
  <c r="DT19" i="2"/>
  <c r="DU19" i="2"/>
  <c r="DV19" i="2"/>
  <c r="DW19" i="2"/>
  <c r="DX19" i="2"/>
  <c r="DY19" i="2"/>
  <c r="D40" i="2"/>
  <c r="E40" i="2" s="1"/>
  <c r="F40" i="2" s="1"/>
  <c r="G40" i="2" s="1"/>
  <c r="H40" i="2" s="1"/>
  <c r="I40" i="2" s="1"/>
  <c r="J40" i="2" s="1"/>
  <c r="K40" i="2" s="1"/>
  <c r="L40" i="2" s="1"/>
  <c r="M40" i="2" s="1"/>
  <c r="D31" i="2"/>
  <c r="E31" i="2"/>
  <c r="F31" i="2"/>
  <c r="G31" i="2"/>
  <c r="H31" i="2"/>
  <c r="I31" i="2"/>
  <c r="J31" i="2"/>
  <c r="K31" i="2"/>
  <c r="L31" i="2"/>
  <c r="M31" i="2"/>
  <c r="C31" i="2"/>
  <c r="D32" i="2" s="1"/>
  <c r="O2" i="5" l="1"/>
  <c r="E84" i="3"/>
  <c r="F84" i="3" s="1"/>
  <c r="G84" i="3" s="1"/>
  <c r="H84" i="3" s="1"/>
  <c r="I84" i="3" s="1"/>
  <c r="E32" i="2"/>
  <c r="F32" i="2" s="1"/>
  <c r="G32" i="2" s="1"/>
  <c r="H32" i="2" s="1"/>
  <c r="I32" i="2" s="1"/>
  <c r="J32" i="2" s="1"/>
  <c r="K32" i="2" s="1"/>
  <c r="L32" i="2" s="1"/>
  <c r="M32" i="2" s="1"/>
  <c r="E2" i="4"/>
  <c r="C104" i="3"/>
  <c r="D104" i="3" s="1"/>
  <c r="E104" i="3" s="1"/>
  <c r="F104" i="3" s="1"/>
  <c r="G104" i="3" s="1"/>
  <c r="H104" i="3" s="1"/>
  <c r="I104" i="3" s="1"/>
  <c r="J104" i="3" s="1"/>
  <c r="K104" i="3" s="1"/>
  <c r="L104" i="3" s="1"/>
  <c r="M104" i="3" s="1"/>
  <c r="D108" i="3"/>
  <c r="D107" i="3"/>
  <c r="D106" i="3"/>
  <c r="C6" i="3"/>
  <c r="D6" i="2"/>
  <c r="D5" i="2"/>
  <c r="B2" i="2"/>
  <c r="A98" i="3"/>
  <c r="A115" i="3" s="1"/>
  <c r="A96" i="3"/>
  <c r="A113" i="3" s="1"/>
  <c r="A95" i="3"/>
  <c r="A112" i="3" s="1"/>
  <c r="A91" i="3"/>
  <c r="A108" i="3" s="1"/>
  <c r="A90" i="3"/>
  <c r="A107" i="3" s="1"/>
  <c r="D87" i="3"/>
  <c r="E87" i="3" s="1"/>
  <c r="F87" i="3" s="1"/>
  <c r="G87" i="3" s="1"/>
  <c r="H87" i="3" s="1"/>
  <c r="I87" i="3" s="1"/>
  <c r="J87" i="3" s="1"/>
  <c r="K87" i="3" s="1"/>
  <c r="L87" i="3" s="1"/>
  <c r="M87" i="3" s="1"/>
  <c r="E76" i="3"/>
  <c r="E74" i="3"/>
  <c r="E73" i="3"/>
  <c r="E72" i="3"/>
  <c r="E71" i="3"/>
  <c r="D70" i="3"/>
  <c r="E70" i="3" s="1"/>
  <c r="E69" i="3"/>
  <c r="E68" i="3"/>
  <c r="H67" i="3"/>
  <c r="I67" i="3" s="1"/>
  <c r="J67" i="3" s="1"/>
  <c r="K67" i="3" s="1"/>
  <c r="L67" i="3" s="1"/>
  <c r="M67" i="3" s="1"/>
  <c r="N67" i="3" s="1"/>
  <c r="O67" i="3" s="1"/>
  <c r="P67" i="3" s="1"/>
  <c r="Q67" i="3" s="1"/>
  <c r="H60" i="3"/>
  <c r="E60" i="3"/>
  <c r="H59" i="3"/>
  <c r="E59" i="3"/>
  <c r="H58" i="3"/>
  <c r="E58" i="3"/>
  <c r="H56" i="3"/>
  <c r="E56" i="3"/>
  <c r="H55" i="3"/>
  <c r="E55" i="3"/>
  <c r="H54" i="3"/>
  <c r="E54" i="3"/>
  <c r="H53" i="3"/>
  <c r="E53" i="3"/>
  <c r="H52" i="3"/>
  <c r="H51" i="3"/>
  <c r="E51" i="3"/>
  <c r="H50" i="3"/>
  <c r="H49" i="3"/>
  <c r="H48" i="3"/>
  <c r="E48" i="3"/>
  <c r="H46" i="3"/>
  <c r="E46" i="3"/>
  <c r="H44" i="3"/>
  <c r="E44" i="3"/>
  <c r="H42" i="3"/>
  <c r="E42" i="3"/>
  <c r="H41" i="3"/>
  <c r="E41" i="3"/>
  <c r="H40" i="3"/>
  <c r="E40" i="3"/>
  <c r="H39" i="3"/>
  <c r="E39" i="3"/>
  <c r="H38" i="3"/>
  <c r="E38" i="3"/>
  <c r="H37" i="3"/>
  <c r="E37" i="3"/>
  <c r="I35" i="3"/>
  <c r="J35" i="3" s="1"/>
  <c r="K35" i="3" s="1"/>
  <c r="L35" i="3" s="1"/>
  <c r="M35" i="3" s="1"/>
  <c r="N35" i="3" s="1"/>
  <c r="O35" i="3" s="1"/>
  <c r="P35" i="3" s="1"/>
  <c r="Q35" i="3" s="1"/>
  <c r="H31" i="3"/>
  <c r="E31" i="3"/>
  <c r="H30" i="3"/>
  <c r="E30" i="3"/>
  <c r="H29" i="3"/>
  <c r="E29" i="3"/>
  <c r="H28" i="3"/>
  <c r="E28" i="3"/>
  <c r="H26" i="3"/>
  <c r="E26" i="3"/>
  <c r="H25" i="3"/>
  <c r="E25" i="3"/>
  <c r="H23" i="3"/>
  <c r="E23" i="3"/>
  <c r="H22" i="3"/>
  <c r="E22" i="3"/>
  <c r="H21" i="3"/>
  <c r="E21" i="3"/>
  <c r="H20" i="3"/>
  <c r="E20" i="3"/>
  <c r="H19" i="3"/>
  <c r="E19" i="3"/>
  <c r="H18" i="3"/>
  <c r="E18" i="3"/>
  <c r="H17" i="3"/>
  <c r="E17" i="3"/>
  <c r="H16" i="3"/>
  <c r="E16" i="3"/>
  <c r="H15" i="3"/>
  <c r="E15" i="3"/>
  <c r="I13" i="3"/>
  <c r="I26" i="3" s="1"/>
  <c r="Q9" i="3"/>
  <c r="M95" i="3" s="1"/>
  <c r="O9" i="3"/>
  <c r="K95" i="3" s="1"/>
  <c r="M9" i="3"/>
  <c r="I95" i="3" s="1"/>
  <c r="K9" i="3"/>
  <c r="G95" i="3" s="1"/>
  <c r="I9" i="3"/>
  <c r="E95" i="3" s="1"/>
  <c r="H9" i="3"/>
  <c r="D95" i="3" s="1"/>
  <c r="E7" i="3"/>
  <c r="I5" i="3"/>
  <c r="J5" i="3" s="1"/>
  <c r="K5" i="3" s="1"/>
  <c r="L5" i="3" s="1"/>
  <c r="M5" i="3" s="1"/>
  <c r="N5" i="3" s="1"/>
  <c r="O5" i="3" s="1"/>
  <c r="P5" i="3" s="1"/>
  <c r="Q5" i="3" s="1"/>
  <c r="P2" i="5" l="1"/>
  <c r="D112" i="3"/>
  <c r="K42" i="4"/>
  <c r="E42" i="4"/>
  <c r="J42" i="4"/>
  <c r="I42" i="4"/>
  <c r="M42" i="4"/>
  <c r="L42" i="4"/>
  <c r="H42" i="4"/>
  <c r="G42" i="4"/>
  <c r="F42" i="4"/>
  <c r="D42" i="4"/>
  <c r="K48" i="4"/>
  <c r="E48" i="4"/>
  <c r="I48" i="4"/>
  <c r="H48" i="4"/>
  <c r="D48" i="4"/>
  <c r="J48" i="4"/>
  <c r="M48" i="4"/>
  <c r="L48" i="4"/>
  <c r="G48" i="4"/>
  <c r="F48" i="4"/>
  <c r="M40" i="4"/>
  <c r="G40" i="4"/>
  <c r="I40" i="4"/>
  <c r="H40" i="4"/>
  <c r="K40" i="4"/>
  <c r="J40" i="4"/>
  <c r="F40" i="4"/>
  <c r="E40" i="4"/>
  <c r="L40" i="4"/>
  <c r="D40" i="4"/>
  <c r="J16" i="4"/>
  <c r="H16" i="4"/>
  <c r="I16" i="4"/>
  <c r="K16" i="4"/>
  <c r="L16" i="4"/>
  <c r="E16" i="4"/>
  <c r="M16" i="4"/>
  <c r="F16" i="4"/>
  <c r="G16" i="4"/>
  <c r="D16" i="4"/>
  <c r="J22" i="4"/>
  <c r="D22" i="4"/>
  <c r="E22" i="4"/>
  <c r="L22" i="4"/>
  <c r="G22" i="4"/>
  <c r="H22" i="4"/>
  <c r="I22" i="4"/>
  <c r="K22" i="4"/>
  <c r="M22" i="4"/>
  <c r="F22" i="4"/>
  <c r="J26" i="4"/>
  <c r="K26" i="4"/>
  <c r="D26" i="4"/>
  <c r="H26" i="4"/>
  <c r="E26" i="4"/>
  <c r="I26" i="4"/>
  <c r="L26" i="4"/>
  <c r="M26" i="4"/>
  <c r="F26" i="4"/>
  <c r="G26" i="4"/>
  <c r="G30" i="4"/>
  <c r="M30" i="4"/>
  <c r="E30" i="4"/>
  <c r="L30" i="4"/>
  <c r="H30" i="4"/>
  <c r="D30" i="4"/>
  <c r="J30" i="4"/>
  <c r="K30" i="4"/>
  <c r="I30" i="4"/>
  <c r="F30" i="4"/>
  <c r="K54" i="4"/>
  <c r="E54" i="4"/>
  <c r="J54" i="4"/>
  <c r="D54" i="4"/>
  <c r="L54" i="4"/>
  <c r="I54" i="4"/>
  <c r="G54" i="4"/>
  <c r="M54" i="4"/>
  <c r="H54" i="4"/>
  <c r="F54" i="4"/>
  <c r="K58" i="4"/>
  <c r="E58" i="4"/>
  <c r="J58" i="4"/>
  <c r="D58" i="4"/>
  <c r="H58" i="4"/>
  <c r="G58" i="4"/>
  <c r="L58" i="4"/>
  <c r="F58" i="4"/>
  <c r="I58" i="4"/>
  <c r="M58" i="4"/>
  <c r="I38" i="4"/>
  <c r="G38" i="4"/>
  <c r="M38" i="4"/>
  <c r="F38" i="4"/>
  <c r="J38" i="4"/>
  <c r="H38" i="4"/>
  <c r="E38" i="4"/>
  <c r="D38" i="4"/>
  <c r="L38" i="4"/>
  <c r="K38" i="4"/>
  <c r="I41" i="4"/>
  <c r="M41" i="4"/>
  <c r="F41" i="4"/>
  <c r="L41" i="4"/>
  <c r="E41" i="4"/>
  <c r="K41" i="4"/>
  <c r="G41" i="4"/>
  <c r="J41" i="4"/>
  <c r="H41" i="4"/>
  <c r="D41" i="4"/>
  <c r="I46" i="4"/>
  <c r="L46" i="4"/>
  <c r="E46" i="4"/>
  <c r="K46" i="4"/>
  <c r="D46" i="4"/>
  <c r="M46" i="4"/>
  <c r="J46" i="4"/>
  <c r="H46" i="4"/>
  <c r="G46" i="4"/>
  <c r="F46" i="4"/>
  <c r="K51" i="4"/>
  <c r="E51" i="4"/>
  <c r="H51" i="4"/>
  <c r="G51" i="4"/>
  <c r="F51" i="4"/>
  <c r="L51" i="4"/>
  <c r="D51" i="4"/>
  <c r="M51" i="4"/>
  <c r="J51" i="4"/>
  <c r="I51" i="4"/>
  <c r="K39" i="4"/>
  <c r="E39" i="4"/>
  <c r="L39" i="4"/>
  <c r="D39" i="4"/>
  <c r="J39" i="4"/>
  <c r="I39" i="4"/>
  <c r="F39" i="4"/>
  <c r="H39" i="4"/>
  <c r="G39" i="4"/>
  <c r="M39" i="4"/>
  <c r="G15" i="4"/>
  <c r="M15" i="4"/>
  <c r="J15" i="4"/>
  <c r="I15" i="4"/>
  <c r="E15" i="4"/>
  <c r="K15" i="4"/>
  <c r="L15" i="4"/>
  <c r="D15" i="4"/>
  <c r="F15" i="4"/>
  <c r="H15" i="4"/>
  <c r="J18" i="4"/>
  <c r="E18" i="4"/>
  <c r="L18" i="4"/>
  <c r="H18" i="4"/>
  <c r="D18" i="4"/>
  <c r="I18" i="4"/>
  <c r="K18" i="4"/>
  <c r="M18" i="4"/>
  <c r="F18" i="4"/>
  <c r="G18" i="4"/>
  <c r="G21" i="4"/>
  <c r="M21" i="4"/>
  <c r="F21" i="4"/>
  <c r="H21" i="4"/>
  <c r="J21" i="4"/>
  <c r="D21" i="4"/>
  <c r="I21" i="4"/>
  <c r="E21" i="4"/>
  <c r="K21" i="4"/>
  <c r="L21" i="4"/>
  <c r="G25" i="4"/>
  <c r="M25" i="4"/>
  <c r="E25" i="4"/>
  <c r="L25" i="4"/>
  <c r="I25" i="4"/>
  <c r="J25" i="4"/>
  <c r="K25" i="4"/>
  <c r="D25" i="4"/>
  <c r="F25" i="4"/>
  <c r="H25" i="4"/>
  <c r="J29" i="4"/>
  <c r="D29" i="4"/>
  <c r="G29" i="4"/>
  <c r="H29" i="4"/>
  <c r="I29" i="4"/>
  <c r="K29" i="4"/>
  <c r="L29" i="4"/>
  <c r="E29" i="4"/>
  <c r="F29" i="4"/>
  <c r="M29" i="4"/>
  <c r="I53" i="4"/>
  <c r="H53" i="4"/>
  <c r="L53" i="4"/>
  <c r="D53" i="4"/>
  <c r="K53" i="4"/>
  <c r="J53" i="4"/>
  <c r="E53" i="4"/>
  <c r="G53" i="4"/>
  <c r="F53" i="4"/>
  <c r="M53" i="4"/>
  <c r="I56" i="4"/>
  <c r="H56" i="4"/>
  <c r="J56" i="4"/>
  <c r="G56" i="4"/>
  <c r="F56" i="4"/>
  <c r="E56" i="4"/>
  <c r="D56" i="4"/>
  <c r="M56" i="4"/>
  <c r="L56" i="4"/>
  <c r="K56" i="4"/>
  <c r="M60" i="4"/>
  <c r="L60" i="4"/>
  <c r="K60" i="4"/>
  <c r="J60" i="4"/>
  <c r="I60" i="4"/>
  <c r="H60" i="4"/>
  <c r="F60" i="4"/>
  <c r="E60" i="4"/>
  <c r="D60" i="4"/>
  <c r="G60" i="4"/>
  <c r="M37" i="4"/>
  <c r="G37" i="4"/>
  <c r="J37" i="4"/>
  <c r="I37" i="4"/>
  <c r="H37" i="4"/>
  <c r="F37" i="4"/>
  <c r="E37" i="4"/>
  <c r="D37" i="4"/>
  <c r="L37" i="4"/>
  <c r="K37" i="4"/>
  <c r="M44" i="4"/>
  <c r="G44" i="4"/>
  <c r="H44" i="4"/>
  <c r="F44" i="4"/>
  <c r="L44" i="4"/>
  <c r="I44" i="4"/>
  <c r="K44" i="4"/>
  <c r="J44" i="4"/>
  <c r="E44" i="4"/>
  <c r="D44" i="4"/>
  <c r="G19" i="4"/>
  <c r="M19" i="4"/>
  <c r="J19" i="4"/>
  <c r="H19" i="4"/>
  <c r="K19" i="4"/>
  <c r="I19" i="4"/>
  <c r="D19" i="4"/>
  <c r="E19" i="4"/>
  <c r="F19" i="4"/>
  <c r="L19" i="4"/>
  <c r="G17" i="4"/>
  <c r="M17" i="4"/>
  <c r="F17" i="4"/>
  <c r="I17" i="4"/>
  <c r="K17" i="4"/>
  <c r="L17" i="4"/>
  <c r="J17" i="4"/>
  <c r="E17" i="4"/>
  <c r="H17" i="4"/>
  <c r="D17" i="4"/>
  <c r="J20" i="4"/>
  <c r="H20" i="4"/>
  <c r="D20" i="4"/>
  <c r="G20" i="4"/>
  <c r="I20" i="4"/>
  <c r="K20" i="4"/>
  <c r="L20" i="4"/>
  <c r="M20" i="4"/>
  <c r="E20" i="4"/>
  <c r="F20" i="4"/>
  <c r="G23" i="4"/>
  <c r="M23" i="4"/>
  <c r="J23" i="4"/>
  <c r="F23" i="4"/>
  <c r="H23" i="4"/>
  <c r="I23" i="4"/>
  <c r="D23" i="4"/>
  <c r="E23" i="4"/>
  <c r="K23" i="4"/>
  <c r="L23" i="4"/>
  <c r="G28" i="4"/>
  <c r="M28" i="4"/>
  <c r="I28" i="4"/>
  <c r="H28" i="4"/>
  <c r="L28" i="4"/>
  <c r="J28" i="4"/>
  <c r="D28" i="4"/>
  <c r="K28" i="4"/>
  <c r="E28" i="4"/>
  <c r="F28" i="4"/>
  <c r="J31" i="4"/>
  <c r="K31" i="4"/>
  <c r="G31" i="4"/>
  <c r="H31" i="4"/>
  <c r="I31" i="4"/>
  <c r="L31" i="4"/>
  <c r="E31" i="4"/>
  <c r="F31" i="4"/>
  <c r="M31" i="4"/>
  <c r="D31" i="4"/>
  <c r="M55" i="4"/>
  <c r="G55" i="4"/>
  <c r="L55" i="4"/>
  <c r="F55" i="4"/>
  <c r="J55" i="4"/>
  <c r="I55" i="4"/>
  <c r="D55" i="4"/>
  <c r="K55" i="4"/>
  <c r="H55" i="4"/>
  <c r="E55" i="4"/>
  <c r="M59" i="4"/>
  <c r="G59" i="4"/>
  <c r="L59" i="4"/>
  <c r="F59" i="4"/>
  <c r="H59" i="4"/>
  <c r="E59" i="4"/>
  <c r="I59" i="4"/>
  <c r="K59" i="4"/>
  <c r="J59" i="4"/>
  <c r="D59" i="4"/>
  <c r="E106" i="3"/>
  <c r="J69" i="3"/>
  <c r="P69" i="3"/>
  <c r="H69" i="3"/>
  <c r="M69" i="3"/>
  <c r="N69" i="3"/>
  <c r="I69" i="3"/>
  <c r="K69" i="3"/>
  <c r="Q69" i="3"/>
  <c r="L69" i="3"/>
  <c r="G69" i="3"/>
  <c r="O69" i="3"/>
  <c r="M76" i="3"/>
  <c r="N76" i="3"/>
  <c r="H76" i="3"/>
  <c r="I76" i="3"/>
  <c r="O76" i="3"/>
  <c r="G76" i="3"/>
  <c r="P76" i="3"/>
  <c r="K76" i="3"/>
  <c r="Q76" i="3"/>
  <c r="J76" i="3"/>
  <c r="L76" i="3"/>
  <c r="J73" i="3"/>
  <c r="P73" i="3"/>
  <c r="K73" i="3"/>
  <c r="G97" i="3" s="1"/>
  <c r="Q73" i="3"/>
  <c r="M73" i="3"/>
  <c r="N73" i="3"/>
  <c r="G73" i="3"/>
  <c r="O73" i="3"/>
  <c r="L73" i="3"/>
  <c r="H73" i="3"/>
  <c r="I73" i="3"/>
  <c r="M70" i="3"/>
  <c r="H70" i="3"/>
  <c r="G70" i="3"/>
  <c r="J70" i="3"/>
  <c r="P70" i="3"/>
  <c r="L70" i="3"/>
  <c r="N70" i="3"/>
  <c r="I70" i="3"/>
  <c r="O70" i="3"/>
  <c r="K70" i="3"/>
  <c r="Q70" i="3"/>
  <c r="J71" i="3"/>
  <c r="P71" i="3"/>
  <c r="Q71" i="3"/>
  <c r="G71" i="3"/>
  <c r="H71" i="3"/>
  <c r="M71" i="3"/>
  <c r="N71" i="3"/>
  <c r="K71" i="3"/>
  <c r="I71" i="3"/>
  <c r="L71" i="3"/>
  <c r="O71" i="3"/>
  <c r="M72" i="3"/>
  <c r="G72" i="3"/>
  <c r="N72" i="3"/>
  <c r="J72" i="3"/>
  <c r="L72" i="3"/>
  <c r="I72" i="3"/>
  <c r="O72" i="3"/>
  <c r="P72" i="3"/>
  <c r="H72" i="3"/>
  <c r="K72" i="3"/>
  <c r="Q72" i="3"/>
  <c r="M68" i="3"/>
  <c r="J68" i="3"/>
  <c r="P68" i="3"/>
  <c r="K68" i="3"/>
  <c r="H68" i="3"/>
  <c r="N68" i="3"/>
  <c r="G68" i="3"/>
  <c r="I68" i="3"/>
  <c r="O68" i="3"/>
  <c r="Q68" i="3"/>
  <c r="L68" i="3"/>
  <c r="M74" i="3"/>
  <c r="N74" i="3"/>
  <c r="I74" i="3"/>
  <c r="O74" i="3"/>
  <c r="P74" i="3"/>
  <c r="Q74" i="3"/>
  <c r="G74" i="3"/>
  <c r="C97" i="3" s="1"/>
  <c r="C114" i="3" s="1"/>
  <c r="L74" i="3"/>
  <c r="J74" i="3"/>
  <c r="K74" i="3"/>
  <c r="H74" i="3"/>
  <c r="M7" i="4"/>
  <c r="G7" i="4"/>
  <c r="E7" i="4"/>
  <c r="L7" i="4"/>
  <c r="F7" i="4"/>
  <c r="K7" i="4"/>
  <c r="J7" i="4"/>
  <c r="D7" i="4"/>
  <c r="I7" i="4"/>
  <c r="H7" i="4"/>
  <c r="E107" i="3"/>
  <c r="G107" i="3"/>
  <c r="E108" i="3"/>
  <c r="E112" i="3"/>
  <c r="D8" i="3"/>
  <c r="E8" i="3" s="1"/>
  <c r="N8" i="3" s="1"/>
  <c r="F2" i="4"/>
  <c r="I19" i="3"/>
  <c r="I59" i="3"/>
  <c r="H32" i="3"/>
  <c r="C106" i="3"/>
  <c r="F108" i="3"/>
  <c r="I52" i="3"/>
  <c r="E77" i="3"/>
  <c r="H77" i="3" s="1"/>
  <c r="L7" i="3"/>
  <c r="P7" i="3"/>
  <c r="N7" i="3"/>
  <c r="J7" i="3"/>
  <c r="E32" i="3"/>
  <c r="C52" i="3"/>
  <c r="E52" i="3" s="1"/>
  <c r="C49" i="3"/>
  <c r="E49" i="3" s="1"/>
  <c r="E6" i="3"/>
  <c r="H61" i="3"/>
  <c r="I55" i="3"/>
  <c r="I44" i="3"/>
  <c r="I37" i="3"/>
  <c r="I30" i="3"/>
  <c r="I22" i="3"/>
  <c r="I16" i="3"/>
  <c r="I56" i="3"/>
  <c r="I58" i="3"/>
  <c r="I50" i="3"/>
  <c r="I49" i="3"/>
  <c r="I48" i="3"/>
  <c r="I39" i="3"/>
  <c r="I25" i="3"/>
  <c r="I18" i="3"/>
  <c r="I42" i="3"/>
  <c r="I29" i="3"/>
  <c r="I54" i="3"/>
  <c r="I51" i="3"/>
  <c r="I21" i="3"/>
  <c r="I15" i="3"/>
  <c r="I46" i="3"/>
  <c r="I38" i="3"/>
  <c r="I31" i="3"/>
  <c r="I23" i="3"/>
  <c r="I17" i="3"/>
  <c r="J13" i="3"/>
  <c r="I53" i="3"/>
  <c r="I41" i="3"/>
  <c r="I20" i="3"/>
  <c r="I28" i="3"/>
  <c r="I40" i="3"/>
  <c r="C50" i="3"/>
  <c r="E50" i="3" s="1"/>
  <c r="I60" i="3"/>
  <c r="K97" i="3" l="1"/>
  <c r="L97" i="3"/>
  <c r="H97" i="3"/>
  <c r="F97" i="3"/>
  <c r="F114" i="3" s="1"/>
  <c r="F40" i="6" s="1"/>
  <c r="F271" i="6" s="1"/>
  <c r="J97" i="3"/>
  <c r="E97" i="3"/>
  <c r="E114" i="3" s="1"/>
  <c r="E40" i="6" s="1"/>
  <c r="E271" i="6" s="1"/>
  <c r="I97" i="3"/>
  <c r="I114" i="3" s="1"/>
  <c r="I40" i="6" s="1"/>
  <c r="I271" i="6" s="1"/>
  <c r="D97" i="3"/>
  <c r="D114" i="3" s="1"/>
  <c r="D40" i="6" s="1"/>
  <c r="M97" i="3"/>
  <c r="Q2" i="5"/>
  <c r="M52" i="4"/>
  <c r="G52" i="4"/>
  <c r="L52" i="4"/>
  <c r="E52" i="4"/>
  <c r="K52" i="4"/>
  <c r="D52" i="4"/>
  <c r="H52" i="4"/>
  <c r="F52" i="4"/>
  <c r="J52" i="4"/>
  <c r="I52" i="4"/>
  <c r="I50" i="4"/>
  <c r="K50" i="4"/>
  <c r="D50" i="4"/>
  <c r="J50" i="4"/>
  <c r="F50" i="4"/>
  <c r="L50" i="4"/>
  <c r="E50" i="4"/>
  <c r="M50" i="4"/>
  <c r="H50" i="4"/>
  <c r="G50" i="4"/>
  <c r="G6" i="4"/>
  <c r="M6" i="4"/>
  <c r="F6" i="4"/>
  <c r="E6" i="4"/>
  <c r="H6" i="4"/>
  <c r="I6" i="4"/>
  <c r="D6" i="4"/>
  <c r="J6" i="4"/>
  <c r="K6" i="4"/>
  <c r="L6" i="4"/>
  <c r="M49" i="4"/>
  <c r="G49" i="4"/>
  <c r="F49" i="4"/>
  <c r="L49" i="4"/>
  <c r="E49" i="4"/>
  <c r="D49" i="4"/>
  <c r="K49" i="4"/>
  <c r="J49" i="4"/>
  <c r="I49" i="4"/>
  <c r="H49" i="4"/>
  <c r="C17" i="6"/>
  <c r="G114" i="3"/>
  <c r="G40" i="6" s="1"/>
  <c r="G271" i="6" s="1"/>
  <c r="H114" i="3"/>
  <c r="H40" i="6" s="1"/>
  <c r="H271" i="6" s="1"/>
  <c r="D98" i="3"/>
  <c r="C7" i="5"/>
  <c r="G106" i="3"/>
  <c r="J8" i="3"/>
  <c r="F107" i="3"/>
  <c r="G108" i="3"/>
  <c r="G112" i="3"/>
  <c r="F106" i="3"/>
  <c r="G32" i="4"/>
  <c r="H32" i="4"/>
  <c r="K32" i="4"/>
  <c r="I8" i="4"/>
  <c r="H8" i="4"/>
  <c r="K8" i="4"/>
  <c r="J8" i="4"/>
  <c r="G8" i="4"/>
  <c r="F8" i="4"/>
  <c r="E8" i="4"/>
  <c r="M8" i="4"/>
  <c r="D8" i="4"/>
  <c r="L8" i="4"/>
  <c r="L32" i="4"/>
  <c r="F32" i="4"/>
  <c r="J32" i="4"/>
  <c r="I32" i="4"/>
  <c r="P8" i="3"/>
  <c r="E32" i="4"/>
  <c r="D32" i="4"/>
  <c r="L8" i="3"/>
  <c r="M32" i="4"/>
  <c r="G2" i="4"/>
  <c r="H63" i="3"/>
  <c r="D96" i="3" s="1"/>
  <c r="H108" i="3"/>
  <c r="H106" i="3"/>
  <c r="H107" i="3"/>
  <c r="E61" i="3"/>
  <c r="I77" i="3"/>
  <c r="O77" i="3"/>
  <c r="K98" i="3" s="1"/>
  <c r="K77" i="3"/>
  <c r="Q77" i="3"/>
  <c r="M98" i="3" s="1"/>
  <c r="L77" i="3"/>
  <c r="M77" i="3"/>
  <c r="G77" i="3"/>
  <c r="C98" i="3" s="1"/>
  <c r="N77" i="3"/>
  <c r="J98" i="3" s="1"/>
  <c r="J77" i="3"/>
  <c r="P77" i="3"/>
  <c r="L98" i="3" s="1"/>
  <c r="I61" i="3"/>
  <c r="E9" i="3"/>
  <c r="C90" i="3" s="1"/>
  <c r="C66" i="4" s="1"/>
  <c r="L6" i="3"/>
  <c r="J6" i="3"/>
  <c r="N6" i="3"/>
  <c r="N9" i="3" s="1"/>
  <c r="J95" i="3" s="1"/>
  <c r="P6" i="3"/>
  <c r="J56" i="3"/>
  <c r="J46" i="3"/>
  <c r="J38" i="3"/>
  <c r="J31" i="3"/>
  <c r="J23" i="3"/>
  <c r="J17" i="3"/>
  <c r="J58" i="3"/>
  <c r="J59" i="3"/>
  <c r="J52" i="3"/>
  <c r="J51" i="3"/>
  <c r="J40" i="3"/>
  <c r="J26" i="3"/>
  <c r="J19" i="3"/>
  <c r="K13" i="3"/>
  <c r="J54" i="3"/>
  <c r="J48" i="3"/>
  <c r="J42" i="3"/>
  <c r="J39" i="3"/>
  <c r="J29" i="3"/>
  <c r="J25" i="3"/>
  <c r="J21" i="3"/>
  <c r="J18" i="3"/>
  <c r="J15" i="3"/>
  <c r="J53" i="3"/>
  <c r="J50" i="3"/>
  <c r="J41" i="3"/>
  <c r="J28" i="3"/>
  <c r="J20" i="3"/>
  <c r="J44" i="3"/>
  <c r="J37" i="3"/>
  <c r="J49" i="3"/>
  <c r="J55" i="3"/>
  <c r="J30" i="3"/>
  <c r="J22" i="3"/>
  <c r="J16" i="3"/>
  <c r="J60" i="3"/>
  <c r="I32" i="3"/>
  <c r="G61" i="4" l="1"/>
  <c r="G73" i="4" s="1"/>
  <c r="G26" i="6" s="1"/>
  <c r="I98" i="3"/>
  <c r="F98" i="3"/>
  <c r="D271" i="6"/>
  <c r="F61" i="4"/>
  <c r="F73" i="4" s="1"/>
  <c r="F26" i="6" s="1"/>
  <c r="D17" i="6"/>
  <c r="E17" i="6" s="1"/>
  <c r="M61" i="4"/>
  <c r="M73" i="4" s="1"/>
  <c r="M26" i="6" s="1"/>
  <c r="J61" i="4"/>
  <c r="J73" i="4" s="1"/>
  <c r="J26" i="6" s="1"/>
  <c r="K61" i="4"/>
  <c r="K73" i="4" s="1"/>
  <c r="K26" i="6" s="1"/>
  <c r="H61" i="4"/>
  <c r="H73" i="4" s="1"/>
  <c r="H26" i="6" s="1"/>
  <c r="L61" i="4"/>
  <c r="L73" i="4" s="1"/>
  <c r="L26" i="6" s="1"/>
  <c r="R2" i="5"/>
  <c r="D61" i="4"/>
  <c r="D73" i="4" s="1"/>
  <c r="D74" i="4" s="1"/>
  <c r="E61" i="4"/>
  <c r="E73" i="4" s="1"/>
  <c r="E26" i="6" s="1"/>
  <c r="I61" i="4"/>
  <c r="I73" i="4" s="1"/>
  <c r="I26" i="6" s="1"/>
  <c r="I63" i="3"/>
  <c r="E96" i="3" s="1"/>
  <c r="D66" i="4"/>
  <c r="C69" i="4"/>
  <c r="C22" i="6" s="1"/>
  <c r="C19" i="6"/>
  <c r="E63" i="3"/>
  <c r="C91" i="3" s="1"/>
  <c r="C71" i="4" s="1"/>
  <c r="C72" i="4" s="1"/>
  <c r="C75" i="4" s="1"/>
  <c r="P9" i="3"/>
  <c r="L95" i="3" s="1"/>
  <c r="D113" i="3"/>
  <c r="D71" i="4" s="1"/>
  <c r="D24" i="6" s="1"/>
  <c r="D99" i="6" s="1"/>
  <c r="D132" i="6" s="1"/>
  <c r="G98" i="3"/>
  <c r="G115" i="3" s="1"/>
  <c r="G43" i="6" s="1"/>
  <c r="G272" i="6" s="1"/>
  <c r="G273" i="6" s="1"/>
  <c r="E98" i="3"/>
  <c r="H98" i="3"/>
  <c r="H115" i="3" s="1"/>
  <c r="H43" i="6" s="1"/>
  <c r="H272" i="6" s="1"/>
  <c r="H273" i="6" s="1"/>
  <c r="J9" i="3"/>
  <c r="F95" i="3" s="1"/>
  <c r="D9" i="4"/>
  <c r="D67" i="4" s="1"/>
  <c r="E9" i="4"/>
  <c r="L9" i="3"/>
  <c r="H95" i="3" s="1"/>
  <c r="C107" i="3"/>
  <c r="F9" i="4"/>
  <c r="F67" i="4" s="1"/>
  <c r="H2" i="4"/>
  <c r="D99" i="3"/>
  <c r="D101" i="3" s="1"/>
  <c r="D115" i="3"/>
  <c r="D43" i="6" s="1"/>
  <c r="J84" i="3"/>
  <c r="I106" i="3"/>
  <c r="I107" i="3"/>
  <c r="I108" i="3"/>
  <c r="I112" i="3"/>
  <c r="F115" i="3"/>
  <c r="F43" i="6" s="1"/>
  <c r="F272" i="6" s="1"/>
  <c r="F273" i="6" s="1"/>
  <c r="C115" i="3"/>
  <c r="C99" i="3"/>
  <c r="I115" i="3"/>
  <c r="I43" i="6" s="1"/>
  <c r="I272" i="6" s="1"/>
  <c r="I273" i="6" s="1"/>
  <c r="B90" i="3"/>
  <c r="K58" i="3"/>
  <c r="K50" i="3"/>
  <c r="K49" i="3"/>
  <c r="K48" i="3"/>
  <c r="K39" i="3"/>
  <c r="K25" i="3"/>
  <c r="K18" i="3"/>
  <c r="K59" i="3"/>
  <c r="K60" i="3"/>
  <c r="K53" i="3"/>
  <c r="K41" i="3"/>
  <c r="K28" i="3"/>
  <c r="K20" i="3"/>
  <c r="K51" i="3"/>
  <c r="K46" i="3"/>
  <c r="K38" i="3"/>
  <c r="K31" i="3"/>
  <c r="K23" i="3"/>
  <c r="L13" i="3"/>
  <c r="K17" i="3"/>
  <c r="K44" i="3"/>
  <c r="K37" i="3"/>
  <c r="K30" i="3"/>
  <c r="K54" i="3"/>
  <c r="K52" i="3"/>
  <c r="K29" i="3"/>
  <c r="K22" i="3"/>
  <c r="K21" i="3"/>
  <c r="K16" i="3"/>
  <c r="K15" i="3"/>
  <c r="K56" i="3"/>
  <c r="K55" i="3"/>
  <c r="K42" i="3"/>
  <c r="K26" i="3"/>
  <c r="K19" i="3"/>
  <c r="K40" i="3"/>
  <c r="J61" i="3"/>
  <c r="J32" i="3"/>
  <c r="D69" i="6" l="1"/>
  <c r="D272" i="6"/>
  <c r="S2" i="5"/>
  <c r="D97" i="6"/>
  <c r="E67" i="4"/>
  <c r="E20" i="6" s="1"/>
  <c r="E44" i="6" s="1"/>
  <c r="E263" i="6" s="1"/>
  <c r="B91" i="3"/>
  <c r="E113" i="3"/>
  <c r="E71" i="4" s="1"/>
  <c r="E24" i="6" s="1"/>
  <c r="E99" i="6" s="1"/>
  <c r="E132" i="6" s="1"/>
  <c r="F69" i="6"/>
  <c r="I69" i="6"/>
  <c r="H69" i="6"/>
  <c r="G69" i="6"/>
  <c r="F17" i="6"/>
  <c r="C92" i="3"/>
  <c r="C24" i="6"/>
  <c r="H112" i="3"/>
  <c r="H23" i="1"/>
  <c r="F112" i="3"/>
  <c r="C108" i="3"/>
  <c r="C109" i="3" s="1"/>
  <c r="B109" i="3" s="1"/>
  <c r="H24" i="1"/>
  <c r="D19" i="6"/>
  <c r="E66" i="4"/>
  <c r="D20" i="6"/>
  <c r="B98" i="3"/>
  <c r="J112" i="3"/>
  <c r="J114" i="3"/>
  <c r="J40" i="6" s="1"/>
  <c r="J271" i="6" s="1"/>
  <c r="E99" i="3"/>
  <c r="E101" i="3" s="1"/>
  <c r="E115" i="3"/>
  <c r="D26" i="6"/>
  <c r="B95" i="3"/>
  <c r="J63" i="3"/>
  <c r="F96" i="3" s="1"/>
  <c r="F99" i="3" s="1"/>
  <c r="F101" i="3" s="1"/>
  <c r="C98" i="6"/>
  <c r="D116" i="3"/>
  <c r="D118" i="3" s="1"/>
  <c r="E74" i="4"/>
  <c r="D27" i="6"/>
  <c r="F20" i="6"/>
  <c r="F44" i="6" s="1"/>
  <c r="F263" i="6" s="1"/>
  <c r="I2" i="4"/>
  <c r="G9" i="4"/>
  <c r="G67" i="4" s="1"/>
  <c r="C116" i="3"/>
  <c r="K84" i="3"/>
  <c r="K114" i="3" s="1"/>
  <c r="K40" i="6" s="1"/>
  <c r="K271" i="6" s="1"/>
  <c r="J106" i="3"/>
  <c r="J107" i="3"/>
  <c r="J108" i="3"/>
  <c r="J115" i="3"/>
  <c r="J43" i="6" s="1"/>
  <c r="J272" i="6" s="1"/>
  <c r="K61" i="3"/>
  <c r="K32" i="3"/>
  <c r="L59" i="3"/>
  <c r="L52" i="3"/>
  <c r="L51" i="3"/>
  <c r="L40" i="3"/>
  <c r="L26" i="3"/>
  <c r="L19" i="3"/>
  <c r="M13" i="3"/>
  <c r="L60" i="3"/>
  <c r="L54" i="3"/>
  <c r="L42" i="3"/>
  <c r="L29" i="3"/>
  <c r="L21" i="3"/>
  <c r="L15" i="3"/>
  <c r="L46" i="3"/>
  <c r="L38" i="3"/>
  <c r="L31" i="3"/>
  <c r="L23" i="3"/>
  <c r="L17" i="3"/>
  <c r="L41" i="3"/>
  <c r="L28" i="3"/>
  <c r="L20" i="3"/>
  <c r="L53" i="3"/>
  <c r="L50" i="3"/>
  <c r="L44" i="3"/>
  <c r="L37" i="3"/>
  <c r="L30" i="3"/>
  <c r="L22" i="3"/>
  <c r="L16" i="3"/>
  <c r="L56" i="3"/>
  <c r="L55" i="3"/>
  <c r="L49" i="3"/>
  <c r="L58" i="3"/>
  <c r="L39" i="3"/>
  <c r="L25" i="3"/>
  <c r="L48" i="3"/>
  <c r="L18" i="3"/>
  <c r="C99" i="6" l="1"/>
  <c r="C132" i="6" s="1"/>
  <c r="D273" i="6"/>
  <c r="J273" i="6"/>
  <c r="T2" i="5"/>
  <c r="D6" i="5"/>
  <c r="F45" i="6"/>
  <c r="H98" i="6"/>
  <c r="G98" i="6"/>
  <c r="I98" i="6"/>
  <c r="C101" i="3"/>
  <c r="B92" i="3"/>
  <c r="G17" i="6"/>
  <c r="J69" i="6"/>
  <c r="J98" i="6" s="1"/>
  <c r="E43" i="6"/>
  <c r="E272" i="6" s="1"/>
  <c r="E273" i="6" s="1"/>
  <c r="C25" i="6"/>
  <c r="C28" i="6"/>
  <c r="C64" i="6" s="1"/>
  <c r="D72" i="4"/>
  <c r="E72" i="4" s="1"/>
  <c r="D44" i="6"/>
  <c r="D263" i="6" s="1"/>
  <c r="E19" i="6"/>
  <c r="F66" i="4"/>
  <c r="D68" i="4"/>
  <c r="E116" i="3"/>
  <c r="E118" i="3" s="1"/>
  <c r="F113" i="3"/>
  <c r="F71" i="4" s="1"/>
  <c r="F24" i="6" s="1"/>
  <c r="F99" i="6" s="1"/>
  <c r="F132" i="6" s="1"/>
  <c r="F130" i="6"/>
  <c r="E130" i="6"/>
  <c r="D98" i="6"/>
  <c r="C112" i="6" s="1"/>
  <c r="G20" i="6"/>
  <c r="G44" i="6" s="1"/>
  <c r="G263" i="6" s="1"/>
  <c r="F74" i="4"/>
  <c r="E27" i="6"/>
  <c r="I9" i="4"/>
  <c r="J2" i="4"/>
  <c r="H9" i="4"/>
  <c r="H67" i="4" s="1"/>
  <c r="K63" i="3"/>
  <c r="G96" i="3" s="1"/>
  <c r="C118" i="3"/>
  <c r="L84" i="3"/>
  <c r="L114" i="3" s="1"/>
  <c r="L40" i="6" s="1"/>
  <c r="L271" i="6" s="1"/>
  <c r="K107" i="3"/>
  <c r="K106" i="3"/>
  <c r="K108" i="3"/>
  <c r="K112" i="3"/>
  <c r="K115" i="3"/>
  <c r="K43" i="6" s="1"/>
  <c r="K272" i="6" s="1"/>
  <c r="K273" i="6" s="1"/>
  <c r="L32" i="3"/>
  <c r="M60" i="3"/>
  <c r="M53" i="3"/>
  <c r="M41" i="3"/>
  <c r="M28" i="3"/>
  <c r="M20" i="3"/>
  <c r="M54" i="3"/>
  <c r="M55" i="3"/>
  <c r="M44" i="3"/>
  <c r="M37" i="3"/>
  <c r="M30" i="3"/>
  <c r="M22" i="3"/>
  <c r="M16" i="3"/>
  <c r="M50" i="3"/>
  <c r="N13" i="3"/>
  <c r="M56" i="3"/>
  <c r="M49" i="3"/>
  <c r="M58" i="3"/>
  <c r="M52" i="3"/>
  <c r="M40" i="3"/>
  <c r="M29" i="3"/>
  <c r="M21" i="3"/>
  <c r="M15" i="3"/>
  <c r="M48" i="3"/>
  <c r="M25" i="3"/>
  <c r="M18" i="3"/>
  <c r="M46" i="3"/>
  <c r="M38" i="3"/>
  <c r="M59" i="3"/>
  <c r="M42" i="3"/>
  <c r="M39" i="3"/>
  <c r="M26" i="3"/>
  <c r="M23" i="3"/>
  <c r="M19" i="3"/>
  <c r="M17" i="3"/>
  <c r="M31" i="3"/>
  <c r="M51" i="3"/>
  <c r="L61" i="3"/>
  <c r="C22" i="5" l="1"/>
  <c r="D14" i="5"/>
  <c r="BD13" i="5"/>
  <c r="T13" i="5"/>
  <c r="AK13" i="5"/>
  <c r="W13" i="5"/>
  <c r="AZ13" i="5"/>
  <c r="AS13" i="5"/>
  <c r="AJ13" i="5"/>
  <c r="BA13" i="5"/>
  <c r="E13" i="5"/>
  <c r="P13" i="5"/>
  <c r="AY13" i="5"/>
  <c r="AX13" i="5"/>
  <c r="N13" i="5"/>
  <c r="AE13" i="5"/>
  <c r="K13" i="5"/>
  <c r="AH13" i="5"/>
  <c r="AA13" i="5"/>
  <c r="AD13" i="5"/>
  <c r="AU13" i="5"/>
  <c r="AG13" i="5"/>
  <c r="AR13" i="5"/>
  <c r="BI13" i="5"/>
  <c r="Y13" i="5"/>
  <c r="V13" i="5"/>
  <c r="O13" i="5"/>
  <c r="X13" i="5"/>
  <c r="AO13" i="5"/>
  <c r="BF13" i="5"/>
  <c r="U13" i="5"/>
  <c r="S13" i="5"/>
  <c r="J13" i="5"/>
  <c r="R13" i="5"/>
  <c r="AT13" i="5"/>
  <c r="H13" i="5"/>
  <c r="BH13" i="5"/>
  <c r="AL13" i="5"/>
  <c r="BC13" i="5"/>
  <c r="AF13" i="5"/>
  <c r="AW13" i="5"/>
  <c r="M13" i="5"/>
  <c r="AV13" i="5"/>
  <c r="L13" i="5"/>
  <c r="AC13" i="5"/>
  <c r="AN13" i="5"/>
  <c r="AM13" i="5"/>
  <c r="BJ13" i="5"/>
  <c r="Z13" i="5"/>
  <c r="AQ13" i="5"/>
  <c r="G13" i="5"/>
  <c r="BE13" i="5"/>
  <c r="AP13" i="5"/>
  <c r="F13" i="5"/>
  <c r="BG13" i="5"/>
  <c r="Q13" i="5"/>
  <c r="AB13" i="5"/>
  <c r="BK13" i="5"/>
  <c r="BB13" i="5"/>
  <c r="AI13" i="5"/>
  <c r="I13" i="5"/>
  <c r="D13" i="5"/>
  <c r="D15" i="5" s="1"/>
  <c r="D16" i="5" s="1"/>
  <c r="U2" i="5"/>
  <c r="F72" i="4"/>
  <c r="B6" i="5"/>
  <c r="B7" i="5" s="1"/>
  <c r="C10" i="6" s="1"/>
  <c r="C91" i="6" s="1"/>
  <c r="C155" i="6" s="1"/>
  <c r="D7" i="5"/>
  <c r="E97" i="6"/>
  <c r="G45" i="6"/>
  <c r="D130" i="6"/>
  <c r="I67" i="4"/>
  <c r="I20" i="6" s="1"/>
  <c r="I44" i="6" s="1"/>
  <c r="I263" i="6" s="1"/>
  <c r="K69" i="6"/>
  <c r="K98" i="6" s="1"/>
  <c r="E69" i="6"/>
  <c r="F98" i="6" s="1"/>
  <c r="E45" i="6"/>
  <c r="H17" i="6"/>
  <c r="G99" i="3"/>
  <c r="G101" i="3" s="1"/>
  <c r="D45" i="6"/>
  <c r="F19" i="6"/>
  <c r="G66" i="4"/>
  <c r="D25" i="6"/>
  <c r="D75" i="4"/>
  <c r="D28" i="6" s="1"/>
  <c r="E68" i="4"/>
  <c r="D21" i="6"/>
  <c r="D69" i="4"/>
  <c r="D22" i="6" s="1"/>
  <c r="F116" i="3"/>
  <c r="F118" i="3" s="1"/>
  <c r="F97" i="6"/>
  <c r="G130" i="6"/>
  <c r="G113" i="3"/>
  <c r="H20" i="6"/>
  <c r="H44" i="6" s="1"/>
  <c r="H263" i="6" s="1"/>
  <c r="G74" i="4"/>
  <c r="F27" i="6"/>
  <c r="K2" i="4"/>
  <c r="M84" i="3"/>
  <c r="M114" i="3" s="1"/>
  <c r="L108" i="3"/>
  <c r="L107" i="3"/>
  <c r="L106" i="3"/>
  <c r="L112" i="3"/>
  <c r="L115" i="3"/>
  <c r="L43" i="6" s="1"/>
  <c r="L272" i="6" s="1"/>
  <c r="L273" i="6" s="1"/>
  <c r="M61" i="3"/>
  <c r="M32" i="3"/>
  <c r="N54" i="3"/>
  <c r="N42" i="3"/>
  <c r="N29" i="3"/>
  <c r="N21" i="3"/>
  <c r="N15" i="3"/>
  <c r="N55" i="3"/>
  <c r="N56" i="3"/>
  <c r="N46" i="3"/>
  <c r="N38" i="3"/>
  <c r="N31" i="3"/>
  <c r="N23" i="3"/>
  <c r="N17" i="3"/>
  <c r="N53" i="3"/>
  <c r="N41" i="3"/>
  <c r="N28" i="3"/>
  <c r="N20" i="3"/>
  <c r="N49" i="3"/>
  <c r="N44" i="3"/>
  <c r="N37" i="3"/>
  <c r="N30" i="3"/>
  <c r="N22" i="3"/>
  <c r="N16" i="3"/>
  <c r="N48" i="3"/>
  <c r="N58" i="3"/>
  <c r="N52" i="3"/>
  <c r="N40" i="3"/>
  <c r="N26" i="3"/>
  <c r="N19" i="3"/>
  <c r="N60" i="3"/>
  <c r="N59" i="3"/>
  <c r="N39" i="3"/>
  <c r="N51" i="3"/>
  <c r="N25" i="3"/>
  <c r="N18" i="3"/>
  <c r="N50" i="3"/>
  <c r="O13" i="3"/>
  <c r="L63" i="3"/>
  <c r="H96" i="3" s="1"/>
  <c r="B114" i="3" l="1"/>
  <c r="M40" i="6"/>
  <c r="M271" i="6" s="1"/>
  <c r="G71" i="4"/>
  <c r="G24" i="6" s="1"/>
  <c r="G99" i="6" s="1"/>
  <c r="G132" i="6" s="1"/>
  <c r="E14" i="5"/>
  <c r="E15" i="5" s="1"/>
  <c r="E16" i="5" s="1"/>
  <c r="C19" i="5"/>
  <c r="D19" i="5"/>
  <c r="V2" i="5"/>
  <c r="H45" i="6"/>
  <c r="I45" i="6"/>
  <c r="I130" i="6"/>
  <c r="E112" i="6"/>
  <c r="L69" i="6"/>
  <c r="L98" i="6" s="1"/>
  <c r="D64" i="6"/>
  <c r="I17" i="6"/>
  <c r="E98" i="6"/>
  <c r="D112" i="6" s="1"/>
  <c r="G19" i="6"/>
  <c r="H66" i="4"/>
  <c r="E25" i="6"/>
  <c r="E75" i="4"/>
  <c r="E28" i="6" s="1"/>
  <c r="E69" i="4"/>
  <c r="E22" i="6" s="1"/>
  <c r="E21" i="6"/>
  <c r="F68" i="4"/>
  <c r="G116" i="3"/>
  <c r="G118" i="3" s="1"/>
  <c r="G97" i="6"/>
  <c r="F112" i="6" s="1"/>
  <c r="H130" i="6"/>
  <c r="G27" i="6"/>
  <c r="H74" i="4"/>
  <c r="L2" i="4"/>
  <c r="J9" i="4"/>
  <c r="J67" i="4" s="1"/>
  <c r="M106" i="3"/>
  <c r="B106" i="3" s="1"/>
  <c r="M107" i="3"/>
  <c r="B107" i="3" s="1"/>
  <c r="M108" i="3"/>
  <c r="B108" i="3" s="1"/>
  <c r="M112" i="3"/>
  <c r="M115" i="3"/>
  <c r="M43" i="6" s="1"/>
  <c r="M272" i="6" s="1"/>
  <c r="M273" i="6" s="1"/>
  <c r="H99" i="3"/>
  <c r="H101" i="3" s="1"/>
  <c r="H113" i="3"/>
  <c r="H71" i="4" s="1"/>
  <c r="M63" i="3"/>
  <c r="I96" i="3" s="1"/>
  <c r="N61" i="3"/>
  <c r="O55" i="3"/>
  <c r="O44" i="3"/>
  <c r="O37" i="3"/>
  <c r="O30" i="3"/>
  <c r="O22" i="3"/>
  <c r="O16" i="3"/>
  <c r="O56" i="3"/>
  <c r="O58" i="3"/>
  <c r="O50" i="3"/>
  <c r="O49" i="3"/>
  <c r="O48" i="3"/>
  <c r="O39" i="3"/>
  <c r="O25" i="3"/>
  <c r="O18" i="3"/>
  <c r="O40" i="3"/>
  <c r="O26" i="3"/>
  <c r="O19" i="3"/>
  <c r="O52" i="3"/>
  <c r="O60" i="3"/>
  <c r="O59" i="3"/>
  <c r="O51" i="3"/>
  <c r="O42" i="3"/>
  <c r="O46" i="3"/>
  <c r="O38" i="3"/>
  <c r="O53" i="3"/>
  <c r="O29" i="3"/>
  <c r="O20" i="3"/>
  <c r="O15" i="3"/>
  <c r="O28" i="3"/>
  <c r="O41" i="3"/>
  <c r="O23" i="3"/>
  <c r="O17" i="3"/>
  <c r="O31" i="3"/>
  <c r="P13" i="3"/>
  <c r="O54" i="3"/>
  <c r="O21" i="3"/>
  <c r="N32" i="3"/>
  <c r="G72" i="4" l="1"/>
  <c r="H72" i="4" s="1"/>
  <c r="W2" i="5"/>
  <c r="H24" i="6"/>
  <c r="H99" i="6" s="1"/>
  <c r="H132" i="6" s="1"/>
  <c r="E64" i="6"/>
  <c r="J17" i="6"/>
  <c r="M69" i="6"/>
  <c r="F25" i="6"/>
  <c r="F75" i="4"/>
  <c r="F28" i="6" s="1"/>
  <c r="H19" i="6"/>
  <c r="I66" i="4"/>
  <c r="G68" i="4"/>
  <c r="F21" i="6"/>
  <c r="F69" i="4"/>
  <c r="F22" i="6" s="1"/>
  <c r="B112" i="3"/>
  <c r="N63" i="3"/>
  <c r="J96" i="3" s="1"/>
  <c r="I74" i="4"/>
  <c r="H27" i="6"/>
  <c r="B115" i="3"/>
  <c r="J20" i="6"/>
  <c r="J44" i="6" s="1"/>
  <c r="J263" i="6" s="1"/>
  <c r="M2" i="4"/>
  <c r="K9" i="4"/>
  <c r="K67" i="4" s="1"/>
  <c r="I99" i="3"/>
  <c r="I101" i="3" s="1"/>
  <c r="I113" i="3"/>
  <c r="I71" i="4" s="1"/>
  <c r="H116" i="3"/>
  <c r="H118" i="3" s="1"/>
  <c r="O61" i="3"/>
  <c r="P56" i="3"/>
  <c r="P46" i="3"/>
  <c r="P38" i="3"/>
  <c r="P31" i="3"/>
  <c r="P23" i="3"/>
  <c r="P17" i="3"/>
  <c r="P58" i="3"/>
  <c r="P59" i="3"/>
  <c r="P52" i="3"/>
  <c r="P51" i="3"/>
  <c r="P40" i="3"/>
  <c r="P26" i="3"/>
  <c r="P19" i="3"/>
  <c r="Q13" i="3"/>
  <c r="P49" i="3"/>
  <c r="P44" i="3"/>
  <c r="P37" i="3"/>
  <c r="P30" i="3"/>
  <c r="P22" i="3"/>
  <c r="P16" i="3"/>
  <c r="P60" i="3"/>
  <c r="P55" i="3"/>
  <c r="P48" i="3"/>
  <c r="P42" i="3"/>
  <c r="P39" i="3"/>
  <c r="P29" i="3"/>
  <c r="P25" i="3"/>
  <c r="P21" i="3"/>
  <c r="P18" i="3"/>
  <c r="P15" i="3"/>
  <c r="P54" i="3"/>
  <c r="P53" i="3"/>
  <c r="P28" i="3"/>
  <c r="P20" i="3"/>
  <c r="P41" i="3"/>
  <c r="P50" i="3"/>
  <c r="O32" i="3"/>
  <c r="I72" i="4" l="1"/>
  <c r="X2" i="5"/>
  <c r="I24" i="6"/>
  <c r="I99" i="6" s="1"/>
  <c r="I132" i="6" s="1"/>
  <c r="F14" i="5"/>
  <c r="H97" i="6"/>
  <c r="G112" i="6" s="1"/>
  <c r="J45" i="6"/>
  <c r="F64" i="6"/>
  <c r="K17" i="6"/>
  <c r="I19" i="6"/>
  <c r="J66" i="4"/>
  <c r="J99" i="3"/>
  <c r="J101" i="3" s="1"/>
  <c r="G25" i="6"/>
  <c r="G75" i="4"/>
  <c r="G28" i="6" s="1"/>
  <c r="G21" i="6"/>
  <c r="G69" i="4"/>
  <c r="G22" i="6" s="1"/>
  <c r="H68" i="4"/>
  <c r="I116" i="3"/>
  <c r="I118" i="3" s="1"/>
  <c r="I97" i="6"/>
  <c r="H112" i="6" s="1"/>
  <c r="J113" i="3"/>
  <c r="J130" i="6"/>
  <c r="M98" i="6"/>
  <c r="O63" i="3"/>
  <c r="K96" i="3" s="1"/>
  <c r="J74" i="4"/>
  <c r="I27" i="6"/>
  <c r="K20" i="6"/>
  <c r="K44" i="6" s="1"/>
  <c r="K263" i="6" s="1"/>
  <c r="L9" i="4"/>
  <c r="L67" i="4" s="1"/>
  <c r="P32" i="3"/>
  <c r="P61" i="3"/>
  <c r="Q58" i="3"/>
  <c r="Q50" i="3"/>
  <c r="Q49" i="3"/>
  <c r="Q48" i="3"/>
  <c r="Q39" i="3"/>
  <c r="Q25" i="3"/>
  <c r="Q18" i="3"/>
  <c r="Q59" i="3"/>
  <c r="Q60" i="3"/>
  <c r="Q53" i="3"/>
  <c r="Q41" i="3"/>
  <c r="Q28" i="3"/>
  <c r="Q20" i="3"/>
  <c r="Q52" i="3"/>
  <c r="Q40" i="3"/>
  <c r="Q26" i="3"/>
  <c r="Q19" i="3"/>
  <c r="Q42" i="3"/>
  <c r="Q29" i="3"/>
  <c r="Q21" i="3"/>
  <c r="Q15" i="3"/>
  <c r="Q31" i="3"/>
  <c r="Q56" i="3"/>
  <c r="Q55" i="3"/>
  <c r="Q54" i="3"/>
  <c r="Q51" i="3"/>
  <c r="Q46" i="3"/>
  <c r="Q38" i="3"/>
  <c r="Q22" i="3"/>
  <c r="Q16" i="3"/>
  <c r="Q30" i="3"/>
  <c r="Q23" i="3"/>
  <c r="Q17" i="3"/>
  <c r="Q44" i="3"/>
  <c r="Q37" i="3"/>
  <c r="J71" i="4" l="1"/>
  <c r="Y2" i="5"/>
  <c r="F15" i="5"/>
  <c r="K45" i="6"/>
  <c r="G64" i="6"/>
  <c r="L17" i="6"/>
  <c r="H25" i="6"/>
  <c r="H75" i="4"/>
  <c r="H28" i="6" s="1"/>
  <c r="J19" i="6"/>
  <c r="K66" i="4"/>
  <c r="K99" i="3"/>
  <c r="K101" i="3" s="1"/>
  <c r="H21" i="6"/>
  <c r="I68" i="4"/>
  <c r="H69" i="4"/>
  <c r="H22" i="6" s="1"/>
  <c r="J116" i="3"/>
  <c r="J118" i="3" s="1"/>
  <c r="J97" i="6"/>
  <c r="I112" i="6" s="1"/>
  <c r="K113" i="3"/>
  <c r="K71" i="4" s="1"/>
  <c r="K24" i="6" s="1"/>
  <c r="K99" i="6" s="1"/>
  <c r="K132" i="6" s="1"/>
  <c r="K130" i="6"/>
  <c r="K74" i="4"/>
  <c r="J27" i="6"/>
  <c r="L20" i="6"/>
  <c r="L44" i="6" s="1"/>
  <c r="L263" i="6" s="1"/>
  <c r="M9" i="4"/>
  <c r="M67" i="4" s="1"/>
  <c r="Q32" i="3"/>
  <c r="S32" i="3" s="1"/>
  <c r="T32" i="3" s="1"/>
  <c r="Q61" i="3"/>
  <c r="S61" i="3" s="1"/>
  <c r="P63" i="3"/>
  <c r="L96" i="3" s="1"/>
  <c r="J72" i="4" l="1"/>
  <c r="K72" i="4" s="1"/>
  <c r="J24" i="6"/>
  <c r="J99" i="6" s="1"/>
  <c r="J132" i="6" s="1"/>
  <c r="Z2" i="5"/>
  <c r="F16" i="5"/>
  <c r="L45" i="6"/>
  <c r="H64" i="6"/>
  <c r="M17" i="6"/>
  <c r="K19" i="6"/>
  <c r="L66" i="4"/>
  <c r="I25" i="6"/>
  <c r="I75" i="4"/>
  <c r="I28" i="6" s="1"/>
  <c r="J68" i="4"/>
  <c r="I69" i="4"/>
  <c r="I22" i="6" s="1"/>
  <c r="I21" i="6"/>
  <c r="K116" i="3"/>
  <c r="K118" i="3" s="1"/>
  <c r="K97" i="6"/>
  <c r="J112" i="6" s="1"/>
  <c r="L130" i="6"/>
  <c r="L74" i="4"/>
  <c r="K27" i="6"/>
  <c r="M20" i="6"/>
  <c r="M44" i="6" s="1"/>
  <c r="M263" i="6" s="1"/>
  <c r="L99" i="3"/>
  <c r="L101" i="3" s="1"/>
  <c r="L113" i="3"/>
  <c r="L71" i="4" s="1"/>
  <c r="Q63" i="3"/>
  <c r="M96" i="3" s="1"/>
  <c r="L72" i="4" l="1"/>
  <c r="AA2" i="5"/>
  <c r="L24" i="6"/>
  <c r="L99" i="6" s="1"/>
  <c r="L132" i="6" s="1"/>
  <c r="G14" i="5"/>
  <c r="M45" i="6"/>
  <c r="I64" i="6"/>
  <c r="M113" i="3"/>
  <c r="J25" i="6"/>
  <c r="J75" i="4"/>
  <c r="J28" i="6" s="1"/>
  <c r="L19" i="6"/>
  <c r="M66" i="4"/>
  <c r="M19" i="6" s="1"/>
  <c r="J21" i="6"/>
  <c r="K68" i="4"/>
  <c r="J69" i="4"/>
  <c r="J22" i="6" s="1"/>
  <c r="L116" i="3"/>
  <c r="L118" i="3" s="1"/>
  <c r="L97" i="6"/>
  <c r="K112" i="6" s="1"/>
  <c r="M130" i="6"/>
  <c r="M74" i="4"/>
  <c r="L27" i="6"/>
  <c r="M99" i="3"/>
  <c r="M101" i="3" s="1"/>
  <c r="B101" i="3" s="1"/>
  <c r="B96" i="3"/>
  <c r="B113" i="3" l="1"/>
  <c r="M71" i="4"/>
  <c r="M116" i="3"/>
  <c r="M118" i="3" s="1"/>
  <c r="B118" i="3" s="1"/>
  <c r="AB2" i="5"/>
  <c r="G15" i="5"/>
  <c r="J64" i="6"/>
  <c r="K25" i="6"/>
  <c r="K75" i="4"/>
  <c r="K28" i="6" s="1"/>
  <c r="K21" i="6"/>
  <c r="L68" i="4"/>
  <c r="K69" i="4"/>
  <c r="K22" i="6" s="1"/>
  <c r="M27" i="6"/>
  <c r="B99" i="3"/>
  <c r="B116" i="3" l="1"/>
  <c r="M72" i="4"/>
  <c r="M24" i="6"/>
  <c r="M99" i="6" s="1"/>
  <c r="M132" i="6" s="1"/>
  <c r="AC2" i="5"/>
  <c r="G16" i="5"/>
  <c r="M97" i="6"/>
  <c r="L112" i="6" s="1"/>
  <c r="K64" i="6"/>
  <c r="L25" i="6"/>
  <c r="L75" i="4"/>
  <c r="L28" i="6" s="1"/>
  <c r="L21" i="6"/>
  <c r="L69" i="4"/>
  <c r="L22" i="6" s="1"/>
  <c r="M68" i="4"/>
  <c r="AD2" i="5" l="1"/>
  <c r="H14" i="5"/>
  <c r="L64" i="6"/>
  <c r="M25" i="6"/>
  <c r="M75" i="4"/>
  <c r="M28" i="6" s="1"/>
  <c r="M69" i="4"/>
  <c r="M22" i="6" s="1"/>
  <c r="M21" i="6"/>
  <c r="AE2" i="5" l="1"/>
  <c r="H15" i="5"/>
  <c r="M64" i="6"/>
  <c r="AF2" i="5" l="1"/>
  <c r="H16" i="5"/>
  <c r="C11" i="6"/>
  <c r="AG2" i="5" l="1"/>
  <c r="I14" i="5"/>
  <c r="AH2" i="5" l="1"/>
  <c r="I15" i="5"/>
  <c r="AI2" i="5" l="1"/>
  <c r="I16" i="5"/>
  <c r="AJ2" i="5" l="1"/>
  <c r="J14" i="5"/>
  <c r="AK2" i="5" l="1"/>
  <c r="J15" i="5"/>
  <c r="AL2" i="5" l="1"/>
  <c r="J16" i="5"/>
  <c r="AM2" i="5" l="1"/>
  <c r="K14" i="5"/>
  <c r="AN2" i="5" l="1"/>
  <c r="K15" i="5"/>
  <c r="AO2" i="5" l="1"/>
  <c r="K16" i="5"/>
  <c r="AP2" i="5" l="1"/>
  <c r="L14" i="5"/>
  <c r="AQ2" i="5" l="1"/>
  <c r="L15" i="5"/>
  <c r="AR2" i="5" l="1"/>
  <c r="L16" i="5"/>
  <c r="AS2" i="5" l="1"/>
  <c r="M14" i="5"/>
  <c r="AT2" i="5" l="1"/>
  <c r="M15" i="5"/>
  <c r="AU2" i="5" l="1"/>
  <c r="M16" i="5"/>
  <c r="AV2" i="5" l="1"/>
  <c r="N14" i="5"/>
  <c r="AW2" i="5" l="1"/>
  <c r="N15" i="5"/>
  <c r="AX2" i="5" l="1"/>
  <c r="N16" i="5"/>
  <c r="AY2" i="5" l="1"/>
  <c r="O14" i="5"/>
  <c r="AZ2" i="5" l="1"/>
  <c r="O15" i="5"/>
  <c r="BA2" i="5" l="1"/>
  <c r="O16" i="5"/>
  <c r="BB2" i="5" l="1"/>
  <c r="P14" i="5"/>
  <c r="BC2" i="5" l="1"/>
  <c r="P15" i="5"/>
  <c r="BD2" i="5" l="1"/>
  <c r="P16" i="5"/>
  <c r="BE2" i="5" l="1"/>
  <c r="Q14" i="5"/>
  <c r="BF2" i="5" l="1"/>
  <c r="Q15" i="5"/>
  <c r="BG2" i="5" l="1"/>
  <c r="Q16" i="5"/>
  <c r="BH2" i="5" l="1"/>
  <c r="R14" i="5"/>
  <c r="BI2" i="5" l="1"/>
  <c r="R15" i="5"/>
  <c r="BJ2" i="5" l="1"/>
  <c r="R16" i="5"/>
  <c r="BK2" i="5" l="1"/>
  <c r="S14" i="5"/>
  <c r="BL2" i="5" l="1"/>
  <c r="S15" i="5"/>
  <c r="BM2" i="5" l="1"/>
  <c r="S16" i="5"/>
  <c r="BN2" i="5" l="1"/>
  <c r="T14" i="5"/>
  <c r="BO2" i="5" l="1"/>
  <c r="T15" i="5"/>
  <c r="BP2" i="5" l="1"/>
  <c r="T16" i="5"/>
  <c r="BQ2" i="5" l="1"/>
  <c r="U14" i="5"/>
  <c r="BR2" i="5" l="1"/>
  <c r="U15" i="5"/>
  <c r="BS2" i="5" l="1"/>
  <c r="U16" i="5"/>
  <c r="BT2" i="5" l="1"/>
  <c r="V14" i="5"/>
  <c r="BU2" i="5" l="1"/>
  <c r="V15" i="5"/>
  <c r="BV2" i="5" l="1"/>
  <c r="V16" i="5"/>
  <c r="BW2" i="5" l="1"/>
  <c r="W14" i="5"/>
  <c r="D11" i="6"/>
  <c r="BX2" i="5" l="1"/>
  <c r="W15" i="5"/>
  <c r="BY2" i="5" l="1"/>
  <c r="W16" i="5"/>
  <c r="BZ2" i="5" l="1"/>
  <c r="X14" i="5"/>
  <c r="CA2" i="5" l="1"/>
  <c r="X15" i="5"/>
  <c r="CB2" i="5" l="1"/>
  <c r="X16" i="5"/>
  <c r="CC2" i="5" l="1"/>
  <c r="Y14" i="5"/>
  <c r="CD2" i="5" l="1"/>
  <c r="Y15" i="5"/>
  <c r="CE2" i="5" l="1"/>
  <c r="Y16" i="5"/>
  <c r="CF2" i="5" l="1"/>
  <c r="Z14" i="5"/>
  <c r="CG2" i="5" l="1"/>
  <c r="Z15" i="5"/>
  <c r="CH2" i="5" l="1"/>
  <c r="Z16" i="5"/>
  <c r="CI2" i="5" l="1"/>
  <c r="AA14" i="5"/>
  <c r="CJ2" i="5" l="1"/>
  <c r="AA15" i="5"/>
  <c r="CK2" i="5" l="1"/>
  <c r="AA16" i="5"/>
  <c r="CL2" i="5" l="1"/>
  <c r="AB14" i="5"/>
  <c r="CM2" i="5" l="1"/>
  <c r="AB15" i="5"/>
  <c r="CN2" i="5" l="1"/>
  <c r="AB16" i="5"/>
  <c r="CO2" i="5" l="1"/>
  <c r="AC14" i="5"/>
  <c r="CP2" i="5" l="1"/>
  <c r="AC15" i="5"/>
  <c r="CQ2" i="5" l="1"/>
  <c r="AC16" i="5"/>
  <c r="CR2" i="5" l="1"/>
  <c r="AD14" i="5"/>
  <c r="CS2" i="5" l="1"/>
  <c r="AD15" i="5"/>
  <c r="CT2" i="5" l="1"/>
  <c r="AD16" i="5"/>
  <c r="CU2" i="5" l="1"/>
  <c r="AE14" i="5"/>
  <c r="CV2" i="5" l="1"/>
  <c r="AE15" i="5"/>
  <c r="CW2" i="5" l="1"/>
  <c r="AE16" i="5"/>
  <c r="CX2" i="5" l="1"/>
  <c r="AF14" i="5"/>
  <c r="CY2" i="5" l="1"/>
  <c r="AF15" i="5"/>
  <c r="CZ2" i="5" l="1"/>
  <c r="AF16" i="5"/>
  <c r="DA2" i="5" l="1"/>
  <c r="AG14" i="5"/>
  <c r="DB2" i="5" l="1"/>
  <c r="AG15" i="5"/>
  <c r="DC2" i="5" l="1"/>
  <c r="AG16" i="5"/>
  <c r="DD2" i="5" l="1"/>
  <c r="AH14" i="5"/>
  <c r="DE2" i="5" l="1"/>
  <c r="AH15" i="5"/>
  <c r="DF2" i="5" l="1"/>
  <c r="AH16" i="5"/>
  <c r="DG2" i="5" l="1"/>
  <c r="AI14" i="5"/>
  <c r="DH2" i="5" l="1"/>
  <c r="AI15" i="5"/>
  <c r="DI2" i="5" l="1"/>
  <c r="AI16" i="5"/>
  <c r="DJ2" i="5" l="1"/>
  <c r="AJ14" i="5"/>
  <c r="DK2" i="5" l="1"/>
  <c r="AJ15" i="5"/>
  <c r="DL2" i="5" l="1"/>
  <c r="AJ16" i="5"/>
  <c r="DM2" i="5" l="1"/>
  <c r="AK14" i="5"/>
  <c r="DN2" i="5" l="1"/>
  <c r="AK15" i="5"/>
  <c r="DO2" i="5" l="1"/>
  <c r="AK16" i="5"/>
  <c r="DP2" i="5" l="1"/>
  <c r="AL14" i="5"/>
  <c r="DQ2" i="5" l="1"/>
  <c r="AL15" i="5"/>
  <c r="DR2" i="5" l="1"/>
  <c r="AL16" i="5"/>
  <c r="DS2" i="5" l="1"/>
  <c r="AM14" i="5"/>
  <c r="DT2" i="5" l="1"/>
  <c r="AM15" i="5"/>
  <c r="E19" i="5" l="1"/>
  <c r="F19" i="5"/>
  <c r="G19" i="5"/>
  <c r="H19" i="5"/>
  <c r="I19" i="5"/>
  <c r="J19" i="5"/>
  <c r="K19" i="5"/>
  <c r="L19" i="5"/>
  <c r="DU2" i="5"/>
  <c r="AM16" i="5"/>
  <c r="DV2" i="5" l="1"/>
  <c r="AN14" i="5"/>
  <c r="DW2" i="5" l="1"/>
  <c r="AN15" i="5"/>
  <c r="DX2" i="5" l="1"/>
  <c r="AN16" i="5"/>
  <c r="DY2" i="5" l="1"/>
  <c r="AO14" i="5"/>
  <c r="M19" i="5" l="1"/>
  <c r="AO15" i="5"/>
  <c r="AO16" i="5" l="1"/>
  <c r="AP14" i="5" l="1"/>
  <c r="AP15" i="5" l="1"/>
  <c r="AP16" i="5" l="1"/>
  <c r="AQ14" i="5" l="1"/>
  <c r="AQ15" i="5" l="1"/>
  <c r="AQ16" i="5" l="1"/>
  <c r="AR14" i="5" l="1"/>
  <c r="AR15" i="5" l="1"/>
  <c r="F11" i="6"/>
  <c r="AR16" i="5" l="1"/>
  <c r="AS14" i="5" l="1"/>
  <c r="AS15" i="5" l="1"/>
  <c r="AS16" i="5" l="1"/>
  <c r="AT14" i="5" l="1"/>
  <c r="AT15" i="5" l="1"/>
  <c r="AT16" i="5" l="1"/>
  <c r="AU14" i="5" l="1"/>
  <c r="AU15" i="5" l="1"/>
  <c r="AU16" i="5" l="1"/>
  <c r="AV14" i="5" l="1"/>
  <c r="AV15" i="5" l="1"/>
  <c r="AV16" i="5" l="1"/>
  <c r="AW14" i="5" l="1"/>
  <c r="AW15" i="5" l="1"/>
  <c r="AW16" i="5" l="1"/>
  <c r="AX14" i="5" l="1"/>
  <c r="AX15" i="5" l="1"/>
  <c r="AX16" i="5" l="1"/>
  <c r="AY14" i="5" l="1"/>
  <c r="AY15" i="5" l="1"/>
  <c r="AY16" i="5" l="1"/>
  <c r="AZ14" i="5" l="1"/>
  <c r="AZ15" i="5" l="1"/>
  <c r="AZ16" i="5" l="1"/>
  <c r="BA14" i="5" l="1"/>
  <c r="BA15" i="5" l="1"/>
  <c r="BA16" i="5" l="1"/>
  <c r="BB14" i="5" l="1"/>
  <c r="BB15" i="5" l="1"/>
  <c r="BB16" i="5" l="1"/>
  <c r="BC14" i="5" l="1"/>
  <c r="BC15" i="5" l="1"/>
  <c r="BC16" i="5" l="1"/>
  <c r="BD14" i="5" l="1"/>
  <c r="BD15" i="5" l="1"/>
  <c r="BD16" i="5" l="1"/>
  <c r="BE14" i="5" l="1"/>
  <c r="BE15" i="5" l="1"/>
  <c r="BE16" i="5" l="1"/>
  <c r="BF14" i="5" l="1"/>
  <c r="BF15" i="5" l="1"/>
  <c r="BF16" i="5" l="1"/>
  <c r="BG14" i="5" l="1"/>
  <c r="BG15" i="5" l="1"/>
  <c r="BG16" i="5" l="1"/>
  <c r="BH14" i="5" l="1"/>
  <c r="BH15" i="5" l="1"/>
  <c r="BH16" i="5" l="1"/>
  <c r="BI14" i="5" l="1"/>
  <c r="BI15" i="5" l="1"/>
  <c r="BI16" i="5" l="1"/>
  <c r="BJ14" i="5" l="1"/>
  <c r="BJ15" i="5" l="1"/>
  <c r="BJ16" i="5" l="1"/>
  <c r="BK14" i="5" l="1"/>
  <c r="BK15" i="5" l="1"/>
  <c r="BK16" i="5" l="1"/>
  <c r="BL14" i="5" l="1"/>
  <c r="BL15" i="5" l="1"/>
  <c r="BL16" i="5" l="1"/>
  <c r="BM14" i="5" l="1"/>
  <c r="BM15" i="5" l="1"/>
  <c r="BM16" i="5" l="1"/>
  <c r="BN14" i="5" l="1"/>
  <c r="BN15" i="5" l="1"/>
  <c r="BN16" i="5" l="1"/>
  <c r="BO14" i="5" l="1"/>
  <c r="BO15" i="5" l="1"/>
  <c r="BO16" i="5" l="1"/>
  <c r="BP14" i="5" l="1"/>
  <c r="BP15" i="5" l="1"/>
  <c r="BP16" i="5" l="1"/>
  <c r="BQ14" i="5" l="1"/>
  <c r="BQ15" i="5" l="1"/>
  <c r="BQ16" i="5" l="1"/>
  <c r="BR14" i="5" l="1"/>
  <c r="BR15" i="5" l="1"/>
  <c r="BR16" i="5" l="1"/>
  <c r="BS14" i="5" l="1"/>
  <c r="BS15" i="5" l="1"/>
  <c r="BS16" i="5" l="1"/>
  <c r="BT14" i="5" l="1"/>
  <c r="BT15" i="5" l="1"/>
  <c r="BT16" i="5" l="1"/>
  <c r="BU14" i="5" l="1"/>
  <c r="BU15" i="5" l="1"/>
  <c r="BU16" i="5" l="1"/>
  <c r="BV14" i="5" l="1"/>
  <c r="BV15" i="5" l="1"/>
  <c r="BV16" i="5" l="1"/>
  <c r="BW14" i="5" l="1"/>
  <c r="BW15" i="5" l="1"/>
  <c r="BW16" i="5" l="1"/>
  <c r="BX14" i="5" l="1"/>
  <c r="BX15" i="5" l="1"/>
  <c r="BX16" i="5" l="1"/>
  <c r="BY14" i="5" l="1"/>
  <c r="BY15" i="5" l="1"/>
  <c r="BY16" i="5" l="1"/>
  <c r="BZ14" i="5" l="1"/>
  <c r="BZ15" i="5" l="1"/>
  <c r="BZ16" i="5" l="1"/>
  <c r="CA14" i="5" l="1"/>
  <c r="CA15" i="5" l="1"/>
  <c r="CA16" i="5" l="1"/>
  <c r="CB14" i="5" l="1"/>
  <c r="CB15" i="5" l="1"/>
  <c r="CB16" i="5" l="1"/>
  <c r="CC14" i="5" l="1"/>
  <c r="CC15" i="5" l="1"/>
  <c r="CC16" i="5" l="1"/>
  <c r="CD14" i="5" l="1"/>
  <c r="CD15" i="5" l="1"/>
  <c r="CD16" i="5" l="1"/>
  <c r="CE14" i="5" l="1"/>
  <c r="CE15" i="5" l="1"/>
  <c r="CE16" i="5" l="1"/>
  <c r="CF14" i="5" l="1"/>
  <c r="CF15" i="5" l="1"/>
  <c r="CF16" i="5" l="1"/>
  <c r="CG14" i="5" l="1"/>
  <c r="CG15" i="5" l="1"/>
  <c r="CG16" i="5" l="1"/>
  <c r="CH14" i="5" l="1"/>
  <c r="CH15" i="5" l="1"/>
  <c r="CH16" i="5" l="1"/>
  <c r="CI14" i="5" l="1"/>
  <c r="CI15" i="5" l="1"/>
  <c r="CI16" i="5" l="1"/>
  <c r="CJ14" i="5" l="1"/>
  <c r="CJ15" i="5" l="1"/>
  <c r="CJ16" i="5" l="1"/>
  <c r="CK14" i="5" l="1"/>
  <c r="CK15" i="5" l="1"/>
  <c r="CK16" i="5" l="1"/>
  <c r="CL14" i="5" l="1"/>
  <c r="CL15" i="5" l="1"/>
  <c r="CL16" i="5" l="1"/>
  <c r="CM14" i="5" l="1"/>
  <c r="CM15" i="5" l="1"/>
  <c r="CM16" i="5" l="1"/>
  <c r="CN14" i="5" l="1"/>
  <c r="CN15" i="5" l="1"/>
  <c r="CN16" i="5" l="1"/>
  <c r="CO14" i="5" l="1"/>
  <c r="CO15" i="5" l="1"/>
  <c r="CO16" i="5" l="1"/>
  <c r="CP14" i="5" l="1"/>
  <c r="CP15" i="5" l="1"/>
  <c r="CP16" i="5" l="1"/>
  <c r="CQ14" i="5" l="1"/>
  <c r="CQ15" i="5" l="1"/>
  <c r="CQ16" i="5" l="1"/>
  <c r="CR14" i="5" l="1"/>
  <c r="CR15" i="5" l="1"/>
  <c r="CR16" i="5" l="1"/>
  <c r="CS14" i="5" l="1"/>
  <c r="CS15" i="5" l="1"/>
  <c r="CS16" i="5" l="1"/>
  <c r="CT14" i="5" l="1"/>
  <c r="CT15" i="5" l="1"/>
  <c r="CT16" i="5" l="1"/>
  <c r="CU14" i="5" l="1"/>
  <c r="CU15" i="5" l="1"/>
  <c r="CU16" i="5" l="1"/>
  <c r="CV14" i="5" l="1"/>
  <c r="CV15" i="5" l="1"/>
  <c r="CV16" i="5" l="1"/>
  <c r="CW14" i="5" l="1"/>
  <c r="CW15" i="5" l="1"/>
  <c r="CW16" i="5" l="1"/>
  <c r="CX14" i="5" l="1"/>
  <c r="CX15" i="5" l="1"/>
  <c r="CX16" i="5" l="1"/>
  <c r="CY14" i="5" l="1"/>
  <c r="CY15" i="5" l="1"/>
  <c r="CY16" i="5" l="1"/>
  <c r="CZ14" i="5" l="1"/>
  <c r="CZ15" i="5" l="1"/>
  <c r="CZ16" i="5" l="1"/>
  <c r="DA14" i="5" l="1"/>
  <c r="DA15" i="5" l="1"/>
  <c r="DA16" i="5" l="1"/>
  <c r="DB14" i="5" l="1"/>
  <c r="DB15" i="5" l="1"/>
  <c r="DB16" i="5" l="1"/>
  <c r="DC14" i="5" l="1"/>
  <c r="DC15" i="5" l="1"/>
  <c r="DC16" i="5" l="1"/>
  <c r="DD14" i="5" l="1"/>
  <c r="DD15" i="5" l="1"/>
  <c r="DD16" i="5" l="1"/>
  <c r="DE14" i="5" l="1"/>
  <c r="DE15" i="5" l="1"/>
  <c r="DE16" i="5" l="1"/>
  <c r="DF14" i="5" l="1"/>
  <c r="DF15" i="5" l="1"/>
  <c r="DF16" i="5" l="1"/>
  <c r="DG14" i="5" l="1"/>
  <c r="DG15" i="5" l="1"/>
  <c r="DG16" i="5" l="1"/>
  <c r="DH14" i="5" l="1"/>
  <c r="DH15" i="5" l="1"/>
  <c r="DH16" i="5" l="1"/>
  <c r="DI14" i="5" l="1"/>
  <c r="DI15" i="5" l="1"/>
  <c r="DI16" i="5" l="1"/>
  <c r="DJ14" i="5" l="1"/>
  <c r="DJ15" i="5" l="1"/>
  <c r="DJ16" i="5" l="1"/>
  <c r="DK14" i="5" l="1"/>
  <c r="DK15" i="5" l="1"/>
  <c r="DK16" i="5" l="1"/>
  <c r="DL14" i="5" l="1"/>
  <c r="DL15" i="5" l="1"/>
  <c r="DL16" i="5" l="1"/>
  <c r="DM14" i="5" l="1"/>
  <c r="DM15" i="5" l="1"/>
  <c r="DM16" i="5" l="1"/>
  <c r="DN14" i="5" l="1"/>
  <c r="DN15" i="5" l="1"/>
  <c r="DN16" i="5" l="1"/>
  <c r="DO14" i="5" l="1"/>
  <c r="DO15" i="5" l="1"/>
  <c r="DO16" i="5" l="1"/>
  <c r="DP14" i="5" l="1"/>
  <c r="DP15" i="5" l="1"/>
  <c r="DP16" i="5" l="1"/>
  <c r="DQ14" i="5" l="1"/>
  <c r="DQ15" i="5" l="1"/>
  <c r="DQ16" i="5" l="1"/>
  <c r="DR14" i="5" l="1"/>
  <c r="DR15" i="5" l="1"/>
  <c r="G11" i="6"/>
  <c r="H11" i="6"/>
  <c r="I11" i="6"/>
  <c r="J11" i="6"/>
  <c r="K11" i="6"/>
  <c r="L11" i="6"/>
  <c r="DR16" i="5" l="1"/>
  <c r="E11" i="6"/>
  <c r="M11" i="6"/>
  <c r="DS14" i="5" l="1"/>
  <c r="B19" i="5"/>
  <c r="C20" i="5" l="1"/>
  <c r="C12" i="6" s="1"/>
  <c r="D20" i="5"/>
  <c r="D24" i="5" s="1"/>
  <c r="E20" i="5"/>
  <c r="F20" i="5"/>
  <c r="G20" i="5"/>
  <c r="H20" i="5"/>
  <c r="I20" i="5"/>
  <c r="J20" i="5"/>
  <c r="K20" i="5"/>
  <c r="K12" i="6" s="1"/>
  <c r="L20" i="5"/>
  <c r="DS15" i="5"/>
  <c r="L12" i="6" l="1"/>
  <c r="L50" i="6" s="1"/>
  <c r="C21" i="5"/>
  <c r="C13" i="6" s="1"/>
  <c r="D21" i="5"/>
  <c r="E21" i="5"/>
  <c r="E13" i="6" s="1"/>
  <c r="F21" i="5"/>
  <c r="F13" i="6" s="1"/>
  <c r="G21" i="5"/>
  <c r="G13" i="6" s="1"/>
  <c r="H21" i="5"/>
  <c r="H13" i="6" s="1"/>
  <c r="I21" i="5"/>
  <c r="J21" i="5"/>
  <c r="K21" i="5"/>
  <c r="L21" i="5"/>
  <c r="F12" i="6"/>
  <c r="E12" i="6"/>
  <c r="J12" i="6"/>
  <c r="D181" i="6"/>
  <c r="D12" i="6"/>
  <c r="D50" i="6" s="1"/>
  <c r="H12" i="6"/>
  <c r="G12" i="6"/>
  <c r="I12" i="6"/>
  <c r="C101" i="6"/>
  <c r="C156" i="6" s="1"/>
  <c r="DS16" i="5"/>
  <c r="K101" i="6"/>
  <c r="K156" i="6" s="1"/>
  <c r="K50" i="6"/>
  <c r="K13" i="6"/>
  <c r="D22" i="5" l="1"/>
  <c r="E22" i="5" s="1"/>
  <c r="D13" i="6"/>
  <c r="C71" i="6" s="1"/>
  <c r="L101" i="6"/>
  <c r="L156" i="6" s="1"/>
  <c r="L13" i="6"/>
  <c r="L102" i="6" s="1"/>
  <c r="L157" i="6" s="1"/>
  <c r="G101" i="6"/>
  <c r="G156" i="6" s="1"/>
  <c r="G50" i="6"/>
  <c r="J101" i="6"/>
  <c r="J156" i="6" s="1"/>
  <c r="J50" i="6"/>
  <c r="J13" i="6"/>
  <c r="C102" i="6"/>
  <c r="C14" i="6"/>
  <c r="E101" i="6"/>
  <c r="E156" i="6" s="1"/>
  <c r="E50" i="6"/>
  <c r="I101" i="6"/>
  <c r="I156" i="6" s="1"/>
  <c r="I50" i="6"/>
  <c r="I13" i="6"/>
  <c r="F50" i="6"/>
  <c r="F101" i="6"/>
  <c r="F156" i="6" s="1"/>
  <c r="H101" i="6"/>
  <c r="H156" i="6" s="1"/>
  <c r="H50" i="6"/>
  <c r="D101" i="6"/>
  <c r="D156" i="6" s="1"/>
  <c r="DT14" i="5"/>
  <c r="K126" i="6"/>
  <c r="L126" i="6"/>
  <c r="K102" i="6"/>
  <c r="K157" i="6" s="1"/>
  <c r="K158" i="6" s="1"/>
  <c r="J71" i="6"/>
  <c r="L158" i="6" l="1"/>
  <c r="C104" i="6"/>
  <c r="C157" i="6"/>
  <c r="C158" i="6" s="1"/>
  <c r="C73" i="6"/>
  <c r="C76" i="6"/>
  <c r="E24" i="5"/>
  <c r="E181" i="6" s="1"/>
  <c r="K71" i="6"/>
  <c r="F22" i="5"/>
  <c r="F24" i="5"/>
  <c r="F181" i="6" s="1"/>
  <c r="DT15" i="5"/>
  <c r="H71" i="6"/>
  <c r="I102" i="6"/>
  <c r="I157" i="6" s="1"/>
  <c r="I158" i="6" s="1"/>
  <c r="I126" i="6"/>
  <c r="I71" i="6"/>
  <c r="J102" i="6"/>
  <c r="J157" i="6" s="1"/>
  <c r="J158" i="6" s="1"/>
  <c r="F126" i="6"/>
  <c r="E102" i="6"/>
  <c r="E157" i="6" s="1"/>
  <c r="E158" i="6" s="1"/>
  <c r="D71" i="6"/>
  <c r="J126" i="6"/>
  <c r="G71" i="6"/>
  <c r="H102" i="6"/>
  <c r="H157" i="6" s="1"/>
  <c r="H158" i="6" s="1"/>
  <c r="F71" i="6"/>
  <c r="G102" i="6"/>
  <c r="G157" i="6" s="1"/>
  <c r="G158" i="6" s="1"/>
  <c r="H126" i="6"/>
  <c r="L76" i="6"/>
  <c r="G76" i="6"/>
  <c r="F76" i="6"/>
  <c r="J76" i="6"/>
  <c r="D10" i="6"/>
  <c r="D14" i="6" s="1"/>
  <c r="D76" i="6"/>
  <c r="I76" i="6"/>
  <c r="K76" i="6"/>
  <c r="M76" i="6"/>
  <c r="E76" i="6"/>
  <c r="H76" i="6"/>
  <c r="G126" i="6"/>
  <c r="D126" i="6"/>
  <c r="D102" i="6"/>
  <c r="D157" i="6" s="1"/>
  <c r="D158" i="6" s="1"/>
  <c r="F102" i="6"/>
  <c r="F157" i="6" s="1"/>
  <c r="F158" i="6" s="1"/>
  <c r="E71" i="6"/>
  <c r="E126" i="6"/>
  <c r="J141" i="6"/>
  <c r="G141" i="6" l="1"/>
  <c r="I141" i="6"/>
  <c r="H141" i="6"/>
  <c r="K141" i="6"/>
  <c r="C92" i="6"/>
  <c r="G22" i="5"/>
  <c r="G24" i="5"/>
  <c r="G181" i="6" s="1"/>
  <c r="C141" i="6"/>
  <c r="F141" i="6"/>
  <c r="E10" i="6"/>
  <c r="E14" i="6" s="1"/>
  <c r="D73" i="6"/>
  <c r="D141" i="6"/>
  <c r="E141" i="6"/>
  <c r="DT16" i="5"/>
  <c r="DU14" i="5" s="1"/>
  <c r="C30" i="2"/>
  <c r="D30" i="2" s="1"/>
  <c r="E30" i="2" s="1"/>
  <c r="F30" i="2" s="1"/>
  <c r="G30" i="2" s="1"/>
  <c r="H30" i="2" s="1"/>
  <c r="I30" i="2" s="1"/>
  <c r="J30" i="2" s="1"/>
  <c r="K30" i="2" s="1"/>
  <c r="L30" i="2" s="1"/>
  <c r="M30" i="2" s="1"/>
  <c r="O16" i="2"/>
  <c r="N16" i="2"/>
  <c r="M16" i="2"/>
  <c r="L16" i="2"/>
  <c r="K16" i="2"/>
  <c r="J16" i="2"/>
  <c r="O15" i="2"/>
  <c r="N15" i="2"/>
  <c r="M15" i="2"/>
  <c r="L15" i="2"/>
  <c r="K15" i="2"/>
  <c r="J15" i="2"/>
  <c r="P25" i="2" s="1"/>
  <c r="O14" i="2"/>
  <c r="N14" i="2"/>
  <c r="M14" i="2"/>
  <c r="L14" i="2"/>
  <c r="K14" i="2"/>
  <c r="J14" i="2"/>
  <c r="O13" i="2"/>
  <c r="N13" i="2"/>
  <c r="M13" i="2"/>
  <c r="L13" i="2"/>
  <c r="K13" i="2"/>
  <c r="J13" i="2"/>
  <c r="D34" i="2"/>
  <c r="E34" i="2" s="1"/>
  <c r="J22" i="2"/>
  <c r="K22" i="2" s="1"/>
  <c r="L22" i="2" s="1"/>
  <c r="M22" i="2" s="1"/>
  <c r="N22" i="2" s="1"/>
  <c r="O22" i="2" s="1"/>
  <c r="P22" i="2" s="1"/>
  <c r="Q22" i="2" s="1"/>
  <c r="R22" i="2" s="1"/>
  <c r="S22" i="2" s="1"/>
  <c r="T22" i="2" s="1"/>
  <c r="U22" i="2" s="1"/>
  <c r="V22" i="2" s="1"/>
  <c r="W22" i="2" s="1"/>
  <c r="X22" i="2" s="1"/>
  <c r="Y22" i="2" s="1"/>
  <c r="Z22" i="2" s="1"/>
  <c r="AA22" i="2" s="1"/>
  <c r="AB22" i="2" s="1"/>
  <c r="AC22" i="2" s="1"/>
  <c r="AD22" i="2" s="1"/>
  <c r="AE22" i="2" s="1"/>
  <c r="AF22" i="2" s="1"/>
  <c r="AG22" i="2" s="1"/>
  <c r="AH22" i="2" s="1"/>
  <c r="AI22" i="2" s="1"/>
  <c r="AJ22" i="2" s="1"/>
  <c r="AK22" i="2" s="1"/>
  <c r="AL22" i="2" s="1"/>
  <c r="AM22" i="2" s="1"/>
  <c r="AN22" i="2" s="1"/>
  <c r="AO22" i="2" s="1"/>
  <c r="AP22" i="2" s="1"/>
  <c r="AQ22" i="2" s="1"/>
  <c r="AR22" i="2" s="1"/>
  <c r="AS22" i="2" s="1"/>
  <c r="AT22" i="2" s="1"/>
  <c r="AU22" i="2" s="1"/>
  <c r="AV22" i="2" s="1"/>
  <c r="AW22" i="2" s="1"/>
  <c r="AX22" i="2" s="1"/>
  <c r="AY22" i="2" s="1"/>
  <c r="AZ22" i="2" s="1"/>
  <c r="BA22" i="2" s="1"/>
  <c r="BB22" i="2" s="1"/>
  <c r="BC22" i="2" s="1"/>
  <c r="BD22" i="2" s="1"/>
  <c r="BE22" i="2" s="1"/>
  <c r="BF22" i="2" s="1"/>
  <c r="BG22" i="2" s="1"/>
  <c r="BH22" i="2" s="1"/>
  <c r="BI22" i="2" s="1"/>
  <c r="BJ22" i="2" s="1"/>
  <c r="BK22" i="2" s="1"/>
  <c r="BL22" i="2" s="1"/>
  <c r="BM22" i="2" s="1"/>
  <c r="BN22" i="2" s="1"/>
  <c r="BO22" i="2" s="1"/>
  <c r="BP22" i="2" s="1"/>
  <c r="BQ22" i="2" s="1"/>
  <c r="BR22" i="2" s="1"/>
  <c r="BS22" i="2" s="1"/>
  <c r="BT22" i="2" s="1"/>
  <c r="BU22" i="2" s="1"/>
  <c r="BV22" i="2" s="1"/>
  <c r="BW22" i="2" s="1"/>
  <c r="BX22" i="2" s="1"/>
  <c r="BY22" i="2" s="1"/>
  <c r="BZ22" i="2" s="1"/>
  <c r="CA22" i="2" s="1"/>
  <c r="CB22" i="2" s="1"/>
  <c r="CC22" i="2" s="1"/>
  <c r="CD22" i="2" s="1"/>
  <c r="CE22" i="2" s="1"/>
  <c r="CF22" i="2" s="1"/>
  <c r="CG22" i="2" s="1"/>
  <c r="CH22" i="2" s="1"/>
  <c r="CI22" i="2" s="1"/>
  <c r="CJ22" i="2" s="1"/>
  <c r="CK22" i="2" s="1"/>
  <c r="CL22" i="2" s="1"/>
  <c r="CM22" i="2" s="1"/>
  <c r="CN22" i="2" s="1"/>
  <c r="CO22" i="2" s="1"/>
  <c r="CP22" i="2" s="1"/>
  <c r="CQ22" i="2" s="1"/>
  <c r="CR22" i="2" s="1"/>
  <c r="CS22" i="2" s="1"/>
  <c r="CT22" i="2" s="1"/>
  <c r="CU22" i="2" s="1"/>
  <c r="CV22" i="2" s="1"/>
  <c r="CW22" i="2" s="1"/>
  <c r="CX22" i="2" s="1"/>
  <c r="CY22" i="2" s="1"/>
  <c r="CZ22" i="2" s="1"/>
  <c r="DA22" i="2" s="1"/>
  <c r="DB22" i="2" s="1"/>
  <c r="DC22" i="2" s="1"/>
  <c r="DD22" i="2" s="1"/>
  <c r="DE22" i="2" s="1"/>
  <c r="DF22" i="2" s="1"/>
  <c r="DG22" i="2" s="1"/>
  <c r="DH22" i="2" s="1"/>
  <c r="DI22" i="2" s="1"/>
  <c r="DJ22" i="2" s="1"/>
  <c r="DK22" i="2" s="1"/>
  <c r="DL22" i="2" s="1"/>
  <c r="DM22" i="2" s="1"/>
  <c r="DN22" i="2" s="1"/>
  <c r="DO22" i="2" s="1"/>
  <c r="DP22" i="2" s="1"/>
  <c r="DQ22" i="2" s="1"/>
  <c r="DR22" i="2" s="1"/>
  <c r="DS22" i="2" s="1"/>
  <c r="DT22" i="2" s="1"/>
  <c r="DU22" i="2" s="1"/>
  <c r="DV22" i="2" s="1"/>
  <c r="DW22" i="2" s="1"/>
  <c r="DX22" i="2" s="1"/>
  <c r="DY22" i="2" s="1"/>
  <c r="D20" i="2"/>
  <c r="E20" i="2" s="1"/>
  <c r="F20" i="2" s="1"/>
  <c r="G20" i="2" s="1"/>
  <c r="H20" i="2" s="1"/>
  <c r="I20" i="2" s="1"/>
  <c r="J20" i="2" s="1"/>
  <c r="K20" i="2" s="1"/>
  <c r="L20" i="2" s="1"/>
  <c r="M20" i="2" s="1"/>
  <c r="N20" i="2" s="1"/>
  <c r="O20" i="2" s="1"/>
  <c r="P20" i="2" s="1"/>
  <c r="Q20" i="2" s="1"/>
  <c r="R20" i="2" s="1"/>
  <c r="S20" i="2" s="1"/>
  <c r="T20" i="2" s="1"/>
  <c r="U20" i="2" s="1"/>
  <c r="V20" i="2" s="1"/>
  <c r="W20" i="2" s="1"/>
  <c r="X20" i="2" s="1"/>
  <c r="Y20" i="2" s="1"/>
  <c r="Z20" i="2" s="1"/>
  <c r="AA20" i="2" s="1"/>
  <c r="AB20" i="2" s="1"/>
  <c r="AC20" i="2" s="1"/>
  <c r="AD20" i="2" s="1"/>
  <c r="AE20" i="2" s="1"/>
  <c r="AF20" i="2" s="1"/>
  <c r="AG20" i="2" s="1"/>
  <c r="AH20" i="2" s="1"/>
  <c r="AI20" i="2" s="1"/>
  <c r="AJ20" i="2" s="1"/>
  <c r="AK20" i="2" s="1"/>
  <c r="AL20" i="2" s="1"/>
  <c r="AM20" i="2" s="1"/>
  <c r="AN20" i="2" s="1"/>
  <c r="AO20" i="2" s="1"/>
  <c r="AP20" i="2" s="1"/>
  <c r="AQ20" i="2" s="1"/>
  <c r="AR20" i="2" s="1"/>
  <c r="AS20" i="2" s="1"/>
  <c r="AT20" i="2" s="1"/>
  <c r="AU20" i="2" s="1"/>
  <c r="AV20" i="2" s="1"/>
  <c r="AW20" i="2" s="1"/>
  <c r="AX20" i="2" s="1"/>
  <c r="AY20" i="2" s="1"/>
  <c r="AZ20" i="2" s="1"/>
  <c r="BA20" i="2" s="1"/>
  <c r="BB20" i="2" s="1"/>
  <c r="BC20" i="2" s="1"/>
  <c r="BD20" i="2" s="1"/>
  <c r="BE20" i="2" s="1"/>
  <c r="BF20" i="2" s="1"/>
  <c r="BG20" i="2" s="1"/>
  <c r="BH20" i="2" s="1"/>
  <c r="BI20" i="2" s="1"/>
  <c r="BJ20" i="2" s="1"/>
  <c r="BK20" i="2" s="1"/>
  <c r="BL20" i="2" s="1"/>
  <c r="BM20" i="2" s="1"/>
  <c r="BN20" i="2" s="1"/>
  <c r="BO20" i="2" s="1"/>
  <c r="BP20" i="2" s="1"/>
  <c r="BQ20" i="2" s="1"/>
  <c r="BR20" i="2" s="1"/>
  <c r="BS20" i="2" s="1"/>
  <c r="BT20" i="2" s="1"/>
  <c r="BU20" i="2" s="1"/>
  <c r="BV20" i="2" s="1"/>
  <c r="BW20" i="2" s="1"/>
  <c r="BX20" i="2" s="1"/>
  <c r="BY20" i="2" s="1"/>
  <c r="BZ20" i="2" s="1"/>
  <c r="CA20" i="2" s="1"/>
  <c r="CB20" i="2" s="1"/>
  <c r="CC20" i="2" s="1"/>
  <c r="CD20" i="2" s="1"/>
  <c r="CE20" i="2" s="1"/>
  <c r="CF20" i="2" s="1"/>
  <c r="CG20" i="2" s="1"/>
  <c r="CH20" i="2" s="1"/>
  <c r="CI20" i="2" s="1"/>
  <c r="CJ20" i="2" s="1"/>
  <c r="CK20" i="2" s="1"/>
  <c r="CL20" i="2" s="1"/>
  <c r="CM20" i="2" s="1"/>
  <c r="CN20" i="2" s="1"/>
  <c r="CO20" i="2" s="1"/>
  <c r="CP20" i="2" s="1"/>
  <c r="CQ20" i="2" s="1"/>
  <c r="CR20" i="2" s="1"/>
  <c r="CS20" i="2" s="1"/>
  <c r="CT20" i="2" s="1"/>
  <c r="CU20" i="2" s="1"/>
  <c r="CV20" i="2" s="1"/>
  <c r="CW20" i="2" s="1"/>
  <c r="CX20" i="2" s="1"/>
  <c r="CY20" i="2" s="1"/>
  <c r="CZ20" i="2" s="1"/>
  <c r="DA20" i="2" s="1"/>
  <c r="DB20" i="2" s="1"/>
  <c r="DC20" i="2" s="1"/>
  <c r="DD20" i="2" s="1"/>
  <c r="DE20" i="2" s="1"/>
  <c r="DF20" i="2" s="1"/>
  <c r="DG20" i="2" s="1"/>
  <c r="DH20" i="2" s="1"/>
  <c r="DI20" i="2" s="1"/>
  <c r="DJ20" i="2" s="1"/>
  <c r="DK20" i="2" s="1"/>
  <c r="DL20" i="2" s="1"/>
  <c r="DM20" i="2" s="1"/>
  <c r="DN20" i="2" s="1"/>
  <c r="DO20" i="2" s="1"/>
  <c r="DP20" i="2" s="1"/>
  <c r="DQ20" i="2" s="1"/>
  <c r="DR20" i="2" s="1"/>
  <c r="DS20" i="2" s="1"/>
  <c r="DT20" i="2" s="1"/>
  <c r="DU20" i="2" s="1"/>
  <c r="DV20" i="2" s="1"/>
  <c r="DW20" i="2" s="1"/>
  <c r="DX20" i="2" s="1"/>
  <c r="DY20" i="2" s="1"/>
  <c r="DS19" i="2"/>
  <c r="DR19" i="2"/>
  <c r="DQ19" i="2"/>
  <c r="DP19" i="2"/>
  <c r="DO19" i="2"/>
  <c r="DN19" i="2"/>
  <c r="DM19" i="2"/>
  <c r="DL19" i="2"/>
  <c r="DK19" i="2"/>
  <c r="DJ19" i="2"/>
  <c r="DI19" i="2"/>
  <c r="DH19" i="2"/>
  <c r="DG19" i="2"/>
  <c r="DF19" i="2"/>
  <c r="DE19" i="2"/>
  <c r="DD19" i="2"/>
  <c r="DC19" i="2"/>
  <c r="DB19" i="2"/>
  <c r="DA19" i="2"/>
  <c r="CZ19" i="2"/>
  <c r="CY19" i="2"/>
  <c r="CX19" i="2"/>
  <c r="CW19" i="2"/>
  <c r="CV19" i="2"/>
  <c r="CU19" i="2"/>
  <c r="CT19" i="2"/>
  <c r="CS19" i="2"/>
  <c r="CR19" i="2"/>
  <c r="CQ19" i="2"/>
  <c r="CP19" i="2"/>
  <c r="CO19" i="2"/>
  <c r="CN19" i="2"/>
  <c r="CM19" i="2"/>
  <c r="CL19" i="2"/>
  <c r="CK19" i="2"/>
  <c r="CJ19" i="2"/>
  <c r="CI19" i="2"/>
  <c r="CH19" i="2"/>
  <c r="CG19" i="2"/>
  <c r="CF19" i="2"/>
  <c r="CE19" i="2"/>
  <c r="CD19" i="2"/>
  <c r="CC19" i="2"/>
  <c r="CB19" i="2"/>
  <c r="CA19" i="2"/>
  <c r="BZ19" i="2"/>
  <c r="BY19" i="2"/>
  <c r="BX19" i="2"/>
  <c r="BW19" i="2"/>
  <c r="BV19" i="2"/>
  <c r="BU19" i="2"/>
  <c r="BT19" i="2"/>
  <c r="BS19" i="2"/>
  <c r="BR19" i="2"/>
  <c r="BQ19" i="2"/>
  <c r="BP19" i="2"/>
  <c r="BO19" i="2"/>
  <c r="BN19" i="2"/>
  <c r="BM19" i="2"/>
  <c r="BL19" i="2"/>
  <c r="BK19" i="2"/>
  <c r="BJ19" i="2"/>
  <c r="BI19" i="2"/>
  <c r="BH19" i="2"/>
  <c r="BG19" i="2"/>
  <c r="BF19" i="2"/>
  <c r="BE19" i="2"/>
  <c r="BD19" i="2"/>
  <c r="BC19" i="2"/>
  <c r="BB19" i="2"/>
  <c r="BA19" i="2"/>
  <c r="AZ19"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C150" i="6" l="1"/>
  <c r="C152" i="6" s="1"/>
  <c r="C161" i="6" s="1"/>
  <c r="C164" i="6" s="1"/>
  <c r="C166" i="6" s="1"/>
  <c r="H22" i="5"/>
  <c r="H24" i="5"/>
  <c r="H181" i="6" s="1"/>
  <c r="DU15" i="5"/>
  <c r="D173" i="6"/>
  <c r="D231" i="6" s="1"/>
  <c r="F10" i="6"/>
  <c r="F14" i="6" s="1"/>
  <c r="E73" i="6"/>
  <c r="E173" i="6"/>
  <c r="E231" i="6" s="1"/>
  <c r="P27" i="2"/>
  <c r="Q27" i="2" s="1"/>
  <c r="R27" i="2" s="1"/>
  <c r="S27" i="2" s="1"/>
  <c r="T27" i="2" s="1"/>
  <c r="U27" i="2" s="1"/>
  <c r="P26" i="2"/>
  <c r="Q26" i="2" s="1"/>
  <c r="R26" i="2" s="1"/>
  <c r="S26" i="2" s="1"/>
  <c r="T26" i="2" s="1"/>
  <c r="U26" i="2" s="1"/>
  <c r="V26" i="2"/>
  <c r="W26" i="2" s="1"/>
  <c r="V25" i="2"/>
  <c r="W25" i="2" s="1"/>
  <c r="X25" i="2" s="1"/>
  <c r="Y25" i="2" s="1"/>
  <c r="Z25" i="2" s="1"/>
  <c r="AA25" i="2" s="1"/>
  <c r="AB25" i="2" s="1"/>
  <c r="AC25" i="2" s="1"/>
  <c r="AD25" i="2" s="1"/>
  <c r="AE25" i="2" s="1"/>
  <c r="AF25" i="2" s="1"/>
  <c r="AG25" i="2" s="1"/>
  <c r="AH25" i="2" s="1"/>
  <c r="AI25" i="2" s="1"/>
  <c r="AJ25" i="2" s="1"/>
  <c r="AK25" i="2" s="1"/>
  <c r="AL25" i="2" s="1"/>
  <c r="AM25" i="2" s="1"/>
  <c r="AN25" i="2" s="1"/>
  <c r="AO25" i="2" s="1"/>
  <c r="AP25" i="2" s="1"/>
  <c r="AQ25" i="2" s="1"/>
  <c r="AR25" i="2" s="1"/>
  <c r="AS25" i="2" s="1"/>
  <c r="AT25" i="2" s="1"/>
  <c r="AU25" i="2" s="1"/>
  <c r="AV25" i="2" s="1"/>
  <c r="AW25" i="2" s="1"/>
  <c r="AX25" i="2" s="1"/>
  <c r="AY25" i="2" s="1"/>
  <c r="AZ25" i="2" s="1"/>
  <c r="BA25" i="2" s="1"/>
  <c r="BB25" i="2" s="1"/>
  <c r="BC25" i="2" s="1"/>
  <c r="BD25" i="2" s="1"/>
  <c r="BE25" i="2" s="1"/>
  <c r="BF25" i="2" s="1"/>
  <c r="BG25" i="2" s="1"/>
  <c r="BH25" i="2" s="1"/>
  <c r="BI25" i="2" s="1"/>
  <c r="BJ25" i="2" s="1"/>
  <c r="BK25" i="2" s="1"/>
  <c r="BL25" i="2" s="1"/>
  <c r="BM25" i="2" s="1"/>
  <c r="BN25" i="2" s="1"/>
  <c r="BO25" i="2" s="1"/>
  <c r="BP25" i="2" s="1"/>
  <c r="BQ25" i="2" s="1"/>
  <c r="BR25" i="2" s="1"/>
  <c r="BS25" i="2" s="1"/>
  <c r="BT25" i="2" s="1"/>
  <c r="BU25" i="2" s="1"/>
  <c r="BV25" i="2" s="1"/>
  <c r="BW25" i="2" s="1"/>
  <c r="BX25" i="2" s="1"/>
  <c r="BY25" i="2" s="1"/>
  <c r="BZ25" i="2" s="1"/>
  <c r="CA25" i="2" s="1"/>
  <c r="CB25" i="2" s="1"/>
  <c r="CC25" i="2" s="1"/>
  <c r="CD25" i="2" s="1"/>
  <c r="CE25" i="2" s="1"/>
  <c r="CF25" i="2" s="1"/>
  <c r="CG25" i="2" s="1"/>
  <c r="CH25" i="2" s="1"/>
  <c r="CI25" i="2" s="1"/>
  <c r="CJ25" i="2" s="1"/>
  <c r="CK25" i="2" s="1"/>
  <c r="CL25" i="2" s="1"/>
  <c r="CM25" i="2" s="1"/>
  <c r="CN25" i="2" s="1"/>
  <c r="CO25" i="2" s="1"/>
  <c r="CP25" i="2" s="1"/>
  <c r="CQ25" i="2" s="1"/>
  <c r="CR25" i="2" s="1"/>
  <c r="CS25" i="2" s="1"/>
  <c r="CT25" i="2" s="1"/>
  <c r="CU25" i="2" s="1"/>
  <c r="CV25" i="2" s="1"/>
  <c r="CW25" i="2" s="1"/>
  <c r="CX25" i="2" s="1"/>
  <c r="CY25" i="2" s="1"/>
  <c r="CZ25" i="2" s="1"/>
  <c r="DA25" i="2" s="1"/>
  <c r="DB25" i="2" s="1"/>
  <c r="DC25" i="2" s="1"/>
  <c r="DD25" i="2" s="1"/>
  <c r="DE25" i="2" s="1"/>
  <c r="DF25" i="2" s="1"/>
  <c r="DG25" i="2" s="1"/>
  <c r="DH25" i="2" s="1"/>
  <c r="DI25" i="2" s="1"/>
  <c r="DJ25" i="2" s="1"/>
  <c r="DK25" i="2" s="1"/>
  <c r="DL25" i="2" s="1"/>
  <c r="DM25" i="2" s="1"/>
  <c r="DN25" i="2" s="1"/>
  <c r="DO25" i="2" s="1"/>
  <c r="DP25" i="2" s="1"/>
  <c r="DQ25" i="2" s="1"/>
  <c r="DR25" i="2" s="1"/>
  <c r="DS25" i="2" s="1"/>
  <c r="DT25" i="2" s="1"/>
  <c r="DU25" i="2" s="1"/>
  <c r="DV25" i="2" s="1"/>
  <c r="DW25" i="2" s="1"/>
  <c r="DX25" i="2" s="1"/>
  <c r="DY25" i="2" s="1"/>
  <c r="DZ25" i="2" s="1"/>
  <c r="M25" i="2"/>
  <c r="M26" i="2"/>
  <c r="N26" i="2" s="1"/>
  <c r="O26" i="2" s="1"/>
  <c r="J26" i="2"/>
  <c r="J27" i="2"/>
  <c r="M27" i="2"/>
  <c r="N27" i="2" s="1"/>
  <c r="O27" i="2" s="1"/>
  <c r="V27" i="2"/>
  <c r="W27" i="2" s="1"/>
  <c r="X27" i="2" s="1"/>
  <c r="Y27" i="2" s="1"/>
  <c r="Z27" i="2" s="1"/>
  <c r="AA27" i="2" s="1"/>
  <c r="AB27" i="2" s="1"/>
  <c r="AC27" i="2" s="1"/>
  <c r="AD27" i="2" s="1"/>
  <c r="AE27" i="2" s="1"/>
  <c r="AF27" i="2" s="1"/>
  <c r="AG27" i="2" s="1"/>
  <c r="AH27" i="2" s="1"/>
  <c r="AI27" i="2" s="1"/>
  <c r="AJ27" i="2" s="1"/>
  <c r="AK27" i="2" s="1"/>
  <c r="AL27" i="2" s="1"/>
  <c r="AM27" i="2" s="1"/>
  <c r="AN27" i="2" s="1"/>
  <c r="AO27" i="2" s="1"/>
  <c r="AP27" i="2" s="1"/>
  <c r="AQ27" i="2" s="1"/>
  <c r="AR27" i="2" s="1"/>
  <c r="AS27" i="2" s="1"/>
  <c r="AT27" i="2" s="1"/>
  <c r="AU27" i="2" s="1"/>
  <c r="AV27" i="2" s="1"/>
  <c r="AW27" i="2" s="1"/>
  <c r="AX27" i="2" s="1"/>
  <c r="AY27" i="2" s="1"/>
  <c r="AZ27" i="2" s="1"/>
  <c r="BA27" i="2" s="1"/>
  <c r="BB27" i="2" s="1"/>
  <c r="BC27" i="2" s="1"/>
  <c r="BD27" i="2" s="1"/>
  <c r="BE27" i="2" s="1"/>
  <c r="BF27" i="2" s="1"/>
  <c r="BG27" i="2" s="1"/>
  <c r="BH27" i="2" s="1"/>
  <c r="BI27" i="2" s="1"/>
  <c r="BJ27" i="2" s="1"/>
  <c r="BK27" i="2" s="1"/>
  <c r="BL27" i="2" s="1"/>
  <c r="BM27" i="2" s="1"/>
  <c r="BN27" i="2" s="1"/>
  <c r="BO27" i="2" s="1"/>
  <c r="BP27" i="2" s="1"/>
  <c r="BQ27" i="2" s="1"/>
  <c r="BR27" i="2" s="1"/>
  <c r="BS27" i="2" s="1"/>
  <c r="BT27" i="2" s="1"/>
  <c r="BU27" i="2" s="1"/>
  <c r="BV27" i="2" s="1"/>
  <c r="BW27" i="2" s="1"/>
  <c r="BX27" i="2" s="1"/>
  <c r="BY27" i="2" s="1"/>
  <c r="BZ27" i="2" s="1"/>
  <c r="CA27" i="2" s="1"/>
  <c r="CB27" i="2" s="1"/>
  <c r="CC27" i="2" s="1"/>
  <c r="CD27" i="2" s="1"/>
  <c r="CE27" i="2" s="1"/>
  <c r="CF27" i="2" s="1"/>
  <c r="CG27" i="2" s="1"/>
  <c r="CH27" i="2" s="1"/>
  <c r="CI27" i="2" s="1"/>
  <c r="CJ27" i="2" s="1"/>
  <c r="CK27" i="2" s="1"/>
  <c r="CL27" i="2" s="1"/>
  <c r="CM27" i="2" s="1"/>
  <c r="CN27" i="2" s="1"/>
  <c r="CO27" i="2" s="1"/>
  <c r="CP27" i="2" s="1"/>
  <c r="CQ27" i="2" s="1"/>
  <c r="CR27" i="2" s="1"/>
  <c r="CS27" i="2" s="1"/>
  <c r="CT27" i="2" s="1"/>
  <c r="CU27" i="2" s="1"/>
  <c r="CV27" i="2" s="1"/>
  <c r="CW27" i="2" s="1"/>
  <c r="CX27" i="2" s="1"/>
  <c r="CY27" i="2" s="1"/>
  <c r="CZ27" i="2" s="1"/>
  <c r="DA27" i="2" s="1"/>
  <c r="DB27" i="2" s="1"/>
  <c r="DC27" i="2" s="1"/>
  <c r="DD27" i="2" s="1"/>
  <c r="DE27" i="2" s="1"/>
  <c r="DF27" i="2" s="1"/>
  <c r="DG27" i="2" s="1"/>
  <c r="DH27" i="2" s="1"/>
  <c r="DI27" i="2" s="1"/>
  <c r="DJ27" i="2" s="1"/>
  <c r="DK27" i="2" s="1"/>
  <c r="DL27" i="2" s="1"/>
  <c r="DM27" i="2" s="1"/>
  <c r="DN27" i="2" s="1"/>
  <c r="DO27" i="2" s="1"/>
  <c r="DP27" i="2" s="1"/>
  <c r="DQ27" i="2" s="1"/>
  <c r="DR27" i="2" s="1"/>
  <c r="DS27" i="2" s="1"/>
  <c r="DT27" i="2" s="1"/>
  <c r="DU27" i="2" s="1"/>
  <c r="DV27" i="2" s="1"/>
  <c r="DW27" i="2" s="1"/>
  <c r="DX27" i="2" s="1"/>
  <c r="DY27" i="2" s="1"/>
  <c r="DZ27" i="2" s="1"/>
  <c r="J25" i="2"/>
  <c r="Q25" i="2"/>
  <c r="R25" i="2" s="1"/>
  <c r="S25" i="2" s="1"/>
  <c r="T25" i="2" s="1"/>
  <c r="U25" i="2" s="1"/>
  <c r="F34" i="2"/>
  <c r="I22" i="5" l="1"/>
  <c r="I24" i="5"/>
  <c r="F173" i="6"/>
  <c r="F231" i="6" s="1"/>
  <c r="G10" i="6"/>
  <c r="G14" i="6" s="1"/>
  <c r="F73" i="6"/>
  <c r="DU16" i="5"/>
  <c r="DV14" i="5" s="1"/>
  <c r="K25" i="2"/>
  <c r="L25" i="2" s="1"/>
  <c r="K26" i="2"/>
  <c r="L26" i="2" s="1"/>
  <c r="N25" i="2"/>
  <c r="O25" i="2" s="1"/>
  <c r="K27" i="2"/>
  <c r="L27" i="2" s="1"/>
  <c r="X26" i="2"/>
  <c r="Y26" i="2" s="1"/>
  <c r="Z26" i="2" s="1"/>
  <c r="AA26" i="2" s="1"/>
  <c r="AB26" i="2" s="1"/>
  <c r="AC26" i="2" s="1"/>
  <c r="AD26" i="2" s="1"/>
  <c r="AE26" i="2" s="1"/>
  <c r="AF26" i="2" s="1"/>
  <c r="AG26" i="2" s="1"/>
  <c r="AH26" i="2" s="1"/>
  <c r="AI26" i="2" s="1"/>
  <c r="AJ26" i="2" s="1"/>
  <c r="AK26" i="2" s="1"/>
  <c r="AL26" i="2" s="1"/>
  <c r="AM26" i="2" s="1"/>
  <c r="AN26" i="2" s="1"/>
  <c r="AO26" i="2" s="1"/>
  <c r="AP26" i="2" s="1"/>
  <c r="AQ26" i="2" s="1"/>
  <c r="AR26" i="2" s="1"/>
  <c r="AS26" i="2" s="1"/>
  <c r="AT26" i="2" s="1"/>
  <c r="AU26" i="2" s="1"/>
  <c r="AV26" i="2" s="1"/>
  <c r="AW26" i="2" s="1"/>
  <c r="AX26" i="2" s="1"/>
  <c r="AY26" i="2" s="1"/>
  <c r="AZ26" i="2" s="1"/>
  <c r="BA26" i="2" s="1"/>
  <c r="BB26" i="2" s="1"/>
  <c r="BC26" i="2" s="1"/>
  <c r="BD26" i="2" s="1"/>
  <c r="BE26" i="2" s="1"/>
  <c r="BF26" i="2" s="1"/>
  <c r="BG26" i="2" s="1"/>
  <c r="BH26" i="2" s="1"/>
  <c r="BI26" i="2" s="1"/>
  <c r="BJ26" i="2" s="1"/>
  <c r="BK26" i="2" s="1"/>
  <c r="BL26" i="2" s="1"/>
  <c r="BM26" i="2" s="1"/>
  <c r="BN26" i="2" s="1"/>
  <c r="BO26" i="2" s="1"/>
  <c r="BP26" i="2" s="1"/>
  <c r="BQ26" i="2" s="1"/>
  <c r="BR26" i="2" s="1"/>
  <c r="BS26" i="2" s="1"/>
  <c r="BT26" i="2" s="1"/>
  <c r="BU26" i="2" s="1"/>
  <c r="BV26" i="2" s="1"/>
  <c r="BW26" i="2" s="1"/>
  <c r="BX26" i="2" s="1"/>
  <c r="BY26" i="2" s="1"/>
  <c r="BZ26" i="2" s="1"/>
  <c r="CA26" i="2" s="1"/>
  <c r="CB26" i="2" s="1"/>
  <c r="CC26" i="2" s="1"/>
  <c r="CD26" i="2" s="1"/>
  <c r="CE26" i="2" s="1"/>
  <c r="CF26" i="2" s="1"/>
  <c r="CG26" i="2" s="1"/>
  <c r="CH26" i="2" s="1"/>
  <c r="CI26" i="2" s="1"/>
  <c r="CJ26" i="2" s="1"/>
  <c r="CK26" i="2" s="1"/>
  <c r="CL26" i="2" s="1"/>
  <c r="CM26" i="2" s="1"/>
  <c r="CN26" i="2" s="1"/>
  <c r="CO26" i="2" s="1"/>
  <c r="CP26" i="2" s="1"/>
  <c r="CQ26" i="2" s="1"/>
  <c r="CR26" i="2" s="1"/>
  <c r="CS26" i="2" s="1"/>
  <c r="CT26" i="2" s="1"/>
  <c r="CU26" i="2" s="1"/>
  <c r="CV26" i="2" s="1"/>
  <c r="CW26" i="2" s="1"/>
  <c r="CX26" i="2" s="1"/>
  <c r="CY26" i="2" s="1"/>
  <c r="CZ26" i="2" s="1"/>
  <c r="DA26" i="2" s="1"/>
  <c r="DB26" i="2" s="1"/>
  <c r="DC26" i="2" s="1"/>
  <c r="DD26" i="2" s="1"/>
  <c r="DE26" i="2" s="1"/>
  <c r="DF26" i="2" s="1"/>
  <c r="DG26" i="2" s="1"/>
  <c r="DH26" i="2" s="1"/>
  <c r="DI26" i="2" s="1"/>
  <c r="DJ26" i="2" s="1"/>
  <c r="DK26" i="2" s="1"/>
  <c r="DL26" i="2" s="1"/>
  <c r="DM26" i="2" s="1"/>
  <c r="DN26" i="2" s="1"/>
  <c r="DO26" i="2" s="1"/>
  <c r="G34" i="2"/>
  <c r="J22" i="5" l="1"/>
  <c r="J24" i="5"/>
  <c r="J181" i="6" s="1"/>
  <c r="I181" i="6"/>
  <c r="G173" i="6"/>
  <c r="G231" i="6" s="1"/>
  <c r="G73" i="6"/>
  <c r="H10" i="6"/>
  <c r="H14" i="6" s="1"/>
  <c r="DV15" i="5"/>
  <c r="B25" i="2"/>
  <c r="B27" i="2"/>
  <c r="DP26" i="2"/>
  <c r="H34" i="2"/>
  <c r="K22" i="5" l="1"/>
  <c r="K24" i="5"/>
  <c r="K181" i="6" s="1"/>
  <c r="I10" i="6"/>
  <c r="I14" i="6" s="1"/>
  <c r="H73" i="6"/>
  <c r="H173" i="6"/>
  <c r="H231" i="6" s="1"/>
  <c r="DV16" i="5"/>
  <c r="DW14" i="5" s="1"/>
  <c r="DQ26" i="2"/>
  <c r="I34" i="2"/>
  <c r="L22" i="5" l="1"/>
  <c r="L24" i="5"/>
  <c r="L181" i="6" s="1"/>
  <c r="I173" i="6"/>
  <c r="I231" i="6" s="1"/>
  <c r="DW15" i="5"/>
  <c r="I73" i="6"/>
  <c r="J10" i="6"/>
  <c r="J14" i="6" s="1"/>
  <c r="DR26" i="2"/>
  <c r="J34" i="2"/>
  <c r="DW16" i="5" l="1"/>
  <c r="DX14" i="5" s="1"/>
  <c r="J73" i="6"/>
  <c r="K10" i="6"/>
  <c r="K14" i="6" s="1"/>
  <c r="J173" i="6"/>
  <c r="J231" i="6" s="1"/>
  <c r="DS26" i="2"/>
  <c r="K34" i="2"/>
  <c r="L10" i="6" l="1"/>
  <c r="L14" i="6" s="1"/>
  <c r="K73" i="6"/>
  <c r="K173" i="6"/>
  <c r="K231" i="6" s="1"/>
  <c r="DX15" i="5"/>
  <c r="DT26" i="2"/>
  <c r="L34" i="2"/>
  <c r="L173" i="6" l="1"/>
  <c r="L231" i="6" s="1"/>
  <c r="DX16" i="5"/>
  <c r="DY14" i="5" s="1"/>
  <c r="M20" i="5" s="1"/>
  <c r="M24" i="5" s="1"/>
  <c r="M10" i="6"/>
  <c r="DU26" i="2"/>
  <c r="M34" i="2"/>
  <c r="DY15" i="5" l="1"/>
  <c r="M21" i="5" s="1"/>
  <c r="M22" i="5" s="1"/>
  <c r="DV26" i="2"/>
  <c r="DW26" i="2" s="1"/>
  <c r="DX26" i="2" s="1"/>
  <c r="DY26" i="2" s="1"/>
  <c r="B20" i="5" l="1"/>
  <c r="M12" i="6"/>
  <c r="M181" i="6"/>
  <c r="DY16" i="5"/>
  <c r="DZ26" i="2"/>
  <c r="B26" i="2"/>
  <c r="D11" i="1"/>
  <c r="B21" i="5" l="1"/>
  <c r="M13" i="6"/>
  <c r="M50" i="6"/>
  <c r="M101" i="6"/>
  <c r="M156" i="6" s="1"/>
  <c r="E11" i="1"/>
  <c r="D3" i="6"/>
  <c r="M126" i="6" l="1"/>
  <c r="L71" i="6"/>
  <c r="M102" i="6"/>
  <c r="M157" i="6" s="1"/>
  <c r="M158" i="6" s="1"/>
  <c r="M14" i="6"/>
  <c r="M73" i="6" s="1"/>
  <c r="F11" i="1"/>
  <c r="E3" i="6"/>
  <c r="L141" i="6" l="1"/>
  <c r="L73" i="6"/>
  <c r="G11" i="1"/>
  <c r="F3" i="6"/>
  <c r="M173" i="6" l="1"/>
  <c r="M231" i="6" s="1"/>
  <c r="H11" i="1"/>
  <c r="G3" i="6"/>
  <c r="I11" i="1" l="1"/>
  <c r="BI23" i="2" s="1"/>
  <c r="H3" i="6"/>
  <c r="N23" i="2"/>
  <c r="AG23" i="2"/>
  <c r="AZ23" i="2"/>
  <c r="Q23" i="2"/>
  <c r="L23" i="2"/>
  <c r="AV23" i="2"/>
  <c r="O23" i="2"/>
  <c r="AH23" i="2"/>
  <c r="AU23" i="2"/>
  <c r="M23" i="2"/>
  <c r="AW23" i="2"/>
  <c r="AL23" i="2"/>
  <c r="BE23" i="2"/>
  <c r="D23" i="2"/>
  <c r="AO23" i="2"/>
  <c r="X23" i="2"/>
  <c r="BH23" i="2"/>
  <c r="T23" i="2"/>
  <c r="AM23" i="2"/>
  <c r="BF23" i="2"/>
  <c r="Y23" i="2"/>
  <c r="AX23" i="2"/>
  <c r="P23" i="2"/>
  <c r="BA23" i="2"/>
  <c r="AD23" i="2"/>
  <c r="AF23" i="2"/>
  <c r="AY23" i="2"/>
  <c r="BO23" i="2"/>
  <c r="BJ23" i="2"/>
  <c r="I23" i="2"/>
  <c r="AB23" i="2"/>
  <c r="BM23" i="2"/>
  <c r="AJ23" i="2"/>
  <c r="J23" i="2"/>
  <c r="W23" i="2"/>
  <c r="AK23" i="2"/>
  <c r="Z23" i="2"/>
  <c r="AS23" i="2"/>
  <c r="AC23" i="2"/>
  <c r="R23" i="2"/>
  <c r="BB23" i="2"/>
  <c r="H23" i="2"/>
  <c r="AA23" i="2"/>
  <c r="AT23" i="2"/>
  <c r="BG23" i="2"/>
  <c r="S23" i="2"/>
  <c r="BC23" i="2"/>
  <c r="K23" i="2"/>
  <c r="AE23" i="2"/>
  <c r="AR23" i="2"/>
  <c r="BK23" i="2"/>
  <c r="BP23" i="2"/>
  <c r="U23" i="2"/>
  <c r="AN23" i="2"/>
  <c r="E23" i="2"/>
  <c r="F23" i="2"/>
  <c r="AP23" i="2"/>
  <c r="BD23" i="2"/>
  <c r="C23" i="2"/>
  <c r="V23" i="2"/>
  <c r="AI23" i="2"/>
  <c r="G23" i="2"/>
  <c r="AQ23" i="2"/>
  <c r="BL23" i="2" l="1"/>
  <c r="BQ23" i="2"/>
  <c r="BN23" i="2"/>
  <c r="J11" i="1"/>
  <c r="I3" i="6"/>
  <c r="K11" i="1" l="1"/>
  <c r="J3" i="6"/>
  <c r="L11" i="1" l="1"/>
  <c r="CU23" i="2" s="1"/>
  <c r="K3" i="6"/>
  <c r="CF23" i="2"/>
  <c r="CV23" i="2"/>
  <c r="CJ23" i="2"/>
  <c r="BR23" i="2"/>
  <c r="BU23" i="2"/>
  <c r="BT23" i="2"/>
  <c r="CA23" i="2"/>
  <c r="CK23" i="2"/>
  <c r="CM23" i="2"/>
  <c r="CG23" i="2"/>
  <c r="CO23" i="2"/>
  <c r="CP23" i="2"/>
  <c r="CL23" i="2"/>
  <c r="CD23" i="2"/>
  <c r="CE23" i="2"/>
  <c r="CB23" i="2"/>
  <c r="BY23" i="2"/>
  <c r="BV23" i="2"/>
  <c r="BW23" i="2"/>
  <c r="CT23" i="2"/>
  <c r="CH23" i="2"/>
  <c r="CI23" i="2"/>
  <c r="BX23" i="2"/>
  <c r="BS23" i="2"/>
  <c r="BZ23" i="2"/>
  <c r="CN23" i="2"/>
  <c r="CC23" i="2"/>
  <c r="CR23" i="2" l="1"/>
  <c r="CS23" i="2"/>
  <c r="CQ23" i="2"/>
  <c r="DA23" i="2"/>
  <c r="CX23" i="2"/>
  <c r="CZ23" i="2"/>
  <c r="CY23" i="2"/>
  <c r="CW23" i="2"/>
  <c r="M11" i="1"/>
  <c r="L3" i="6"/>
  <c r="M3" i="6" l="1"/>
  <c r="DR23" i="2"/>
  <c r="DM23" i="2"/>
  <c r="DC23" i="2"/>
  <c r="DN23" i="2"/>
  <c r="DJ23" i="2"/>
  <c r="DI23" i="2"/>
  <c r="DH23" i="2"/>
  <c r="DT23" i="2"/>
  <c r="DL23" i="2"/>
  <c r="DY23" i="2"/>
  <c r="DE23" i="2"/>
  <c r="DD23" i="2"/>
  <c r="DX23" i="2"/>
  <c r="DP23" i="2"/>
  <c r="DV23" i="2"/>
  <c r="DK23" i="2"/>
  <c r="DF23" i="2"/>
  <c r="DS23" i="2"/>
  <c r="DQ23" i="2"/>
  <c r="DB23" i="2"/>
  <c r="DU23" i="2"/>
  <c r="DW23" i="2"/>
  <c r="DG23" i="2"/>
  <c r="DO23" i="2"/>
  <c r="D35" i="2" l="1"/>
  <c r="D41" i="2" s="1"/>
  <c r="M37" i="2"/>
  <c r="M43" i="2" s="1"/>
  <c r="G35" i="2"/>
  <c r="G41" i="2" s="1"/>
  <c r="E36" i="2"/>
  <c r="E42" i="2" s="1"/>
  <c r="I36" i="2"/>
  <c r="I42" i="2" s="1"/>
  <c r="K37" i="2"/>
  <c r="K43" i="2" s="1"/>
  <c r="M36" i="2"/>
  <c r="M42" i="2" s="1"/>
  <c r="M35" i="2"/>
  <c r="M41" i="2" s="1"/>
  <c r="J35" i="2"/>
  <c r="J41" i="2" s="1"/>
  <c r="H35" i="2"/>
  <c r="H41" i="2" s="1"/>
  <c r="D36" i="2"/>
  <c r="D42" i="2" s="1"/>
  <c r="F37" i="2"/>
  <c r="F43" i="2" s="1"/>
  <c r="I37" i="2"/>
  <c r="I43" i="2" s="1"/>
  <c r="I35" i="2"/>
  <c r="I41" i="2" s="1"/>
  <c r="L37" i="2"/>
  <c r="L43" i="2" s="1"/>
  <c r="K36" i="2"/>
  <c r="K42" i="2" s="1"/>
  <c r="J36" i="2"/>
  <c r="J42" i="2" s="1"/>
  <c r="L36" i="2"/>
  <c r="L42" i="2" s="1"/>
  <c r="D37" i="2"/>
  <c r="D43" i="2" s="1"/>
  <c r="E37" i="2"/>
  <c r="E43" i="2" s="1"/>
  <c r="H36" i="2"/>
  <c r="H42" i="2" s="1"/>
  <c r="H37" i="2"/>
  <c r="H43" i="2" s="1"/>
  <c r="C37" i="2"/>
  <c r="C43" i="2" s="1"/>
  <c r="J37" i="2"/>
  <c r="J43" i="2" s="1"/>
  <c r="G37" i="2"/>
  <c r="G43" i="2" s="1"/>
  <c r="L35" i="2"/>
  <c r="L41" i="2" s="1"/>
  <c r="F35" i="2"/>
  <c r="F41" i="2" s="1"/>
  <c r="K35" i="2"/>
  <c r="K41" i="2" s="1"/>
  <c r="G36" i="2"/>
  <c r="G42" i="2" s="1"/>
  <c r="E35" i="2"/>
  <c r="E41" i="2" s="1"/>
  <c r="F36" i="2"/>
  <c r="F42" i="2" s="1"/>
  <c r="C35" i="2"/>
  <c r="C36" i="2"/>
  <c r="C42" i="2" s="1"/>
  <c r="J46" i="2" l="1"/>
  <c r="J39" i="6" s="1"/>
  <c r="L46" i="2"/>
  <c r="L39" i="6" s="1"/>
  <c r="B42" i="2"/>
  <c r="M46" i="2"/>
  <c r="M39" i="6" s="1"/>
  <c r="D46" i="2"/>
  <c r="D39" i="6" s="1"/>
  <c r="D313" i="6" s="1"/>
  <c r="K46" i="2"/>
  <c r="K39" i="6" s="1"/>
  <c r="H46" i="2"/>
  <c r="H39" i="6" s="1"/>
  <c r="G46" i="2"/>
  <c r="G39" i="6" s="1"/>
  <c r="F46" i="2"/>
  <c r="F39" i="6" s="1"/>
  <c r="C41" i="2"/>
  <c r="B41" i="2" s="1"/>
  <c r="B35" i="2"/>
  <c r="E46" i="2"/>
  <c r="E39" i="6" s="1"/>
  <c r="B43" i="2"/>
  <c r="B37" i="2"/>
  <c r="B36" i="2"/>
  <c r="M267" i="6" l="1"/>
  <c r="M269" i="6" s="1"/>
  <c r="M275" i="6" s="1"/>
  <c r="M312" i="6"/>
  <c r="M313" i="6"/>
  <c r="G267" i="6"/>
  <c r="G269" i="6" s="1"/>
  <c r="G275" i="6" s="1"/>
  <c r="G313" i="6"/>
  <c r="G312" i="6"/>
  <c r="L267" i="6"/>
  <c r="L269" i="6" s="1"/>
  <c r="L282" i="6" s="1"/>
  <c r="L313" i="6"/>
  <c r="L312" i="6"/>
  <c r="E267" i="6"/>
  <c r="E269" i="6" s="1"/>
  <c r="E275" i="6" s="1"/>
  <c r="E313" i="6"/>
  <c r="E312" i="6"/>
  <c r="K267" i="6"/>
  <c r="K269" i="6" s="1"/>
  <c r="K275" i="6" s="1"/>
  <c r="K313" i="6"/>
  <c r="K312" i="6"/>
  <c r="F267" i="6"/>
  <c r="F269" i="6" s="1"/>
  <c r="F275" i="6" s="1"/>
  <c r="F313" i="6"/>
  <c r="F312" i="6"/>
  <c r="H267" i="6"/>
  <c r="H269" i="6" s="1"/>
  <c r="H275" i="6" s="1"/>
  <c r="H313" i="6"/>
  <c r="H312" i="6"/>
  <c r="J267" i="6"/>
  <c r="J269" i="6" s="1"/>
  <c r="J282" i="6" s="1"/>
  <c r="J312" i="6"/>
  <c r="J313" i="6"/>
  <c r="D267" i="6"/>
  <c r="D269" i="6" s="1"/>
  <c r="D312" i="6"/>
  <c r="F41" i="6"/>
  <c r="F328" i="6" s="1"/>
  <c r="M89" i="6"/>
  <c r="M93" i="6" s="1"/>
  <c r="G41" i="6"/>
  <c r="G328" i="6" s="1"/>
  <c r="L41" i="6"/>
  <c r="L328" i="6" s="1"/>
  <c r="D41" i="6"/>
  <c r="H89" i="6"/>
  <c r="H93" i="6" s="1"/>
  <c r="J41" i="6"/>
  <c r="J328" i="6" s="1"/>
  <c r="L89" i="6"/>
  <c r="L93" i="6" s="1"/>
  <c r="G89" i="6"/>
  <c r="G93" i="6" s="1"/>
  <c r="J89" i="6"/>
  <c r="J93" i="6" s="1"/>
  <c r="H41" i="6"/>
  <c r="H328" i="6" s="1"/>
  <c r="D89" i="6"/>
  <c r="D93" i="6" s="1"/>
  <c r="M41" i="6"/>
  <c r="M328" i="6" s="1"/>
  <c r="K89" i="6"/>
  <c r="K93" i="6" s="1"/>
  <c r="K41" i="6"/>
  <c r="K328" i="6" s="1"/>
  <c r="I46" i="2"/>
  <c r="I39" i="6" s="1"/>
  <c r="F89" i="6"/>
  <c r="F93" i="6" s="1"/>
  <c r="E89" i="6"/>
  <c r="E93" i="6" s="1"/>
  <c r="E41" i="6"/>
  <c r="E328" i="6" s="1"/>
  <c r="C46" i="2"/>
  <c r="D275" i="6" l="1"/>
  <c r="D326" i="6" s="1"/>
  <c r="D327" i="6" s="1"/>
  <c r="L275" i="6"/>
  <c r="L326" i="6" s="1"/>
  <c r="L327" i="6" s="1"/>
  <c r="M282" i="6"/>
  <c r="H282" i="6"/>
  <c r="D328" i="6"/>
  <c r="F283" i="6"/>
  <c r="F326" i="6"/>
  <c r="F327" i="6" s="1"/>
  <c r="E283" i="6"/>
  <c r="E326" i="6"/>
  <c r="E327" i="6" s="1"/>
  <c r="G283" i="6"/>
  <c r="G326" i="6"/>
  <c r="G327" i="6" s="1"/>
  <c r="H283" i="6"/>
  <c r="H326" i="6"/>
  <c r="H327" i="6" s="1"/>
  <c r="K283" i="6"/>
  <c r="K326" i="6"/>
  <c r="K327" i="6" s="1"/>
  <c r="M283" i="6"/>
  <c r="M326" i="6"/>
  <c r="M327" i="6" s="1"/>
  <c r="K282" i="6"/>
  <c r="D282" i="6"/>
  <c r="D321" i="6"/>
  <c r="L46" i="6"/>
  <c r="L329" i="6" s="1"/>
  <c r="L321" i="6"/>
  <c r="K46" i="6"/>
  <c r="K329" i="6" s="1"/>
  <c r="K321" i="6"/>
  <c r="G46" i="6"/>
  <c r="G329" i="6" s="1"/>
  <c r="G321" i="6"/>
  <c r="H46" i="6"/>
  <c r="H329" i="6" s="1"/>
  <c r="H321" i="6"/>
  <c r="E46" i="6"/>
  <c r="E329" i="6" s="1"/>
  <c r="E321" i="6"/>
  <c r="M46" i="6"/>
  <c r="M329" i="6" s="1"/>
  <c r="M321" i="6"/>
  <c r="J46" i="6"/>
  <c r="J329" i="6" s="1"/>
  <c r="J321" i="6"/>
  <c r="F46" i="6"/>
  <c r="F329" i="6" s="1"/>
  <c r="F321" i="6"/>
  <c r="D46" i="6"/>
  <c r="F282" i="6"/>
  <c r="G282" i="6"/>
  <c r="J275" i="6"/>
  <c r="E282" i="6"/>
  <c r="I267" i="6"/>
  <c r="I269" i="6" s="1"/>
  <c r="I275" i="6" s="1"/>
  <c r="I313" i="6"/>
  <c r="I312" i="6"/>
  <c r="C78" i="6"/>
  <c r="I41" i="6"/>
  <c r="I328" i="6" s="1"/>
  <c r="I89" i="6"/>
  <c r="I93" i="6" s="1"/>
  <c r="B46" i="2"/>
  <c r="D329" i="6" l="1"/>
  <c r="D322" i="6"/>
  <c r="D283" i="6"/>
  <c r="L283" i="6"/>
  <c r="I283" i="6"/>
  <c r="I326" i="6"/>
  <c r="I327" i="6" s="1"/>
  <c r="J283" i="6"/>
  <c r="J326" i="6"/>
  <c r="J327" i="6" s="1"/>
  <c r="F310" i="6"/>
  <c r="F322" i="6"/>
  <c r="E310" i="6"/>
  <c r="E322" i="6"/>
  <c r="K310" i="6"/>
  <c r="K322" i="6"/>
  <c r="M310" i="6"/>
  <c r="M322" i="6"/>
  <c r="J310" i="6"/>
  <c r="J322" i="6"/>
  <c r="H310" i="6"/>
  <c r="H322" i="6"/>
  <c r="L310" i="6"/>
  <c r="L322" i="6"/>
  <c r="G310" i="6"/>
  <c r="G322" i="6"/>
  <c r="D310" i="6"/>
  <c r="I46" i="6"/>
  <c r="I329" i="6" s="1"/>
  <c r="I321" i="6"/>
  <c r="I282" i="6"/>
  <c r="C80" i="6"/>
  <c r="C89" i="6"/>
  <c r="C93" i="6" s="1"/>
  <c r="C106" i="6" s="1"/>
  <c r="I310" i="6" l="1"/>
  <c r="I322" i="6"/>
  <c r="C113" i="6"/>
  <c r="C108" i="6" l="1"/>
  <c r="C67" i="6" s="1"/>
  <c r="C72" i="6" s="1"/>
  <c r="C74" i="6" s="1"/>
  <c r="C82" i="6" s="1"/>
  <c r="C109" i="6"/>
  <c r="C60" i="6" s="1"/>
  <c r="C110" i="6" l="1"/>
  <c r="C59" i="6" s="1"/>
  <c r="C63" i="6" s="1"/>
  <c r="C65" i="6" s="1"/>
  <c r="D174" i="6" l="1"/>
  <c r="D87" i="6"/>
  <c r="D49" i="6"/>
  <c r="D261" i="6" s="1"/>
  <c r="D95" i="6"/>
  <c r="D180" i="6" l="1"/>
  <c r="D184" i="6" s="1"/>
  <c r="D185" i="6" s="1"/>
  <c r="D232" i="6"/>
  <c r="D233" i="6" s="1"/>
  <c r="D175" i="6"/>
  <c r="D178" i="6" s="1"/>
  <c r="D77" i="6"/>
  <c r="D51" i="6"/>
  <c r="D53" i="6" s="1"/>
  <c r="D55" i="6" s="1"/>
  <c r="C138" i="6"/>
  <c r="D96" i="6"/>
  <c r="C140" i="6"/>
  <c r="C142" i="6" s="1"/>
  <c r="D259" i="6" l="1"/>
  <c r="D331" i="6"/>
  <c r="D179" i="6"/>
  <c r="D187" i="6" s="1"/>
  <c r="D237" i="6" s="1"/>
  <c r="D238" i="6" s="1"/>
  <c r="D56" i="6"/>
  <c r="C84" i="6"/>
  <c r="C144" i="6"/>
  <c r="D323" i="6" l="1"/>
  <c r="D330" i="6"/>
  <c r="D258" i="6"/>
  <c r="D260" i="6" s="1"/>
  <c r="D309" i="6"/>
  <c r="D194" i="6"/>
  <c r="D79" i="6"/>
  <c r="E32" i="6" s="1"/>
  <c r="D103" i="6"/>
  <c r="D151" i="6" s="1"/>
  <c r="D152" i="6" s="1"/>
  <c r="D161" i="6" s="1"/>
  <c r="D164" i="6" s="1"/>
  <c r="D78" i="6"/>
  <c r="C145" i="6"/>
  <c r="D124" i="6"/>
  <c r="D70" i="6"/>
  <c r="D100" i="6" s="1"/>
  <c r="D125" i="6"/>
  <c r="D262" i="6" l="1"/>
  <c r="D264" i="6" s="1"/>
  <c r="D104" i="6"/>
  <c r="D106" i="6" s="1"/>
  <c r="D113" i="6" s="1"/>
  <c r="C133" i="6"/>
  <c r="D127" i="6"/>
  <c r="D128" i="6" s="1"/>
  <c r="E31" i="6"/>
  <c r="D80" i="6"/>
  <c r="D316" i="6" l="1"/>
  <c r="D320" i="6"/>
  <c r="D279" i="6"/>
  <c r="C134" i="6"/>
  <c r="C135" i="6" s="1"/>
  <c r="D129" i="6"/>
  <c r="D165" i="6"/>
  <c r="D166" i="6" s="1"/>
  <c r="E174" i="6"/>
  <c r="E232" i="6" s="1"/>
  <c r="E233" i="6" s="1"/>
  <c r="E33" i="6"/>
  <c r="E77" i="6" s="1"/>
  <c r="D109" i="6"/>
  <c r="D60" i="6" s="1"/>
  <c r="D108" i="6"/>
  <c r="D67" i="6" s="1"/>
  <c r="D72" i="6" s="1"/>
  <c r="D315" i="6" l="1"/>
  <c r="D131" i="6"/>
  <c r="D229" i="6"/>
  <c r="C168" i="6"/>
  <c r="C191" i="6"/>
  <c r="C193" i="6" s="1"/>
  <c r="C205" i="6" s="1"/>
  <c r="E175" i="6"/>
  <c r="E178" i="6" s="1"/>
  <c r="D74" i="6"/>
  <c r="E180" i="6"/>
  <c r="E184" i="6" s="1"/>
  <c r="E185" i="6" s="1"/>
  <c r="E34" i="6"/>
  <c r="E49" i="6"/>
  <c r="E261" i="6" s="1"/>
  <c r="D110" i="6"/>
  <c r="D308" i="6" l="1"/>
  <c r="D314" i="6"/>
  <c r="D235" i="6"/>
  <c r="D241" i="6" s="1"/>
  <c r="D240" i="6"/>
  <c r="D201" i="6"/>
  <c r="D203" i="6" s="1"/>
  <c r="C195" i="6"/>
  <c r="D59" i="6"/>
  <c r="D63" i="6" s="1"/>
  <c r="E35" i="6"/>
  <c r="E103" i="6" s="1"/>
  <c r="E151" i="6" s="1"/>
  <c r="E152" i="6" s="1"/>
  <c r="E161" i="6" s="1"/>
  <c r="E164" i="6" s="1"/>
  <c r="E179" i="6"/>
  <c r="E187" i="6" s="1"/>
  <c r="E237" i="6" s="1"/>
  <c r="E238" i="6" s="1"/>
  <c r="E51" i="6"/>
  <c r="E53" i="6" s="1"/>
  <c r="E55" i="6" s="1"/>
  <c r="E87" i="6"/>
  <c r="E95" i="6"/>
  <c r="E259" i="6" l="1"/>
  <c r="E331" i="6"/>
  <c r="D302" i="6"/>
  <c r="D303" i="6"/>
  <c r="D301" i="6"/>
  <c r="D65" i="6"/>
  <c r="D319" i="6" s="1"/>
  <c r="E36" i="6"/>
  <c r="E79" i="6" s="1"/>
  <c r="F32" i="6" s="1"/>
  <c r="E194" i="6"/>
  <c r="E56" i="6"/>
  <c r="E330" i="6" s="1"/>
  <c r="E70" i="6"/>
  <c r="D82" i="6"/>
  <c r="D140" i="6"/>
  <c r="D142" i="6" s="1"/>
  <c r="D138" i="6"/>
  <c r="E96" i="6"/>
  <c r="E323" i="6" l="1"/>
  <c r="E258" i="6"/>
  <c r="E260" i="6" s="1"/>
  <c r="E262" i="6" s="1"/>
  <c r="E264" i="6" s="1"/>
  <c r="E279" i="6" s="1"/>
  <c r="E309" i="6"/>
  <c r="D311" i="6"/>
  <c r="D307" i="6"/>
  <c r="D144" i="6"/>
  <c r="E78" i="6"/>
  <c r="E80" i="6" s="1"/>
  <c r="E316" i="6" s="1"/>
  <c r="D84" i="6"/>
  <c r="E320" i="6" l="1"/>
  <c r="D145" i="6"/>
  <c r="D133" i="6" s="1"/>
  <c r="E124" i="6"/>
  <c r="E125" i="6"/>
  <c r="E100" i="6"/>
  <c r="E104" i="6" s="1"/>
  <c r="E106" i="6" s="1"/>
  <c r="D134" i="6" l="1"/>
  <c r="D135" i="6" s="1"/>
  <c r="E127" i="6"/>
  <c r="E128" i="6" s="1"/>
  <c r="E113" i="6"/>
  <c r="F31" i="6"/>
  <c r="F174" i="6"/>
  <c r="F232" i="6" s="1"/>
  <c r="F233" i="6" l="1"/>
  <c r="D191" i="6"/>
  <c r="D168" i="6"/>
  <c r="E129" i="6"/>
  <c r="E165" i="6"/>
  <c r="E166" i="6" s="1"/>
  <c r="F175" i="6"/>
  <c r="F178" i="6" s="1"/>
  <c r="F180" i="6"/>
  <c r="F184" i="6" s="1"/>
  <c r="F185" i="6" s="1"/>
  <c r="E109" i="6"/>
  <c r="E60" i="6" s="1"/>
  <c r="E108" i="6"/>
  <c r="E67" i="6" s="1"/>
  <c r="E72" i="6" s="1"/>
  <c r="F33" i="6"/>
  <c r="F77" i="6" s="1"/>
  <c r="E315" i="6" l="1"/>
  <c r="E131" i="6"/>
  <c r="E229" i="6"/>
  <c r="E235" i="6" s="1"/>
  <c r="D193" i="6"/>
  <c r="E74" i="6"/>
  <c r="F179" i="6"/>
  <c r="F187" i="6" s="1"/>
  <c r="F237" i="6" s="1"/>
  <c r="F238" i="6" s="1"/>
  <c r="F49" i="6"/>
  <c r="F261" i="6" s="1"/>
  <c r="E110" i="6"/>
  <c r="E59" i="6" s="1"/>
  <c r="F34" i="6"/>
  <c r="E314" i="6" l="1"/>
  <c r="E308" i="6"/>
  <c r="E241" i="6"/>
  <c r="E240" i="6"/>
  <c r="D195" i="6"/>
  <c r="D202" i="6"/>
  <c r="D204" i="6" s="1"/>
  <c r="D205" i="6" s="1"/>
  <c r="E201" i="6" s="1"/>
  <c r="E203" i="6" s="1"/>
  <c r="F51" i="6"/>
  <c r="F53" i="6" s="1"/>
  <c r="F55" i="6" s="1"/>
  <c r="F194" i="6"/>
  <c r="F35" i="6"/>
  <c r="F103" i="6" s="1"/>
  <c r="F151" i="6" s="1"/>
  <c r="E63" i="6"/>
  <c r="F87" i="6"/>
  <c r="F95" i="6"/>
  <c r="F259" i="6" l="1"/>
  <c r="F331" i="6"/>
  <c r="E65" i="6"/>
  <c r="E319" i="6" s="1"/>
  <c r="E301" i="6"/>
  <c r="E303" i="6"/>
  <c r="E302" i="6"/>
  <c r="F152" i="6"/>
  <c r="F161" i="6" s="1"/>
  <c r="F164" i="6" s="1"/>
  <c r="F56" i="6"/>
  <c r="F330" i="6" s="1"/>
  <c r="F70" i="6"/>
  <c r="F36" i="6"/>
  <c r="E138" i="6"/>
  <c r="F96" i="6"/>
  <c r="E140" i="6"/>
  <c r="E142" i="6" s="1"/>
  <c r="E82" i="6"/>
  <c r="F323" i="6" l="1"/>
  <c r="F258" i="6"/>
  <c r="F260" i="6" s="1"/>
  <c r="F262" i="6" s="1"/>
  <c r="F264" i="6" s="1"/>
  <c r="F279" i="6" s="1"/>
  <c r="F309" i="6"/>
  <c r="E311" i="6"/>
  <c r="E307" i="6"/>
  <c r="E84" i="6"/>
  <c r="F78" i="6"/>
  <c r="F79" i="6"/>
  <c r="G32" i="6" s="1"/>
  <c r="E144" i="6"/>
  <c r="E145" i="6" l="1"/>
  <c r="E133" i="6" s="1"/>
  <c r="F80" i="6"/>
  <c r="F124" i="6"/>
  <c r="F125" i="6"/>
  <c r="F100" i="6"/>
  <c r="F104" i="6" s="1"/>
  <c r="F106" i="6" s="1"/>
  <c r="F316" i="6" l="1"/>
  <c r="F320" i="6"/>
  <c r="E134" i="6"/>
  <c r="E135" i="6" s="1"/>
  <c r="F127" i="6"/>
  <c r="F128" i="6" s="1"/>
  <c r="F113" i="6"/>
  <c r="G174" i="6"/>
  <c r="G232" i="6" s="1"/>
  <c r="G31" i="6"/>
  <c r="G233" i="6" l="1"/>
  <c r="E191" i="6"/>
  <c r="E193" i="6" s="1"/>
  <c r="E168" i="6"/>
  <c r="F129" i="6"/>
  <c r="F165" i="6"/>
  <c r="F166" i="6" s="1"/>
  <c r="G33" i="6"/>
  <c r="G77" i="6" s="1"/>
  <c r="G180" i="6"/>
  <c r="G184" i="6" s="1"/>
  <c r="G185" i="6" s="1"/>
  <c r="G175" i="6"/>
  <c r="G178" i="6" s="1"/>
  <c r="F108" i="6"/>
  <c r="F67" i="6" s="1"/>
  <c r="F72" i="6" s="1"/>
  <c r="F109" i="6"/>
  <c r="F60" i="6" s="1"/>
  <c r="F315" i="6" l="1"/>
  <c r="F131" i="6"/>
  <c r="F229" i="6"/>
  <c r="E195" i="6"/>
  <c r="E202" i="6"/>
  <c r="E204" i="6" s="1"/>
  <c r="E205" i="6" s="1"/>
  <c r="F201" i="6" s="1"/>
  <c r="F203" i="6" s="1"/>
  <c r="F74" i="6"/>
  <c r="F308" i="6" s="1"/>
  <c r="G179" i="6"/>
  <c r="G187" i="6" s="1"/>
  <c r="G237" i="6" s="1"/>
  <c r="G238" i="6" s="1"/>
  <c r="G34" i="6"/>
  <c r="G35" i="6" s="1"/>
  <c r="G103" i="6" s="1"/>
  <c r="G151" i="6" s="1"/>
  <c r="G49" i="6"/>
  <c r="G261" i="6" s="1"/>
  <c r="F110" i="6"/>
  <c r="F314" i="6" l="1"/>
  <c r="F235" i="6"/>
  <c r="F241" i="6" s="1"/>
  <c r="F240" i="6"/>
  <c r="G152" i="6"/>
  <c r="F59" i="6"/>
  <c r="F63" i="6" s="1"/>
  <c r="G194" i="6"/>
  <c r="G51" i="6"/>
  <c r="G53" i="6" s="1"/>
  <c r="G55" i="6" s="1"/>
  <c r="G96" i="6"/>
  <c r="G36" i="6"/>
  <c r="G79" i="6" s="1"/>
  <c r="G87" i="6"/>
  <c r="G95" i="6"/>
  <c r="G259" i="6" l="1"/>
  <c r="G331" i="6"/>
  <c r="F65" i="6"/>
  <c r="F319" i="6" s="1"/>
  <c r="F301" i="6"/>
  <c r="F303" i="6"/>
  <c r="F302" i="6"/>
  <c r="G161" i="6"/>
  <c r="G164" i="6" s="1"/>
  <c r="G56" i="6"/>
  <c r="G330" i="6" s="1"/>
  <c r="G70" i="6"/>
  <c r="H32" i="6"/>
  <c r="F82" i="6"/>
  <c r="F140" i="6"/>
  <c r="F142" i="6" s="1"/>
  <c r="F138" i="6"/>
  <c r="G323" i="6" l="1"/>
  <c r="G258" i="6"/>
  <c r="G260" i="6" s="1"/>
  <c r="G262" i="6" s="1"/>
  <c r="G264" i="6" s="1"/>
  <c r="G279" i="6" s="1"/>
  <c r="G309" i="6"/>
  <c r="F311" i="6"/>
  <c r="F307" i="6"/>
  <c r="G78" i="6"/>
  <c r="G80" i="6" s="1"/>
  <c r="G316" i="6" s="1"/>
  <c r="F144" i="6"/>
  <c r="F84" i="6"/>
  <c r="G320" i="6" l="1"/>
  <c r="F145" i="6"/>
  <c r="F133" i="6" s="1"/>
  <c r="G124" i="6"/>
  <c r="G125" i="6"/>
  <c r="G100" i="6"/>
  <c r="G104" i="6" s="1"/>
  <c r="G106" i="6" s="1"/>
  <c r="F134" i="6" l="1"/>
  <c r="F135" i="6" s="1"/>
  <c r="G127" i="6"/>
  <c r="G128" i="6" s="1"/>
  <c r="G113" i="6"/>
  <c r="H174" i="6"/>
  <c r="H232" i="6" s="1"/>
  <c r="H31" i="6"/>
  <c r="H233" i="6" l="1"/>
  <c r="F191" i="6"/>
  <c r="F193" i="6" s="1"/>
  <c r="F168" i="6"/>
  <c r="G129" i="6"/>
  <c r="G165" i="6"/>
  <c r="G166" i="6" s="1"/>
  <c r="H175" i="6"/>
  <c r="H178" i="6" s="1"/>
  <c r="H180" i="6"/>
  <c r="H184" i="6" s="1"/>
  <c r="H185" i="6" s="1"/>
  <c r="G108" i="6"/>
  <c r="G67" i="6" s="1"/>
  <c r="G72" i="6" s="1"/>
  <c r="G109" i="6"/>
  <c r="G60" i="6" s="1"/>
  <c r="H33" i="6"/>
  <c r="H77" i="6" s="1"/>
  <c r="G315" i="6" l="1"/>
  <c r="G131" i="6"/>
  <c r="G229" i="6"/>
  <c r="F195" i="6"/>
  <c r="F202" i="6"/>
  <c r="G74" i="6"/>
  <c r="G308" i="6" s="1"/>
  <c r="H179" i="6"/>
  <c r="H187" i="6" s="1"/>
  <c r="H237" i="6" s="1"/>
  <c r="H238" i="6" s="1"/>
  <c r="G110" i="6"/>
  <c r="H34" i="6"/>
  <c r="G314" i="6" l="1"/>
  <c r="G235" i="6"/>
  <c r="G241" i="6" s="1"/>
  <c r="G240" i="6"/>
  <c r="F204" i="6"/>
  <c r="F205" i="6" s="1"/>
  <c r="G201" i="6" s="1"/>
  <c r="G59" i="6"/>
  <c r="G63" i="6" s="1"/>
  <c r="H194" i="6"/>
  <c r="H49" i="6"/>
  <c r="H261" i="6" s="1"/>
  <c r="H35" i="6"/>
  <c r="H103" i="6" s="1"/>
  <c r="H151" i="6" s="1"/>
  <c r="H87" i="6"/>
  <c r="H95" i="6"/>
  <c r="G65" i="6" l="1"/>
  <c r="G319" i="6" s="1"/>
  <c r="G301" i="6"/>
  <c r="G303" i="6"/>
  <c r="G302" i="6"/>
  <c r="G203" i="6"/>
  <c r="H152" i="6"/>
  <c r="H51" i="6"/>
  <c r="H53" i="6" s="1"/>
  <c r="H55" i="6" s="1"/>
  <c r="H96" i="6"/>
  <c r="H36" i="6"/>
  <c r="G138" i="6"/>
  <c r="G140" i="6"/>
  <c r="G142" i="6" s="1"/>
  <c r="G82" i="6"/>
  <c r="H259" i="6" l="1"/>
  <c r="H331" i="6"/>
  <c r="G311" i="6"/>
  <c r="G307" i="6"/>
  <c r="G84" i="6"/>
  <c r="H161" i="6"/>
  <c r="H164" i="6" s="1"/>
  <c r="H79" i="6"/>
  <c r="I32" i="6" s="1"/>
  <c r="H56" i="6"/>
  <c r="H330" i="6" s="1"/>
  <c r="H70" i="6"/>
  <c r="G144" i="6"/>
  <c r="H323" i="6" l="1"/>
  <c r="H258" i="6"/>
  <c r="H260" i="6" s="1"/>
  <c r="H262" i="6" s="1"/>
  <c r="H264" i="6" s="1"/>
  <c r="H279" i="6" s="1"/>
  <c r="H309" i="6"/>
  <c r="G145" i="6"/>
  <c r="G133" i="6" s="1"/>
  <c r="H78" i="6"/>
  <c r="H80" i="6" s="1"/>
  <c r="H316" i="6" s="1"/>
  <c r="H124" i="6"/>
  <c r="H125" i="6"/>
  <c r="H320" i="6" l="1"/>
  <c r="G134" i="6"/>
  <c r="G135" i="6" s="1"/>
  <c r="H100" i="6"/>
  <c r="H104" i="6" s="1"/>
  <c r="H106" i="6" s="1"/>
  <c r="H127" i="6"/>
  <c r="H128" i="6" s="1"/>
  <c r="I174" i="6"/>
  <c r="I232" i="6" s="1"/>
  <c r="I31" i="6"/>
  <c r="I233" i="6" l="1"/>
  <c r="G191" i="6"/>
  <c r="G193" i="6" s="1"/>
  <c r="G168" i="6"/>
  <c r="H129" i="6"/>
  <c r="H165" i="6"/>
  <c r="H166" i="6" s="1"/>
  <c r="I180" i="6"/>
  <c r="I184" i="6" s="1"/>
  <c r="I185" i="6" s="1"/>
  <c r="I175" i="6"/>
  <c r="I178" i="6" s="1"/>
  <c r="I33" i="6"/>
  <c r="I77" i="6" s="1"/>
  <c r="H113" i="6"/>
  <c r="H131" i="6" l="1"/>
  <c r="H229" i="6"/>
  <c r="G195" i="6"/>
  <c r="G202" i="6"/>
  <c r="I179" i="6"/>
  <c r="I187" i="6" s="1"/>
  <c r="I237" i="6" s="1"/>
  <c r="I238" i="6" s="1"/>
  <c r="H108" i="6"/>
  <c r="H67" i="6" s="1"/>
  <c r="H72" i="6" s="1"/>
  <c r="H109" i="6"/>
  <c r="H60" i="6" s="1"/>
  <c r="I34" i="6"/>
  <c r="H315" i="6" l="1"/>
  <c r="H235" i="6"/>
  <c r="H241" i="6" s="1"/>
  <c r="H240" i="6"/>
  <c r="G204" i="6"/>
  <c r="H74" i="6"/>
  <c r="I194" i="6"/>
  <c r="I35" i="6"/>
  <c r="I103" i="6" s="1"/>
  <c r="I151" i="6" s="1"/>
  <c r="I49" i="6"/>
  <c r="I261" i="6" s="1"/>
  <c r="H110" i="6"/>
  <c r="H314" i="6" l="1"/>
  <c r="H308" i="6"/>
  <c r="G205" i="6"/>
  <c r="H201" i="6" s="1"/>
  <c r="I152" i="6"/>
  <c r="H59" i="6"/>
  <c r="H63" i="6" s="1"/>
  <c r="I51" i="6"/>
  <c r="I53" i="6" s="1"/>
  <c r="I55" i="6" s="1"/>
  <c r="I36" i="6"/>
  <c r="I87" i="6"/>
  <c r="I95" i="6"/>
  <c r="I259" i="6" l="1"/>
  <c r="I331" i="6"/>
  <c r="H65" i="6"/>
  <c r="H319" i="6" s="1"/>
  <c r="H302" i="6"/>
  <c r="H301" i="6"/>
  <c r="H303" i="6"/>
  <c r="H203" i="6"/>
  <c r="I161" i="6"/>
  <c r="I164" i="6" s="1"/>
  <c r="I79" i="6"/>
  <c r="J32" i="6" s="1"/>
  <c r="I56" i="6"/>
  <c r="I330" i="6" s="1"/>
  <c r="I70" i="6"/>
  <c r="I96" i="6"/>
  <c r="H82" i="6"/>
  <c r="H140" i="6"/>
  <c r="H142" i="6" s="1"/>
  <c r="H138" i="6"/>
  <c r="I323" i="6" l="1"/>
  <c r="I309" i="6"/>
  <c r="I258" i="6"/>
  <c r="I260" i="6" s="1"/>
  <c r="I262" i="6" s="1"/>
  <c r="I264" i="6" s="1"/>
  <c r="I279" i="6" s="1"/>
  <c r="H311" i="6"/>
  <c r="H307" i="6"/>
  <c r="I78" i="6"/>
  <c r="I80" i="6" s="1"/>
  <c r="I316" i="6" s="1"/>
  <c r="H144" i="6"/>
  <c r="H84" i="6"/>
  <c r="I320" i="6" l="1"/>
  <c r="H145" i="6"/>
  <c r="H133" i="6" s="1"/>
  <c r="I124" i="6"/>
  <c r="I125" i="6"/>
  <c r="I100" i="6"/>
  <c r="I104" i="6" s="1"/>
  <c r="I106" i="6" s="1"/>
  <c r="H134" i="6" l="1"/>
  <c r="H135" i="6" s="1"/>
  <c r="I113" i="6"/>
  <c r="J31" i="6"/>
  <c r="J174" i="6"/>
  <c r="J232" i="6" s="1"/>
  <c r="I127" i="6"/>
  <c r="I128" i="6" s="1"/>
  <c r="J233" i="6" l="1"/>
  <c r="H168" i="6"/>
  <c r="I129" i="6"/>
  <c r="I165" i="6"/>
  <c r="I166" i="6" s="1"/>
  <c r="H191" i="6"/>
  <c r="J33" i="6"/>
  <c r="J77" i="6" s="1"/>
  <c r="J180" i="6"/>
  <c r="J175" i="6"/>
  <c r="J178" i="6" s="1"/>
  <c r="I108" i="6"/>
  <c r="I67" i="6" s="1"/>
  <c r="I72" i="6" s="1"/>
  <c r="I109" i="6"/>
  <c r="I60" i="6" s="1"/>
  <c r="I315" i="6" l="1"/>
  <c r="I131" i="6"/>
  <c r="I229" i="6"/>
  <c r="H193" i="6"/>
  <c r="I74" i="6"/>
  <c r="J184" i="6"/>
  <c r="J185" i="6" s="1"/>
  <c r="J34" i="6"/>
  <c r="J35" i="6" s="1"/>
  <c r="J103" i="6" s="1"/>
  <c r="J151" i="6" s="1"/>
  <c r="J179" i="6"/>
  <c r="J49" i="6"/>
  <c r="J261" i="6" s="1"/>
  <c r="I110" i="6"/>
  <c r="I314" i="6" l="1"/>
  <c r="I308" i="6"/>
  <c r="I235" i="6"/>
  <c r="I241" i="6" s="1"/>
  <c r="I240" i="6"/>
  <c r="H195" i="6"/>
  <c r="H202" i="6"/>
  <c r="J152" i="6"/>
  <c r="I59" i="6"/>
  <c r="I63" i="6" s="1"/>
  <c r="J51" i="6"/>
  <c r="J53" i="6" s="1"/>
  <c r="J55" i="6" s="1"/>
  <c r="J187" i="6"/>
  <c r="J237" i="6" s="1"/>
  <c r="J238" i="6" s="1"/>
  <c r="J36" i="6"/>
  <c r="J87" i="6"/>
  <c r="J95" i="6"/>
  <c r="J259" i="6" l="1"/>
  <c r="J331" i="6"/>
  <c r="I65" i="6"/>
  <c r="I319" i="6" s="1"/>
  <c r="I301" i="6"/>
  <c r="I303" i="6"/>
  <c r="I302" i="6"/>
  <c r="H204" i="6"/>
  <c r="H205" i="6" s="1"/>
  <c r="J161" i="6"/>
  <c r="J164" i="6" s="1"/>
  <c r="J194" i="6"/>
  <c r="J79" i="6"/>
  <c r="K32" i="6" s="1"/>
  <c r="J56" i="6"/>
  <c r="J70" i="6"/>
  <c r="I138" i="6"/>
  <c r="J96" i="6"/>
  <c r="I82" i="6"/>
  <c r="I140" i="6"/>
  <c r="I142" i="6" s="1"/>
  <c r="J323" i="6" l="1"/>
  <c r="J330" i="6"/>
  <c r="J309" i="6"/>
  <c r="J258" i="6"/>
  <c r="J260" i="6" s="1"/>
  <c r="J262" i="6" s="1"/>
  <c r="J264" i="6" s="1"/>
  <c r="J279" i="6" s="1"/>
  <c r="I311" i="6"/>
  <c r="I307" i="6"/>
  <c r="I201" i="6"/>
  <c r="J78" i="6"/>
  <c r="J80" i="6" s="1"/>
  <c r="J316" i="6" s="1"/>
  <c r="I84" i="6"/>
  <c r="I144" i="6"/>
  <c r="J320" i="6" l="1"/>
  <c r="I203" i="6"/>
  <c r="I145" i="6"/>
  <c r="I133" i="6" s="1"/>
  <c r="J124" i="6"/>
  <c r="J125" i="6"/>
  <c r="J100" i="6"/>
  <c r="J104" i="6" s="1"/>
  <c r="J106" i="6" s="1"/>
  <c r="I134" i="6" l="1"/>
  <c r="I135" i="6" s="1"/>
  <c r="J113" i="6"/>
  <c r="J127" i="6"/>
  <c r="J128" i="6" s="1"/>
  <c r="K31" i="6"/>
  <c r="K174" i="6"/>
  <c r="K232" i="6" s="1"/>
  <c r="K233" i="6" s="1"/>
  <c r="I168" i="6" l="1"/>
  <c r="J129" i="6"/>
  <c r="J165" i="6"/>
  <c r="J166" i="6" s="1"/>
  <c r="I191" i="6"/>
  <c r="I193" i="6" s="1"/>
  <c r="K180" i="6"/>
  <c r="K184" i="6" s="1"/>
  <c r="K185" i="6" s="1"/>
  <c r="K175" i="6"/>
  <c r="K178" i="6" s="1"/>
  <c r="K33" i="6"/>
  <c r="K77" i="6" s="1"/>
  <c r="J109" i="6"/>
  <c r="J60" i="6" s="1"/>
  <c r="J108" i="6"/>
  <c r="J67" i="6" s="1"/>
  <c r="J72" i="6" s="1"/>
  <c r="J315" i="6" l="1"/>
  <c r="J131" i="6"/>
  <c r="J229" i="6"/>
  <c r="I195" i="6"/>
  <c r="I202" i="6"/>
  <c r="I204" i="6" s="1"/>
  <c r="I205" i="6" s="1"/>
  <c r="J201" i="6" s="1"/>
  <c r="J74" i="6"/>
  <c r="J308" i="6" s="1"/>
  <c r="K179" i="6"/>
  <c r="K187" i="6" s="1"/>
  <c r="K237" i="6" s="1"/>
  <c r="K238" i="6" s="1"/>
  <c r="K34" i="6"/>
  <c r="K35" i="6" s="1"/>
  <c r="K103" i="6" s="1"/>
  <c r="K151" i="6" s="1"/>
  <c r="K152" i="6" s="1"/>
  <c r="K161" i="6" s="1"/>
  <c r="K164" i="6" s="1"/>
  <c r="K49" i="6"/>
  <c r="K261" i="6" s="1"/>
  <c r="J110" i="6"/>
  <c r="J314" i="6" l="1"/>
  <c r="J235" i="6"/>
  <c r="J241" i="6" s="1"/>
  <c r="J240" i="6"/>
  <c r="J203" i="6"/>
  <c r="J59" i="6"/>
  <c r="J63" i="6" s="1"/>
  <c r="K194" i="6"/>
  <c r="K51" i="6"/>
  <c r="K53" i="6" s="1"/>
  <c r="K55" i="6" s="1"/>
  <c r="K36" i="6"/>
  <c r="K95" i="6"/>
  <c r="K87" i="6"/>
  <c r="K259" i="6" l="1"/>
  <c r="K331" i="6"/>
  <c r="J65" i="6"/>
  <c r="J319" i="6" s="1"/>
  <c r="J302" i="6"/>
  <c r="J301" i="6"/>
  <c r="J303" i="6"/>
  <c r="K79" i="6"/>
  <c r="L32" i="6" s="1"/>
  <c r="K56" i="6"/>
  <c r="K70" i="6"/>
  <c r="J140" i="6"/>
  <c r="J142" i="6" s="1"/>
  <c r="J82" i="6"/>
  <c r="J138" i="6"/>
  <c r="K96" i="6"/>
  <c r="K323" i="6" l="1"/>
  <c r="K330" i="6"/>
  <c r="K309" i="6"/>
  <c r="K258" i="6"/>
  <c r="K260" i="6" s="1"/>
  <c r="K262" i="6" s="1"/>
  <c r="K264" i="6" s="1"/>
  <c r="K279" i="6" s="1"/>
  <c r="J311" i="6"/>
  <c r="J307" i="6"/>
  <c r="K78" i="6"/>
  <c r="K80" i="6" s="1"/>
  <c r="K316" i="6" s="1"/>
  <c r="J144" i="6"/>
  <c r="J84" i="6"/>
  <c r="K320" i="6" l="1"/>
  <c r="J145" i="6"/>
  <c r="J133" i="6" s="1"/>
  <c r="K124" i="6"/>
  <c r="K125" i="6"/>
  <c r="K100" i="6"/>
  <c r="K104" i="6" s="1"/>
  <c r="K106" i="6" s="1"/>
  <c r="J134" i="6" l="1"/>
  <c r="J135" i="6" s="1"/>
  <c r="K113" i="6"/>
  <c r="K127" i="6"/>
  <c r="K128" i="6" s="1"/>
  <c r="L31" i="6"/>
  <c r="L174" i="6"/>
  <c r="L232" i="6" s="1"/>
  <c r="L233" i="6" s="1"/>
  <c r="J191" i="6" l="1"/>
  <c r="J193" i="6" s="1"/>
  <c r="J168" i="6"/>
  <c r="K129" i="6"/>
  <c r="K165" i="6"/>
  <c r="K166" i="6" s="1"/>
  <c r="L33" i="6"/>
  <c r="L77" i="6" s="1"/>
  <c r="L175" i="6"/>
  <c r="L178" i="6" s="1"/>
  <c r="L180" i="6"/>
  <c r="L184" i="6" s="1"/>
  <c r="L185" i="6" s="1"/>
  <c r="K109" i="6"/>
  <c r="K60" i="6" s="1"/>
  <c r="K108" i="6"/>
  <c r="K67" i="6" s="1"/>
  <c r="K72" i="6" s="1"/>
  <c r="K315" i="6" l="1"/>
  <c r="K131" i="6"/>
  <c r="K229" i="6"/>
  <c r="J195" i="6"/>
  <c r="J202" i="6"/>
  <c r="J204" i="6" s="1"/>
  <c r="J205" i="6" s="1"/>
  <c r="K201" i="6" s="1"/>
  <c r="K74" i="6"/>
  <c r="K308" i="6" s="1"/>
  <c r="L179" i="6"/>
  <c r="L187" i="6" s="1"/>
  <c r="L237" i="6" s="1"/>
  <c r="L238" i="6" s="1"/>
  <c r="L34" i="6"/>
  <c r="L35" i="6" s="1"/>
  <c r="L49" i="6"/>
  <c r="L261" i="6" s="1"/>
  <c r="K110" i="6"/>
  <c r="K59" i="6" s="1"/>
  <c r="K314" i="6" l="1"/>
  <c r="K235" i="6"/>
  <c r="K241" i="6" s="1"/>
  <c r="K240" i="6"/>
  <c r="K203" i="6"/>
  <c r="L194" i="6"/>
  <c r="L51" i="6"/>
  <c r="L53" i="6" s="1"/>
  <c r="L55" i="6" s="1"/>
  <c r="L103" i="6"/>
  <c r="L151" i="6" s="1"/>
  <c r="L152" i="6" s="1"/>
  <c r="L161" i="6" s="1"/>
  <c r="L164" i="6" s="1"/>
  <c r="L36" i="6"/>
  <c r="L87" i="6"/>
  <c r="K63" i="6"/>
  <c r="L95" i="6"/>
  <c r="L259" i="6" l="1"/>
  <c r="L331" i="6"/>
  <c r="K65" i="6"/>
  <c r="K319" i="6" s="1"/>
  <c r="K301" i="6"/>
  <c r="K303" i="6"/>
  <c r="K302" i="6"/>
  <c r="L79" i="6"/>
  <c r="M32" i="6" s="1"/>
  <c r="L56" i="6"/>
  <c r="L70" i="6"/>
  <c r="L96" i="6"/>
  <c r="K82" i="6"/>
  <c r="K140" i="6"/>
  <c r="K142" i="6" s="1"/>
  <c r="K138" i="6"/>
  <c r="L323" i="6" l="1"/>
  <c r="L330" i="6"/>
  <c r="L309" i="6"/>
  <c r="L258" i="6"/>
  <c r="L260" i="6" s="1"/>
  <c r="L262" i="6" s="1"/>
  <c r="L264" i="6" s="1"/>
  <c r="L279" i="6" s="1"/>
  <c r="K311" i="6"/>
  <c r="K307" i="6"/>
  <c r="L78" i="6"/>
  <c r="L80" i="6" s="1"/>
  <c r="L316" i="6" s="1"/>
  <c r="K144" i="6"/>
  <c r="K84" i="6"/>
  <c r="L320" i="6" l="1"/>
  <c r="K145" i="6"/>
  <c r="K133" i="6" s="1"/>
  <c r="L124" i="6"/>
  <c r="L125" i="6"/>
  <c r="L100" i="6"/>
  <c r="L104" i="6" s="1"/>
  <c r="L106" i="6" s="1"/>
  <c r="K134" i="6" l="1"/>
  <c r="K135" i="6" s="1"/>
  <c r="L113" i="6"/>
  <c r="L127" i="6"/>
  <c r="L128" i="6" s="1"/>
  <c r="M31" i="6"/>
  <c r="M174" i="6"/>
  <c r="M232" i="6" s="1"/>
  <c r="M233" i="6" s="1"/>
  <c r="K191" i="6" l="1"/>
  <c r="K193" i="6" s="1"/>
  <c r="K168" i="6"/>
  <c r="L129" i="6"/>
  <c r="L165" i="6"/>
  <c r="L166" i="6" s="1"/>
  <c r="M175" i="6"/>
  <c r="M178" i="6" s="1"/>
  <c r="M180" i="6"/>
  <c r="M184" i="6" s="1"/>
  <c r="M185" i="6" s="1"/>
  <c r="M33" i="6"/>
  <c r="M77" i="6" s="1"/>
  <c r="L108" i="6"/>
  <c r="L67" i="6" s="1"/>
  <c r="L72" i="6" s="1"/>
  <c r="L109" i="6"/>
  <c r="L60" i="6" s="1"/>
  <c r="L315" i="6" l="1"/>
  <c r="L131" i="6"/>
  <c r="L229" i="6"/>
  <c r="K195" i="6"/>
  <c r="K202" i="6"/>
  <c r="K204" i="6" s="1"/>
  <c r="K205" i="6" s="1"/>
  <c r="L201" i="6" s="1"/>
  <c r="L74" i="6"/>
  <c r="M179" i="6"/>
  <c r="M187" i="6" s="1"/>
  <c r="M237" i="6" s="1"/>
  <c r="M238" i="6" s="1"/>
  <c r="M34" i="6"/>
  <c r="M35" i="6" s="1"/>
  <c r="M103" i="6" s="1"/>
  <c r="M151" i="6" s="1"/>
  <c r="M152" i="6" s="1"/>
  <c r="M161" i="6" s="1"/>
  <c r="M164" i="6" s="1"/>
  <c r="M49" i="6"/>
  <c r="M261" i="6" s="1"/>
  <c r="L110" i="6"/>
  <c r="L59" i="6" s="1"/>
  <c r="L314" i="6" l="1"/>
  <c r="L308" i="6"/>
  <c r="L235" i="6"/>
  <c r="L241" i="6" s="1"/>
  <c r="L240" i="6"/>
  <c r="L203" i="6"/>
  <c r="M51" i="6"/>
  <c r="M53" i="6" s="1"/>
  <c r="M55" i="6" s="1"/>
  <c r="M194" i="6"/>
  <c r="M36" i="6"/>
  <c r="M79" i="6" s="1"/>
  <c r="M87" i="6"/>
  <c r="L63" i="6"/>
  <c r="M95" i="6"/>
  <c r="M259" i="6" l="1"/>
  <c r="M331" i="6"/>
  <c r="L65" i="6"/>
  <c r="L319" i="6" s="1"/>
  <c r="L302" i="6"/>
  <c r="L301" i="6"/>
  <c r="L303" i="6"/>
  <c r="M56" i="6"/>
  <c r="M70" i="6"/>
  <c r="M96" i="6"/>
  <c r="L140" i="6"/>
  <c r="L142" i="6" s="1"/>
  <c r="L82" i="6"/>
  <c r="L138" i="6"/>
  <c r="M323" i="6" l="1"/>
  <c r="M330" i="6"/>
  <c r="M309" i="6"/>
  <c r="M258" i="6"/>
  <c r="M260" i="6" s="1"/>
  <c r="M262" i="6" s="1"/>
  <c r="M264" i="6" s="1"/>
  <c r="M279" i="6" s="1"/>
  <c r="L311" i="6"/>
  <c r="L307" i="6"/>
  <c r="M78" i="6"/>
  <c r="M80" i="6" s="1"/>
  <c r="M316" i="6" s="1"/>
  <c r="L144" i="6"/>
  <c r="L84" i="6"/>
  <c r="M320" i="6" l="1"/>
  <c r="L145" i="6"/>
  <c r="L133" i="6" s="1"/>
  <c r="M124" i="6"/>
  <c r="M125" i="6"/>
  <c r="M100" i="6"/>
  <c r="M104" i="6" s="1"/>
  <c r="M106" i="6" s="1"/>
  <c r="L134" i="6" l="1"/>
  <c r="L135" i="6" s="1"/>
  <c r="M127" i="6"/>
  <c r="M128" i="6" s="1"/>
  <c r="M113" i="6"/>
  <c r="L191" i="6" l="1"/>
  <c r="L193" i="6" s="1"/>
  <c r="L168" i="6"/>
  <c r="M129" i="6"/>
  <c r="M165" i="6"/>
  <c r="M166" i="6" s="1"/>
  <c r="M109" i="6"/>
  <c r="M60" i="6" s="1"/>
  <c r="M108" i="6"/>
  <c r="M67" i="6" s="1"/>
  <c r="M72" i="6" s="1"/>
  <c r="M315" i="6" l="1"/>
  <c r="M131" i="6"/>
  <c r="M229" i="6"/>
  <c r="L195" i="6"/>
  <c r="L202" i="6"/>
  <c r="L204" i="6" s="1"/>
  <c r="L205" i="6" s="1"/>
  <c r="M201" i="6" s="1"/>
  <c r="M74" i="6"/>
  <c r="M110" i="6"/>
  <c r="M314" i="6" l="1"/>
  <c r="M308" i="6"/>
  <c r="M235" i="6"/>
  <c r="M241" i="6" s="1"/>
  <c r="M240" i="6"/>
  <c r="M203" i="6"/>
  <c r="M59" i="6"/>
  <c r="M63" i="6" s="1"/>
  <c r="M82" i="6"/>
  <c r="M140" i="6"/>
  <c r="M142" i="6" s="1"/>
  <c r="M65" i="6" l="1"/>
  <c r="M319" i="6" s="1"/>
  <c r="M301" i="6"/>
  <c r="M303" i="6"/>
  <c r="M302" i="6"/>
  <c r="M138" i="6"/>
  <c r="M144" i="6" s="1"/>
  <c r="M84" i="6" l="1"/>
  <c r="M311" i="6"/>
  <c r="M307" i="6"/>
  <c r="M145" i="6"/>
  <c r="M133" i="6" s="1"/>
  <c r="M134" i="6" l="1"/>
  <c r="M135" i="6" s="1"/>
  <c r="M191" i="6" l="1"/>
  <c r="M192" i="6" s="1"/>
  <c r="M168" i="6"/>
  <c r="M193" i="6" l="1"/>
  <c r="C198" i="6" l="1"/>
  <c r="M202" i="6"/>
  <c r="M204" i="6" s="1"/>
  <c r="M205" i="6" s="1"/>
  <c r="C207" i="6" s="1"/>
  <c r="M195" i="6"/>
  <c r="C197" i="6" s="1"/>
  <c r="N21" i="9" l="1"/>
  <c r="N20" i="9"/>
  <c r="N15" i="9"/>
  <c r="N14" i="9"/>
  <c r="I9" i="9"/>
  <c r="I8" i="9"/>
  <c r="O14" i="9" l="1"/>
  <c r="M14" i="9"/>
  <c r="O21" i="9"/>
  <c r="O20" i="9"/>
  <c r="M21" i="9"/>
  <c r="O15" i="9"/>
  <c r="M20" i="9"/>
  <c r="M15" i="9"/>
  <c r="M9" i="9"/>
  <c r="M8" i="9"/>
  <c r="N8" i="9"/>
  <c r="O8" i="9"/>
  <c r="N9" i="9"/>
  <c r="O9" i="9"/>
  <c r="H9" i="9"/>
  <c r="J9" i="9"/>
  <c r="J8" i="9"/>
  <c r="H8" i="9"/>
  <c r="C21" i="9"/>
  <c r="D21" i="9"/>
  <c r="C20" i="9"/>
  <c r="D20" i="9"/>
  <c r="D14" i="9"/>
  <c r="D15" i="9"/>
  <c r="C15" i="9"/>
  <c r="C14" i="9"/>
  <c r="E9" i="9"/>
  <c r="C9" i="9"/>
  <c r="E8" i="9"/>
  <c r="C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tc={C70710A3-C110-4E3C-A212-546571FA6369}</author>
    <author>tc={EEC4BC20-B557-4B98-A0B7-FF7C525CF830}</author>
    <author>Jairo Gutiérrez C.</author>
    <author>JGC</author>
    <author>tc={6E383B58-36EF-42C3-9CAC-6D6DC1573F55}</author>
  </authors>
  <commentList>
    <comment ref="C99" authorId="0" shapeId="0" xr:uid="{C70710A3-C110-4E3C-A212-546571FA6369}">
      <text>
        <t>[Comentario encadenado]
Su versión de Excel le permite leer este comentario encadenado; sin embargo, las ediciones que se apliquen se quitarán si el archivo se abre en una versión más reciente de Excel. Más información: https://go.microsoft.com/fwlink/?linkid=870924
Comentario:
    Si bien el terreno hace parte de los activos, no implica salida de efectivo. Afecta cálculo VPN</t>
      </text>
    </comment>
    <comment ref="C150" authorId="1" shapeId="0" xr:uid="{EEC4BC20-B557-4B98-A0B7-FF7C525CF830}">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valor tiene incluido el precio del terreno. Pero no es salida de efectivo</t>
      </text>
    </comment>
    <comment ref="B165" authorId="2" shapeId="0" xr:uid="{AA48292E-DCB0-4EE5-9C6D-55F4D10A4C3E}">
      <text>
        <r>
          <rPr>
            <sz val="8"/>
            <color indexed="81"/>
            <rFont val="Tahoma"/>
            <family val="2"/>
          </rPr>
          <t xml:space="preserve"> </t>
        </r>
        <r>
          <rPr>
            <sz val="12"/>
            <color indexed="81"/>
            <rFont val="Tahoma"/>
            <family val="2"/>
          </rPr>
          <t xml:space="preserve">   Impuestos ajustados
-  Impuestos causados</t>
        </r>
      </text>
    </comment>
    <comment ref="B173" authorId="3" shapeId="0" xr:uid="{D4DAFAB4-F9F2-441C-9CB1-6CE8FC8C0279}">
      <text>
        <r>
          <rPr>
            <b/>
            <sz val="9"/>
            <color indexed="81"/>
            <rFont val="Tahoma"/>
            <family val="2"/>
          </rPr>
          <t>JGC:</t>
        </r>
        <r>
          <rPr>
            <sz val="9"/>
            <color indexed="81"/>
            <rFont val="Tahoma"/>
            <family val="2"/>
          </rPr>
          <t xml:space="preserve">
Deuda al inicio del año más deudas contratadas durante el año</t>
        </r>
      </text>
    </comment>
    <comment ref="B174" authorId="3" shapeId="0" xr:uid="{D87F86BB-4C23-4A06-8B06-F53FFC96DC3B}">
      <text>
        <r>
          <rPr>
            <b/>
            <sz val="9"/>
            <color indexed="81"/>
            <rFont val="Tahoma"/>
            <family val="2"/>
          </rPr>
          <t>JGC:</t>
        </r>
        <r>
          <rPr>
            <sz val="9"/>
            <color indexed="81"/>
            <rFont val="Tahoma"/>
            <family val="2"/>
          </rPr>
          <t xml:space="preserve">
Patrimonio al inicio del año más aportes efectuados durante el año</t>
        </r>
      </text>
    </comment>
    <comment ref="D261" authorId="4" shapeId="0" xr:uid="{6E383B58-36EF-42C3-9CAC-6D6DC1573F55}">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Costo crédito de tesorería</t>
      </text>
    </comment>
  </commentList>
</comments>
</file>

<file path=xl/sharedStrings.xml><?xml version="1.0" encoding="utf-8"?>
<sst xmlns="http://schemas.openxmlformats.org/spreadsheetml/2006/main" count="578" uniqueCount="402">
  <si>
    <t>Lista 01</t>
  </si>
  <si>
    <t>LADY JOHANNA CORREDOR SAAVEDRA</t>
  </si>
  <si>
    <t>Compra</t>
  </si>
  <si>
    <t>KAREN IBETH GONZALEZ ARIZA</t>
  </si>
  <si>
    <t>Arriendo</t>
  </si>
  <si>
    <t>OSCAR GERARDO CIFUENTES CORRA</t>
  </si>
  <si>
    <t>Lista 02</t>
  </si>
  <si>
    <t>Modelo financiero para la estructuración de un proyecto de Glamping.</t>
  </si>
  <si>
    <t>Días de operación</t>
  </si>
  <si>
    <t>Inflación</t>
  </si>
  <si>
    <t>Tasa Impositiva</t>
  </si>
  <si>
    <t>Distribución de Utilidades</t>
  </si>
  <si>
    <t>Proyección de ocupación mensual por cabaña</t>
  </si>
  <si>
    <t>Proyección de ocupación mensual total</t>
  </si>
  <si>
    <t>Pesimista</t>
  </si>
  <si>
    <t>Base</t>
  </si>
  <si>
    <t>Optimista</t>
  </si>
  <si>
    <t>Mes 1 - 3</t>
  </si>
  <si>
    <t>Mes 4 - 6</t>
  </si>
  <si>
    <t>Mes 7 - 12</t>
  </si>
  <si>
    <t>Mes 13 en adelante</t>
  </si>
  <si>
    <t>Periodo</t>
  </si>
  <si>
    <t>Mes</t>
  </si>
  <si>
    <t>Inicio Operación</t>
  </si>
  <si>
    <t>Escenario Pesimista</t>
  </si>
  <si>
    <t>Escenario Base</t>
  </si>
  <si>
    <t>Escenario Optimista</t>
  </si>
  <si>
    <t>Noche fin de semana</t>
  </si>
  <si>
    <t>Noche entre semana</t>
  </si>
  <si>
    <t>Producto</t>
  </si>
  <si>
    <t>Descripción</t>
  </si>
  <si>
    <t>Valor Unitario</t>
  </si>
  <si>
    <t>Producto 2</t>
  </si>
  <si>
    <t>Producto 1</t>
  </si>
  <si>
    <t>Número de Cabañas:</t>
  </si>
  <si>
    <t>CAPEX</t>
  </si>
  <si>
    <t>OPEX</t>
  </si>
  <si>
    <t>CAPEX - Infraestructura</t>
  </si>
  <si>
    <t>OPEX - Mantenimiento</t>
  </si>
  <si>
    <t>Detalle</t>
  </si>
  <si>
    <t>Unidad</t>
  </si>
  <si>
    <t>Cantidad</t>
  </si>
  <si>
    <t>Vr. Unitario</t>
  </si>
  <si>
    <t>Vr. Total</t>
  </si>
  <si>
    <t>Vida útil</t>
  </si>
  <si>
    <t>Inversión por cabaña</t>
  </si>
  <si>
    <t>UN</t>
  </si>
  <si>
    <t>Infraetructura Administración-cocina</t>
  </si>
  <si>
    <t>Paisajismo</t>
  </si>
  <si>
    <t>GL</t>
  </si>
  <si>
    <t>TOTAL CAPEX Infraestructura</t>
  </si>
  <si>
    <t>CAPEX - Operación</t>
  </si>
  <si>
    <t>OPEX - Reposición</t>
  </si>
  <si>
    <t>CABAÑA</t>
  </si>
  <si>
    <t>Reposición</t>
  </si>
  <si>
    <t>Habitación</t>
  </si>
  <si>
    <t>Colchón Queen</t>
  </si>
  <si>
    <t>Protector colchón</t>
  </si>
  <si>
    <t>Almohadas pequeña</t>
  </si>
  <si>
    <t>Almohadon</t>
  </si>
  <si>
    <t>Juego de sábanas</t>
  </si>
  <si>
    <t>Cubrelecho</t>
  </si>
  <si>
    <t>Mueble pie de cama</t>
  </si>
  <si>
    <t>Cortinas</t>
  </si>
  <si>
    <t>Decoración</t>
  </si>
  <si>
    <t>Baño</t>
  </si>
  <si>
    <t>Juego de toallas</t>
  </si>
  <si>
    <t>Secador para cabello</t>
  </si>
  <si>
    <t>Exterior</t>
  </si>
  <si>
    <t>Asoleadoras</t>
  </si>
  <si>
    <t>Sillas reclinables</t>
  </si>
  <si>
    <t>Mesa comedor + 2 sillas</t>
  </si>
  <si>
    <t>Telescopio</t>
  </si>
  <si>
    <t>Total/cabaña</t>
  </si>
  <si>
    <t>ADMINISTRACIÓN</t>
  </si>
  <si>
    <t>Habitación personal administración</t>
  </si>
  <si>
    <t>Colchón doble</t>
  </si>
  <si>
    <t>Mesa comedor + 4 sillas</t>
  </si>
  <si>
    <t>Cocina</t>
  </si>
  <si>
    <t>Juego de Ollas</t>
  </si>
  <si>
    <t>Vajilla 6 puestos</t>
  </si>
  <si>
    <t>Juego cubiertos de mesa</t>
  </si>
  <si>
    <t>Juego cubiertos de cocina</t>
  </si>
  <si>
    <t>Bandejas</t>
  </si>
  <si>
    <t>Delantales</t>
  </si>
  <si>
    <t>Nevera</t>
  </si>
  <si>
    <t>Licuadora</t>
  </si>
  <si>
    <t>Exprimidor de naranja</t>
  </si>
  <si>
    <t>Escritorio</t>
  </si>
  <si>
    <t>Computador</t>
  </si>
  <si>
    <t>Organizador</t>
  </si>
  <si>
    <t>Total Administración</t>
  </si>
  <si>
    <t>TOTAL CAPEX OPERACIÓN</t>
  </si>
  <si>
    <t xml:space="preserve">ADMINISTRACIÓN </t>
  </si>
  <si>
    <t>OPEX - Administración</t>
  </si>
  <si>
    <t>Honorarios</t>
  </si>
  <si>
    <t>Administrador</t>
  </si>
  <si>
    <t>MES</t>
  </si>
  <si>
    <t>Cocinero</t>
  </si>
  <si>
    <t>Aseo - Oficios varios</t>
  </si>
  <si>
    <t>Jardinero</t>
  </si>
  <si>
    <t>DIA</t>
  </si>
  <si>
    <t>Insumos jardinería</t>
  </si>
  <si>
    <t>Papelería</t>
  </si>
  <si>
    <t>Servicios públicos</t>
  </si>
  <si>
    <t>Contador</t>
  </si>
  <si>
    <t>TOTAL / MES</t>
  </si>
  <si>
    <t>CAPEX - Finca Raiz</t>
  </si>
  <si>
    <t>TOTAL CAPEX</t>
  </si>
  <si>
    <t>TOTAL OPEX</t>
  </si>
  <si>
    <t>FINCA RAIZ</t>
  </si>
  <si>
    <t>Opción</t>
  </si>
  <si>
    <t>CABAÑAS A CONSTRUIR</t>
  </si>
  <si>
    <t>ESCENARIO DE OCUPACIÓN</t>
  </si>
  <si>
    <t>Fin de semana</t>
  </si>
  <si>
    <t>Entre semana</t>
  </si>
  <si>
    <t>VALOR NOCHE</t>
  </si>
  <si>
    <t>VARIABLES MACROECONÓMICAS</t>
  </si>
  <si>
    <t>Ingresos</t>
  </si>
  <si>
    <t>TOTAL</t>
  </si>
  <si>
    <t>Días desde inicio del proyecto</t>
  </si>
  <si>
    <t>Ingresos (Constantes 2022)</t>
  </si>
  <si>
    <t>Ingresos (Corrientes)</t>
  </si>
  <si>
    <t>Factor de Indexación</t>
  </si>
  <si>
    <t>CAPEX (Constantes 2022)</t>
  </si>
  <si>
    <t>OPEX (Constantes 2022)</t>
  </si>
  <si>
    <t>CAPEX (Corrientes)</t>
  </si>
  <si>
    <t>OPEX (Corrientes)</t>
  </si>
  <si>
    <t>TOTAL OPEX (Corrientes)</t>
  </si>
  <si>
    <t>DEPRECIACIONES</t>
  </si>
  <si>
    <t>Inversión inicial</t>
  </si>
  <si>
    <t>Gasto depreciación inversión inicial</t>
  </si>
  <si>
    <t>Depreciación acumulada</t>
  </si>
  <si>
    <t>Activo fijo neto (inversión inicial)</t>
  </si>
  <si>
    <t>Compra de activos</t>
  </si>
  <si>
    <t>Activo fijo bruto</t>
  </si>
  <si>
    <t>Gasto depreciación compras anuales</t>
  </si>
  <si>
    <t>Activo fijo neto (compras anuales)</t>
  </si>
  <si>
    <t>Desembolso Deuda</t>
  </si>
  <si>
    <t>Deuda 2</t>
  </si>
  <si>
    <t>Total</t>
  </si>
  <si>
    <t>Deuda</t>
  </si>
  <si>
    <t>Plazo</t>
  </si>
  <si>
    <t>Desembolso</t>
  </si>
  <si>
    <t>Interes</t>
  </si>
  <si>
    <t>Cuota</t>
  </si>
  <si>
    <t>Amortización</t>
  </si>
  <si>
    <t>Saldo</t>
  </si>
  <si>
    <t>Perfil Deuda Total Anual</t>
  </si>
  <si>
    <t>Dueda</t>
  </si>
  <si>
    <t>Equitý</t>
  </si>
  <si>
    <t>AMORTIZACIÓN DEL CRÉDITO</t>
  </si>
  <si>
    <t>Saldo inicial</t>
  </si>
  <si>
    <t>Interés</t>
  </si>
  <si>
    <t>Abono a capital</t>
  </si>
  <si>
    <t>Saldo final</t>
  </si>
  <si>
    <t>ASAMBLEA (Distribución de utilidades)</t>
  </si>
  <si>
    <t>Resultado del ejercicios (año anterior)</t>
  </si>
  <si>
    <t>Utilidades acumuladas (año anterior)</t>
  </si>
  <si>
    <t>Reserva Legal</t>
  </si>
  <si>
    <t>Disponible para distribuir</t>
  </si>
  <si>
    <t>Utilidades distribuidas</t>
  </si>
  <si>
    <t>Utilidades retenidas</t>
  </si>
  <si>
    <t>ESTADO DE RESULTADOS</t>
  </si>
  <si>
    <t>Ventas</t>
  </si>
  <si>
    <t>Costo de ventas</t>
  </si>
  <si>
    <t>UTILIDAD BRUTA</t>
  </si>
  <si>
    <t>Gastos de administración</t>
  </si>
  <si>
    <t>Depreciación</t>
  </si>
  <si>
    <t>TOTAL GASTOS DE ADMINISTRACIÓN</t>
  </si>
  <si>
    <t>UTILIDAD OPERACIONAL</t>
  </si>
  <si>
    <t>Ingresos no operacionales</t>
  </si>
  <si>
    <t>Costo crédito de tesorería</t>
  </si>
  <si>
    <t>Gasto financiero</t>
  </si>
  <si>
    <t>Neto otros ingresos y egresos</t>
  </si>
  <si>
    <t>UTILIDAD ANTES DE IMPUESTOS</t>
  </si>
  <si>
    <t>Provisión de impuestos</t>
  </si>
  <si>
    <t>UTILIDAD NETA</t>
  </si>
  <si>
    <t>ESTADO DE SITUACIÓN</t>
  </si>
  <si>
    <t>Disponible</t>
  </si>
  <si>
    <t>Inversiones temporales</t>
  </si>
  <si>
    <t>Cuentas por cobrar clientes</t>
  </si>
  <si>
    <t>Inventarios</t>
  </si>
  <si>
    <t>Activo corriente</t>
  </si>
  <si>
    <t>Activo fijo neto</t>
  </si>
  <si>
    <t>TOTAL ACTIVO</t>
  </si>
  <si>
    <t>Crédito de tesorería</t>
  </si>
  <si>
    <t>Cuentas por pagar proveedores</t>
  </si>
  <si>
    <t>Gastos de admón por pagar</t>
  </si>
  <si>
    <t>Impuestos por pagar</t>
  </si>
  <si>
    <t>Obligaciones financieras corto plazo</t>
  </si>
  <si>
    <t>Pasivo corriente</t>
  </si>
  <si>
    <t>Obligaciones financieras largo plazo</t>
  </si>
  <si>
    <t>TOTAL PASIVO</t>
  </si>
  <si>
    <t>Capital social</t>
  </si>
  <si>
    <t>Reserva legal</t>
  </si>
  <si>
    <t>Resultado del ejercicios</t>
  </si>
  <si>
    <t>Utilidades acumuladas</t>
  </si>
  <si>
    <t>TOTAL PATRIMONIO</t>
  </si>
  <si>
    <t>TOTAL PASIVO Y PATRIMONIO</t>
  </si>
  <si>
    <t>PRUEBA</t>
  </si>
  <si>
    <t>PRESUPUESTO TESORERÍA</t>
  </si>
  <si>
    <t>Ingresos por ventas</t>
  </si>
  <si>
    <t>Otros ingresos</t>
  </si>
  <si>
    <t>Crédito bancario</t>
  </si>
  <si>
    <t>Aporte socios</t>
  </si>
  <si>
    <t>TOTAL ENTRADAS</t>
  </si>
  <si>
    <t>Pago crédito de tesorería</t>
  </si>
  <si>
    <t>Pago costo del crédito de tesorería</t>
  </si>
  <si>
    <t>Pago costos</t>
  </si>
  <si>
    <t>Pago gastos</t>
  </si>
  <si>
    <t>Pago impuestos</t>
  </si>
  <si>
    <t>Pago de intereses crédito bancario</t>
  </si>
  <si>
    <t>Abono a capital crédito bancario</t>
  </si>
  <si>
    <t>Distribución de utilidades</t>
  </si>
  <si>
    <t>TOTAL SALIDAS</t>
  </si>
  <si>
    <t>SALDO ACUMULADO</t>
  </si>
  <si>
    <t>Crédito de tesorería (sobregiro)</t>
  </si>
  <si>
    <t>Compra de inversiones temporales</t>
  </si>
  <si>
    <t>SALDO FINAL</t>
  </si>
  <si>
    <t>Efectivo mínimo</t>
  </si>
  <si>
    <t>Sobrante (faltante)</t>
  </si>
  <si>
    <t>FLUJO DE CAJA LIBRE</t>
  </si>
  <si>
    <t>Utilidad neta</t>
  </si>
  <si>
    <t>(+) Impuestos causados</t>
  </si>
  <si>
    <t>(+) Gasto financiero</t>
  </si>
  <si>
    <t>EBIT</t>
  </si>
  <si>
    <t>(-) Impuestos ajustados (EBIT * tx)</t>
  </si>
  <si>
    <t>(+) Depreciaciones</t>
  </si>
  <si>
    <t>(-) Inversiones en activo fijo</t>
  </si>
  <si>
    <t>(-) Inversión en capital de trabajo</t>
  </si>
  <si>
    <t>Inversión en capital de trabajo operativo</t>
  </si>
  <si>
    <t>1 Activo corriente</t>
  </si>
  <si>
    <t>- obligaciones financieras CP</t>
  </si>
  <si>
    <t>2 Deuda operacional</t>
  </si>
  <si>
    <t>Capital de trabajo operacional (1 - 2)</t>
  </si>
  <si>
    <t>Variación del capital de trabajo</t>
  </si>
  <si>
    <t>COSTO DE CAPITAL</t>
  </si>
  <si>
    <t>Estructura de capital</t>
  </si>
  <si>
    <r>
      <t xml:space="preserve">Financiado con deuda            </t>
    </r>
    <r>
      <rPr>
        <b/>
        <sz val="11"/>
        <color theme="1"/>
        <rFont val="Calibri"/>
        <family val="2"/>
        <scheme val="minor"/>
      </rPr>
      <t>D</t>
    </r>
  </si>
  <si>
    <r>
      <t xml:space="preserve">Financiado con patrimonio      </t>
    </r>
    <r>
      <rPr>
        <b/>
        <sz val="11"/>
        <color theme="1"/>
        <rFont val="Calibri"/>
        <family val="2"/>
        <scheme val="minor"/>
      </rPr>
      <t>K</t>
    </r>
  </si>
  <si>
    <r>
      <t xml:space="preserve">Total financiación                   </t>
    </r>
    <r>
      <rPr>
        <b/>
        <sz val="11"/>
        <color theme="1"/>
        <rFont val="Calibri"/>
        <family val="2"/>
        <scheme val="minor"/>
      </rPr>
      <t>D + K</t>
    </r>
  </si>
  <si>
    <r>
      <t xml:space="preserve">Endeudamiento financiero       </t>
    </r>
    <r>
      <rPr>
        <b/>
        <sz val="11"/>
        <color theme="1"/>
        <rFont val="Calibri"/>
        <family val="2"/>
        <scheme val="minor"/>
      </rPr>
      <t>D / K</t>
    </r>
  </si>
  <si>
    <r>
      <t xml:space="preserve">Costo deuda después de impuestos   </t>
    </r>
    <r>
      <rPr>
        <b/>
        <sz val="11"/>
        <color theme="1"/>
        <rFont val="Calibri"/>
        <family val="2"/>
        <scheme val="minor"/>
      </rPr>
      <t>K</t>
    </r>
    <r>
      <rPr>
        <b/>
        <vertAlign val="subscript"/>
        <sz val="11"/>
        <color theme="1"/>
        <rFont val="Calibri"/>
        <family val="2"/>
        <scheme val="minor"/>
      </rPr>
      <t xml:space="preserve">d </t>
    </r>
    <r>
      <rPr>
        <b/>
        <sz val="11"/>
        <color theme="1"/>
        <rFont val="Calibri"/>
        <family val="2"/>
        <scheme val="minor"/>
      </rPr>
      <t>(1 -tx)</t>
    </r>
  </si>
  <si>
    <r>
      <t xml:space="preserve">Beta desapalancada       </t>
    </r>
    <r>
      <rPr>
        <b/>
        <sz val="11"/>
        <color theme="1"/>
        <rFont val="Calibri"/>
        <family val="2"/>
        <scheme val="minor"/>
      </rPr>
      <t>b</t>
    </r>
    <r>
      <rPr>
        <b/>
        <vertAlign val="subscript"/>
        <sz val="11"/>
        <color theme="1"/>
        <rFont val="Calibri"/>
        <family val="2"/>
        <scheme val="minor"/>
      </rPr>
      <t>U</t>
    </r>
  </si>
  <si>
    <r>
      <t xml:space="preserve">Beta apalancada            </t>
    </r>
    <r>
      <rPr>
        <b/>
        <sz val="11"/>
        <color theme="1"/>
        <rFont val="Calibri"/>
        <family val="2"/>
        <scheme val="minor"/>
      </rPr>
      <t>b</t>
    </r>
    <r>
      <rPr>
        <b/>
        <vertAlign val="subscript"/>
        <sz val="11"/>
        <color theme="1"/>
        <rFont val="Calibri"/>
        <family val="2"/>
        <scheme val="minor"/>
      </rPr>
      <t>L</t>
    </r>
  </si>
  <si>
    <r>
      <t xml:space="preserve">Costo del patrimonio       </t>
    </r>
    <r>
      <rPr>
        <b/>
        <sz val="11"/>
        <color theme="1"/>
        <rFont val="Calibri"/>
        <family val="2"/>
        <scheme val="minor"/>
      </rPr>
      <t>K</t>
    </r>
    <r>
      <rPr>
        <b/>
        <vertAlign val="subscript"/>
        <sz val="11"/>
        <color theme="1"/>
        <rFont val="Calibri"/>
        <family val="2"/>
        <scheme val="minor"/>
      </rPr>
      <t>e</t>
    </r>
  </si>
  <si>
    <t>% de gastos de admón que se queda debiendo</t>
  </si>
  <si>
    <t>Pago de impuestos</t>
  </si>
  <si>
    <t>Plazo de cuentas por cobrar</t>
  </si>
  <si>
    <t>dias de ventas</t>
  </si>
  <si>
    <t>Plazo de inventarios</t>
  </si>
  <si>
    <t>dias de costo de ventas</t>
  </si>
  <si>
    <t>Plazo de cuentas por pagar</t>
  </si>
  <si>
    <t>dias de pago de costos y gastos del año siguiente</t>
  </si>
  <si>
    <t>Inversión Finca Raiz</t>
  </si>
  <si>
    <t>Publicidad</t>
  </si>
  <si>
    <t>OPEX - Otros costos de operación</t>
  </si>
  <si>
    <t>Tasa de interes general</t>
  </si>
  <si>
    <r>
      <t xml:space="preserve">Beta desapalancada       </t>
    </r>
    <r>
      <rPr>
        <b/>
        <sz val="12"/>
        <color theme="1"/>
        <rFont val="Symbol"/>
        <family val="1"/>
        <charset val="2"/>
      </rPr>
      <t>b</t>
    </r>
    <r>
      <rPr>
        <b/>
        <vertAlign val="subscript"/>
        <sz val="14"/>
        <color theme="1"/>
        <rFont val="Arial"/>
        <family val="2"/>
      </rPr>
      <t>U</t>
    </r>
  </si>
  <si>
    <t>Tasa libre de riesgo</t>
  </si>
  <si>
    <t>Prima de riesgo del mercado</t>
  </si>
  <si>
    <t>Gradiente de los flujos después de n</t>
  </si>
  <si>
    <t>SALIDA</t>
  </si>
  <si>
    <t>Flujo de caja libre</t>
  </si>
  <si>
    <t>Valor de continuidad</t>
  </si>
  <si>
    <t>Flujos del proyecto</t>
  </si>
  <si>
    <t>Costo de capital acumulado</t>
  </si>
  <si>
    <t>Valor presente de los flujos</t>
  </si>
  <si>
    <t>VALOR PRESENTE NETO</t>
  </si>
  <si>
    <t>TIR</t>
  </si>
  <si>
    <t>Financiación - Construcción y dotación</t>
  </si>
  <si>
    <t>TOTAL (Constantes 2022)</t>
  </si>
  <si>
    <t>INPUTS - INVERSIÓN</t>
  </si>
  <si>
    <t>INPUTS - VENTAS</t>
  </si>
  <si>
    <t>INPUTS - DEUDA</t>
  </si>
  <si>
    <t xml:space="preserve">Plazo </t>
  </si>
  <si>
    <t>OTROS INPUTS</t>
  </si>
  <si>
    <t>Políticas comerciales de la empresa</t>
  </si>
  <si>
    <t>En el mismo año en que se causan. El resto al año siguiente</t>
  </si>
  <si>
    <t>Se liquida sobre el saldo del crédito del año anterior</t>
  </si>
  <si>
    <t>EBITDA y MARGEN EBITDA</t>
  </si>
  <si>
    <t>EBITDA  -  Depurando utilidad</t>
  </si>
  <si>
    <t>(+) Impuesto a las ganancias</t>
  </si>
  <si>
    <t>UTILIDAD ANTES DE INTERESES Y DE IMPUESTOS - EBIT</t>
  </si>
  <si>
    <t>EBITDA</t>
  </si>
  <si>
    <t>EBITDA  -  Depurando ingresos</t>
  </si>
  <si>
    <t>Ingresos TOTALES</t>
  </si>
  <si>
    <t>Gastos operacionales *</t>
  </si>
  <si>
    <t>TOTAL COSTOS Y GASTOS</t>
  </si>
  <si>
    <t>* No incluye depreciaciones, amortizaciones, gasto financiero de la deuda financiera,</t>
  </si>
  <si>
    <t xml:space="preserve">  ni los impuestos a las ganancias</t>
  </si>
  <si>
    <t>DISTRIBUCIÓN DE LOS INGRESOS</t>
  </si>
  <si>
    <t>Costo y gastos / Ingresos</t>
  </si>
  <si>
    <t>Margen EBITDA = EBITDA / Ingresos</t>
  </si>
  <si>
    <t>ECONOMIC VALUE ADDED  - EVA</t>
  </si>
  <si>
    <t>Rentabilidad de la inversión - ROI</t>
  </si>
  <si>
    <t>Costo de capital - WACC</t>
  </si>
  <si>
    <t>Costo de los recursos utilizados (Utilidad mínima)</t>
  </si>
  <si>
    <t>EVA = (ROI - WACC) * Recursos utilizados</t>
  </si>
  <si>
    <t>FCL</t>
  </si>
  <si>
    <t>ESTRUCTURA DE CAPITAL A VALORES CONTABLES</t>
  </si>
  <si>
    <t>Perfil Deuda</t>
  </si>
  <si>
    <t>Fecha desembolso</t>
  </si>
  <si>
    <t>Valor terreno</t>
  </si>
  <si>
    <t>Inversion Inicial</t>
  </si>
  <si>
    <t>PROCESO</t>
  </si>
  <si>
    <t>Recuperación de la inversión</t>
  </si>
  <si>
    <t>EVALUACIÓN</t>
  </si>
  <si>
    <t>EBIT (1 - tx)  UODI    RODI    NOPAT   NOPLAT</t>
  </si>
  <si>
    <t>MÉTODO TRADICIONAL</t>
  </si>
  <si>
    <t>(2)  Financiación de inversiones</t>
  </si>
  <si>
    <t>(1)  Flujo operativo o flujo bruto</t>
  </si>
  <si>
    <t>(1-2) FLUJO DE CAJA LIBRE</t>
  </si>
  <si>
    <t>MÉTODO DE CAJA</t>
  </si>
  <si>
    <t>FLUJO DE CAJA DEL PROPIETARIO  -  EQUITY CASH FLOW</t>
  </si>
  <si>
    <t>(-) Aportes de los socios</t>
  </si>
  <si>
    <t>(+) Distribución de utilidades</t>
  </si>
  <si>
    <t>FCP</t>
  </si>
  <si>
    <t>FLUJO DE CAJA DE LA DEUDA  -  DEBT CASH FLOW</t>
  </si>
  <si>
    <t>(-) Créditos recibidos</t>
  </si>
  <si>
    <t>(+) Pago de intereses</t>
  </si>
  <si>
    <t>(+) Abonos a capital</t>
  </si>
  <si>
    <t>FCD</t>
  </si>
  <si>
    <t>FLUJO DE CAJA DEL CAPITAL  -  CAPITAL CASH FLOW</t>
  </si>
  <si>
    <t>FCC = FCP + FCD</t>
  </si>
  <si>
    <t>FLUJO DE CAJA LIBRE OPERACIONAL  -  FREE CASH FLOW  -  FLUJO DE CAJA LIBRE</t>
  </si>
  <si>
    <t>Flujo de caja del capital</t>
  </si>
  <si>
    <t>(-) Ahorro de impuestos</t>
  </si>
  <si>
    <t>VALOR DE CONTINUIDAD</t>
  </si>
  <si>
    <t>RECUPERACIÓN DE LA INVERSIÓN</t>
  </si>
  <si>
    <t>Saldo inicial de la inversión</t>
  </si>
  <si>
    <t>Flujo de caja libre - FCL</t>
  </si>
  <si>
    <t>Rentabilidad mínima de la inversión</t>
  </si>
  <si>
    <t>Saldo final de la inversión</t>
  </si>
  <si>
    <t>VP del saldo invertido al final de n</t>
  </si>
  <si>
    <r>
      <t>UODI - NOPAT - NOPLAT - EBIT(1-t</t>
    </r>
    <r>
      <rPr>
        <b/>
        <vertAlign val="subscript"/>
        <sz val="14"/>
        <rFont val="Arial"/>
        <family val="2"/>
      </rPr>
      <t>x</t>
    </r>
    <r>
      <rPr>
        <b/>
        <sz val="12"/>
        <rFont val="Arial"/>
        <family val="2"/>
      </rPr>
      <t>)</t>
    </r>
  </si>
  <si>
    <r>
      <t xml:space="preserve">Deuda financiera al </t>
    </r>
    <r>
      <rPr>
        <b/>
        <sz val="11"/>
        <color rgb="FFFF0000"/>
        <rFont val="Calibri"/>
        <family val="2"/>
        <scheme val="minor"/>
      </rPr>
      <t>inicio</t>
    </r>
    <r>
      <rPr>
        <sz val="11"/>
        <rFont val="Calibri"/>
        <family val="2"/>
        <scheme val="minor"/>
      </rPr>
      <t xml:space="preserve"> del año + Deudas contratadas </t>
    </r>
    <r>
      <rPr>
        <b/>
        <sz val="11"/>
        <color rgb="FFFF0000"/>
        <rFont val="Calibri"/>
        <family val="2"/>
        <scheme val="minor"/>
      </rPr>
      <t>durante</t>
    </r>
    <r>
      <rPr>
        <sz val="11"/>
        <rFont val="Calibri"/>
        <family val="2"/>
        <scheme val="minor"/>
      </rPr>
      <t xml:space="preserve"> el año          </t>
    </r>
    <r>
      <rPr>
        <b/>
        <sz val="11"/>
        <color rgb="FFFF3300"/>
        <rFont val="Calibri"/>
        <family val="2"/>
        <scheme val="minor"/>
      </rPr>
      <t>D</t>
    </r>
  </si>
  <si>
    <r>
      <t xml:space="preserve">Patrimonio al </t>
    </r>
    <r>
      <rPr>
        <b/>
        <sz val="11"/>
        <color rgb="FFFF0000"/>
        <rFont val="Calibri"/>
        <family val="2"/>
        <scheme val="minor"/>
      </rPr>
      <t>inicio</t>
    </r>
    <r>
      <rPr>
        <sz val="11"/>
        <rFont val="Calibri"/>
        <family val="2"/>
        <scheme val="minor"/>
      </rPr>
      <t xml:space="preserve"> del año + Aportes efectuados </t>
    </r>
    <r>
      <rPr>
        <b/>
        <sz val="11"/>
        <color rgb="FFFF0000"/>
        <rFont val="Calibri"/>
        <family val="2"/>
        <scheme val="minor"/>
      </rPr>
      <t>durante</t>
    </r>
    <r>
      <rPr>
        <sz val="11"/>
        <rFont val="Calibri"/>
        <family val="2"/>
        <scheme val="minor"/>
      </rPr>
      <t xml:space="preserve"> el año                            </t>
    </r>
    <r>
      <rPr>
        <b/>
        <sz val="11"/>
        <color rgb="FFFF3300"/>
        <rFont val="Calibri"/>
        <family val="2"/>
        <scheme val="minor"/>
      </rPr>
      <t>K</t>
    </r>
  </si>
  <si>
    <r>
      <t xml:space="preserve">RECURSOS  =  INVERSIONES  =  </t>
    </r>
    <r>
      <rPr>
        <b/>
        <sz val="11"/>
        <color rgb="FFFF0000"/>
        <rFont val="Calibri"/>
        <family val="2"/>
        <scheme val="minor"/>
      </rPr>
      <t>D + K</t>
    </r>
  </si>
  <si>
    <r>
      <t>EVA = EBIT (1 - t</t>
    </r>
    <r>
      <rPr>
        <b/>
        <vertAlign val="subscript"/>
        <sz val="11"/>
        <rFont val="Calibri"/>
        <family val="2"/>
        <scheme val="minor"/>
      </rPr>
      <t>x</t>
    </r>
    <r>
      <rPr>
        <b/>
        <sz val="11"/>
        <rFont val="Calibri"/>
        <family val="2"/>
        <scheme val="minor"/>
      </rPr>
      <t>)  -  Costo de recursos utilizados</t>
    </r>
  </si>
  <si>
    <t>OTROS INDICADORES</t>
  </si>
  <si>
    <t>INDICADORES DE CORTO PLAZO</t>
  </si>
  <si>
    <t>KT (capital de Trabajo)</t>
  </si>
  <si>
    <t>RC (Razón Corriente)</t>
  </si>
  <si>
    <t>PA (Prueva Ácida)</t>
  </si>
  <si>
    <t>KTNO (Capital de Trabajo Neto Operativo)</t>
  </si>
  <si>
    <t>INDICADORES DE ENDEUDAMIENTO</t>
  </si>
  <si>
    <t>NIVEL DE ENDEUDAMIENTO</t>
  </si>
  <si>
    <t>CONCENTRACIÓN DEL ENDEUDAMIENTO</t>
  </si>
  <si>
    <t>COBERTURA DE INTERESES 1</t>
  </si>
  <si>
    <t>COBERTURA DE INTERESES 2</t>
  </si>
  <si>
    <t>ENDEUDAMIENTO FINANCIERO 1</t>
  </si>
  <si>
    <t>ENDEUDAMIENTO FINANCIERO 2</t>
  </si>
  <si>
    <t>IMPACTO DE LA CARGA FINANCIERA</t>
  </si>
  <si>
    <t>LEVERAGE TOTAL</t>
  </si>
  <si>
    <t>LEVERAGE CP (de Corto Plazo)</t>
  </si>
  <si>
    <t>LAVERAGE FINANCIERO</t>
  </si>
  <si>
    <t>INDICADORES DE RENTABILIDAD</t>
  </si>
  <si>
    <t>ROA</t>
  </si>
  <si>
    <t>ROE</t>
  </si>
  <si>
    <t>MB</t>
  </si>
  <si>
    <t>MO</t>
  </si>
  <si>
    <t>MN</t>
  </si>
  <si>
    <t>INDUCTORES DE VALOR</t>
  </si>
  <si>
    <t>MARGEN EBITDA</t>
  </si>
  <si>
    <t>MARGEN BRUTO</t>
  </si>
  <si>
    <t>MARGEN OPERACIONAL</t>
  </si>
  <si>
    <t>MARGEN NETO</t>
  </si>
  <si>
    <r>
      <t>TRR</t>
    </r>
    <r>
      <rPr>
        <sz val="10"/>
        <color rgb="FFFF0000"/>
        <rFont val="Arial"/>
        <family val="2"/>
      </rPr>
      <t xml:space="preserve"> (Tasa de Renta Real)</t>
    </r>
  </si>
  <si>
    <t>Crecimiento economía (PIB)</t>
  </si>
  <si>
    <t>VPN</t>
  </si>
  <si>
    <t>Número de Cabañas</t>
  </si>
  <si>
    <t>Precio de venta Producto 1</t>
  </si>
  <si>
    <t>Variación VPN</t>
  </si>
  <si>
    <t>Variación TIR</t>
  </si>
  <si>
    <t>Precio de venta Producto 2</t>
  </si>
  <si>
    <t>Escenarios de ocupación</t>
  </si>
  <si>
    <t>% Deuda</t>
  </si>
  <si>
    <t>Plazo de la deuda</t>
  </si>
  <si>
    <t>Interes de la deuda</t>
  </si>
  <si>
    <t>VARIABLES COMERCIALES</t>
  </si>
  <si>
    <t>ESCENARIOS DE OCUPACIÓN</t>
  </si>
  <si>
    <t>VARIABLES DE DEUDA</t>
  </si>
  <si>
    <t>Emprendimiento La Meseta Ecologde</t>
  </si>
  <si>
    <t>Lady Johanna Corredor Saavedra</t>
  </si>
  <si>
    <t>Karen Ibeth González Ariza</t>
  </si>
  <si>
    <t>Oscar Gerardo Cifuentes Correa</t>
  </si>
  <si>
    <t>Hoja de ingreso de datos del modelo.</t>
  </si>
  <si>
    <t>INPUTS - INVERSIÓN: Se ingresan valor del terreno y número de cabañas a construir.</t>
  </si>
  <si>
    <t>INPUTS - DEUDA: Se ingresa información de la deuda a contraer para construcción y amoblamiento</t>
  </si>
  <si>
    <t>INPUTS - VENTAS: Se escoge escenario de ventas y se ingresan valores de los productos.</t>
  </si>
  <si>
    <t>Otros</t>
  </si>
  <si>
    <t>CAPEX INFRAESTRUCTURA: Calculo del valor de la inversión para construcción de la infraestructura como son cabañas, zona de administración y paisajismo.</t>
  </si>
  <si>
    <t>CAPEX OPERACIÓN: Calculo del valore de inversión para amoblar las cabañas y la administración.</t>
  </si>
  <si>
    <t>ADMINISTRACIÓN: Calculo de los valores de administración y costos de ventas del proyecto.</t>
  </si>
  <si>
    <t>Hoja en la que se realiza la proyección de ventas de los dos (2) productos ofrecidos (noche en fin de semana y noche entre semana), en tres (3) escenarios (pesimista, base y optimista).
Se presentan los cálculos de la depreciación de activos. Esta cálculo se realiza con base en los datos de vida útil y valor de activos de la hoja CAPEX - OPEX</t>
  </si>
  <si>
    <t>Hoja en la que se realizan los cálculos referente a la deuda del proyecto.
Inicialmente los cálculos se presentan en una línea mensual, de acuerdo condiciones comerciales, y luego se agrupan en una línea anual.</t>
  </si>
  <si>
    <t>En general se presentan los cálculos de costos de CAPEX y OPEX del proyecto, incluyendo la vida útil del amoblamiento para conocer los valores y periodos de reposición y la base para el cálculo de la depreciación.
Los valores iniciales se calculan en pesos constantes del año 2022, para luego convertirlos en pesos corrientes para ingresarlos al modelo.</t>
  </si>
  <si>
    <t>Hoja en la que se realiza la proyección de ventas de los dos (2) productos ofrecidos (noche en fin de semana y noche entre semana), en tres (3) escenarios (pesimista, base y optimista).
Se realiza una proyección mensual, para despues agruparla en ingresos anuales.
Los valores iniciales se calculan en pesos constantes del año 2022, para luego convertirlos en pesos corrientes para ingresarlos al modelo.</t>
  </si>
  <si>
    <t>Hoja en la que se presenta la modelación financiera del proyecto y se presentan como resultado los principales indicadores financieros del mismo.</t>
  </si>
  <si>
    <t>Hoja en la que se presentan sensibilidades del VPN y la TIR, con relación al cambio en Variables comerciales, Variables de deuda y Escenarios de ocupación.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</si>
</sst>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 #,##0.00_-;\-&quot;$&quot;\ * #,##0.00_-;_-&quot;$&quot;\ * &quot;-&quot;??_-;_-@_-"/>
    <numFmt numFmtId="43" formatCode="_-* #,##0.00_-;\-* #,##0.00_-;_-* &quot;-&quot;??_-;_-@_-"/>
    <numFmt numFmtId="164" formatCode="0.0%"/>
    <numFmt numFmtId="165" formatCode="_-* #,##0_-;\-* #,##0_-;_-* &quot;-&quot;??_-;_-@_-"/>
    <numFmt numFmtId="166" formatCode="&quot;Año &quot;0"/>
    <numFmt numFmtId="167" formatCode="_-&quot;$&quot;\ * #,##0_-;\-&quot;$&quot;\ * #,##0_-;_-&quot;$&quot;\ * &quot;-&quot;??_-;_-@_-"/>
    <numFmt numFmtId="168" formatCode="0&quot; años&quot;"/>
    <numFmt numFmtId="169" formatCode="_(* #,##0_);_(* \(#,##0\);_(* &quot;-&quot;??_);_(@_)"/>
    <numFmt numFmtId="170" formatCode="0.00%&quot; EM&quot;"/>
    <numFmt numFmtId="171" formatCode="0.00%&quot; EA&quot;"/>
    <numFmt numFmtId="172" formatCode="#,##0_ ;\(#,##0\)"/>
    <numFmt numFmtId="173" formatCode="0.0%\ ;\(0.0%\)"/>
    <numFmt numFmtId="174" formatCode="#,##0.0_ ;\(#,##0.0\)"/>
    <numFmt numFmtId="175" formatCode="#,##0.0%_ ;\(#,##0.0%\)"/>
    <numFmt numFmtId="176" formatCode="#,##0_)\ ;\(#,##0\)\ "/>
    <numFmt numFmtId="177" formatCode="#,##0.0"/>
    <numFmt numFmtId="178" formatCode="0.00000000000%"/>
    <numFmt numFmtId="179" formatCode="_-* #,##0.000_-;\-* #,##0.000_-;_-* &quot;-&quot;??_-;_-@_-"/>
  </numFmts>
  <fonts count="43" x14ac:knownFonts="1">
    <font>
      <sz val="11"/>
      <color theme="1"/>
      <name val="Calibri"/>
      <family val="2"/>
      <scheme val="minor"/>
    </font>
    <font>
      <b/>
      <sz val="11"/>
      <color theme="1"/>
      <name val="Calibri"/>
      <family val="2"/>
      <scheme val="minor"/>
    </font>
    <font>
      <sz val="11"/>
      <name val="Calibri"/>
      <family val="2"/>
      <scheme val="minor"/>
    </font>
    <font>
      <sz val="11"/>
      <color rgb="FF002060"/>
      <name val="Calibri"/>
      <family val="2"/>
      <scheme val="minor"/>
    </font>
    <font>
      <sz val="11"/>
      <color theme="1"/>
      <name val="Bahnschrift Light Condensed"/>
      <family val="2"/>
    </font>
    <font>
      <sz val="11"/>
      <color rgb="FF0070C0"/>
      <name val="Calibri"/>
      <family val="2"/>
      <scheme val="minor"/>
    </font>
    <font>
      <b/>
      <sz val="11"/>
      <color rgb="FF002060"/>
      <name val="Calibri"/>
      <family val="2"/>
      <scheme val="minor"/>
    </font>
    <font>
      <b/>
      <sz val="11"/>
      <color theme="9" tint="-0.499984740745262"/>
      <name val="Calibri"/>
      <family val="2"/>
      <scheme val="minor"/>
    </font>
    <font>
      <b/>
      <sz val="11"/>
      <name val="Calibri"/>
      <family val="2"/>
      <scheme val="minor"/>
    </font>
    <font>
      <sz val="11"/>
      <color theme="1"/>
      <name val="Calibri"/>
      <family val="2"/>
      <scheme val="minor"/>
    </font>
    <font>
      <b/>
      <sz val="11"/>
      <color theme="0"/>
      <name val="Calibri"/>
      <family val="2"/>
      <scheme val="minor"/>
    </font>
    <font>
      <b/>
      <sz val="14"/>
      <color theme="0"/>
      <name val="Calibri"/>
      <family val="2"/>
      <scheme val="minor"/>
    </font>
    <font>
      <b/>
      <sz val="12"/>
      <color theme="1"/>
      <name val="Arial"/>
      <family val="2"/>
    </font>
    <font>
      <sz val="10"/>
      <color theme="1"/>
      <name val="Trebuchet MS"/>
      <family val="2"/>
    </font>
    <font>
      <b/>
      <sz val="10"/>
      <color rgb="FF002060"/>
      <name val="Trebuchet MS"/>
      <family val="2"/>
    </font>
    <font>
      <sz val="10"/>
      <color theme="3" tint="-0.249977111117893"/>
      <name val="Trebuchet MS"/>
      <family val="2"/>
    </font>
    <font>
      <sz val="9"/>
      <color indexed="81"/>
      <name val="Tahoma"/>
      <family val="2"/>
    </font>
    <font>
      <b/>
      <sz val="10"/>
      <color theme="0"/>
      <name val="Arial"/>
      <family val="2"/>
    </font>
    <font>
      <b/>
      <sz val="9"/>
      <color indexed="81"/>
      <name val="Tahoma"/>
      <family val="2"/>
    </font>
    <font>
      <b/>
      <sz val="11"/>
      <color rgb="FF0000CC"/>
      <name val="Calibri"/>
      <family val="2"/>
      <scheme val="minor"/>
    </font>
    <font>
      <b/>
      <vertAlign val="subscript"/>
      <sz val="11"/>
      <color theme="1"/>
      <name val="Calibri"/>
      <family val="2"/>
      <scheme val="minor"/>
    </font>
    <font>
      <b/>
      <sz val="12"/>
      <color theme="1"/>
      <name val="Symbol"/>
      <family val="1"/>
      <charset val="2"/>
    </font>
    <font>
      <b/>
      <vertAlign val="subscript"/>
      <sz val="14"/>
      <color theme="1"/>
      <name val="Arial"/>
      <family val="2"/>
    </font>
    <font>
      <b/>
      <sz val="12"/>
      <color theme="0"/>
      <name val="Arial"/>
      <family val="2"/>
    </font>
    <font>
      <b/>
      <sz val="12"/>
      <name val="Arial"/>
      <family val="2"/>
    </font>
    <font>
      <sz val="12"/>
      <name val="Arial"/>
      <family val="2"/>
    </font>
    <font>
      <sz val="10"/>
      <name val="Arial"/>
      <family val="2"/>
    </font>
    <font>
      <sz val="9"/>
      <name val="Arial"/>
      <family val="2"/>
    </font>
    <font>
      <sz val="14"/>
      <name val="Arial"/>
      <family val="2"/>
    </font>
    <font>
      <b/>
      <sz val="10"/>
      <name val="Arial"/>
      <family val="2"/>
    </font>
    <font>
      <sz val="11"/>
      <name val="Arial"/>
      <family val="2"/>
    </font>
    <font>
      <sz val="10"/>
      <name val="Times New Roman"/>
      <family val="1"/>
    </font>
    <font>
      <b/>
      <sz val="14"/>
      <name val="Calibri"/>
      <family val="2"/>
      <scheme val="minor"/>
    </font>
    <font>
      <sz val="8"/>
      <color indexed="81"/>
      <name val="Tahoma"/>
      <family val="2"/>
    </font>
    <font>
      <sz val="12"/>
      <color indexed="81"/>
      <name val="Tahoma"/>
      <family val="2"/>
    </font>
    <font>
      <sz val="12"/>
      <color theme="1"/>
      <name val="Arial"/>
      <family val="2"/>
    </font>
    <font>
      <b/>
      <vertAlign val="subscript"/>
      <sz val="14"/>
      <name val="Arial"/>
      <family val="2"/>
    </font>
    <font>
      <b/>
      <sz val="11"/>
      <color rgb="FFFF0000"/>
      <name val="Calibri"/>
      <family val="2"/>
      <scheme val="minor"/>
    </font>
    <font>
      <b/>
      <sz val="11"/>
      <color rgb="FFFF3300"/>
      <name val="Calibri"/>
      <family val="2"/>
      <scheme val="minor"/>
    </font>
    <font>
      <b/>
      <vertAlign val="subscript"/>
      <sz val="11"/>
      <name val="Calibri"/>
      <family val="2"/>
      <scheme val="minor"/>
    </font>
    <font>
      <sz val="10"/>
      <color theme="1"/>
      <name val="Arial"/>
      <family val="2"/>
    </font>
    <font>
      <sz val="10"/>
      <color rgb="FFFF0000"/>
      <name val="Arial"/>
      <family val="2"/>
    </font>
    <font>
      <b/>
      <sz val="12"/>
      <color theme="1"/>
      <name val="Calibri"/>
      <family val="2"/>
      <scheme val="minor"/>
    </font>
  </fonts>
  <fills count="20">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49998474074526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8000"/>
        <bgColor indexed="64"/>
      </patternFill>
    </fill>
    <fill>
      <patternFill patternType="solid">
        <fgColor rgb="FF002060"/>
        <bgColor indexed="64"/>
      </patternFill>
    </fill>
    <fill>
      <patternFill patternType="solid">
        <fgColor rgb="FFFF0000"/>
        <bgColor indexed="64"/>
      </patternFill>
    </fill>
    <fill>
      <patternFill patternType="solid">
        <fgColor rgb="FF0000CC"/>
        <bgColor indexed="64"/>
      </patternFill>
    </fill>
    <fill>
      <patternFill patternType="solid">
        <fgColor rgb="FF00B050"/>
        <bgColor indexed="64"/>
      </patternFill>
    </fill>
    <fill>
      <patternFill patternType="solid">
        <fgColor theme="0" tint="-0.34998626667073579"/>
        <bgColor indexed="64"/>
      </patternFill>
    </fill>
    <fill>
      <patternFill patternType="solid">
        <fgColor theme="0"/>
        <bgColor indexed="64"/>
      </patternFill>
    </fill>
  </fills>
  <borders count="62">
    <border>
      <left/>
      <right/>
      <top/>
      <bottom/>
      <diagonal/>
    </border>
    <border>
      <left/>
      <right/>
      <top/>
      <bottom style="double">
        <color theme="4" tint="-0.2499465926084170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top/>
      <bottom style="double">
        <color rgb="FF002060"/>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top style="thin">
        <color theme="0" tint="-0.499984740745262"/>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int="-0.499984740745262"/>
      </top>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thin">
        <color indexed="64"/>
      </top>
      <bottom style="thin">
        <color indexed="64"/>
      </bottom>
      <diagonal/>
    </border>
    <border>
      <left/>
      <right/>
      <top style="medium">
        <color theme="0"/>
      </top>
      <bottom/>
      <diagonal/>
    </border>
    <border>
      <left/>
      <right style="medium">
        <color theme="0"/>
      </right>
      <top style="medium">
        <color theme="0"/>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s>
  <cellStyleXfs count="8">
    <xf numFmtId="0" fontId="0"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13" fillId="0" borderId="0"/>
    <xf numFmtId="0" fontId="26" fillId="0" borderId="0"/>
    <xf numFmtId="9" fontId="27" fillId="0" borderId="0" applyFont="0" applyFill="0" applyBorder="0" applyAlignment="0" applyProtection="0"/>
    <xf numFmtId="0" fontId="31" fillId="0" borderId="0"/>
  </cellStyleXfs>
  <cellXfs count="305">
    <xf numFmtId="0" fontId="0" fillId="0" borderId="0" xfId="0"/>
    <xf numFmtId="0" fontId="2" fillId="0" borderId="0" xfId="0" applyFont="1"/>
    <xf numFmtId="0" fontId="3" fillId="0" borderId="0" xfId="0" applyFont="1"/>
    <xf numFmtId="0" fontId="5" fillId="0" borderId="1" xfId="0" applyFont="1" applyBorder="1"/>
    <xf numFmtId="0" fontId="6" fillId="0" borderId="0" xfId="0" applyFont="1"/>
    <xf numFmtId="0" fontId="7" fillId="2" borderId="0" xfId="0" applyFont="1" applyFill="1" applyAlignment="1">
      <alignment horizontal="center"/>
    </xf>
    <xf numFmtId="164" fontId="7" fillId="2" borderId="0" xfId="0" applyNumberFormat="1" applyFont="1" applyFill="1" applyAlignment="1">
      <alignment horizontal="center"/>
    </xf>
    <xf numFmtId="9" fontId="7" fillId="2" borderId="0" xfId="0" applyNumberFormat="1" applyFont="1" applyFill="1" applyAlignment="1">
      <alignment horizontal="center"/>
    </xf>
    <xf numFmtId="0" fontId="1" fillId="0" borderId="0" xfId="0" applyFont="1"/>
    <xf numFmtId="0" fontId="8" fillId="0" borderId="0" xfId="0" applyFont="1"/>
    <xf numFmtId="0" fontId="1" fillId="3" borderId="0" xfId="0" applyFont="1" applyFill="1" applyAlignment="1">
      <alignment horizontal="center"/>
    </xf>
    <xf numFmtId="0" fontId="1" fillId="4" borderId="4" xfId="0" applyFont="1" applyFill="1" applyBorder="1" applyAlignment="1">
      <alignment horizontal="center"/>
    </xf>
    <xf numFmtId="0" fontId="1" fillId="4" borderId="5" xfId="0" applyFont="1" applyFill="1" applyBorder="1" applyAlignment="1">
      <alignment horizontal="center"/>
    </xf>
    <xf numFmtId="0" fontId="1" fillId="5" borderId="4" xfId="0" applyFont="1" applyFill="1" applyBorder="1" applyAlignment="1">
      <alignment horizontal="center"/>
    </xf>
    <xf numFmtId="0" fontId="1" fillId="5" borderId="5" xfId="0" applyFont="1" applyFill="1" applyBorder="1" applyAlignment="1">
      <alignment horizontal="center"/>
    </xf>
    <xf numFmtId="0" fontId="1" fillId="6" borderId="6" xfId="0" applyFont="1"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9" fontId="0" fillId="0" borderId="0" xfId="3" applyFont="1"/>
    <xf numFmtId="0" fontId="0" fillId="0" borderId="2" xfId="0" applyBorder="1" applyAlignment="1">
      <alignment horizontal="center"/>
    </xf>
    <xf numFmtId="0" fontId="0" fillId="0" borderId="3" xfId="0" applyBorder="1" applyAlignment="1">
      <alignment horizontal="center"/>
    </xf>
    <xf numFmtId="0" fontId="1" fillId="6" borderId="7" xfId="0" applyFont="1" applyFill="1" applyBorder="1" applyAlignment="1">
      <alignment horizontal="center"/>
    </xf>
    <xf numFmtId="0" fontId="0" fillId="7" borderId="8" xfId="0" applyFill="1" applyBorder="1" applyAlignment="1">
      <alignment horizontal="center"/>
    </xf>
    <xf numFmtId="0" fontId="0" fillId="7" borderId="9" xfId="0" applyFill="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 fillId="6" borderId="10" xfId="0" applyFont="1" applyFill="1" applyBorder="1" applyAlignment="1">
      <alignment horizontal="center"/>
    </xf>
    <xf numFmtId="0" fontId="0" fillId="7" borderId="4" xfId="0" applyFill="1" applyBorder="1" applyAlignment="1">
      <alignment horizontal="center"/>
    </xf>
    <xf numFmtId="0" fontId="0" fillId="7" borderId="5" xfId="0"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center"/>
    </xf>
    <xf numFmtId="17" fontId="0" fillId="0" borderId="11" xfId="0" applyNumberFormat="1" applyBorder="1" applyAlignment="1">
      <alignment horizontal="center"/>
    </xf>
    <xf numFmtId="165" fontId="0" fillId="0" borderId="0" xfId="1" applyNumberFormat="1" applyFont="1"/>
    <xf numFmtId="166" fontId="1" fillId="0" borderId="11" xfId="0" applyNumberFormat="1" applyFont="1" applyBorder="1" applyAlignment="1">
      <alignment horizontal="center" vertical="center"/>
    </xf>
    <xf numFmtId="165" fontId="0" fillId="0" borderId="0" xfId="0" applyNumberFormat="1"/>
    <xf numFmtId="167" fontId="0" fillId="0" borderId="0" xfId="2" applyNumberFormat="1" applyFont="1"/>
    <xf numFmtId="0" fontId="0" fillId="0" borderId="0" xfId="0" applyAlignment="1">
      <alignment horizontal="center"/>
    </xf>
    <xf numFmtId="0" fontId="6" fillId="0" borderId="0" xfId="0" applyFont="1" applyAlignment="1">
      <alignment horizontal="center"/>
    </xf>
    <xf numFmtId="0" fontId="6" fillId="0" borderId="0" xfId="0" applyFont="1" applyAlignment="1">
      <alignment horizontal="center"/>
    </xf>
    <xf numFmtId="17" fontId="0" fillId="0" borderId="0" xfId="0" applyNumberFormat="1" applyAlignment="1">
      <alignment horizontal="center"/>
    </xf>
    <xf numFmtId="0" fontId="11" fillId="9" borderId="0" xfId="0" applyFont="1" applyFill="1" applyAlignment="1">
      <alignment horizontal="center"/>
    </xf>
    <xf numFmtId="0" fontId="1" fillId="0" borderId="11" xfId="0" applyFont="1" applyBorder="1" applyAlignment="1">
      <alignment horizontal="center" vertical="center"/>
    </xf>
    <xf numFmtId="166" fontId="1" fillId="0" borderId="0" xfId="0" applyNumberFormat="1" applyFont="1" applyAlignment="1">
      <alignment horizontal="center" vertical="center"/>
    </xf>
    <xf numFmtId="2" fontId="0" fillId="0" borderId="0" xfId="0" applyNumberFormat="1" applyAlignment="1">
      <alignment horizontal="center"/>
    </xf>
    <xf numFmtId="167" fontId="0" fillId="10" borderId="0" xfId="2" applyNumberFormat="1" applyFont="1" applyFill="1"/>
    <xf numFmtId="168" fontId="0" fillId="10" borderId="0" xfId="0" applyNumberFormat="1" applyFill="1"/>
    <xf numFmtId="167" fontId="0" fillId="0" borderId="0" xfId="0" applyNumberFormat="1"/>
    <xf numFmtId="0" fontId="0" fillId="0" borderId="11" xfId="0" applyBorder="1"/>
    <xf numFmtId="0" fontId="0" fillId="0" borderId="11" xfId="0" applyBorder="1" applyAlignment="1">
      <alignment horizontal="center"/>
    </xf>
    <xf numFmtId="2" fontId="0" fillId="0" borderId="11" xfId="0" applyNumberFormat="1" applyBorder="1" applyAlignment="1">
      <alignment horizontal="center"/>
    </xf>
    <xf numFmtId="167" fontId="0" fillId="10" borderId="11" xfId="2" applyNumberFormat="1" applyFont="1" applyFill="1" applyBorder="1"/>
    <xf numFmtId="167" fontId="0" fillId="0" borderId="11" xfId="2" applyNumberFormat="1" applyFont="1" applyBorder="1"/>
    <xf numFmtId="168" fontId="0" fillId="10" borderId="11" xfId="0" applyNumberFormat="1" applyFill="1" applyBorder="1"/>
    <xf numFmtId="165" fontId="0" fillId="0" borderId="11" xfId="1" applyNumberFormat="1" applyFont="1" applyBorder="1"/>
    <xf numFmtId="0" fontId="1" fillId="0" borderId="0" xfId="0" applyFont="1" applyAlignment="1">
      <alignment horizontal="center"/>
    </xf>
    <xf numFmtId="167" fontId="1" fillId="0" borderId="0" xfId="0" applyNumberFormat="1" applyFont="1" applyAlignment="1">
      <alignment horizontal="center"/>
    </xf>
    <xf numFmtId="0" fontId="1" fillId="11" borderId="0" xfId="0" applyFont="1" applyFill="1" applyAlignment="1">
      <alignment horizontal="center" vertical="center"/>
    </xf>
    <xf numFmtId="0" fontId="1" fillId="0" borderId="0" xfId="0" applyFont="1" applyAlignment="1">
      <alignment horizontal="center" vertical="center"/>
    </xf>
    <xf numFmtId="167" fontId="0" fillId="10" borderId="0" xfId="0" applyNumberFormat="1" applyFill="1"/>
    <xf numFmtId="165" fontId="0" fillId="0" borderId="0" xfId="1" applyNumberFormat="1" applyFont="1" applyBorder="1"/>
    <xf numFmtId="165" fontId="1" fillId="0" borderId="0" xfId="1" applyNumberFormat="1" applyFont="1"/>
    <xf numFmtId="0" fontId="0" fillId="10" borderId="0" xfId="0" applyFill="1"/>
    <xf numFmtId="0" fontId="1" fillId="11" borderId="0" xfId="0" applyFont="1" applyFill="1"/>
    <xf numFmtId="165" fontId="1" fillId="11" borderId="0" xfId="0" applyNumberFormat="1" applyFont="1" applyFill="1"/>
    <xf numFmtId="168" fontId="0" fillId="0" borderId="0" xfId="0" applyNumberFormat="1"/>
    <xf numFmtId="167" fontId="0" fillId="0" borderId="0" xfId="2" applyNumberFormat="1" applyFont="1" applyBorder="1"/>
    <xf numFmtId="0" fontId="1" fillId="6" borderId="0" xfId="0" applyFont="1" applyFill="1"/>
    <xf numFmtId="0" fontId="6" fillId="6" borderId="0" xfId="0" applyFont="1" applyFill="1" applyAlignment="1">
      <alignment horizontal="center"/>
    </xf>
    <xf numFmtId="0" fontId="0" fillId="0" borderId="0" xfId="0" applyBorder="1"/>
    <xf numFmtId="0" fontId="1" fillId="0" borderId="0" xfId="0" applyFont="1" applyBorder="1"/>
    <xf numFmtId="167" fontId="7" fillId="2" borderId="0" xfId="2" applyNumberFormat="1" applyFont="1" applyFill="1" applyBorder="1" applyAlignment="1">
      <alignment horizontal="center"/>
    </xf>
    <xf numFmtId="0" fontId="7" fillId="2" borderId="0" xfId="0" applyFont="1" applyFill="1" applyBorder="1" applyAlignment="1">
      <alignment horizontal="center"/>
    </xf>
    <xf numFmtId="0" fontId="0" fillId="0" borderId="0" xfId="0" applyAlignment="1">
      <alignment horizontal="left" indent="1"/>
    </xf>
    <xf numFmtId="0" fontId="6" fillId="11" borderId="0" xfId="0" applyFont="1" applyFill="1"/>
    <xf numFmtId="0" fontId="1" fillId="0" borderId="0" xfId="0" applyFont="1" applyFill="1" applyBorder="1" applyAlignment="1">
      <alignment horizontal="center"/>
    </xf>
    <xf numFmtId="167" fontId="9" fillId="0" borderId="0" xfId="2" applyNumberFormat="1" applyFont="1" applyAlignment="1">
      <alignment horizontal="center"/>
    </xf>
    <xf numFmtId="165" fontId="1" fillId="0" borderId="0" xfId="0" applyNumberFormat="1" applyFont="1"/>
    <xf numFmtId="164" fontId="0" fillId="0" borderId="0" xfId="3" applyNumberFormat="1" applyFont="1" applyAlignment="1">
      <alignment horizontal="center"/>
    </xf>
    <xf numFmtId="0" fontId="0" fillId="0" borderId="0" xfId="0" applyFont="1"/>
    <xf numFmtId="164" fontId="6" fillId="0" borderId="0" xfId="3" applyNumberFormat="1" applyFont="1" applyAlignment="1">
      <alignment horizontal="center"/>
    </xf>
    <xf numFmtId="2" fontId="6" fillId="0" borderId="0" xfId="0" applyNumberFormat="1" applyFont="1" applyAlignment="1">
      <alignment horizontal="center"/>
    </xf>
    <xf numFmtId="165" fontId="1" fillId="11" borderId="0" xfId="1" applyNumberFormat="1" applyFont="1" applyFill="1"/>
    <xf numFmtId="165" fontId="0" fillId="0" borderId="12" xfId="1" applyNumberFormat="1" applyFont="1" applyBorder="1"/>
    <xf numFmtId="0" fontId="1" fillId="3" borderId="0" xfId="0" applyFont="1" applyFill="1"/>
    <xf numFmtId="0" fontId="1" fillId="11" borderId="0" xfId="0" applyFont="1" applyFill="1" applyAlignment="1">
      <alignment horizontal="center"/>
    </xf>
    <xf numFmtId="0" fontId="0" fillId="11" borderId="0" xfId="0" applyFill="1"/>
    <xf numFmtId="0" fontId="12" fillId="0" borderId="0" xfId="0" applyFont="1"/>
    <xf numFmtId="0" fontId="14" fillId="11" borderId="13" xfId="4" applyFont="1" applyFill="1" applyBorder="1" applyAlignment="1">
      <alignment horizontal="left" indent="1"/>
    </xf>
    <xf numFmtId="0" fontId="15" fillId="0" borderId="14" xfId="4" applyFont="1" applyBorder="1" applyAlignment="1">
      <alignment horizontal="left" indent="1"/>
    </xf>
    <xf numFmtId="169" fontId="13" fillId="0" borderId="14" xfId="1" applyNumberFormat="1" applyFont="1" applyFill="1" applyBorder="1" applyAlignment="1" applyProtection="1">
      <alignment horizontal="left" indent="1"/>
    </xf>
    <xf numFmtId="0" fontId="0" fillId="0" borderId="0" xfId="4" applyFont="1" applyAlignment="1">
      <alignment horizontal="left" indent="1"/>
    </xf>
    <xf numFmtId="0" fontId="0" fillId="0" borderId="0" xfId="0" applyAlignment="1">
      <alignment horizontal="left" indent="2"/>
    </xf>
    <xf numFmtId="0" fontId="1" fillId="0" borderId="15" xfId="0" applyFont="1" applyBorder="1" applyAlignment="1">
      <alignment horizontal="left" indent="2"/>
    </xf>
    <xf numFmtId="165" fontId="1" fillId="0" borderId="15" xfId="0" applyNumberFormat="1" applyFont="1" applyBorder="1"/>
    <xf numFmtId="0" fontId="1" fillId="0" borderId="16" xfId="0" applyFont="1" applyBorder="1" applyAlignment="1">
      <alignment horizontal="left" indent="1"/>
    </xf>
    <xf numFmtId="0" fontId="1" fillId="0" borderId="17" xfId="0" applyFont="1" applyBorder="1" applyAlignment="1">
      <alignment horizontal="center"/>
    </xf>
    <xf numFmtId="0" fontId="1" fillId="0" borderId="18" xfId="0" applyFont="1" applyBorder="1" applyAlignment="1">
      <alignment horizontal="center"/>
    </xf>
    <xf numFmtId="0" fontId="0" fillId="0" borderId="19" xfId="0" applyBorder="1" applyAlignment="1">
      <alignment horizontal="left" indent="2"/>
    </xf>
    <xf numFmtId="171" fontId="0" fillId="0" borderId="21" xfId="0" applyNumberFormat="1" applyBorder="1" applyAlignment="1">
      <alignment horizontal="center"/>
    </xf>
    <xf numFmtId="0" fontId="14" fillId="11" borderId="13" xfId="4" applyFont="1" applyFill="1" applyBorder="1"/>
    <xf numFmtId="0" fontId="1" fillId="0" borderId="22" xfId="0" applyFont="1" applyBorder="1" applyAlignment="1">
      <alignment horizontal="left" indent="1"/>
    </xf>
    <xf numFmtId="9" fontId="0" fillId="0" borderId="0" xfId="0" applyNumberFormat="1" applyBorder="1" applyAlignment="1">
      <alignment horizontal="center"/>
    </xf>
    <xf numFmtId="0" fontId="1" fillId="6" borderId="11" xfId="0" applyFont="1" applyFill="1" applyBorder="1"/>
    <xf numFmtId="167" fontId="1" fillId="12" borderId="23" xfId="2" applyNumberFormat="1" applyFont="1" applyFill="1" applyBorder="1" applyAlignment="1">
      <alignment horizontal="center"/>
    </xf>
    <xf numFmtId="0" fontId="0" fillId="0" borderId="0" xfId="0" applyFont="1" applyBorder="1"/>
    <xf numFmtId="0" fontId="0" fillId="0" borderId="0" xfId="0" quotePrefix="1" applyFont="1" applyBorder="1" applyAlignment="1">
      <alignment horizontal="left"/>
    </xf>
    <xf numFmtId="0" fontId="0" fillId="5" borderId="0" xfId="0" quotePrefix="1" applyFont="1" applyFill="1" applyBorder="1" applyAlignment="1">
      <alignment horizontal="left"/>
    </xf>
    <xf numFmtId="0" fontId="10" fillId="14" borderId="0" xfId="0" applyFont="1" applyFill="1" applyBorder="1"/>
    <xf numFmtId="0" fontId="19" fillId="0" borderId="0" xfId="0" applyFont="1" applyBorder="1"/>
    <xf numFmtId="0" fontId="19" fillId="0" borderId="0" xfId="0" quotePrefix="1" applyFont="1" applyBorder="1" applyAlignment="1">
      <alignment horizontal="left"/>
    </xf>
    <xf numFmtId="0" fontId="1" fillId="0" borderId="0" xfId="0" quotePrefix="1" applyFont="1" applyBorder="1" applyAlignment="1">
      <alignment horizontal="left"/>
    </xf>
    <xf numFmtId="0" fontId="10" fillId="13" borderId="0" xfId="0" applyFont="1" applyFill="1" applyBorder="1" applyAlignment="1">
      <alignment horizontal="left"/>
    </xf>
    <xf numFmtId="0" fontId="1" fillId="0" borderId="0" xfId="0" applyFont="1" applyBorder="1" applyAlignment="1">
      <alignment horizontal="left"/>
    </xf>
    <xf numFmtId="9" fontId="0" fillId="0" borderId="0" xfId="0" applyNumberFormat="1"/>
    <xf numFmtId="165" fontId="19" fillId="0" borderId="0" xfId="1" applyNumberFormat="1" applyFont="1" applyBorder="1"/>
    <xf numFmtId="10" fontId="0" fillId="0" borderId="0" xfId="3" applyNumberFormat="1" applyFont="1"/>
    <xf numFmtId="3" fontId="17" fillId="13" borderId="24" xfId="0" applyNumberFormat="1" applyFont="1" applyFill="1" applyBorder="1"/>
    <xf numFmtId="165" fontId="0" fillId="5" borderId="0" xfId="1" quotePrefix="1" applyNumberFormat="1" applyFont="1" applyFill="1" applyBorder="1" applyAlignment="1">
      <alignment horizontal="left"/>
    </xf>
    <xf numFmtId="0" fontId="10" fillId="0" borderId="0" xfId="0" applyFont="1"/>
    <xf numFmtId="0" fontId="10" fillId="0" borderId="0" xfId="0" applyFont="1" applyBorder="1"/>
    <xf numFmtId="0" fontId="0" fillId="0" borderId="0" xfId="0" applyAlignment="1">
      <alignment horizontal="center"/>
    </xf>
    <xf numFmtId="165" fontId="1" fillId="0" borderId="11" xfId="1" applyNumberFormat="1" applyFont="1" applyBorder="1"/>
    <xf numFmtId="0" fontId="0" fillId="0" borderId="0" xfId="0" applyFont="1" applyFill="1" applyBorder="1"/>
    <xf numFmtId="165" fontId="0" fillId="0" borderId="0" xfId="0" applyNumberFormat="1" applyFill="1"/>
    <xf numFmtId="0" fontId="0" fillId="0" borderId="0" xfId="0" applyFill="1"/>
    <xf numFmtId="164" fontId="0" fillId="0" borderId="0" xfId="3" applyNumberFormat="1" applyFont="1" applyFill="1" applyBorder="1"/>
    <xf numFmtId="43" fontId="0" fillId="0" borderId="0" xfId="0" applyNumberFormat="1"/>
    <xf numFmtId="10" fontId="0" fillId="0" borderId="0" xfId="3" applyNumberFormat="1" applyFont="1" applyAlignment="1">
      <alignment horizontal="center"/>
    </xf>
    <xf numFmtId="164" fontId="1" fillId="0" borderId="0" xfId="3" applyNumberFormat="1" applyFont="1" applyFill="1" applyBorder="1"/>
    <xf numFmtId="164" fontId="0" fillId="0" borderId="0" xfId="3" applyNumberFormat="1" applyFont="1"/>
    <xf numFmtId="0" fontId="1" fillId="0" borderId="25" xfId="0" applyFont="1" applyBorder="1"/>
    <xf numFmtId="165" fontId="1" fillId="0" borderId="26" xfId="0" applyNumberFormat="1" applyFont="1" applyBorder="1"/>
    <xf numFmtId="165" fontId="0" fillId="0" borderId="26" xfId="1" applyNumberFormat="1" applyFont="1" applyBorder="1"/>
    <xf numFmtId="165" fontId="0" fillId="0" borderId="27" xfId="1" applyNumberFormat="1" applyFont="1" applyBorder="1"/>
    <xf numFmtId="9" fontId="7" fillId="2" borderId="0" xfId="0" applyNumberFormat="1" applyFont="1" applyFill="1" applyBorder="1" applyAlignment="1">
      <alignment horizontal="center"/>
    </xf>
    <xf numFmtId="165" fontId="1" fillId="0" borderId="11" xfId="0" applyNumberFormat="1" applyFont="1" applyBorder="1"/>
    <xf numFmtId="0" fontId="10" fillId="0" borderId="28" xfId="0" applyFont="1" applyBorder="1"/>
    <xf numFmtId="0" fontId="6" fillId="11" borderId="29" xfId="0" applyFont="1" applyFill="1" applyBorder="1"/>
    <xf numFmtId="0" fontId="0" fillId="0" borderId="29" xfId="0" applyBorder="1"/>
    <xf numFmtId="0" fontId="0" fillId="0" borderId="30" xfId="0" applyBorder="1"/>
    <xf numFmtId="0" fontId="10" fillId="0" borderId="31" xfId="0" applyFont="1" applyBorder="1"/>
    <xf numFmtId="0" fontId="0" fillId="0" borderId="32" xfId="0" applyBorder="1"/>
    <xf numFmtId="0" fontId="10" fillId="0" borderId="33" xfId="0" applyFont="1" applyBorder="1"/>
    <xf numFmtId="0" fontId="0" fillId="0" borderId="34" xfId="0" applyBorder="1"/>
    <xf numFmtId="0" fontId="0" fillId="0" borderId="35" xfId="0" applyBorder="1"/>
    <xf numFmtId="0" fontId="6" fillId="11" borderId="28" xfId="0" applyFont="1" applyFill="1" applyBorder="1"/>
    <xf numFmtId="0" fontId="0" fillId="0" borderId="31" xfId="0" applyBorder="1"/>
    <xf numFmtId="168" fontId="1" fillId="2" borderId="0" xfId="0" applyNumberFormat="1" applyFont="1" applyFill="1" applyBorder="1" applyAlignment="1">
      <alignment horizontal="center"/>
    </xf>
    <xf numFmtId="0" fontId="0" fillId="0" borderId="31" xfId="0" applyFill="1" applyBorder="1"/>
    <xf numFmtId="170" fontId="0" fillId="2" borderId="0" xfId="0" applyNumberFormat="1" applyFill="1" applyBorder="1" applyAlignment="1">
      <alignment horizontal="center"/>
    </xf>
    <xf numFmtId="0" fontId="0" fillId="0" borderId="33" xfId="0" applyBorder="1"/>
    <xf numFmtId="168" fontId="1" fillId="0" borderId="20" xfId="0" applyNumberFormat="1" applyFont="1" applyFill="1" applyBorder="1" applyAlignment="1">
      <alignment horizontal="center"/>
    </xf>
    <xf numFmtId="170" fontId="0" fillId="0" borderId="20" xfId="0" applyNumberFormat="1" applyFill="1" applyBorder="1" applyAlignment="1">
      <alignment horizontal="center"/>
    </xf>
    <xf numFmtId="165" fontId="0" fillId="11" borderId="0" xfId="0" applyNumberFormat="1" applyFill="1"/>
    <xf numFmtId="0" fontId="25" fillId="0" borderId="0" xfId="0" applyFont="1"/>
    <xf numFmtId="0" fontId="27" fillId="0" borderId="0" xfId="0" applyFont="1"/>
    <xf numFmtId="0" fontId="28" fillId="16" borderId="0" xfId="5" applyFont="1" applyFill="1"/>
    <xf numFmtId="0" fontId="29" fillId="0" borderId="0" xfId="0" quotePrefix="1" applyFont="1" applyAlignment="1">
      <alignment horizontal="left"/>
    </xf>
    <xf numFmtId="172" fontId="28" fillId="0" borderId="0" xfId="0" applyNumberFormat="1" applyFont="1"/>
    <xf numFmtId="0" fontId="28" fillId="0" borderId="0" xfId="0" applyFont="1"/>
    <xf numFmtId="0" fontId="25" fillId="0" borderId="0" xfId="0" quotePrefix="1" applyFont="1" applyAlignment="1">
      <alignment horizontal="left"/>
    </xf>
    <xf numFmtId="10" fontId="30" fillId="0" borderId="0" xfId="3" applyNumberFormat="1" applyFont="1" applyFill="1" applyAlignment="1"/>
    <xf numFmtId="0" fontId="9" fillId="0" borderId="0" xfId="0" applyFont="1"/>
    <xf numFmtId="0" fontId="0" fillId="0" borderId="31" xfId="0" applyFill="1" applyBorder="1" applyAlignment="1">
      <alignment wrapText="1"/>
    </xf>
    <xf numFmtId="17" fontId="0" fillId="0" borderId="20" xfId="0" applyNumberFormat="1" applyFill="1" applyBorder="1" applyAlignment="1">
      <alignment horizontal="center"/>
    </xf>
    <xf numFmtId="17" fontId="0" fillId="0" borderId="0" xfId="0" applyNumberFormat="1" applyFill="1" applyBorder="1" applyAlignment="1">
      <alignment horizontal="center" vertical="center"/>
    </xf>
    <xf numFmtId="165" fontId="19" fillId="11" borderId="0" xfId="1" applyNumberFormat="1" applyFont="1" applyFill="1" applyBorder="1"/>
    <xf numFmtId="0" fontId="6" fillId="18" borderId="0" xfId="0" applyFont="1" applyFill="1" applyAlignment="1">
      <alignment horizontal="center"/>
    </xf>
    <xf numFmtId="0" fontId="0" fillId="18" borderId="0" xfId="0" applyFont="1" applyFill="1"/>
    <xf numFmtId="0" fontId="32" fillId="18" borderId="0" xfId="0" applyFont="1" applyFill="1" applyAlignment="1">
      <alignment horizontal="center"/>
    </xf>
    <xf numFmtId="0" fontId="0" fillId="0" borderId="0" xfId="0" quotePrefix="1" applyFont="1" applyFill="1" applyBorder="1" applyAlignment="1">
      <alignment horizontal="left"/>
    </xf>
    <xf numFmtId="165" fontId="0" fillId="0" borderId="0" xfId="1" quotePrefix="1" applyNumberFormat="1" applyFont="1" applyFill="1" applyBorder="1" applyAlignment="1">
      <alignment horizontal="left"/>
    </xf>
    <xf numFmtId="0" fontId="10" fillId="0" borderId="0" xfId="0" applyFont="1" applyFill="1" applyBorder="1"/>
    <xf numFmtId="0" fontId="8" fillId="18" borderId="0" xfId="0" applyFont="1" applyFill="1" applyBorder="1"/>
    <xf numFmtId="0" fontId="23" fillId="13" borderId="37" xfId="0" applyFont="1" applyFill="1" applyBorder="1" applyAlignment="1">
      <alignment horizontal="left" vertical="center"/>
    </xf>
    <xf numFmtId="177" fontId="23" fillId="13" borderId="38" xfId="0" applyNumberFormat="1" applyFont="1" applyFill="1" applyBorder="1"/>
    <xf numFmtId="165" fontId="0" fillId="8" borderId="0" xfId="0" applyNumberFormat="1" applyFill="1"/>
    <xf numFmtId="165" fontId="1" fillId="0" borderId="0" xfId="0" applyNumberFormat="1" applyFont="1" applyFill="1"/>
    <xf numFmtId="176" fontId="25" fillId="0" borderId="0" xfId="7" applyNumberFormat="1" applyFont="1"/>
    <xf numFmtId="178" fontId="25" fillId="0" borderId="0" xfId="7" applyNumberFormat="1" applyFont="1"/>
    <xf numFmtId="175" fontId="25" fillId="0" borderId="0" xfId="7" applyNumberFormat="1" applyFont="1"/>
    <xf numFmtId="0" fontId="25" fillId="0" borderId="0" xfId="7" applyFont="1"/>
    <xf numFmtId="0" fontId="35" fillId="0" borderId="0" xfId="0" applyFont="1"/>
    <xf numFmtId="0" fontId="35" fillId="19" borderId="0" xfId="0" applyFont="1" applyFill="1"/>
    <xf numFmtId="165" fontId="0" fillId="12" borderId="0" xfId="0" applyNumberFormat="1" applyFill="1"/>
    <xf numFmtId="0" fontId="0" fillId="0" borderId="0" xfId="0" applyFill="1" applyBorder="1"/>
    <xf numFmtId="0" fontId="2" fillId="0" borderId="0" xfId="5" applyFont="1" applyFill="1" applyBorder="1"/>
    <xf numFmtId="3" fontId="2" fillId="0" borderId="0" xfId="0" applyNumberFormat="1" applyFont="1" applyFill="1" applyBorder="1"/>
    <xf numFmtId="0" fontId="2" fillId="0" borderId="0" xfId="0" applyFont="1" applyFill="1" applyBorder="1"/>
    <xf numFmtId="0" fontId="9" fillId="0" borderId="0" xfId="0" applyFont="1" applyFill="1" applyBorder="1"/>
    <xf numFmtId="0" fontId="8" fillId="0" borderId="0" xfId="0" applyFont="1" applyFill="1" applyBorder="1"/>
    <xf numFmtId="0" fontId="8" fillId="0" borderId="0" xfId="0" quotePrefix="1" applyFont="1" applyFill="1" applyBorder="1" applyAlignment="1">
      <alignment horizontal="left"/>
    </xf>
    <xf numFmtId="3" fontId="8" fillId="0" borderId="0" xfId="0" applyNumberFormat="1" applyFont="1" applyFill="1" applyBorder="1"/>
    <xf numFmtId="172" fontId="2" fillId="0" borderId="0" xfId="0" applyNumberFormat="1" applyFont="1" applyFill="1" applyBorder="1"/>
    <xf numFmtId="0" fontId="2" fillId="0" borderId="0" xfId="0" quotePrefix="1" applyFont="1" applyFill="1" applyBorder="1" applyAlignment="1">
      <alignment horizontal="left"/>
    </xf>
    <xf numFmtId="173" fontId="2" fillId="0" borderId="0" xfId="0" applyNumberFormat="1" applyFont="1" applyFill="1" applyBorder="1"/>
    <xf numFmtId="10" fontId="2" fillId="0" borderId="0" xfId="3" applyNumberFormat="1" applyFont="1" applyFill="1" applyBorder="1" applyAlignment="1"/>
    <xf numFmtId="164" fontId="9" fillId="0" borderId="0" xfId="3" applyNumberFormat="1" applyFont="1" applyFill="1" applyBorder="1"/>
    <xf numFmtId="3" fontId="8" fillId="17" borderId="0" xfId="0" applyNumberFormat="1" applyFont="1" applyFill="1" applyBorder="1"/>
    <xf numFmtId="0" fontId="28" fillId="0" borderId="0" xfId="5" applyFont="1" applyFill="1"/>
    <xf numFmtId="0" fontId="1" fillId="0" borderId="0" xfId="0" quotePrefix="1" applyFont="1" applyBorder="1" applyAlignment="1">
      <alignment horizontal="left" wrapText="1"/>
    </xf>
    <xf numFmtId="0" fontId="24" fillId="0" borderId="0" xfId="0" quotePrefix="1" applyFont="1" applyFill="1" applyAlignment="1">
      <alignment horizontal="left" wrapText="1"/>
    </xf>
    <xf numFmtId="3" fontId="24" fillId="0" borderId="0" xfId="0" applyNumberFormat="1" applyFont="1" applyFill="1"/>
    <xf numFmtId="0" fontId="27" fillId="0" borderId="0" xfId="0" applyFont="1" applyFill="1"/>
    <xf numFmtId="0" fontId="1" fillId="12" borderId="0" xfId="0" quotePrefix="1" applyFont="1" applyFill="1" applyBorder="1" applyAlignment="1">
      <alignment horizontal="left"/>
    </xf>
    <xf numFmtId="165" fontId="1" fillId="12" borderId="0" xfId="0" applyNumberFormat="1" applyFont="1" applyFill="1"/>
    <xf numFmtId="174" fontId="10" fillId="13" borderId="24" xfId="0" applyNumberFormat="1" applyFont="1" applyFill="1" applyBorder="1"/>
    <xf numFmtId="0" fontId="10" fillId="13" borderId="36" xfId="0" quotePrefix="1" applyFont="1" applyFill="1" applyBorder="1" applyAlignment="1">
      <alignment horizontal="left"/>
    </xf>
    <xf numFmtId="0" fontId="28" fillId="0" borderId="0" xfId="5" applyFont="1" applyFill="1" applyBorder="1"/>
    <xf numFmtId="164" fontId="8" fillId="0" borderId="0" xfId="3" applyNumberFormat="1" applyFont="1" applyFill="1" applyBorder="1" applyAlignment="1"/>
    <xf numFmtId="164" fontId="10" fillId="15" borderId="0" xfId="3" applyNumberFormat="1" applyFont="1" applyFill="1" applyBorder="1" applyAlignment="1"/>
    <xf numFmtId="0" fontId="40" fillId="0" borderId="0" xfId="0" applyFont="1"/>
    <xf numFmtId="169" fontId="40" fillId="0" borderId="0" xfId="1" applyNumberFormat="1" applyFont="1"/>
    <xf numFmtId="43" fontId="1" fillId="0" borderId="0" xfId="0" applyNumberFormat="1" applyFont="1"/>
    <xf numFmtId="0" fontId="0" fillId="0" borderId="0" xfId="0" applyAlignment="1">
      <alignment horizontal="center"/>
    </xf>
    <xf numFmtId="0" fontId="0" fillId="0" borderId="0" xfId="0" quotePrefix="1" applyFont="1" applyBorder="1" applyAlignment="1">
      <alignment horizontal="left" wrapText="1"/>
    </xf>
    <xf numFmtId="165" fontId="0" fillId="0" borderId="0" xfId="0" applyNumberFormat="1" applyFont="1"/>
    <xf numFmtId="10" fontId="9" fillId="0" borderId="0" xfId="3" applyNumberFormat="1" applyFont="1"/>
    <xf numFmtId="179" fontId="0" fillId="0" borderId="0" xfId="0" applyNumberFormat="1" applyFont="1"/>
    <xf numFmtId="167" fontId="0" fillId="0" borderId="32" xfId="2" applyNumberFormat="1" applyFont="1" applyBorder="1"/>
    <xf numFmtId="0" fontId="0" fillId="0" borderId="0" xfId="0" applyAlignment="1">
      <alignment wrapText="1"/>
    </xf>
    <xf numFmtId="10" fontId="0" fillId="0" borderId="0" xfId="3" applyNumberFormat="1" applyFont="1" applyAlignment="1">
      <alignment horizontal="center" vertical="center"/>
    </xf>
    <xf numFmtId="9" fontId="0" fillId="0" borderId="0" xfId="0" applyNumberFormat="1" applyAlignment="1">
      <alignment horizontal="center" vertical="center"/>
    </xf>
    <xf numFmtId="9" fontId="0" fillId="0" borderId="0" xfId="0" applyNumberFormat="1" applyAlignment="1">
      <alignment horizontal="center"/>
    </xf>
    <xf numFmtId="10" fontId="0" fillId="0" borderId="42" xfId="3" applyNumberFormat="1" applyFont="1" applyBorder="1" applyAlignment="1">
      <alignment horizontal="center"/>
    </xf>
    <xf numFmtId="165" fontId="0" fillId="0" borderId="43" xfId="1" applyNumberFormat="1" applyFont="1" applyBorder="1" applyAlignment="1">
      <alignment horizontal="center"/>
    </xf>
    <xf numFmtId="0" fontId="1" fillId="11" borderId="44" xfId="0" applyFont="1" applyFill="1" applyBorder="1" applyAlignment="1">
      <alignment horizontal="center"/>
    </xf>
    <xf numFmtId="0" fontId="1" fillId="11" borderId="45" xfId="0" applyFont="1" applyFill="1" applyBorder="1" applyAlignment="1">
      <alignment horizontal="center"/>
    </xf>
    <xf numFmtId="0" fontId="1" fillId="11" borderId="46" xfId="0" applyFont="1" applyFill="1" applyBorder="1" applyAlignment="1">
      <alignment horizontal="center"/>
    </xf>
    <xf numFmtId="165" fontId="0" fillId="0" borderId="47" xfId="1" applyNumberFormat="1" applyFont="1" applyBorder="1" applyAlignment="1">
      <alignment horizontal="center"/>
    </xf>
    <xf numFmtId="10" fontId="0" fillId="0" borderId="48" xfId="3" applyNumberFormat="1" applyFont="1" applyBorder="1" applyAlignment="1">
      <alignment horizontal="center"/>
    </xf>
    <xf numFmtId="0" fontId="1" fillId="11" borderId="40" xfId="0" applyFont="1" applyFill="1" applyBorder="1"/>
    <xf numFmtId="0" fontId="1" fillId="11" borderId="49" xfId="0" applyFont="1" applyFill="1" applyBorder="1"/>
    <xf numFmtId="0" fontId="1" fillId="11" borderId="10" xfId="0" applyFont="1" applyFill="1" applyBorder="1"/>
    <xf numFmtId="0" fontId="1" fillId="11" borderId="50" xfId="0" applyFont="1" applyFill="1" applyBorder="1"/>
    <xf numFmtId="10" fontId="0" fillId="0" borderId="51" xfId="3" applyNumberFormat="1" applyFont="1" applyBorder="1" applyAlignment="1">
      <alignment horizontal="center"/>
    </xf>
    <xf numFmtId="10" fontId="0" fillId="0" borderId="39" xfId="3" applyNumberFormat="1" applyFont="1" applyBorder="1" applyAlignment="1">
      <alignment horizontal="center"/>
    </xf>
    <xf numFmtId="0" fontId="1" fillId="11" borderId="6" xfId="0" applyFont="1" applyFill="1" applyBorder="1"/>
    <xf numFmtId="10" fontId="0" fillId="0" borderId="52" xfId="3" applyNumberFormat="1" applyFont="1" applyBorder="1" applyAlignment="1">
      <alignment horizontal="center"/>
    </xf>
    <xf numFmtId="10" fontId="0" fillId="0" borderId="41" xfId="3" applyNumberFormat="1" applyFont="1" applyBorder="1" applyAlignment="1">
      <alignment horizontal="center"/>
    </xf>
    <xf numFmtId="165" fontId="0" fillId="0" borderId="11" xfId="1" applyNumberFormat="1" applyFont="1" applyBorder="1" applyAlignment="1">
      <alignment horizontal="center"/>
    </xf>
    <xf numFmtId="10" fontId="0" fillId="0" borderId="53" xfId="3" applyNumberFormat="1" applyFont="1" applyBorder="1" applyAlignment="1">
      <alignment horizontal="center"/>
    </xf>
    <xf numFmtId="10" fontId="0" fillId="0" borderId="54" xfId="3" applyNumberFormat="1" applyFont="1" applyBorder="1" applyAlignment="1">
      <alignment horizontal="center"/>
    </xf>
    <xf numFmtId="10" fontId="0" fillId="0" borderId="55" xfId="3" applyNumberFormat="1" applyFont="1" applyBorder="1" applyAlignment="1">
      <alignment horizontal="center"/>
    </xf>
    <xf numFmtId="165" fontId="0" fillId="0" borderId="56" xfId="1" applyNumberFormat="1" applyFont="1" applyBorder="1" applyAlignment="1">
      <alignment horizontal="center"/>
    </xf>
    <xf numFmtId="10" fontId="0" fillId="0" borderId="57" xfId="3" applyNumberFormat="1" applyFont="1" applyBorder="1" applyAlignment="1">
      <alignment horizontal="center"/>
    </xf>
    <xf numFmtId="10" fontId="0" fillId="0" borderId="58" xfId="3" applyNumberFormat="1" applyFont="1" applyBorder="1" applyAlignment="1">
      <alignment horizontal="center"/>
    </xf>
    <xf numFmtId="10" fontId="0" fillId="0" borderId="59" xfId="3" applyNumberFormat="1" applyFont="1" applyBorder="1" applyAlignment="1">
      <alignment horizontal="center"/>
    </xf>
    <xf numFmtId="165" fontId="0" fillId="3" borderId="6" xfId="1" applyNumberFormat="1" applyFont="1" applyFill="1" applyBorder="1" applyAlignment="1">
      <alignment horizontal="center"/>
    </xf>
    <xf numFmtId="10" fontId="0" fillId="3" borderId="50" xfId="3" applyNumberFormat="1" applyFont="1" applyFill="1" applyBorder="1" applyAlignment="1">
      <alignment horizontal="center"/>
    </xf>
    <xf numFmtId="10" fontId="0" fillId="3" borderId="6" xfId="3" applyNumberFormat="1" applyFont="1" applyFill="1" applyBorder="1" applyAlignment="1">
      <alignment horizontal="center"/>
    </xf>
    <xf numFmtId="10" fontId="0" fillId="3" borderId="10" xfId="3" applyNumberFormat="1" applyFont="1" applyFill="1" applyBorder="1" applyAlignment="1">
      <alignment horizontal="center"/>
    </xf>
    <xf numFmtId="165" fontId="1" fillId="11" borderId="46" xfId="1" applyNumberFormat="1" applyFont="1" applyFill="1" applyBorder="1" applyAlignment="1">
      <alignment horizontal="center"/>
    </xf>
    <xf numFmtId="165" fontId="1" fillId="11" borderId="44" xfId="1" applyNumberFormat="1" applyFont="1" applyFill="1" applyBorder="1" applyAlignment="1">
      <alignment horizontal="center"/>
    </xf>
    <xf numFmtId="165" fontId="1" fillId="11" borderId="45" xfId="1" applyNumberFormat="1" applyFont="1" applyFill="1" applyBorder="1" applyAlignment="1">
      <alignment horizontal="center"/>
    </xf>
    <xf numFmtId="10" fontId="0" fillId="3" borderId="57" xfId="3" applyNumberFormat="1" applyFont="1" applyFill="1" applyBorder="1" applyAlignment="1">
      <alignment horizontal="center"/>
    </xf>
    <xf numFmtId="10" fontId="0" fillId="3" borderId="58" xfId="3" applyNumberFormat="1" applyFont="1" applyFill="1" applyBorder="1" applyAlignment="1">
      <alignment horizontal="center"/>
    </xf>
    <xf numFmtId="10" fontId="0" fillId="3" borderId="59" xfId="3" applyNumberFormat="1" applyFont="1" applyFill="1" applyBorder="1" applyAlignment="1">
      <alignment horizontal="center"/>
    </xf>
    <xf numFmtId="165" fontId="0" fillId="3" borderId="56" xfId="1" applyNumberFormat="1" applyFont="1" applyFill="1" applyBorder="1" applyAlignment="1">
      <alignment horizontal="center"/>
    </xf>
    <xf numFmtId="0" fontId="1" fillId="11" borderId="40" xfId="0" applyFont="1" applyFill="1" applyBorder="1" applyAlignment="1">
      <alignment vertical="center" wrapText="1"/>
    </xf>
    <xf numFmtId="0" fontId="1" fillId="11" borderId="46" xfId="0" applyFont="1" applyFill="1" applyBorder="1" applyAlignment="1">
      <alignment horizontal="center" vertical="center"/>
    </xf>
    <xf numFmtId="0" fontId="1" fillId="11" borderId="44" xfId="0" applyFont="1" applyFill="1" applyBorder="1" applyAlignment="1">
      <alignment horizontal="center" vertical="center"/>
    </xf>
    <xf numFmtId="0" fontId="1" fillId="11" borderId="45" xfId="0" applyFont="1" applyFill="1" applyBorder="1" applyAlignment="1">
      <alignment horizontal="center" vertical="center"/>
    </xf>
    <xf numFmtId="168" fontId="1" fillId="11" borderId="46" xfId="0" applyNumberFormat="1" applyFont="1" applyFill="1" applyBorder="1" applyAlignment="1">
      <alignment horizontal="center"/>
    </xf>
    <xf numFmtId="168" fontId="1" fillId="11" borderId="44" xfId="0" applyNumberFormat="1" applyFont="1" applyFill="1" applyBorder="1" applyAlignment="1">
      <alignment horizontal="center"/>
    </xf>
    <xf numFmtId="168" fontId="1" fillId="11" borderId="45" xfId="0" applyNumberFormat="1" applyFont="1" applyFill="1" applyBorder="1" applyAlignment="1">
      <alignment horizontal="center"/>
    </xf>
    <xf numFmtId="10" fontId="1" fillId="11" borderId="46" xfId="0" applyNumberFormat="1" applyFont="1" applyFill="1" applyBorder="1" applyAlignment="1">
      <alignment horizontal="center"/>
    </xf>
    <xf numFmtId="10" fontId="1" fillId="11" borderId="44" xfId="0" applyNumberFormat="1" applyFont="1" applyFill="1" applyBorder="1" applyAlignment="1">
      <alignment horizontal="center"/>
    </xf>
    <xf numFmtId="10" fontId="1" fillId="11" borderId="45" xfId="0" applyNumberFormat="1" applyFont="1" applyFill="1" applyBorder="1" applyAlignment="1">
      <alignment horizontal="center"/>
    </xf>
    <xf numFmtId="0" fontId="1" fillId="11" borderId="40" xfId="0" applyFont="1" applyFill="1" applyBorder="1" applyAlignment="1">
      <alignment horizontal="center" vertical="center"/>
    </xf>
    <xf numFmtId="9" fontId="1" fillId="11" borderId="46" xfId="0" applyNumberFormat="1" applyFont="1" applyFill="1" applyBorder="1" applyAlignment="1">
      <alignment horizontal="center" vertical="center"/>
    </xf>
    <xf numFmtId="9" fontId="1" fillId="11" borderId="44" xfId="0" applyNumberFormat="1" applyFont="1" applyFill="1" applyBorder="1" applyAlignment="1">
      <alignment horizontal="center" vertical="center"/>
    </xf>
    <xf numFmtId="9" fontId="1" fillId="11" borderId="45" xfId="0" applyNumberFormat="1" applyFont="1" applyFill="1" applyBorder="1" applyAlignment="1">
      <alignment horizontal="center" vertical="center"/>
    </xf>
    <xf numFmtId="43" fontId="0" fillId="0" borderId="0" xfId="1" applyFont="1"/>
    <xf numFmtId="0" fontId="12" fillId="0" borderId="0" xfId="0" applyFont="1" applyAlignment="1">
      <alignment horizontal="center" vertical="center"/>
    </xf>
    <xf numFmtId="0" fontId="0" fillId="0" borderId="16"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0" fillId="0" borderId="60" xfId="0" applyBorder="1" applyAlignment="1">
      <alignment horizontal="left" wrapText="1"/>
    </xf>
    <xf numFmtId="0" fontId="0" fillId="0" borderId="0" xfId="0" applyBorder="1" applyAlignment="1">
      <alignment horizontal="left" wrapText="1"/>
    </xf>
    <xf numFmtId="0" fontId="0" fillId="0" borderId="61"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0" borderId="21"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4" fillId="0" borderId="0" xfId="0" applyFont="1" applyAlignment="1">
      <alignment horizontal="left"/>
    </xf>
    <xf numFmtId="0" fontId="1" fillId="6" borderId="31" xfId="0" applyFont="1" applyFill="1" applyBorder="1" applyAlignment="1">
      <alignment horizontal="center"/>
    </xf>
    <xf numFmtId="0" fontId="1" fillId="6" borderId="0" xfId="0" applyFont="1" applyFill="1" applyBorder="1" applyAlignment="1">
      <alignment horizontal="center"/>
    </xf>
    <xf numFmtId="0" fontId="1" fillId="6" borderId="32" xfId="0" applyFont="1" applyFill="1" applyBorder="1" applyAlignment="1">
      <alignment horizontal="center"/>
    </xf>
    <xf numFmtId="0" fontId="1" fillId="0" borderId="0" xfId="0" applyFont="1" applyAlignment="1">
      <alignment horizontal="center"/>
    </xf>
    <xf numFmtId="0" fontId="1" fillId="3" borderId="0" xfId="0" applyFont="1" applyFill="1" applyAlignment="1">
      <alignment horizontal="center"/>
    </xf>
    <xf numFmtId="0" fontId="11" fillId="9" borderId="0" xfId="0" applyFont="1" applyFill="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6" fillId="6" borderId="0" xfId="0" applyFont="1" applyFill="1" applyAlignment="1">
      <alignment horizontal="center"/>
    </xf>
    <xf numFmtId="0" fontId="0" fillId="0" borderId="0" xfId="0" applyAlignment="1">
      <alignment horizontal="center"/>
    </xf>
    <xf numFmtId="0" fontId="1" fillId="5" borderId="2" xfId="0" applyFont="1" applyFill="1" applyBorder="1" applyAlignment="1">
      <alignment horizontal="center"/>
    </xf>
    <xf numFmtId="0" fontId="1" fillId="5" borderId="3" xfId="0" applyFont="1" applyFill="1" applyBorder="1" applyAlignment="1">
      <alignment horizontal="center"/>
    </xf>
    <xf numFmtId="0" fontId="2" fillId="0" borderId="0" xfId="0" quotePrefix="1" applyFont="1" applyFill="1" applyBorder="1" applyAlignment="1">
      <alignment horizontal="left" wrapText="1"/>
    </xf>
    <xf numFmtId="0" fontId="42" fillId="11" borderId="25" xfId="0" applyFont="1" applyFill="1" applyBorder="1" applyAlignment="1">
      <alignment horizontal="center"/>
    </xf>
    <xf numFmtId="0" fontId="42" fillId="11" borderId="26" xfId="0" applyFont="1" applyFill="1" applyBorder="1" applyAlignment="1">
      <alignment horizontal="center"/>
    </xf>
    <xf numFmtId="0" fontId="42" fillId="11" borderId="27" xfId="0" applyFont="1" applyFill="1" applyBorder="1" applyAlignment="1">
      <alignment horizontal="center"/>
    </xf>
  </cellXfs>
  <cellStyles count="8">
    <cellStyle name="Millares" xfId="1" builtinId="3"/>
    <cellStyle name="Moneda" xfId="2" builtinId="4"/>
    <cellStyle name="Normal" xfId="0" builtinId="0"/>
    <cellStyle name="Normal 2 6" xfId="4" xr:uid="{0D1CFC8A-071B-4403-BFC1-49E7E1F92185}"/>
    <cellStyle name="Normal_COSTO DEUDA Y PROPIETARIO" xfId="5" xr:uid="{1BFB52FF-C235-4AA4-BE71-E90309FC8085}"/>
    <cellStyle name="Normal_MODELOS 1" xfId="7" xr:uid="{1F00ACE4-C9DD-4FCE-829E-495BA2E45F16}"/>
    <cellStyle name="Porcentaje" xfId="3" builtinId="5"/>
    <cellStyle name="Porcentaje 2" xfId="6" xr:uid="{44C4AA58-96C2-4509-84E0-DA43A6C16098}"/>
  </cellStyles>
  <dxfs count="14">
    <dxf>
      <fill>
        <patternFill>
          <bgColor rgb="FFFF0000"/>
        </patternFill>
      </fill>
    </dxf>
    <dxf>
      <fill>
        <patternFill>
          <bgColor rgb="FFFF0000"/>
        </patternFill>
      </fill>
    </dxf>
    <dxf>
      <fill>
        <patternFill>
          <bgColor rgb="FFFF0000"/>
        </patternFill>
      </fill>
    </dxf>
    <dxf>
      <font>
        <b/>
        <i val="0"/>
        <color theme="2"/>
      </font>
      <fill>
        <patternFill>
          <bgColor rgb="FF008000"/>
        </patternFill>
      </fill>
    </dxf>
    <dxf>
      <font>
        <b/>
        <i val="0"/>
        <color theme="2"/>
      </font>
      <fill>
        <patternFill>
          <bgColor rgb="FF008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0000"/>
        </patternFill>
      </fill>
    </dxf>
    <dxf>
      <font>
        <color theme="0"/>
      </font>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Modelo!$B$131</c:f>
              <c:strCache>
                <c:ptCount val="1"/>
                <c:pt idx="0">
                  <c:v>(1)  Flujo operativo o flujo bruto</c:v>
                </c:pt>
              </c:strCache>
            </c:strRef>
          </c:tx>
          <c:spPr>
            <a:ln w="28575" cap="rnd">
              <a:solidFill>
                <a:schemeClr val="accent1"/>
              </a:solidFill>
              <a:round/>
            </a:ln>
            <a:effectLst/>
          </c:spPr>
          <c:marker>
            <c:symbol val="none"/>
          </c:marker>
          <c:cat>
            <c:numRef>
              <c:f>Modelo!$C$3:$M$3</c:f>
              <c:numCache>
                <c:formatCode>General</c:formatCode>
                <c:ptCount val="11"/>
                <c:pt idx="0">
                  <c:v>2022</c:v>
                </c:pt>
                <c:pt idx="1">
                  <c:v>2023</c:v>
                </c:pt>
                <c:pt idx="2">
                  <c:v>2024</c:v>
                </c:pt>
                <c:pt idx="3">
                  <c:v>2025</c:v>
                </c:pt>
                <c:pt idx="4">
                  <c:v>2026</c:v>
                </c:pt>
                <c:pt idx="5">
                  <c:v>2027</c:v>
                </c:pt>
                <c:pt idx="6">
                  <c:v>2028</c:v>
                </c:pt>
                <c:pt idx="7">
                  <c:v>2029</c:v>
                </c:pt>
                <c:pt idx="8">
                  <c:v>2030</c:v>
                </c:pt>
                <c:pt idx="9">
                  <c:v>2031</c:v>
                </c:pt>
                <c:pt idx="10">
                  <c:v>2032</c:v>
                </c:pt>
              </c:numCache>
            </c:numRef>
          </c:cat>
          <c:val>
            <c:numRef>
              <c:f>Modelo!$C$131:$M$131</c:f>
              <c:numCache>
                <c:formatCode>_-* #,##0_-;\-* #,##0_-;_-* "-"??_-;_-@_-</c:formatCode>
                <c:ptCount val="11"/>
                <c:pt idx="0">
                  <c:v>0</c:v>
                </c:pt>
                <c:pt idx="1">
                  <c:v>36199252.305333331</c:v>
                </c:pt>
                <c:pt idx="2">
                  <c:v>106757023.89541201</c:v>
                </c:pt>
                <c:pt idx="3">
                  <c:v>109812261.154112</c:v>
                </c:pt>
                <c:pt idx="4">
                  <c:v>112940919.48873536</c:v>
                </c:pt>
                <c:pt idx="5">
                  <c:v>116163437.57339746</c:v>
                </c:pt>
                <c:pt idx="6">
                  <c:v>119389780.2306252</c:v>
                </c:pt>
                <c:pt idx="7">
                  <c:v>122845390.64039345</c:v>
                </c:pt>
                <c:pt idx="8">
                  <c:v>126422733.15571585</c:v>
                </c:pt>
                <c:pt idx="9">
                  <c:v>130049705.65038735</c:v>
                </c:pt>
                <c:pt idx="10">
                  <c:v>133785487.31989896</c:v>
                </c:pt>
              </c:numCache>
            </c:numRef>
          </c:val>
          <c:smooth val="0"/>
          <c:extLst>
            <c:ext xmlns:c16="http://schemas.microsoft.com/office/drawing/2014/chart" uri="{C3380CC4-5D6E-409C-BE32-E72D297353CC}">
              <c16:uniqueId val="{00000003-9567-434E-B7DB-CAF912567BFB}"/>
            </c:ext>
          </c:extLst>
        </c:ser>
        <c:ser>
          <c:idx val="1"/>
          <c:order val="1"/>
          <c:tx>
            <c:strRef>
              <c:f>Modelo!$B$134</c:f>
              <c:strCache>
                <c:ptCount val="1"/>
                <c:pt idx="0">
                  <c:v>(2)  Financiación de inversiones</c:v>
                </c:pt>
              </c:strCache>
            </c:strRef>
          </c:tx>
          <c:spPr>
            <a:ln w="28575" cap="rnd">
              <a:solidFill>
                <a:schemeClr val="accent2"/>
              </a:solidFill>
              <a:round/>
            </a:ln>
            <a:effectLst/>
          </c:spPr>
          <c:marker>
            <c:symbol val="none"/>
          </c:marker>
          <c:cat>
            <c:numRef>
              <c:f>Modelo!$C$3:$M$3</c:f>
              <c:numCache>
                <c:formatCode>General</c:formatCode>
                <c:ptCount val="11"/>
                <c:pt idx="0">
                  <c:v>2022</c:v>
                </c:pt>
                <c:pt idx="1">
                  <c:v>2023</c:v>
                </c:pt>
                <c:pt idx="2">
                  <c:v>2024</c:v>
                </c:pt>
                <c:pt idx="3">
                  <c:v>2025</c:v>
                </c:pt>
                <c:pt idx="4">
                  <c:v>2026</c:v>
                </c:pt>
                <c:pt idx="5">
                  <c:v>2027</c:v>
                </c:pt>
                <c:pt idx="6">
                  <c:v>2028</c:v>
                </c:pt>
                <c:pt idx="7">
                  <c:v>2029</c:v>
                </c:pt>
                <c:pt idx="8">
                  <c:v>2030</c:v>
                </c:pt>
                <c:pt idx="9">
                  <c:v>2031</c:v>
                </c:pt>
                <c:pt idx="10">
                  <c:v>2032</c:v>
                </c:pt>
              </c:numCache>
            </c:numRef>
          </c:cat>
          <c:val>
            <c:numRef>
              <c:f>Modelo!$C$134:$M$134</c:f>
              <c:numCache>
                <c:formatCode>_-* #,##0_-;\-* #,##0_-;_-* "-"??_-;_-@_-</c:formatCode>
                <c:ptCount val="11"/>
                <c:pt idx="0">
                  <c:v>407970000</c:v>
                </c:pt>
                <c:pt idx="1">
                  <c:v>-4031565.8000000119</c:v>
                </c:pt>
                <c:pt idx="2">
                  <c:v>65920511.805412017</c:v>
                </c:pt>
                <c:pt idx="3">
                  <c:v>18930375.760882031</c:v>
                </c:pt>
                <c:pt idx="4">
                  <c:v>2067377.3259287155</c:v>
                </c:pt>
                <c:pt idx="5">
                  <c:v>-7128006.0146533623</c:v>
                </c:pt>
                <c:pt idx="6">
                  <c:v>35681090.26336883</c:v>
                </c:pt>
                <c:pt idx="7">
                  <c:v>32194610.880892035</c:v>
                </c:pt>
                <c:pt idx="8">
                  <c:v>31895495.942732289</c:v>
                </c:pt>
                <c:pt idx="9">
                  <c:v>32171490.335675158</c:v>
                </c:pt>
                <c:pt idx="10">
                  <c:v>32625656.188677672</c:v>
                </c:pt>
              </c:numCache>
            </c:numRef>
          </c:val>
          <c:smooth val="0"/>
          <c:extLst>
            <c:ext xmlns:c16="http://schemas.microsoft.com/office/drawing/2014/chart" uri="{C3380CC4-5D6E-409C-BE32-E72D297353CC}">
              <c16:uniqueId val="{00000004-9567-434E-B7DB-CAF912567BFB}"/>
            </c:ext>
          </c:extLst>
        </c:ser>
        <c:ser>
          <c:idx val="2"/>
          <c:order val="2"/>
          <c:tx>
            <c:strRef>
              <c:f>Modelo!$B$135</c:f>
              <c:strCache>
                <c:ptCount val="1"/>
                <c:pt idx="0">
                  <c:v>(1-2) FLUJO DE CAJA LIBRE</c:v>
                </c:pt>
              </c:strCache>
            </c:strRef>
          </c:tx>
          <c:spPr>
            <a:ln w="28575" cap="rnd">
              <a:solidFill>
                <a:schemeClr val="accent3"/>
              </a:solidFill>
              <a:round/>
            </a:ln>
            <a:effectLst/>
          </c:spPr>
          <c:marker>
            <c:symbol val="none"/>
          </c:marker>
          <c:cat>
            <c:numRef>
              <c:f>Modelo!$C$3:$M$3</c:f>
              <c:numCache>
                <c:formatCode>General</c:formatCode>
                <c:ptCount val="11"/>
                <c:pt idx="0">
                  <c:v>2022</c:v>
                </c:pt>
                <c:pt idx="1">
                  <c:v>2023</c:v>
                </c:pt>
                <c:pt idx="2">
                  <c:v>2024</c:v>
                </c:pt>
                <c:pt idx="3">
                  <c:v>2025</c:v>
                </c:pt>
                <c:pt idx="4">
                  <c:v>2026</c:v>
                </c:pt>
                <c:pt idx="5">
                  <c:v>2027</c:v>
                </c:pt>
                <c:pt idx="6">
                  <c:v>2028</c:v>
                </c:pt>
                <c:pt idx="7">
                  <c:v>2029</c:v>
                </c:pt>
                <c:pt idx="8">
                  <c:v>2030</c:v>
                </c:pt>
                <c:pt idx="9">
                  <c:v>2031</c:v>
                </c:pt>
                <c:pt idx="10">
                  <c:v>2032</c:v>
                </c:pt>
              </c:numCache>
            </c:numRef>
          </c:cat>
          <c:val>
            <c:numRef>
              <c:f>Modelo!$C$135:$M$135</c:f>
              <c:numCache>
                <c:formatCode>_-* #,##0_-;\-* #,##0_-;_-* "-"??_-;_-@_-</c:formatCode>
                <c:ptCount val="11"/>
                <c:pt idx="0">
                  <c:v>-407970000</c:v>
                </c:pt>
                <c:pt idx="1">
                  <c:v>40230818.105333343</c:v>
                </c:pt>
                <c:pt idx="2">
                  <c:v>40836512.089999996</c:v>
                </c:pt>
                <c:pt idx="3">
                  <c:v>90881885.393229961</c:v>
                </c:pt>
                <c:pt idx="4">
                  <c:v>110873542.16280665</c:v>
                </c:pt>
                <c:pt idx="5">
                  <c:v>123291443.58805081</c:v>
                </c:pt>
                <c:pt idx="6">
                  <c:v>83708689.967256367</c:v>
                </c:pt>
                <c:pt idx="7">
                  <c:v>90650779.759501413</c:v>
                </c:pt>
                <c:pt idx="8">
                  <c:v>94527237.212983564</c:v>
                </c:pt>
                <c:pt idx="9">
                  <c:v>97878215.314712197</c:v>
                </c:pt>
                <c:pt idx="10">
                  <c:v>101159831.13122129</c:v>
                </c:pt>
              </c:numCache>
            </c:numRef>
          </c:val>
          <c:smooth val="0"/>
          <c:extLst>
            <c:ext xmlns:c16="http://schemas.microsoft.com/office/drawing/2014/chart" uri="{C3380CC4-5D6E-409C-BE32-E72D297353CC}">
              <c16:uniqueId val="{00000005-9567-434E-B7DB-CAF912567BFB}"/>
            </c:ext>
          </c:extLst>
        </c:ser>
        <c:dLbls>
          <c:showLegendKey val="0"/>
          <c:showVal val="0"/>
          <c:showCatName val="0"/>
          <c:showSerName val="0"/>
          <c:showPercent val="0"/>
          <c:showBubbleSize val="0"/>
        </c:dLbls>
        <c:smooth val="0"/>
        <c:axId val="480803936"/>
        <c:axId val="480797696"/>
      </c:lineChart>
      <c:catAx>
        <c:axId val="48080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0797696"/>
        <c:crosses val="autoZero"/>
        <c:auto val="1"/>
        <c:lblAlgn val="ctr"/>
        <c:lblOffset val="100"/>
        <c:noMultiLvlLbl val="0"/>
      </c:catAx>
      <c:valAx>
        <c:axId val="480797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080393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cat>
            <c:numRef>
              <c:f>Modelo!$C$3:$M$3</c:f>
              <c:numCache>
                <c:formatCode>General</c:formatCode>
                <c:ptCount val="11"/>
                <c:pt idx="0">
                  <c:v>2022</c:v>
                </c:pt>
                <c:pt idx="1">
                  <c:v>2023</c:v>
                </c:pt>
                <c:pt idx="2">
                  <c:v>2024</c:v>
                </c:pt>
                <c:pt idx="3">
                  <c:v>2025</c:v>
                </c:pt>
                <c:pt idx="4">
                  <c:v>2026</c:v>
                </c:pt>
                <c:pt idx="5">
                  <c:v>2027</c:v>
                </c:pt>
                <c:pt idx="6">
                  <c:v>2028</c:v>
                </c:pt>
                <c:pt idx="7">
                  <c:v>2029</c:v>
                </c:pt>
                <c:pt idx="8">
                  <c:v>2030</c:v>
                </c:pt>
                <c:pt idx="9">
                  <c:v>2031</c:v>
                </c:pt>
                <c:pt idx="10">
                  <c:v>2032</c:v>
                </c:pt>
              </c:numCache>
            </c:numRef>
          </c:cat>
          <c:val>
            <c:numRef>
              <c:f>Modelo!$C$205:$M$205</c:f>
              <c:numCache>
                <c:formatCode>_-* #,##0_-;\-* #,##0_-;_-* "-"??_-;_-@_-</c:formatCode>
                <c:ptCount val="11"/>
                <c:pt idx="0">
                  <c:v>-407970000</c:v>
                </c:pt>
                <c:pt idx="1">
                  <c:v>-439651004.23066664</c:v>
                </c:pt>
                <c:pt idx="2">
                  <c:v>-476218826.27636349</c:v>
                </c:pt>
                <c:pt idx="3">
                  <c:v>-467690632.16428161</c:v>
                </c:pt>
                <c:pt idx="4">
                  <c:v>-436354278.92189175</c:v>
                </c:pt>
                <c:pt idx="5">
                  <c:v>-385577307.73628402</c:v>
                </c:pt>
                <c:pt idx="6">
                  <c:v>-367570991.00729042</c:v>
                </c:pt>
                <c:pt idx="7">
                  <c:v>-339848364.90823716</c:v>
                </c:pt>
                <c:pt idx="8">
                  <c:v>-303775046.45947039</c:v>
                </c:pt>
                <c:pt idx="9">
                  <c:v>-258389159.17295468</c:v>
                </c:pt>
                <c:pt idx="10">
                  <c:v>657281811.399809</c:v>
                </c:pt>
              </c:numCache>
            </c:numRef>
          </c:val>
          <c:smooth val="0"/>
          <c:extLst>
            <c:ext xmlns:c16="http://schemas.microsoft.com/office/drawing/2014/chart" uri="{C3380CC4-5D6E-409C-BE32-E72D297353CC}">
              <c16:uniqueId val="{00000000-BB7D-45BE-9E42-65B95CB27E33}"/>
            </c:ext>
          </c:extLst>
        </c:ser>
        <c:dLbls>
          <c:showLegendKey val="0"/>
          <c:showVal val="0"/>
          <c:showCatName val="0"/>
          <c:showSerName val="0"/>
          <c:showPercent val="0"/>
          <c:showBubbleSize val="0"/>
        </c:dLbls>
        <c:smooth val="0"/>
        <c:axId val="239275807"/>
        <c:axId val="239264991"/>
      </c:lineChart>
      <c:catAx>
        <c:axId val="239275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239264991"/>
        <c:crosses val="autoZero"/>
        <c:auto val="1"/>
        <c:lblAlgn val="ctr"/>
        <c:lblOffset val="100"/>
        <c:noMultiLvlLbl val="0"/>
      </c:catAx>
      <c:valAx>
        <c:axId val="239264991"/>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239275807"/>
        <c:crosses val="autoZero"/>
        <c:crossBetween val="midCat"/>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rgbClr val="FF0000"/>
                </a:solidFill>
                <a:latin typeface="+mn-lt"/>
                <a:ea typeface="+mn-ea"/>
                <a:cs typeface="+mn-cs"/>
              </a:defRPr>
            </a:pPr>
            <a:r>
              <a:rPr lang="en-US" sz="1800" b="1">
                <a:solidFill>
                  <a:srgbClr val="FF0000"/>
                </a:solidFill>
              </a:rPr>
              <a:t>EVA</a:t>
            </a:r>
          </a:p>
        </c:rich>
      </c:tx>
      <c:layout>
        <c:manualLayout>
          <c:xMode val="edge"/>
          <c:yMode val="edge"/>
          <c:x val="0.17715633547209123"/>
          <c:y val="8.7962962962962965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rgbClr val="FF0000"/>
              </a:solidFill>
              <a:latin typeface="+mn-lt"/>
              <a:ea typeface="+mn-ea"/>
              <a:cs typeface="+mn-cs"/>
            </a:defRPr>
          </a:pPr>
          <a:endParaRPr lang="es-CO"/>
        </a:p>
      </c:txPr>
    </c:title>
    <c:autoTitleDeleted val="0"/>
    <c:plotArea>
      <c:layout>
        <c:manualLayout>
          <c:layoutTarget val="inner"/>
          <c:xMode val="edge"/>
          <c:yMode val="edge"/>
          <c:x val="0.11108436129915739"/>
          <c:y val="3.1088145231846019E-2"/>
          <c:w val="0.83713910761154853"/>
          <c:h val="0.92814778361038208"/>
        </c:manualLayout>
      </c:layout>
      <c:scatterChart>
        <c:scatterStyle val="smoothMarker"/>
        <c:varyColors val="0"/>
        <c:ser>
          <c:idx val="0"/>
          <c:order val="0"/>
          <c:spPr>
            <a:ln w="19050" cap="rnd">
              <a:solidFill>
                <a:schemeClr val="accent1"/>
              </a:solidFill>
              <a:round/>
            </a:ln>
            <a:effectLst/>
          </c:spPr>
          <c:marker>
            <c:symbol val="none"/>
          </c:marker>
          <c:xVal>
            <c:numRef>
              <c:f>Modelo!$D$3:$M$3</c:f>
              <c:numCache>
                <c:formatCode>General</c:formatCode>
                <c:ptCount val="10"/>
                <c:pt idx="0">
                  <c:v>2023</c:v>
                </c:pt>
                <c:pt idx="1">
                  <c:v>2024</c:v>
                </c:pt>
                <c:pt idx="2">
                  <c:v>2025</c:v>
                </c:pt>
                <c:pt idx="3">
                  <c:v>2026</c:v>
                </c:pt>
                <c:pt idx="4">
                  <c:v>2027</c:v>
                </c:pt>
                <c:pt idx="5">
                  <c:v>2028</c:v>
                </c:pt>
                <c:pt idx="6">
                  <c:v>2029</c:v>
                </c:pt>
                <c:pt idx="7">
                  <c:v>2030</c:v>
                </c:pt>
                <c:pt idx="8">
                  <c:v>2031</c:v>
                </c:pt>
                <c:pt idx="9">
                  <c:v>2032</c:v>
                </c:pt>
              </c:numCache>
            </c:numRef>
          </c:xVal>
          <c:yVal>
            <c:numRef>
              <c:f>Modelo!$D$241:$M$241</c:f>
              <c:numCache>
                <c:formatCode>#,##0</c:formatCode>
                <c:ptCount val="10"/>
                <c:pt idx="0">
                  <c:v>-52450903.363999985</c:v>
                </c:pt>
                <c:pt idx="1">
                  <c:v>21848788.30675602</c:v>
                </c:pt>
                <c:pt idx="2">
                  <c:v>17609268.445109449</c:v>
                </c:pt>
                <c:pt idx="3">
                  <c:v>21617024.061619602</c:v>
                </c:pt>
                <c:pt idx="4">
                  <c:v>28979756.497460485</c:v>
                </c:pt>
                <c:pt idx="5">
                  <c:v>34485137.596874036</c:v>
                </c:pt>
                <c:pt idx="6">
                  <c:v>34377718.39909149</c:v>
                </c:pt>
                <c:pt idx="7">
                  <c:v>34961397.349561028</c:v>
                </c:pt>
                <c:pt idx="8">
                  <c:v>35621663.296617582</c:v>
                </c:pt>
                <c:pt idx="9">
                  <c:v>36318574.331724361</c:v>
                </c:pt>
              </c:numCache>
            </c:numRef>
          </c:yVal>
          <c:smooth val="1"/>
          <c:extLst>
            <c:ext xmlns:c16="http://schemas.microsoft.com/office/drawing/2014/chart" uri="{C3380CC4-5D6E-409C-BE32-E72D297353CC}">
              <c16:uniqueId val="{00000000-E920-4CE1-8F3B-DA973AB80DBC}"/>
            </c:ext>
          </c:extLst>
        </c:ser>
        <c:dLbls>
          <c:showLegendKey val="0"/>
          <c:showVal val="0"/>
          <c:showCatName val="0"/>
          <c:showSerName val="0"/>
          <c:showPercent val="0"/>
          <c:showBubbleSize val="0"/>
        </c:dLbls>
        <c:axId val="974622560"/>
        <c:axId val="974624224"/>
      </c:scatterChart>
      <c:valAx>
        <c:axId val="9746225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974624224"/>
        <c:crosses val="autoZero"/>
        <c:crossBetween val="midCat"/>
      </c:valAx>
      <c:valAx>
        <c:axId val="974624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97462256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01181102362205"/>
          <c:y val="5.0925925925925923E-2"/>
          <c:w val="0.86043263342082243"/>
          <c:h val="0.86482283464566934"/>
        </c:manualLayout>
      </c:layout>
      <c:lineChart>
        <c:grouping val="standard"/>
        <c:varyColors val="0"/>
        <c:ser>
          <c:idx val="0"/>
          <c:order val="0"/>
          <c:tx>
            <c:strRef>
              <c:f>Modelo!$B$235</c:f>
              <c:strCache>
                <c:ptCount val="1"/>
                <c:pt idx="0">
                  <c:v>Rentabilidad de la inversión - ROI</c:v>
                </c:pt>
              </c:strCache>
            </c:strRef>
          </c:tx>
          <c:spPr>
            <a:ln w="28575" cap="rnd">
              <a:solidFill>
                <a:schemeClr val="accent1"/>
              </a:solidFill>
              <a:round/>
            </a:ln>
            <a:effectLst/>
          </c:spPr>
          <c:marker>
            <c:symbol val="none"/>
          </c:marker>
          <c:cat>
            <c:numRef>
              <c:f>Modelo!$D$3:$M$3</c:f>
              <c:numCache>
                <c:formatCode>General</c:formatCode>
                <c:ptCount val="10"/>
                <c:pt idx="0">
                  <c:v>2023</c:v>
                </c:pt>
                <c:pt idx="1">
                  <c:v>2024</c:v>
                </c:pt>
                <c:pt idx="2">
                  <c:v>2025</c:v>
                </c:pt>
                <c:pt idx="3">
                  <c:v>2026</c:v>
                </c:pt>
                <c:pt idx="4">
                  <c:v>2027</c:v>
                </c:pt>
                <c:pt idx="5">
                  <c:v>2028</c:v>
                </c:pt>
                <c:pt idx="6">
                  <c:v>2029</c:v>
                </c:pt>
                <c:pt idx="7">
                  <c:v>2030</c:v>
                </c:pt>
                <c:pt idx="8">
                  <c:v>2031</c:v>
                </c:pt>
                <c:pt idx="9">
                  <c:v>2032</c:v>
                </c:pt>
              </c:numCache>
            </c:numRef>
          </c:cat>
          <c:val>
            <c:numRef>
              <c:f>Modelo!$D$235:$M$235</c:f>
              <c:numCache>
                <c:formatCode>0.0%\ ;\(0.0%\)</c:formatCode>
                <c:ptCount val="10"/>
                <c:pt idx="0">
                  <c:v>4.7701838301835928E-2</c:v>
                </c:pt>
                <c:pt idx="1">
                  <c:v>0.23248622704537167</c:v>
                </c:pt>
                <c:pt idx="2">
                  <c:v>0.21328530563114195</c:v>
                </c:pt>
                <c:pt idx="3">
                  <c:v>0.21935298393202815</c:v>
                </c:pt>
                <c:pt idx="4">
                  <c:v>0.2345466261209537</c:v>
                </c:pt>
                <c:pt idx="5">
                  <c:v>0.25660486435036195</c:v>
                </c:pt>
                <c:pt idx="6">
                  <c:v>0.25325101956224261</c:v>
                </c:pt>
                <c:pt idx="7">
                  <c:v>0.25247535758900613</c:v>
                </c:pt>
                <c:pt idx="8">
                  <c:v>0.25203087234161636</c:v>
                </c:pt>
                <c:pt idx="9">
                  <c:v>0.25170003013733494</c:v>
                </c:pt>
              </c:numCache>
            </c:numRef>
          </c:val>
          <c:smooth val="0"/>
          <c:extLst>
            <c:ext xmlns:c16="http://schemas.microsoft.com/office/drawing/2014/chart" uri="{C3380CC4-5D6E-409C-BE32-E72D297353CC}">
              <c16:uniqueId val="{00000000-8593-4A9C-BACA-2B7C7F74DB83}"/>
            </c:ext>
          </c:extLst>
        </c:ser>
        <c:ser>
          <c:idx val="1"/>
          <c:order val="1"/>
          <c:tx>
            <c:strRef>
              <c:f>Modelo!$B$237</c:f>
              <c:strCache>
                <c:ptCount val="1"/>
                <c:pt idx="0">
                  <c:v>Costo de capital - WACC</c:v>
                </c:pt>
              </c:strCache>
            </c:strRef>
          </c:tx>
          <c:spPr>
            <a:ln w="28575" cap="rnd">
              <a:solidFill>
                <a:schemeClr val="accent2"/>
              </a:solidFill>
              <a:round/>
            </a:ln>
            <a:effectLst/>
          </c:spPr>
          <c:marker>
            <c:symbol val="none"/>
          </c:marker>
          <c:cat>
            <c:numRef>
              <c:f>Modelo!$D$3:$M$3</c:f>
              <c:numCache>
                <c:formatCode>General</c:formatCode>
                <c:ptCount val="10"/>
                <c:pt idx="0">
                  <c:v>2023</c:v>
                </c:pt>
                <c:pt idx="1">
                  <c:v>2024</c:v>
                </c:pt>
                <c:pt idx="2">
                  <c:v>2025</c:v>
                </c:pt>
                <c:pt idx="3">
                  <c:v>2026</c:v>
                </c:pt>
                <c:pt idx="4">
                  <c:v>2027</c:v>
                </c:pt>
                <c:pt idx="5">
                  <c:v>2028</c:v>
                </c:pt>
                <c:pt idx="6">
                  <c:v>2029</c:v>
                </c:pt>
                <c:pt idx="7">
                  <c:v>2030</c:v>
                </c:pt>
                <c:pt idx="8">
                  <c:v>2031</c:v>
                </c:pt>
                <c:pt idx="9">
                  <c:v>2032</c:v>
                </c:pt>
              </c:numCache>
            </c:numRef>
          </c:cat>
          <c:val>
            <c:numRef>
              <c:f>Modelo!$D$237:$M$237</c:f>
              <c:numCache>
                <c:formatCode>0.0%\ ;\(0.0%\)</c:formatCode>
                <c:ptCount val="10"/>
                <c:pt idx="0">
                  <c:v>0.17626742735005024</c:v>
                </c:pt>
                <c:pt idx="1">
                  <c:v>0.17605858599400814</c:v>
                </c:pt>
                <c:pt idx="2">
                  <c:v>0.17293245612544489</c:v>
                </c:pt>
                <c:pt idx="3">
                  <c:v>0.17006367767588393</c:v>
                </c:pt>
                <c:pt idx="4">
                  <c:v>0.1661825628972996</c:v>
                </c:pt>
                <c:pt idx="5">
                  <c:v>0.1704</c:v>
                </c:pt>
                <c:pt idx="6">
                  <c:v>0.17120000000000002</c:v>
                </c:pt>
                <c:pt idx="7">
                  <c:v>0.17200000000000001</c:v>
                </c:pt>
                <c:pt idx="8">
                  <c:v>0.17280000000000001</c:v>
                </c:pt>
                <c:pt idx="9">
                  <c:v>0.1736</c:v>
                </c:pt>
              </c:numCache>
            </c:numRef>
          </c:val>
          <c:smooth val="0"/>
          <c:extLst>
            <c:ext xmlns:c16="http://schemas.microsoft.com/office/drawing/2014/chart" uri="{C3380CC4-5D6E-409C-BE32-E72D297353CC}">
              <c16:uniqueId val="{00000001-8593-4A9C-BACA-2B7C7F74DB83}"/>
            </c:ext>
          </c:extLst>
        </c:ser>
        <c:dLbls>
          <c:showLegendKey val="0"/>
          <c:showVal val="0"/>
          <c:showCatName val="0"/>
          <c:showSerName val="0"/>
          <c:showPercent val="0"/>
          <c:showBubbleSize val="0"/>
        </c:dLbls>
        <c:smooth val="0"/>
        <c:axId val="1415068175"/>
        <c:axId val="1415073167"/>
      </c:lineChart>
      <c:catAx>
        <c:axId val="14150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415073167"/>
        <c:crosses val="autoZero"/>
        <c:auto val="1"/>
        <c:lblAlgn val="ctr"/>
        <c:lblOffset val="100"/>
        <c:noMultiLvlLbl val="0"/>
      </c:catAx>
      <c:valAx>
        <c:axId val="14150731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415068175"/>
        <c:crosses val="autoZero"/>
        <c:crossBetween val="between"/>
      </c:valAx>
      <c:spPr>
        <a:noFill/>
        <a:ln>
          <a:noFill/>
        </a:ln>
        <a:effectLst/>
      </c:spPr>
    </c:plotArea>
    <c:legend>
      <c:legendPos val="b"/>
      <c:layout>
        <c:manualLayout>
          <c:xMode val="edge"/>
          <c:yMode val="edge"/>
          <c:x val="0.10722572178477689"/>
          <c:y val="5.150408282298042E-2"/>
          <c:w val="0.56332611548556433"/>
          <c:h val="0.15219962088072325"/>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008000"/>
                </a:solidFill>
                <a:latin typeface="+mn-lt"/>
                <a:ea typeface="+mn-ea"/>
                <a:cs typeface="+mn-cs"/>
              </a:defRPr>
            </a:pPr>
            <a:r>
              <a:rPr lang="es-CO" b="1">
                <a:solidFill>
                  <a:srgbClr val="008000"/>
                </a:solidFill>
              </a:rPr>
              <a:t>MARGEN EBITDA</a:t>
            </a: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8000"/>
              </a:solidFill>
              <a:latin typeface="+mn-lt"/>
              <a:ea typeface="+mn-ea"/>
              <a:cs typeface="+mn-cs"/>
            </a:defRPr>
          </a:pPr>
          <a:endParaRPr lang="es-CO"/>
        </a:p>
      </c:txPr>
    </c:title>
    <c:autoTitleDeleted val="0"/>
    <c:plotArea>
      <c:layout>
        <c:manualLayout>
          <c:layoutTarget val="inner"/>
          <c:xMode val="edge"/>
          <c:yMode val="edge"/>
          <c:x val="5.6185832100936618E-2"/>
          <c:y val="3.0091319945953501E-2"/>
          <c:w val="0.92520164674847116"/>
          <c:h val="0.84240980602276783"/>
        </c:manualLayout>
      </c:layout>
      <c:lineChart>
        <c:grouping val="standard"/>
        <c:varyColors val="0"/>
        <c:ser>
          <c:idx val="0"/>
          <c:order val="0"/>
          <c:spPr>
            <a:ln w="28575" cap="rnd">
              <a:solidFill>
                <a:schemeClr val="accent1"/>
              </a:solidFill>
              <a:round/>
            </a:ln>
            <a:effectLst/>
          </c:spPr>
          <c:marker>
            <c:symbol val="none"/>
          </c:marker>
          <c:cat>
            <c:numRef>
              <c:f>Modelo!$D$3:$M$3</c:f>
              <c:numCache>
                <c:formatCode>General</c:formatCode>
                <c:ptCount val="10"/>
                <c:pt idx="0">
                  <c:v>2023</c:v>
                </c:pt>
                <c:pt idx="1">
                  <c:v>2024</c:v>
                </c:pt>
                <c:pt idx="2">
                  <c:v>2025</c:v>
                </c:pt>
                <c:pt idx="3">
                  <c:v>2026</c:v>
                </c:pt>
                <c:pt idx="4">
                  <c:v>2027</c:v>
                </c:pt>
                <c:pt idx="5">
                  <c:v>2028</c:v>
                </c:pt>
                <c:pt idx="6">
                  <c:v>2029</c:v>
                </c:pt>
                <c:pt idx="7">
                  <c:v>2030</c:v>
                </c:pt>
                <c:pt idx="8">
                  <c:v>2031</c:v>
                </c:pt>
                <c:pt idx="9">
                  <c:v>2032</c:v>
                </c:pt>
              </c:numCache>
            </c:numRef>
          </c:cat>
          <c:val>
            <c:numRef>
              <c:f>Modelo!$D$283:$M$283</c:f>
              <c:numCache>
                <c:formatCode>0.0%</c:formatCode>
                <c:ptCount val="10"/>
                <c:pt idx="0">
                  <c:v>0.31132686084142397</c:v>
                </c:pt>
                <c:pt idx="1">
                  <c:v>0.58437499999999998</c:v>
                </c:pt>
                <c:pt idx="2">
                  <c:v>0.58437499999999998</c:v>
                </c:pt>
                <c:pt idx="3">
                  <c:v>0.58437499999999998</c:v>
                </c:pt>
                <c:pt idx="4">
                  <c:v>0.58437500000000009</c:v>
                </c:pt>
                <c:pt idx="5">
                  <c:v>0.58437499999999998</c:v>
                </c:pt>
                <c:pt idx="6">
                  <c:v>0.58437500000000009</c:v>
                </c:pt>
                <c:pt idx="7">
                  <c:v>0.58437500000000009</c:v>
                </c:pt>
                <c:pt idx="8">
                  <c:v>0.58437499999999987</c:v>
                </c:pt>
                <c:pt idx="9">
                  <c:v>0.58437499999999998</c:v>
                </c:pt>
              </c:numCache>
            </c:numRef>
          </c:val>
          <c:smooth val="0"/>
          <c:extLst>
            <c:ext xmlns:c16="http://schemas.microsoft.com/office/drawing/2014/chart" uri="{C3380CC4-5D6E-409C-BE32-E72D297353CC}">
              <c16:uniqueId val="{00000000-6FA5-4D5D-9891-E8C2030174A4}"/>
            </c:ext>
          </c:extLst>
        </c:ser>
        <c:dLbls>
          <c:showLegendKey val="0"/>
          <c:showVal val="0"/>
          <c:showCatName val="0"/>
          <c:showSerName val="0"/>
          <c:showPercent val="0"/>
          <c:showBubbleSize val="0"/>
        </c:dLbls>
        <c:smooth val="0"/>
        <c:axId val="246414687"/>
        <c:axId val="246417183"/>
      </c:lineChart>
      <c:catAx>
        <c:axId val="246414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8000"/>
                </a:solidFill>
                <a:latin typeface="+mn-lt"/>
                <a:ea typeface="+mn-ea"/>
                <a:cs typeface="+mn-cs"/>
              </a:defRPr>
            </a:pPr>
            <a:endParaRPr lang="es-CO"/>
          </a:p>
        </c:txPr>
        <c:crossAx val="246417183"/>
        <c:crosses val="autoZero"/>
        <c:auto val="1"/>
        <c:lblAlgn val="ctr"/>
        <c:lblOffset val="100"/>
        <c:noMultiLvlLbl val="0"/>
      </c:catAx>
      <c:valAx>
        <c:axId val="246417183"/>
        <c:scaling>
          <c:orientation val="minMax"/>
          <c:max val="0.70000000000000007"/>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246414687"/>
        <c:crosses val="autoZero"/>
        <c:crossBetween val="midCat"/>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FF0000"/>
                </a:solidFill>
                <a:latin typeface="+mn-lt"/>
                <a:ea typeface="+mn-ea"/>
                <a:cs typeface="+mn-cs"/>
              </a:defRPr>
            </a:pPr>
            <a:r>
              <a:rPr lang="es-CO" b="1">
                <a:solidFill>
                  <a:srgbClr val="FF0000"/>
                </a:solidFill>
              </a:rPr>
              <a:t>Distribución de los ingresos</a:t>
            </a: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FF0000"/>
              </a:solidFill>
              <a:latin typeface="+mn-lt"/>
              <a:ea typeface="+mn-ea"/>
              <a:cs typeface="+mn-cs"/>
            </a:defRPr>
          </a:pPr>
          <a:endParaRPr lang="es-CO"/>
        </a:p>
      </c:txPr>
    </c:title>
    <c:autoTitleDeleted val="0"/>
    <c:plotArea>
      <c:layout/>
      <c:areaChart>
        <c:grouping val="percentStacked"/>
        <c:varyColors val="0"/>
        <c:ser>
          <c:idx val="0"/>
          <c:order val="0"/>
          <c:tx>
            <c:v>Costos y gastos</c:v>
          </c:tx>
          <c:spPr>
            <a:solidFill>
              <a:schemeClr val="accent1"/>
            </a:solidFill>
            <a:ln w="25400">
              <a:noFill/>
            </a:ln>
            <a:effectLst/>
          </c:spPr>
          <c:dLbls>
            <c:spPr>
              <a:solidFill>
                <a:schemeClr val="tx1"/>
              </a:solidFill>
              <a:ln>
                <a:noFill/>
              </a:ln>
              <a:effectLst/>
            </c:spPr>
            <c:txPr>
              <a:bodyPr rot="0" spcFirstLastPara="1" vertOverflow="ellipsis" vert="horz" wrap="square" lIns="38100" tIns="19050" rIns="38100" bIns="19050" anchor="ctr" anchorCtr="0">
                <a:spAutoFit/>
              </a:bodyPr>
              <a:lstStyle/>
              <a:p>
                <a:pPr algn="ctr">
                  <a:defRPr lang="en-US" sz="900" b="1" i="0" u="none" strike="noStrike" kern="1200" baseline="0">
                    <a:solidFill>
                      <a:schemeClr val="bg1"/>
                    </a:solidFill>
                    <a:latin typeface="+mn-lt"/>
                    <a:ea typeface="+mn-ea"/>
                    <a:cs typeface="+mn-cs"/>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Modelo!$D$3:$M$3</c:f>
              <c:numCache>
                <c:formatCode>General</c:formatCode>
                <c:ptCount val="10"/>
                <c:pt idx="0">
                  <c:v>2023</c:v>
                </c:pt>
                <c:pt idx="1">
                  <c:v>2024</c:v>
                </c:pt>
                <c:pt idx="2">
                  <c:v>2025</c:v>
                </c:pt>
                <c:pt idx="3">
                  <c:v>2026</c:v>
                </c:pt>
                <c:pt idx="4">
                  <c:v>2027</c:v>
                </c:pt>
                <c:pt idx="5">
                  <c:v>2028</c:v>
                </c:pt>
                <c:pt idx="6">
                  <c:v>2029</c:v>
                </c:pt>
                <c:pt idx="7">
                  <c:v>2030</c:v>
                </c:pt>
                <c:pt idx="8">
                  <c:v>2031</c:v>
                </c:pt>
                <c:pt idx="9">
                  <c:v>2032</c:v>
                </c:pt>
              </c:numCache>
            </c:numRef>
          </c:cat>
          <c:val>
            <c:numRef>
              <c:f>Modelo!$D$282:$M$282</c:f>
              <c:numCache>
                <c:formatCode>0.0%</c:formatCode>
                <c:ptCount val="10"/>
                <c:pt idx="0">
                  <c:v>0.68867313915857609</c:v>
                </c:pt>
                <c:pt idx="1">
                  <c:v>0.41562499999999997</c:v>
                </c:pt>
                <c:pt idx="2">
                  <c:v>0.41562499999999997</c:v>
                </c:pt>
                <c:pt idx="3">
                  <c:v>0.41562500000000002</c:v>
                </c:pt>
                <c:pt idx="4">
                  <c:v>0.41562499999999991</c:v>
                </c:pt>
                <c:pt idx="5">
                  <c:v>0.41562500000000002</c:v>
                </c:pt>
                <c:pt idx="6">
                  <c:v>0.41562500000000002</c:v>
                </c:pt>
                <c:pt idx="7">
                  <c:v>0.41562500000000002</c:v>
                </c:pt>
                <c:pt idx="8">
                  <c:v>0.41562500000000002</c:v>
                </c:pt>
                <c:pt idx="9">
                  <c:v>0.41562499999999997</c:v>
                </c:pt>
              </c:numCache>
            </c:numRef>
          </c:val>
          <c:extLst>
            <c:ext xmlns:c16="http://schemas.microsoft.com/office/drawing/2014/chart" uri="{C3380CC4-5D6E-409C-BE32-E72D297353CC}">
              <c16:uniqueId val="{00000001-EBA2-40EB-8272-35DD79CFBA45}"/>
            </c:ext>
          </c:extLst>
        </c:ser>
        <c:ser>
          <c:idx val="1"/>
          <c:order val="1"/>
          <c:tx>
            <c:v>EBITDA</c:v>
          </c:tx>
          <c:spPr>
            <a:solidFill>
              <a:schemeClr val="accent2"/>
            </a:solidFill>
            <a:ln w="25400">
              <a:noFill/>
            </a:ln>
            <a:effectLst/>
          </c:spPr>
          <c:dLbls>
            <c:spPr>
              <a:solidFill>
                <a:schemeClr val="tx1"/>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Modelo!$D$3:$M$3</c:f>
              <c:numCache>
                <c:formatCode>General</c:formatCode>
                <c:ptCount val="10"/>
                <c:pt idx="0">
                  <c:v>2023</c:v>
                </c:pt>
                <c:pt idx="1">
                  <c:v>2024</c:v>
                </c:pt>
                <c:pt idx="2">
                  <c:v>2025</c:v>
                </c:pt>
                <c:pt idx="3">
                  <c:v>2026</c:v>
                </c:pt>
                <c:pt idx="4">
                  <c:v>2027</c:v>
                </c:pt>
                <c:pt idx="5">
                  <c:v>2028</c:v>
                </c:pt>
                <c:pt idx="6">
                  <c:v>2029</c:v>
                </c:pt>
                <c:pt idx="7">
                  <c:v>2030</c:v>
                </c:pt>
                <c:pt idx="8">
                  <c:v>2031</c:v>
                </c:pt>
                <c:pt idx="9">
                  <c:v>2032</c:v>
                </c:pt>
              </c:numCache>
            </c:numRef>
          </c:cat>
          <c:val>
            <c:numRef>
              <c:f>Modelo!$D$283:$M$283</c:f>
              <c:numCache>
                <c:formatCode>0.0%</c:formatCode>
                <c:ptCount val="10"/>
                <c:pt idx="0">
                  <c:v>0.31132686084142397</c:v>
                </c:pt>
                <c:pt idx="1">
                  <c:v>0.58437499999999998</c:v>
                </c:pt>
                <c:pt idx="2">
                  <c:v>0.58437499999999998</c:v>
                </c:pt>
                <c:pt idx="3">
                  <c:v>0.58437499999999998</c:v>
                </c:pt>
                <c:pt idx="4">
                  <c:v>0.58437500000000009</c:v>
                </c:pt>
                <c:pt idx="5">
                  <c:v>0.58437499999999998</c:v>
                </c:pt>
                <c:pt idx="6">
                  <c:v>0.58437500000000009</c:v>
                </c:pt>
                <c:pt idx="7">
                  <c:v>0.58437500000000009</c:v>
                </c:pt>
                <c:pt idx="8">
                  <c:v>0.58437499999999987</c:v>
                </c:pt>
                <c:pt idx="9">
                  <c:v>0.58437499999999998</c:v>
                </c:pt>
              </c:numCache>
            </c:numRef>
          </c:val>
          <c:extLst>
            <c:ext xmlns:c16="http://schemas.microsoft.com/office/drawing/2014/chart" uri="{C3380CC4-5D6E-409C-BE32-E72D297353CC}">
              <c16:uniqueId val="{00000003-EBA2-40EB-8272-35DD79CFBA45}"/>
            </c:ext>
          </c:extLst>
        </c:ser>
        <c:dLbls>
          <c:showLegendKey val="0"/>
          <c:showVal val="1"/>
          <c:showCatName val="0"/>
          <c:showSerName val="0"/>
          <c:showPercent val="0"/>
          <c:showBubbleSize val="0"/>
        </c:dLbls>
        <c:axId val="2060136576"/>
        <c:axId val="2060137408"/>
      </c:areaChart>
      <c:catAx>
        <c:axId val="20601365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060137408"/>
        <c:crosses val="autoZero"/>
        <c:auto val="1"/>
        <c:lblAlgn val="ctr"/>
        <c:lblOffset val="100"/>
        <c:noMultiLvlLbl val="0"/>
      </c:catAx>
      <c:valAx>
        <c:axId val="20601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060136576"/>
        <c:crosses val="autoZero"/>
        <c:crossBetween val="midCat"/>
      </c:valAx>
      <c:spPr>
        <a:noFill/>
        <a:ln>
          <a:noFill/>
        </a:ln>
        <a:effectLst/>
      </c:spPr>
    </c:plotArea>
    <c:plotVisOnly val="1"/>
    <c:dispBlanksAs val="zero"/>
    <c:showDLblsOverMax val="0"/>
  </c:chart>
  <c:spPr>
    <a:solidFill>
      <a:schemeClr val="bg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val>
            <c:numRef>
              <c:f>Modelo!$C$152:$M$152</c:f>
              <c:numCache>
                <c:formatCode>_-* #,##0_-;\-* #,##0_-;_-* "-"??_-;_-@_-</c:formatCode>
                <c:ptCount val="11"/>
                <c:pt idx="0">
                  <c:v>-262391000</c:v>
                </c:pt>
                <c:pt idx="1">
                  <c:v>0</c:v>
                </c:pt>
                <c:pt idx="2">
                  <c:v>0</c:v>
                </c:pt>
                <c:pt idx="3">
                  <c:v>48123447.353229992</c:v>
                </c:pt>
                <c:pt idx="4">
                  <c:v>65677638.992806651</c:v>
                </c:pt>
                <c:pt idx="5">
                  <c:v>75004243.628050789</c:v>
                </c:pt>
                <c:pt idx="6">
                  <c:v>83708689.967256337</c:v>
                </c:pt>
                <c:pt idx="7">
                  <c:v>90650779.759501413</c:v>
                </c:pt>
                <c:pt idx="8">
                  <c:v>94527237.212983564</c:v>
                </c:pt>
                <c:pt idx="9">
                  <c:v>97878215.314712137</c:v>
                </c:pt>
                <c:pt idx="10">
                  <c:v>101159831.13122132</c:v>
                </c:pt>
              </c:numCache>
            </c:numRef>
          </c:val>
          <c:extLst>
            <c:ext xmlns:c16="http://schemas.microsoft.com/office/drawing/2014/chart" uri="{C3380CC4-5D6E-409C-BE32-E72D297353CC}">
              <c16:uniqueId val="{00000000-C827-40B7-9C44-B1B126A14A5A}"/>
            </c:ext>
          </c:extLst>
        </c:ser>
        <c:dLbls>
          <c:showLegendKey val="0"/>
          <c:showVal val="0"/>
          <c:showCatName val="0"/>
          <c:showSerName val="0"/>
          <c:showPercent val="0"/>
          <c:showBubbleSize val="0"/>
        </c:dLbls>
        <c:gapWidth val="219"/>
        <c:overlap val="-27"/>
        <c:axId val="1610964752"/>
        <c:axId val="1610961840"/>
      </c:barChart>
      <c:catAx>
        <c:axId val="161096475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10961840"/>
        <c:crosses val="autoZero"/>
        <c:auto val="1"/>
        <c:lblAlgn val="ctr"/>
        <c:lblOffset val="100"/>
        <c:noMultiLvlLbl val="0"/>
      </c:catAx>
      <c:valAx>
        <c:axId val="1610961840"/>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109647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Sensibilidad!B5"/><Relationship Id="rId3" Type="http://schemas.openxmlformats.org/officeDocument/2006/relationships/hyperlink" Target="#'CAPEX - OPEX'!B5"/><Relationship Id="rId7" Type="http://schemas.openxmlformats.org/officeDocument/2006/relationships/hyperlink" Target="#Modelo!B5"/><Relationship Id="rId2" Type="http://schemas.openxmlformats.org/officeDocument/2006/relationships/hyperlink" Target="#INPUTS!B5"/><Relationship Id="rId1" Type="http://schemas.openxmlformats.org/officeDocument/2006/relationships/image" Target="../media/image1.png"/><Relationship Id="rId6" Type="http://schemas.openxmlformats.org/officeDocument/2006/relationships/hyperlink" Target="#Deuda!B5"/><Relationship Id="rId5" Type="http://schemas.openxmlformats.org/officeDocument/2006/relationships/hyperlink" Target="#Depreciaci&#243;n!B5"/><Relationship Id="rId4" Type="http://schemas.openxmlformats.org/officeDocument/2006/relationships/hyperlink" Target="#INGRESOS!B5"/></Relationships>
</file>

<file path=xl/drawings/_rels/drawing2.xml.rels><?xml version="1.0" encoding="UTF-8" standalone="yes"?>
<Relationships xmlns="http://schemas.openxmlformats.org/package/2006/relationships"><Relationship Id="rId8" Type="http://schemas.openxmlformats.org/officeDocument/2006/relationships/hyperlink" Target="#Modelo!B121"/><Relationship Id="rId13" Type="http://schemas.openxmlformats.org/officeDocument/2006/relationships/chart" Target="../charts/chart2.xml"/><Relationship Id="rId18" Type="http://schemas.openxmlformats.org/officeDocument/2006/relationships/chart" Target="../charts/chart4.xml"/><Relationship Id="rId3" Type="http://schemas.openxmlformats.org/officeDocument/2006/relationships/hyperlink" Target="#Modelo!B222"/><Relationship Id="rId21" Type="http://schemas.openxmlformats.org/officeDocument/2006/relationships/chart" Target="../charts/chart7.xml"/><Relationship Id="rId7" Type="http://schemas.openxmlformats.org/officeDocument/2006/relationships/hyperlink" Target="#Modelo!B86"/><Relationship Id="rId12" Type="http://schemas.openxmlformats.org/officeDocument/2006/relationships/chart" Target="../charts/chart1.xml"/><Relationship Id="rId17" Type="http://schemas.openxmlformats.org/officeDocument/2006/relationships/chart" Target="../charts/chart3.xml"/><Relationship Id="rId2" Type="http://schemas.openxmlformats.org/officeDocument/2006/relationships/hyperlink" Target="#Modelo!B116"/><Relationship Id="rId16" Type="http://schemas.openxmlformats.org/officeDocument/2006/relationships/hyperlink" Target="#Modelo!B298"/><Relationship Id="rId20" Type="http://schemas.openxmlformats.org/officeDocument/2006/relationships/chart" Target="../charts/chart6.xml"/><Relationship Id="rId1" Type="http://schemas.openxmlformats.org/officeDocument/2006/relationships/hyperlink" Target="#Modelo!B5"/><Relationship Id="rId6" Type="http://schemas.openxmlformats.org/officeDocument/2006/relationships/hyperlink" Target="#Modelo!B58"/><Relationship Id="rId11" Type="http://schemas.openxmlformats.org/officeDocument/2006/relationships/hyperlink" Target="#Modelo!B200"/><Relationship Id="rId5" Type="http://schemas.openxmlformats.org/officeDocument/2006/relationships/hyperlink" Target="#Modelo!B38"/><Relationship Id="rId15" Type="http://schemas.openxmlformats.org/officeDocument/2006/relationships/hyperlink" Target="#Modelo!B256"/><Relationship Id="rId10" Type="http://schemas.openxmlformats.org/officeDocument/2006/relationships/hyperlink" Target="#Modelo!B190"/><Relationship Id="rId19" Type="http://schemas.openxmlformats.org/officeDocument/2006/relationships/chart" Target="../charts/chart5.xml"/><Relationship Id="rId4" Type="http://schemas.openxmlformats.org/officeDocument/2006/relationships/hyperlink" Target="#Sensibilidad!A1"/><Relationship Id="rId9" Type="http://schemas.openxmlformats.org/officeDocument/2006/relationships/hyperlink" Target="#Modelo!B172"/><Relationship Id="rId14" Type="http://schemas.openxmlformats.org/officeDocument/2006/relationships/hyperlink" Target="#Modelo!B227"/></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9525</xdr:rowOff>
    </xdr:from>
    <xdr:to>
      <xdr:col>2</xdr:col>
      <xdr:colOff>710780</xdr:colOff>
      <xdr:row>5</xdr:row>
      <xdr:rowOff>76200</xdr:rowOff>
    </xdr:to>
    <xdr:pic>
      <xdr:nvPicPr>
        <xdr:cNvPr id="2" name="Imagen 1">
          <a:extLst>
            <a:ext uri="{FF2B5EF4-FFF2-40B4-BE49-F238E27FC236}">
              <a16:creationId xmlns:a16="http://schemas.microsoft.com/office/drawing/2014/main" id="{945F1830-78C4-5A1B-74ED-C8B9A160595F}"/>
            </a:ext>
          </a:extLst>
        </xdr:cNvPr>
        <xdr:cNvPicPr>
          <a:picLocks noChangeAspect="1"/>
        </xdr:cNvPicPr>
      </xdr:nvPicPr>
      <xdr:blipFill>
        <a:blip xmlns:r="http://schemas.openxmlformats.org/officeDocument/2006/relationships" r:embed="rId1"/>
        <a:stretch>
          <a:fillRect/>
        </a:stretch>
      </xdr:blipFill>
      <xdr:spPr>
        <a:xfrm>
          <a:off x="28575" y="200025"/>
          <a:ext cx="2206205" cy="838200"/>
        </a:xfrm>
        <a:prstGeom prst="rect">
          <a:avLst/>
        </a:prstGeom>
      </xdr:spPr>
    </xdr:pic>
    <xdr:clientData/>
  </xdr:twoCellAnchor>
  <xdr:twoCellAnchor>
    <xdr:from>
      <xdr:col>0</xdr:col>
      <xdr:colOff>219075</xdr:colOff>
      <xdr:row>9</xdr:row>
      <xdr:rowOff>161925</xdr:rowOff>
    </xdr:from>
    <xdr:to>
      <xdr:col>1</xdr:col>
      <xdr:colOff>561975</xdr:colOff>
      <xdr:row>10</xdr:row>
      <xdr:rowOff>276225</xdr:rowOff>
    </xdr:to>
    <xdr:sp macro="" textlink="">
      <xdr:nvSpPr>
        <xdr:cNvPr id="3" name="Rectángulo: esquinas redondeadas 2" descr="PROCESO">
          <a:hlinkClick xmlns:r="http://schemas.openxmlformats.org/officeDocument/2006/relationships" r:id="rId2"/>
          <a:extLst>
            <a:ext uri="{FF2B5EF4-FFF2-40B4-BE49-F238E27FC236}">
              <a16:creationId xmlns:a16="http://schemas.microsoft.com/office/drawing/2014/main" id="{B493BAAC-B5B1-4644-A9B5-E3EA198C137D}"/>
            </a:ext>
          </a:extLst>
        </xdr:cNvPr>
        <xdr:cNvSpPr/>
      </xdr:nvSpPr>
      <xdr:spPr>
        <a:xfrm>
          <a:off x="219075" y="1895475"/>
          <a:ext cx="1104900" cy="3048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INPUTS</a:t>
          </a:r>
        </a:p>
      </xdr:txBody>
    </xdr:sp>
    <xdr:clientData/>
  </xdr:twoCellAnchor>
  <xdr:twoCellAnchor>
    <xdr:from>
      <xdr:col>0</xdr:col>
      <xdr:colOff>238125</xdr:colOff>
      <xdr:row>16</xdr:row>
      <xdr:rowOff>0</xdr:rowOff>
    </xdr:from>
    <xdr:to>
      <xdr:col>1</xdr:col>
      <xdr:colOff>581025</xdr:colOff>
      <xdr:row>17</xdr:row>
      <xdr:rowOff>76200</xdr:rowOff>
    </xdr:to>
    <xdr:sp macro="" textlink="">
      <xdr:nvSpPr>
        <xdr:cNvPr id="4" name="Rectángulo: esquinas redondeadas 3" descr="PROCESO">
          <a:hlinkClick xmlns:r="http://schemas.openxmlformats.org/officeDocument/2006/relationships" r:id="rId3"/>
          <a:extLst>
            <a:ext uri="{FF2B5EF4-FFF2-40B4-BE49-F238E27FC236}">
              <a16:creationId xmlns:a16="http://schemas.microsoft.com/office/drawing/2014/main" id="{1E1C4D92-169C-4AF5-A4D3-23D9BFBAFBA6}"/>
            </a:ext>
          </a:extLst>
        </xdr:cNvPr>
        <xdr:cNvSpPr/>
      </xdr:nvSpPr>
      <xdr:spPr>
        <a:xfrm>
          <a:off x="238125" y="3286125"/>
          <a:ext cx="1104900" cy="2667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CAPEX - OPEX</a:t>
          </a:r>
        </a:p>
      </xdr:txBody>
    </xdr:sp>
    <xdr:clientData/>
  </xdr:twoCellAnchor>
  <xdr:twoCellAnchor>
    <xdr:from>
      <xdr:col>0</xdr:col>
      <xdr:colOff>219075</xdr:colOff>
      <xdr:row>19</xdr:row>
      <xdr:rowOff>342901</xdr:rowOff>
    </xdr:from>
    <xdr:to>
      <xdr:col>1</xdr:col>
      <xdr:colOff>561975</xdr:colOff>
      <xdr:row>19</xdr:row>
      <xdr:rowOff>590551</xdr:rowOff>
    </xdr:to>
    <xdr:sp macro="" textlink="">
      <xdr:nvSpPr>
        <xdr:cNvPr id="5" name="Rectángulo: esquinas redondeadas 4" descr="PROCESO">
          <a:hlinkClick xmlns:r="http://schemas.openxmlformats.org/officeDocument/2006/relationships" r:id="rId4"/>
          <a:extLst>
            <a:ext uri="{FF2B5EF4-FFF2-40B4-BE49-F238E27FC236}">
              <a16:creationId xmlns:a16="http://schemas.microsoft.com/office/drawing/2014/main" id="{52F65351-D43E-E859-3BAF-2DF80CAB9D40}"/>
            </a:ext>
          </a:extLst>
        </xdr:cNvPr>
        <xdr:cNvSpPr/>
      </xdr:nvSpPr>
      <xdr:spPr>
        <a:xfrm>
          <a:off x="219075" y="5019676"/>
          <a:ext cx="1104900" cy="2476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INGRESOS</a:t>
          </a:r>
        </a:p>
      </xdr:txBody>
    </xdr:sp>
    <xdr:clientData/>
  </xdr:twoCellAnchor>
  <xdr:twoCellAnchor>
    <xdr:from>
      <xdr:col>0</xdr:col>
      <xdr:colOff>209550</xdr:colOff>
      <xdr:row>21</xdr:row>
      <xdr:rowOff>257175</xdr:rowOff>
    </xdr:from>
    <xdr:to>
      <xdr:col>1</xdr:col>
      <xdr:colOff>581025</xdr:colOff>
      <xdr:row>21</xdr:row>
      <xdr:rowOff>600075</xdr:rowOff>
    </xdr:to>
    <xdr:sp macro="" textlink="">
      <xdr:nvSpPr>
        <xdr:cNvPr id="6" name="Rectángulo: esquinas redondeadas 5" descr="PROCESO">
          <a:hlinkClick xmlns:r="http://schemas.openxmlformats.org/officeDocument/2006/relationships" r:id="rId5"/>
          <a:extLst>
            <a:ext uri="{FF2B5EF4-FFF2-40B4-BE49-F238E27FC236}">
              <a16:creationId xmlns:a16="http://schemas.microsoft.com/office/drawing/2014/main" id="{F614D026-5082-4CCA-859E-BBC25710EEC5}"/>
            </a:ext>
          </a:extLst>
        </xdr:cNvPr>
        <xdr:cNvSpPr/>
      </xdr:nvSpPr>
      <xdr:spPr>
        <a:xfrm>
          <a:off x="209550" y="5457825"/>
          <a:ext cx="1133475" cy="3429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DEPRECIACIÓN</a:t>
          </a:r>
        </a:p>
      </xdr:txBody>
    </xdr:sp>
    <xdr:clientData/>
  </xdr:twoCellAnchor>
  <xdr:twoCellAnchor>
    <xdr:from>
      <xdr:col>0</xdr:col>
      <xdr:colOff>190500</xdr:colOff>
      <xdr:row>23</xdr:row>
      <xdr:rowOff>114300</xdr:rowOff>
    </xdr:from>
    <xdr:to>
      <xdr:col>1</xdr:col>
      <xdr:colOff>533400</xdr:colOff>
      <xdr:row>23</xdr:row>
      <xdr:rowOff>409575</xdr:rowOff>
    </xdr:to>
    <xdr:sp macro="" textlink="">
      <xdr:nvSpPr>
        <xdr:cNvPr id="7" name="Rectángulo: esquinas redondeadas 6" descr="PROCESO">
          <a:hlinkClick xmlns:r="http://schemas.openxmlformats.org/officeDocument/2006/relationships" r:id="rId6"/>
          <a:extLst>
            <a:ext uri="{FF2B5EF4-FFF2-40B4-BE49-F238E27FC236}">
              <a16:creationId xmlns:a16="http://schemas.microsoft.com/office/drawing/2014/main" id="{9662B3ED-704E-40FF-B010-82438C30869C}"/>
            </a:ext>
          </a:extLst>
        </xdr:cNvPr>
        <xdr:cNvSpPr/>
      </xdr:nvSpPr>
      <xdr:spPr>
        <a:xfrm>
          <a:off x="190500" y="6448425"/>
          <a:ext cx="1104900"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DEUDA</a:t>
          </a:r>
        </a:p>
      </xdr:txBody>
    </xdr:sp>
    <xdr:clientData/>
  </xdr:twoCellAnchor>
  <xdr:twoCellAnchor>
    <xdr:from>
      <xdr:col>0</xdr:col>
      <xdr:colOff>200025</xdr:colOff>
      <xdr:row>25</xdr:row>
      <xdr:rowOff>95250</xdr:rowOff>
    </xdr:from>
    <xdr:to>
      <xdr:col>1</xdr:col>
      <xdr:colOff>542925</xdr:colOff>
      <xdr:row>25</xdr:row>
      <xdr:rowOff>371475</xdr:rowOff>
    </xdr:to>
    <xdr:sp macro="" textlink="">
      <xdr:nvSpPr>
        <xdr:cNvPr id="8" name="Rectángulo: esquinas redondeadas 7" descr="PROCESO">
          <a:hlinkClick xmlns:r="http://schemas.openxmlformats.org/officeDocument/2006/relationships" r:id="rId7"/>
          <a:extLst>
            <a:ext uri="{FF2B5EF4-FFF2-40B4-BE49-F238E27FC236}">
              <a16:creationId xmlns:a16="http://schemas.microsoft.com/office/drawing/2014/main" id="{B857BCF0-FAF1-4618-BCB8-DEA221334B64}"/>
            </a:ext>
          </a:extLst>
        </xdr:cNvPr>
        <xdr:cNvSpPr/>
      </xdr:nvSpPr>
      <xdr:spPr>
        <a:xfrm>
          <a:off x="200025" y="8496300"/>
          <a:ext cx="1104900" cy="276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MODELO</a:t>
          </a:r>
        </a:p>
      </xdr:txBody>
    </xdr:sp>
    <xdr:clientData/>
  </xdr:twoCellAnchor>
  <xdr:twoCellAnchor>
    <xdr:from>
      <xdr:col>0</xdr:col>
      <xdr:colOff>200025</xdr:colOff>
      <xdr:row>27</xdr:row>
      <xdr:rowOff>47625</xdr:rowOff>
    </xdr:from>
    <xdr:to>
      <xdr:col>1</xdr:col>
      <xdr:colOff>542925</xdr:colOff>
      <xdr:row>27</xdr:row>
      <xdr:rowOff>342900</xdr:rowOff>
    </xdr:to>
    <xdr:sp macro="" textlink="">
      <xdr:nvSpPr>
        <xdr:cNvPr id="9" name="Rectángulo: esquinas redondeadas 8" descr="PROCESO">
          <a:hlinkClick xmlns:r="http://schemas.openxmlformats.org/officeDocument/2006/relationships" r:id="rId8"/>
          <a:extLst>
            <a:ext uri="{FF2B5EF4-FFF2-40B4-BE49-F238E27FC236}">
              <a16:creationId xmlns:a16="http://schemas.microsoft.com/office/drawing/2014/main" id="{8FFDCED2-9367-4414-A5D7-860D40507573}"/>
            </a:ext>
          </a:extLst>
        </xdr:cNvPr>
        <xdr:cNvSpPr/>
      </xdr:nvSpPr>
      <xdr:spPr>
        <a:xfrm>
          <a:off x="200025" y="9105900"/>
          <a:ext cx="1104900"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SENSIBILIDAD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49695</xdr:colOff>
      <xdr:row>0</xdr:row>
      <xdr:rowOff>24848</xdr:rowOff>
    </xdr:from>
    <xdr:to>
      <xdr:col>3</xdr:col>
      <xdr:colOff>1109869</xdr:colOff>
      <xdr:row>0</xdr:row>
      <xdr:rowOff>182217</xdr:rowOff>
    </xdr:to>
    <xdr:sp macro="" textlink="">
      <xdr:nvSpPr>
        <xdr:cNvPr id="4" name="Rectángulo: esquinas redondeadas 3" descr="PROCES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4224130" y="24848"/>
          <a:ext cx="1060174" cy="1573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PROCESO</a:t>
          </a:r>
        </a:p>
      </xdr:txBody>
    </xdr:sp>
    <xdr:clientData/>
  </xdr:twoCellAnchor>
  <xdr:twoCellAnchor>
    <xdr:from>
      <xdr:col>4</xdr:col>
      <xdr:colOff>253033</xdr:colOff>
      <xdr:row>0</xdr:row>
      <xdr:rowOff>19878</xdr:rowOff>
    </xdr:from>
    <xdr:to>
      <xdr:col>5</xdr:col>
      <xdr:colOff>198782</xdr:colOff>
      <xdr:row>0</xdr:row>
      <xdr:rowOff>177247</xdr:rowOff>
    </xdr:to>
    <xdr:sp macro="" textlink="">
      <xdr:nvSpPr>
        <xdr:cNvPr id="31" name="Rectángulo: esquinas redondeadas 30" descr="PROCESO">
          <a:hlinkClick xmlns:r="http://schemas.openxmlformats.org/officeDocument/2006/relationships" r:id="rId2"/>
          <a:extLst>
            <a:ext uri="{FF2B5EF4-FFF2-40B4-BE49-F238E27FC236}">
              <a16:creationId xmlns:a16="http://schemas.microsoft.com/office/drawing/2014/main" id="{00000000-0008-0000-0500-00001F000000}"/>
            </a:ext>
          </a:extLst>
        </xdr:cNvPr>
        <xdr:cNvSpPr/>
      </xdr:nvSpPr>
      <xdr:spPr>
        <a:xfrm>
          <a:off x="5444158" y="19878"/>
          <a:ext cx="993499" cy="157369"/>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SALIDA</a:t>
          </a:r>
        </a:p>
      </xdr:txBody>
    </xdr:sp>
    <xdr:clientData/>
  </xdr:twoCellAnchor>
  <xdr:twoCellAnchor>
    <xdr:from>
      <xdr:col>5</xdr:col>
      <xdr:colOff>567773</xdr:colOff>
      <xdr:row>0</xdr:row>
      <xdr:rowOff>15323</xdr:rowOff>
    </xdr:from>
    <xdr:to>
      <xdr:col>6</xdr:col>
      <xdr:colOff>683730</xdr:colOff>
      <xdr:row>0</xdr:row>
      <xdr:rowOff>172692</xdr:rowOff>
    </xdr:to>
    <xdr:sp macro="" textlink="">
      <xdr:nvSpPr>
        <xdr:cNvPr id="32" name="Rectángulo: esquinas redondeadas 31" descr="PROCESO">
          <a:hlinkClick xmlns:r="http://schemas.openxmlformats.org/officeDocument/2006/relationships" r:id="rId3"/>
          <a:extLst>
            <a:ext uri="{FF2B5EF4-FFF2-40B4-BE49-F238E27FC236}">
              <a16:creationId xmlns:a16="http://schemas.microsoft.com/office/drawing/2014/main" id="{00000000-0008-0000-0500-000020000000}"/>
            </a:ext>
          </a:extLst>
        </xdr:cNvPr>
        <xdr:cNvSpPr/>
      </xdr:nvSpPr>
      <xdr:spPr>
        <a:xfrm>
          <a:off x="6806648" y="15323"/>
          <a:ext cx="1163707" cy="157369"/>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EVALUACIÓN</a:t>
          </a:r>
        </a:p>
      </xdr:txBody>
    </xdr:sp>
    <xdr:clientData/>
  </xdr:twoCellAnchor>
  <xdr:twoCellAnchor>
    <xdr:from>
      <xdr:col>6</xdr:col>
      <xdr:colOff>912743</xdr:colOff>
      <xdr:row>0</xdr:row>
      <xdr:rowOff>24848</xdr:rowOff>
    </xdr:from>
    <xdr:to>
      <xdr:col>7</xdr:col>
      <xdr:colOff>1028699</xdr:colOff>
      <xdr:row>0</xdr:row>
      <xdr:rowOff>182217</xdr:rowOff>
    </xdr:to>
    <xdr:sp macro="" textlink="">
      <xdr:nvSpPr>
        <xdr:cNvPr id="33" name="Rectángulo: esquinas redondeadas 32" descr="PROCESO">
          <a:hlinkClick xmlns:r="http://schemas.openxmlformats.org/officeDocument/2006/relationships" r:id="rId4"/>
          <a:extLst>
            <a:ext uri="{FF2B5EF4-FFF2-40B4-BE49-F238E27FC236}">
              <a16:creationId xmlns:a16="http://schemas.microsoft.com/office/drawing/2014/main" id="{00000000-0008-0000-0500-000021000000}"/>
            </a:ext>
          </a:extLst>
        </xdr:cNvPr>
        <xdr:cNvSpPr/>
      </xdr:nvSpPr>
      <xdr:spPr>
        <a:xfrm>
          <a:off x="8199368" y="24848"/>
          <a:ext cx="1163706" cy="157369"/>
        </a:xfrm>
        <a:prstGeom prst="roundRect">
          <a:avLst/>
        </a:prstGeom>
        <a:solidFill>
          <a:srgbClr val="7030A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SENSIBILIDAD</a:t>
          </a:r>
        </a:p>
      </xdr:txBody>
    </xdr:sp>
    <xdr:clientData/>
  </xdr:twoCellAnchor>
  <xdr:twoCellAnchor>
    <xdr:from>
      <xdr:col>2</xdr:col>
      <xdr:colOff>52180</xdr:colOff>
      <xdr:row>4</xdr:row>
      <xdr:rowOff>29978</xdr:rowOff>
    </xdr:from>
    <xdr:to>
      <xdr:col>4</xdr:col>
      <xdr:colOff>512885</xdr:colOff>
      <xdr:row>4</xdr:row>
      <xdr:rowOff>175846</xdr:rowOff>
    </xdr:to>
    <xdr:sp macro="" textlink="">
      <xdr:nvSpPr>
        <xdr:cNvPr id="34" name="Rectángulo: esquinas redondeadas 33" descr="PROCESO">
          <a:hlinkClick xmlns:r="http://schemas.openxmlformats.org/officeDocument/2006/relationships" r:id="rId5"/>
          <a:extLst>
            <a:ext uri="{FF2B5EF4-FFF2-40B4-BE49-F238E27FC236}">
              <a16:creationId xmlns:a16="http://schemas.microsoft.com/office/drawing/2014/main" id="{00000000-0008-0000-0500-000022000000}"/>
            </a:ext>
          </a:extLst>
        </xdr:cNvPr>
        <xdr:cNvSpPr/>
      </xdr:nvSpPr>
      <xdr:spPr>
        <a:xfrm>
          <a:off x="3151468" y="791978"/>
          <a:ext cx="2556205" cy="14586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ESTADO DE RESULTADOS</a:t>
          </a:r>
        </a:p>
      </xdr:txBody>
    </xdr:sp>
    <xdr:clientData/>
  </xdr:twoCellAnchor>
  <xdr:twoCellAnchor>
    <xdr:from>
      <xdr:col>2</xdr:col>
      <xdr:colOff>52180</xdr:colOff>
      <xdr:row>5</xdr:row>
      <xdr:rowOff>24849</xdr:rowOff>
    </xdr:from>
    <xdr:to>
      <xdr:col>4</xdr:col>
      <xdr:colOff>514350</xdr:colOff>
      <xdr:row>5</xdr:row>
      <xdr:rowOff>172449</xdr:rowOff>
    </xdr:to>
    <xdr:sp macro="" textlink="">
      <xdr:nvSpPr>
        <xdr:cNvPr id="35" name="Rectángulo: esquinas redondeadas 34" descr="PROCESO">
          <a:hlinkClick xmlns:r="http://schemas.openxmlformats.org/officeDocument/2006/relationships" r:id="rId6"/>
          <a:extLst>
            <a:ext uri="{FF2B5EF4-FFF2-40B4-BE49-F238E27FC236}">
              <a16:creationId xmlns:a16="http://schemas.microsoft.com/office/drawing/2014/main" id="{00000000-0008-0000-0500-000023000000}"/>
            </a:ext>
          </a:extLst>
        </xdr:cNvPr>
        <xdr:cNvSpPr/>
      </xdr:nvSpPr>
      <xdr:spPr>
        <a:xfrm>
          <a:off x="3151468" y="977349"/>
          <a:ext cx="2557670" cy="147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ESTADO DE SITUACIÓN FINANCIERA</a:t>
          </a:r>
        </a:p>
      </xdr:txBody>
    </xdr:sp>
    <xdr:clientData/>
  </xdr:twoCellAnchor>
  <xdr:twoCellAnchor>
    <xdr:from>
      <xdr:col>2</xdr:col>
      <xdr:colOff>52180</xdr:colOff>
      <xdr:row>6</xdr:row>
      <xdr:rowOff>24849</xdr:rowOff>
    </xdr:from>
    <xdr:to>
      <xdr:col>4</xdr:col>
      <xdr:colOff>514350</xdr:colOff>
      <xdr:row>6</xdr:row>
      <xdr:rowOff>172449</xdr:rowOff>
    </xdr:to>
    <xdr:sp macro="" textlink="">
      <xdr:nvSpPr>
        <xdr:cNvPr id="36" name="Rectángulo: esquinas redondeadas 35" descr="PROCESO">
          <a:hlinkClick xmlns:r="http://schemas.openxmlformats.org/officeDocument/2006/relationships" r:id="rId7"/>
          <a:extLst>
            <a:ext uri="{FF2B5EF4-FFF2-40B4-BE49-F238E27FC236}">
              <a16:creationId xmlns:a16="http://schemas.microsoft.com/office/drawing/2014/main" id="{00000000-0008-0000-0500-000024000000}"/>
            </a:ext>
          </a:extLst>
        </xdr:cNvPr>
        <xdr:cNvSpPr/>
      </xdr:nvSpPr>
      <xdr:spPr>
        <a:xfrm>
          <a:off x="3151468" y="1167849"/>
          <a:ext cx="2557670" cy="147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PRESUPUESTO DE TESORERÍA</a:t>
          </a:r>
        </a:p>
      </xdr:txBody>
    </xdr:sp>
    <xdr:clientData/>
  </xdr:twoCellAnchor>
  <xdr:twoCellAnchor>
    <xdr:from>
      <xdr:col>2</xdr:col>
      <xdr:colOff>52180</xdr:colOff>
      <xdr:row>115</xdr:row>
      <xdr:rowOff>29978</xdr:rowOff>
    </xdr:from>
    <xdr:to>
      <xdr:col>4</xdr:col>
      <xdr:colOff>512885</xdr:colOff>
      <xdr:row>115</xdr:row>
      <xdr:rowOff>175846</xdr:rowOff>
    </xdr:to>
    <xdr:sp macro="" textlink="">
      <xdr:nvSpPr>
        <xdr:cNvPr id="38" name="Rectángulo: esquinas redondeadas 37" descr="PROCESO">
          <a:hlinkClick xmlns:r="http://schemas.openxmlformats.org/officeDocument/2006/relationships" r:id="rId8"/>
          <a:extLst>
            <a:ext uri="{FF2B5EF4-FFF2-40B4-BE49-F238E27FC236}">
              <a16:creationId xmlns:a16="http://schemas.microsoft.com/office/drawing/2014/main" id="{00000000-0008-0000-0500-000026000000}"/>
            </a:ext>
          </a:extLst>
        </xdr:cNvPr>
        <xdr:cNvSpPr/>
      </xdr:nvSpPr>
      <xdr:spPr>
        <a:xfrm>
          <a:off x="3145004" y="791978"/>
          <a:ext cx="2567410" cy="14586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baseline="0"/>
            <a:t>Flujo de Caja Libre - FCL</a:t>
          </a:r>
          <a:endParaRPr lang="es-CO" sz="1100" b="1"/>
        </a:p>
      </xdr:txBody>
    </xdr:sp>
    <xdr:clientData/>
  </xdr:twoCellAnchor>
  <xdr:twoCellAnchor>
    <xdr:from>
      <xdr:col>2</xdr:col>
      <xdr:colOff>52180</xdr:colOff>
      <xdr:row>116</xdr:row>
      <xdr:rowOff>24849</xdr:rowOff>
    </xdr:from>
    <xdr:to>
      <xdr:col>4</xdr:col>
      <xdr:colOff>514350</xdr:colOff>
      <xdr:row>116</xdr:row>
      <xdr:rowOff>172449</xdr:rowOff>
    </xdr:to>
    <xdr:sp macro="" textlink="">
      <xdr:nvSpPr>
        <xdr:cNvPr id="39" name="Rectángulo: esquinas redondeadas 38" descr="PROCESO">
          <a:hlinkClick xmlns:r="http://schemas.openxmlformats.org/officeDocument/2006/relationships" r:id="rId9"/>
          <a:extLst>
            <a:ext uri="{FF2B5EF4-FFF2-40B4-BE49-F238E27FC236}">
              <a16:creationId xmlns:a16="http://schemas.microsoft.com/office/drawing/2014/main" id="{00000000-0008-0000-0500-000027000000}"/>
            </a:ext>
          </a:extLst>
        </xdr:cNvPr>
        <xdr:cNvSpPr/>
      </xdr:nvSpPr>
      <xdr:spPr>
        <a:xfrm>
          <a:off x="3145004" y="1033378"/>
          <a:ext cx="2568875" cy="14760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Costo de capital -</a:t>
          </a:r>
          <a:r>
            <a:rPr lang="es-CO" sz="1100" b="1" baseline="0"/>
            <a:t> WACC</a:t>
          </a:r>
          <a:endParaRPr lang="es-CO" sz="1100" b="1"/>
        </a:p>
      </xdr:txBody>
    </xdr:sp>
    <xdr:clientData/>
  </xdr:twoCellAnchor>
  <xdr:twoCellAnchor>
    <xdr:from>
      <xdr:col>2</xdr:col>
      <xdr:colOff>52180</xdr:colOff>
      <xdr:row>117</xdr:row>
      <xdr:rowOff>24849</xdr:rowOff>
    </xdr:from>
    <xdr:to>
      <xdr:col>4</xdr:col>
      <xdr:colOff>514350</xdr:colOff>
      <xdr:row>117</xdr:row>
      <xdr:rowOff>172449</xdr:rowOff>
    </xdr:to>
    <xdr:sp macro="" textlink="">
      <xdr:nvSpPr>
        <xdr:cNvPr id="40" name="Rectángulo: esquinas redondeadas 39" descr="PROCESO">
          <a:hlinkClick xmlns:r="http://schemas.openxmlformats.org/officeDocument/2006/relationships" r:id="rId10"/>
          <a:extLst>
            <a:ext uri="{FF2B5EF4-FFF2-40B4-BE49-F238E27FC236}">
              <a16:creationId xmlns:a16="http://schemas.microsoft.com/office/drawing/2014/main" id="{00000000-0008-0000-0500-000028000000}"/>
            </a:ext>
          </a:extLst>
        </xdr:cNvPr>
        <xdr:cNvSpPr/>
      </xdr:nvSpPr>
      <xdr:spPr>
        <a:xfrm>
          <a:off x="3145004" y="1279908"/>
          <a:ext cx="2568875" cy="14760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Valor</a:t>
          </a:r>
          <a:r>
            <a:rPr lang="es-CO" sz="1100" b="1" baseline="0"/>
            <a:t> de continuidad - VC</a:t>
          </a:r>
          <a:endParaRPr lang="es-CO" sz="1100" b="1"/>
        </a:p>
      </xdr:txBody>
    </xdr:sp>
    <xdr:clientData/>
  </xdr:twoCellAnchor>
  <xdr:twoCellAnchor>
    <xdr:from>
      <xdr:col>2</xdr:col>
      <xdr:colOff>47308</xdr:colOff>
      <xdr:row>6</xdr:row>
      <xdr:rowOff>20951</xdr:rowOff>
    </xdr:from>
    <xdr:to>
      <xdr:col>4</xdr:col>
      <xdr:colOff>509478</xdr:colOff>
      <xdr:row>6</xdr:row>
      <xdr:rowOff>168551</xdr:rowOff>
    </xdr:to>
    <xdr:sp macro="" textlink="">
      <xdr:nvSpPr>
        <xdr:cNvPr id="41" name="Rectángulo: esquinas redondeadas 40" descr="PROCESO">
          <a:hlinkClick xmlns:r="http://schemas.openxmlformats.org/officeDocument/2006/relationships" r:id="rId7"/>
          <a:extLst>
            <a:ext uri="{FF2B5EF4-FFF2-40B4-BE49-F238E27FC236}">
              <a16:creationId xmlns:a16="http://schemas.microsoft.com/office/drawing/2014/main" id="{00000000-0008-0000-0500-000029000000}"/>
            </a:ext>
          </a:extLst>
        </xdr:cNvPr>
        <xdr:cNvSpPr/>
      </xdr:nvSpPr>
      <xdr:spPr>
        <a:xfrm>
          <a:off x="3145004" y="1279908"/>
          <a:ext cx="2565952" cy="147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PRESUPUESTO DE TESORERÍA</a:t>
          </a:r>
        </a:p>
      </xdr:txBody>
    </xdr:sp>
    <xdr:clientData/>
  </xdr:twoCellAnchor>
  <xdr:twoCellAnchor>
    <xdr:from>
      <xdr:col>2</xdr:col>
      <xdr:colOff>49698</xdr:colOff>
      <xdr:row>118</xdr:row>
      <xdr:rowOff>24849</xdr:rowOff>
    </xdr:from>
    <xdr:to>
      <xdr:col>4</xdr:col>
      <xdr:colOff>511868</xdr:colOff>
      <xdr:row>118</xdr:row>
      <xdr:rowOff>172449</xdr:rowOff>
    </xdr:to>
    <xdr:sp macro="" textlink="">
      <xdr:nvSpPr>
        <xdr:cNvPr id="42" name="Rectángulo: esquinas redondeadas 41" descr="PROCESO">
          <a:hlinkClick xmlns:r="http://schemas.openxmlformats.org/officeDocument/2006/relationships" r:id="rId11"/>
          <a:extLst>
            <a:ext uri="{FF2B5EF4-FFF2-40B4-BE49-F238E27FC236}">
              <a16:creationId xmlns:a16="http://schemas.microsoft.com/office/drawing/2014/main" id="{00000000-0008-0000-0500-00002A000000}"/>
            </a:ext>
          </a:extLst>
        </xdr:cNvPr>
        <xdr:cNvSpPr/>
      </xdr:nvSpPr>
      <xdr:spPr>
        <a:xfrm>
          <a:off x="3147394" y="22263653"/>
          <a:ext cx="2565952" cy="14760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Recuperación de la Inversión</a:t>
          </a:r>
        </a:p>
      </xdr:txBody>
    </xdr:sp>
    <xdr:clientData/>
  </xdr:twoCellAnchor>
  <xdr:twoCellAnchor>
    <xdr:from>
      <xdr:col>13</xdr:col>
      <xdr:colOff>311604</xdr:colOff>
      <xdr:row>122</xdr:row>
      <xdr:rowOff>189138</xdr:rowOff>
    </xdr:from>
    <xdr:to>
      <xdr:col>21</xdr:col>
      <xdr:colOff>292554</xdr:colOff>
      <xdr:row>136</xdr:row>
      <xdr:rowOff>0</xdr:rowOff>
    </xdr:to>
    <xdr:graphicFrame macro="">
      <xdr:nvGraphicFramePr>
        <xdr:cNvPr id="24" name="Gráfico 23">
          <a:extLst>
            <a:ext uri="{FF2B5EF4-FFF2-40B4-BE49-F238E27FC236}">
              <a16:creationId xmlns:a16="http://schemas.microsoft.com/office/drawing/2014/main" id="{00000000-0008-0000-05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7620</xdr:colOff>
      <xdr:row>207</xdr:row>
      <xdr:rowOff>34290</xdr:rowOff>
    </xdr:from>
    <xdr:to>
      <xdr:col>8</xdr:col>
      <xdr:colOff>60960</xdr:colOff>
      <xdr:row>218</xdr:row>
      <xdr:rowOff>22860</xdr:rowOff>
    </xdr:to>
    <xdr:graphicFrame macro="">
      <xdr:nvGraphicFramePr>
        <xdr:cNvPr id="44" name="Gráfico 43">
          <a:extLst>
            <a:ext uri="{FF2B5EF4-FFF2-40B4-BE49-F238E27FC236}">
              <a16:creationId xmlns:a16="http://schemas.microsoft.com/office/drawing/2014/main" id="{EA3DF43C-6AE4-49D0-9FCB-020E9CF62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1045845</xdr:colOff>
      <xdr:row>206</xdr:row>
      <xdr:rowOff>112059</xdr:rowOff>
    </xdr:from>
    <xdr:to>
      <xdr:col>12</xdr:col>
      <xdr:colOff>683559</xdr:colOff>
      <xdr:row>206</xdr:row>
      <xdr:rowOff>129540</xdr:rowOff>
    </xdr:to>
    <xdr:cxnSp macro="">
      <xdr:nvCxnSpPr>
        <xdr:cNvPr id="45" name="Conector recto de flecha 44">
          <a:extLst>
            <a:ext uri="{FF2B5EF4-FFF2-40B4-BE49-F238E27FC236}">
              <a16:creationId xmlns:a16="http://schemas.microsoft.com/office/drawing/2014/main" id="{1006DEB0-F933-4F49-9E01-CC3BB383175A}"/>
            </a:ext>
          </a:extLst>
        </xdr:cNvPr>
        <xdr:cNvCxnSpPr/>
      </xdr:nvCxnSpPr>
      <xdr:spPr>
        <a:xfrm flipH="1">
          <a:off x="4138669" y="39455912"/>
          <a:ext cx="10171243" cy="17481"/>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676835</xdr:colOff>
      <xdr:row>205</xdr:row>
      <xdr:rowOff>13110</xdr:rowOff>
    </xdr:from>
    <xdr:to>
      <xdr:col>12</xdr:col>
      <xdr:colOff>676835</xdr:colOff>
      <xdr:row>206</xdr:row>
      <xdr:rowOff>148365</xdr:rowOff>
    </xdr:to>
    <xdr:cxnSp macro="">
      <xdr:nvCxnSpPr>
        <xdr:cNvPr id="46" name="Conector recto de flecha 45">
          <a:extLst>
            <a:ext uri="{FF2B5EF4-FFF2-40B4-BE49-F238E27FC236}">
              <a16:creationId xmlns:a16="http://schemas.microsoft.com/office/drawing/2014/main" id="{89456118-9F35-4CDF-A7F2-FD0057B87EB6}"/>
            </a:ext>
          </a:extLst>
        </xdr:cNvPr>
        <xdr:cNvCxnSpPr/>
      </xdr:nvCxnSpPr>
      <xdr:spPr>
        <a:xfrm>
          <a:off x="14303188" y="39166463"/>
          <a:ext cx="0" cy="32575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52180</xdr:colOff>
      <xdr:row>221</xdr:row>
      <xdr:rowOff>29978</xdr:rowOff>
    </xdr:from>
    <xdr:to>
      <xdr:col>4</xdr:col>
      <xdr:colOff>512885</xdr:colOff>
      <xdr:row>221</xdr:row>
      <xdr:rowOff>175846</xdr:rowOff>
    </xdr:to>
    <xdr:sp macro="" textlink="">
      <xdr:nvSpPr>
        <xdr:cNvPr id="48" name="Rectángulo: esquinas redondeadas 47" descr="PROCESO">
          <a:hlinkClick xmlns:r="http://schemas.openxmlformats.org/officeDocument/2006/relationships" r:id="rId14"/>
          <a:extLst>
            <a:ext uri="{FF2B5EF4-FFF2-40B4-BE49-F238E27FC236}">
              <a16:creationId xmlns:a16="http://schemas.microsoft.com/office/drawing/2014/main" id="{DC4F8B9A-66A3-44D0-9E1A-8C560A5486AA}"/>
            </a:ext>
          </a:extLst>
        </xdr:cNvPr>
        <xdr:cNvSpPr/>
      </xdr:nvSpPr>
      <xdr:spPr>
        <a:xfrm>
          <a:off x="3145004" y="21657331"/>
          <a:ext cx="2567410" cy="14586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baseline="0"/>
            <a:t>ECONOMIC VALUE ADDED  - EVA</a:t>
          </a:r>
          <a:endParaRPr lang="es-CO" sz="1100" b="1"/>
        </a:p>
      </xdr:txBody>
    </xdr:sp>
    <xdr:clientData/>
  </xdr:twoCellAnchor>
  <xdr:twoCellAnchor>
    <xdr:from>
      <xdr:col>2</xdr:col>
      <xdr:colOff>52180</xdr:colOff>
      <xdr:row>222</xdr:row>
      <xdr:rowOff>24849</xdr:rowOff>
    </xdr:from>
    <xdr:to>
      <xdr:col>4</xdr:col>
      <xdr:colOff>514350</xdr:colOff>
      <xdr:row>222</xdr:row>
      <xdr:rowOff>172449</xdr:rowOff>
    </xdr:to>
    <xdr:sp macro="" textlink="">
      <xdr:nvSpPr>
        <xdr:cNvPr id="49" name="Rectángulo: esquinas redondeadas 48" descr="PROCESO">
          <a:hlinkClick xmlns:r="http://schemas.openxmlformats.org/officeDocument/2006/relationships" r:id="rId15"/>
          <a:extLst>
            <a:ext uri="{FF2B5EF4-FFF2-40B4-BE49-F238E27FC236}">
              <a16:creationId xmlns:a16="http://schemas.microsoft.com/office/drawing/2014/main" id="{CA79ED42-E53E-416B-9A78-1E201E08BD70}"/>
            </a:ext>
          </a:extLst>
        </xdr:cNvPr>
        <xdr:cNvSpPr/>
      </xdr:nvSpPr>
      <xdr:spPr>
        <a:xfrm>
          <a:off x="3145004" y="21898731"/>
          <a:ext cx="2568875" cy="14760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EBITDA y MARGEN EBITDA</a:t>
          </a:r>
        </a:p>
      </xdr:txBody>
    </xdr:sp>
    <xdr:clientData/>
  </xdr:twoCellAnchor>
  <xdr:twoCellAnchor>
    <xdr:from>
      <xdr:col>2</xdr:col>
      <xdr:colOff>52180</xdr:colOff>
      <xdr:row>223</xdr:row>
      <xdr:rowOff>24849</xdr:rowOff>
    </xdr:from>
    <xdr:to>
      <xdr:col>4</xdr:col>
      <xdr:colOff>514350</xdr:colOff>
      <xdr:row>223</xdr:row>
      <xdr:rowOff>172449</xdr:rowOff>
    </xdr:to>
    <xdr:sp macro="" textlink="">
      <xdr:nvSpPr>
        <xdr:cNvPr id="50" name="Rectángulo: esquinas redondeadas 49" descr="PROCESO">
          <a:hlinkClick xmlns:r="http://schemas.openxmlformats.org/officeDocument/2006/relationships" r:id="rId16"/>
          <a:extLst>
            <a:ext uri="{FF2B5EF4-FFF2-40B4-BE49-F238E27FC236}">
              <a16:creationId xmlns:a16="http://schemas.microsoft.com/office/drawing/2014/main" id="{2E3F391F-846C-4AAA-8B39-49209CAAB93A}"/>
            </a:ext>
          </a:extLst>
        </xdr:cNvPr>
        <xdr:cNvSpPr/>
      </xdr:nvSpPr>
      <xdr:spPr>
        <a:xfrm>
          <a:off x="3145004" y="22145261"/>
          <a:ext cx="2568875" cy="14760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1100" b="1"/>
            <a:t>OTROS</a:t>
          </a:r>
          <a:r>
            <a:rPr lang="es-CO" sz="1100" b="1" baseline="0"/>
            <a:t> INDICADORES</a:t>
          </a:r>
          <a:endParaRPr lang="es-CO" sz="1100" b="1"/>
        </a:p>
      </xdr:txBody>
    </xdr:sp>
    <xdr:clientData/>
  </xdr:twoCellAnchor>
  <xdr:twoCellAnchor>
    <xdr:from>
      <xdr:col>4</xdr:col>
      <xdr:colOff>434340</xdr:colOff>
      <xdr:row>241</xdr:row>
      <xdr:rowOff>60960</xdr:rowOff>
    </xdr:from>
    <xdr:to>
      <xdr:col>10</xdr:col>
      <xdr:colOff>68580</xdr:colOff>
      <xdr:row>253</xdr:row>
      <xdr:rowOff>152400</xdr:rowOff>
    </xdr:to>
    <xdr:graphicFrame macro="">
      <xdr:nvGraphicFramePr>
        <xdr:cNvPr id="52" name="Gráfico 51">
          <a:extLst>
            <a:ext uri="{FF2B5EF4-FFF2-40B4-BE49-F238E27FC236}">
              <a16:creationId xmlns:a16="http://schemas.microsoft.com/office/drawing/2014/main" id="{39F2BEAA-E3C7-4343-BF7B-6869758D8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297180</xdr:colOff>
      <xdr:row>241</xdr:row>
      <xdr:rowOff>45720</xdr:rowOff>
    </xdr:from>
    <xdr:to>
      <xdr:col>4</xdr:col>
      <xdr:colOff>365760</xdr:colOff>
      <xdr:row>253</xdr:row>
      <xdr:rowOff>137160</xdr:rowOff>
    </xdr:to>
    <xdr:graphicFrame macro="">
      <xdr:nvGraphicFramePr>
        <xdr:cNvPr id="53" name="Gráfico 52">
          <a:extLst>
            <a:ext uri="{FF2B5EF4-FFF2-40B4-BE49-F238E27FC236}">
              <a16:creationId xmlns:a16="http://schemas.microsoft.com/office/drawing/2014/main" id="{64057257-B840-4D4B-8FA3-16FD086BAF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xdr:col>
      <xdr:colOff>390862</xdr:colOff>
      <xdr:row>283</xdr:row>
      <xdr:rowOff>152400</xdr:rowOff>
    </xdr:from>
    <xdr:to>
      <xdr:col>12</xdr:col>
      <xdr:colOff>392206</xdr:colOff>
      <xdr:row>295</xdr:row>
      <xdr:rowOff>76200</xdr:rowOff>
    </xdr:to>
    <xdr:graphicFrame macro="">
      <xdr:nvGraphicFramePr>
        <xdr:cNvPr id="55" name="Gráfico 54">
          <a:extLst>
            <a:ext uri="{FF2B5EF4-FFF2-40B4-BE49-F238E27FC236}">
              <a16:creationId xmlns:a16="http://schemas.microsoft.com/office/drawing/2014/main" id="{9A603573-F595-47A1-94CC-806307733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7620</xdr:colOff>
      <xdr:row>283</xdr:row>
      <xdr:rowOff>152400</xdr:rowOff>
    </xdr:from>
    <xdr:to>
      <xdr:col>4</xdr:col>
      <xdr:colOff>78442</xdr:colOff>
      <xdr:row>295</xdr:row>
      <xdr:rowOff>83820</xdr:rowOff>
    </xdr:to>
    <xdr:graphicFrame macro="">
      <xdr:nvGraphicFramePr>
        <xdr:cNvPr id="57" name="Gráfico 56">
          <a:extLst>
            <a:ext uri="{FF2B5EF4-FFF2-40B4-BE49-F238E27FC236}">
              <a16:creationId xmlns:a16="http://schemas.microsoft.com/office/drawing/2014/main" id="{E3BEF759-7A9B-4E2F-A75A-7C1450E0AF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241487</xdr:colOff>
      <xdr:row>143</xdr:row>
      <xdr:rowOff>95529</xdr:rowOff>
    </xdr:from>
    <xdr:to>
      <xdr:col>19</xdr:col>
      <xdr:colOff>263899</xdr:colOff>
      <xdr:row>157</xdr:row>
      <xdr:rowOff>171729</xdr:rowOff>
    </xdr:to>
    <xdr:graphicFrame macro="">
      <xdr:nvGraphicFramePr>
        <xdr:cNvPr id="2" name="Gráfico 1">
          <a:extLst>
            <a:ext uri="{FF2B5EF4-FFF2-40B4-BE49-F238E27FC236}">
              <a16:creationId xmlns:a16="http://schemas.microsoft.com/office/drawing/2014/main" id="{56E83B9C-B477-F758-68E6-40AD724324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nionline-my.sharepoint.com/personal/ocifuentes_ani_gov_co1/Documents/Personal/Especializacion%20Financiera/Trabajo%20de%20Grado/2022-03-09%20Modelo%20financiero%20Glamp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APEX - OPEX"/>
      <sheetName val="INGRESOS"/>
      <sheetName val="Depreciación"/>
      <sheetName val="DEUDA"/>
      <sheetName val="EEFF"/>
      <sheetName val="Hoja3"/>
      <sheetName val="Hoja4"/>
    </sheetNames>
    <sheetDataSet>
      <sheetData sheetId="0"/>
      <sheetData sheetId="1">
        <row r="4">
          <cell r="A4" t="str">
            <v>CAPEX - Infraestructura</v>
          </cell>
        </row>
        <row r="5">
          <cell r="A5" t="str">
            <v>Detalle</v>
          </cell>
        </row>
        <row r="6">
          <cell r="A6" t="str">
            <v>Inversión por cabaña</v>
          </cell>
        </row>
        <row r="7">
          <cell r="A7" t="str">
            <v>Infraetructura Administración-cocina</v>
          </cell>
        </row>
        <row r="8">
          <cell r="A8" t="str">
            <v>Paisajismo</v>
          </cell>
        </row>
        <row r="9">
          <cell r="A9" t="str">
            <v>TOTAL CAPEX Infraestructura</v>
          </cell>
        </row>
        <row r="11">
          <cell r="A11" t="str">
            <v>CAPEX - Operación</v>
          </cell>
        </row>
        <row r="12">
          <cell r="A12" t="str">
            <v>CABAÑA</v>
          </cell>
        </row>
        <row r="13">
          <cell r="A13" t="str">
            <v>Detalle</v>
          </cell>
        </row>
        <row r="14">
          <cell r="A14" t="str">
            <v>Habitación</v>
          </cell>
        </row>
        <row r="15">
          <cell r="A15" t="str">
            <v>Colchón Queen</v>
          </cell>
        </row>
        <row r="16">
          <cell r="A16" t="str">
            <v>Protector colchón</v>
          </cell>
        </row>
        <row r="17">
          <cell r="A17" t="str">
            <v>Almohadas pequeña</v>
          </cell>
        </row>
        <row r="18">
          <cell r="A18" t="str">
            <v>Almohadon</v>
          </cell>
        </row>
        <row r="19">
          <cell r="A19" t="str">
            <v>Juego de sábanas</v>
          </cell>
        </row>
        <row r="20">
          <cell r="A20" t="str">
            <v>Cubrelecho</v>
          </cell>
        </row>
        <row r="21">
          <cell r="A21" t="str">
            <v>Mueble pie de cama</v>
          </cell>
        </row>
        <row r="22">
          <cell r="A22" t="str">
            <v>Cortinas</v>
          </cell>
        </row>
        <row r="23">
          <cell r="A23" t="str">
            <v>Decoración</v>
          </cell>
        </row>
        <row r="24">
          <cell r="A24" t="str">
            <v>Baño</v>
          </cell>
        </row>
        <row r="25">
          <cell r="A25" t="str">
            <v>Juego de toallas</v>
          </cell>
        </row>
        <row r="26">
          <cell r="A26" t="str">
            <v>Secador para cabello</v>
          </cell>
        </row>
        <row r="27">
          <cell r="A27" t="str">
            <v>Exterior</v>
          </cell>
        </row>
        <row r="28">
          <cell r="A28" t="str">
            <v>Asoleadoras</v>
          </cell>
        </row>
        <row r="29">
          <cell r="A29" t="str">
            <v>Sillas reclinables</v>
          </cell>
        </row>
        <row r="30">
          <cell r="A30" t="str">
            <v>Mesa comedor + 2 sillas</v>
          </cell>
        </row>
        <row r="31">
          <cell r="A31" t="str">
            <v>Telescopio</v>
          </cell>
        </row>
        <row r="32">
          <cell r="A32" t="str">
            <v>Total/cabaña</v>
          </cell>
        </row>
        <row r="34">
          <cell r="A34" t="str">
            <v>ADMINISTRACIÓN</v>
          </cell>
        </row>
        <row r="35">
          <cell r="A35" t="str">
            <v>Detalle</v>
          </cell>
        </row>
        <row r="36">
          <cell r="A36" t="str">
            <v>Habitación personal administración</v>
          </cell>
        </row>
        <row r="37">
          <cell r="A37" t="str">
            <v>Colchón doble</v>
          </cell>
        </row>
        <row r="38">
          <cell r="A38" t="str">
            <v>Protector colchón</v>
          </cell>
        </row>
        <row r="39">
          <cell r="A39" t="str">
            <v>Almohadas pequeña</v>
          </cell>
        </row>
        <row r="40">
          <cell r="A40" t="str">
            <v>Juego de sábanas</v>
          </cell>
        </row>
        <row r="41">
          <cell r="A41" t="str">
            <v>Cubrelecho</v>
          </cell>
        </row>
        <row r="42">
          <cell r="A42" t="str">
            <v>Cortinas</v>
          </cell>
        </row>
        <row r="43">
          <cell r="A43" t="str">
            <v>Baño</v>
          </cell>
        </row>
        <row r="44">
          <cell r="A44" t="str">
            <v>Juego de toallas</v>
          </cell>
        </row>
        <row r="45">
          <cell r="A45" t="str">
            <v>Exterior</v>
          </cell>
        </row>
        <row r="46">
          <cell r="A46" t="str">
            <v>Mesa comedor + 4 sillas</v>
          </cell>
        </row>
        <row r="47">
          <cell r="A47" t="str">
            <v>Cocina</v>
          </cell>
        </row>
        <row r="48">
          <cell r="A48" t="str">
            <v>Juego de Ollas</v>
          </cell>
        </row>
        <row r="49">
          <cell r="A49" t="str">
            <v>Vajilla 6 puestos</v>
          </cell>
        </row>
        <row r="50">
          <cell r="A50" t="str">
            <v>Juego cubiertos de mesa</v>
          </cell>
        </row>
        <row r="51">
          <cell r="A51" t="str">
            <v>Juego cubiertos de cocina</v>
          </cell>
        </row>
        <row r="52">
          <cell r="A52" t="str">
            <v>Bandejas</v>
          </cell>
        </row>
        <row r="53">
          <cell r="A53" t="str">
            <v>Delantales</v>
          </cell>
        </row>
        <row r="54">
          <cell r="A54" t="str">
            <v>Nevera</v>
          </cell>
        </row>
        <row r="55">
          <cell r="A55" t="str">
            <v>Licuadora</v>
          </cell>
        </row>
        <row r="56">
          <cell r="A56" t="str">
            <v>Exprimidor de naranja</v>
          </cell>
        </row>
        <row r="57">
          <cell r="A57" t="str">
            <v>ADMINISTRACIÓN</v>
          </cell>
        </row>
        <row r="58">
          <cell r="A58" t="str">
            <v>Escritorio</v>
          </cell>
        </row>
        <row r="59">
          <cell r="A59" t="str">
            <v>Computador</v>
          </cell>
        </row>
        <row r="60">
          <cell r="A60" t="str">
            <v>Organizador</v>
          </cell>
        </row>
        <row r="61">
          <cell r="A61" t="str">
            <v>Total Administración</v>
          </cell>
        </row>
      </sheetData>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OSCAR GERARDO CIFUENTES CORREA" id="{7A6ADAAB-0164-4D1A-8D28-F713BE98BA5C}" userId="OSCAR GERARDO CIFUENTES CORREA" providerId="None"/>
  <person displayName="Oscar Gerardo Cifuentes Correa" id="{ADA6FBA4-7AD0-4B8E-BF6F-6AC49FE02418}" userId="S::ocifuentes@ani.gov.co::3fa41682-f332-43ca-ad48-05fc1ab3a52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9" dT="2022-05-25T13:17:33.30" personId="{7A6ADAAB-0164-4D1A-8D28-F713BE98BA5C}" id="{C70710A3-C110-4E3C-A212-546571FA6369}">
    <text>Si bien el terreno hace parte de los activos, no implica salida de efectivo. Afecta cálculo VPN</text>
  </threadedComment>
  <threadedComment ref="C150" dT="2022-05-24T19:11:17.23" personId="{ADA6FBA4-7AD0-4B8E-BF6F-6AC49FE02418}" id="{EEC4BC20-B557-4B98-A0B7-FF7C525CF830}">
    <text>Este valor tiene incluido el precio del terreno. Pero no es salida de efectivo</text>
  </threadedComment>
  <threadedComment ref="D261" dT="2022-05-25T16:15:05.20" personId="{ADA6FBA4-7AD0-4B8E-BF6F-6AC49FE02418}" id="{6E383B58-36EF-42C3-9CAC-6D6DC1573F55}">
    <text>Incluye Costo crédito de tesorería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8544D-91AC-4585-9354-B5CEFF40B429}">
  <dimension ref="C2:I28"/>
  <sheetViews>
    <sheetView showGridLines="0" tabSelected="1" workbookViewId="0">
      <selection activeCell="L8" sqref="L8"/>
    </sheetView>
  </sheetViews>
  <sheetFormatPr baseColWidth="10" defaultRowHeight="14.5" x14ac:dyDescent="0.35"/>
  <cols>
    <col min="9" max="9" width="21.54296875" customWidth="1"/>
  </cols>
  <sheetData>
    <row r="2" spans="3:9" ht="15.5" x14ac:dyDescent="0.35">
      <c r="F2" s="275" t="s">
        <v>384</v>
      </c>
    </row>
    <row r="4" spans="3:9" x14ac:dyDescent="0.35">
      <c r="E4" t="s">
        <v>385</v>
      </c>
    </row>
    <row r="5" spans="3:9" x14ac:dyDescent="0.35">
      <c r="E5" t="s">
        <v>386</v>
      </c>
    </row>
    <row r="6" spans="3:9" x14ac:dyDescent="0.35">
      <c r="E6" t="s">
        <v>387</v>
      </c>
    </row>
    <row r="8" spans="3:9" ht="15" thickBot="1" x14ac:dyDescent="0.4"/>
    <row r="9" spans="3:9" x14ac:dyDescent="0.35">
      <c r="C9" s="276" t="s">
        <v>388</v>
      </c>
      <c r="D9" s="277"/>
      <c r="E9" s="277"/>
      <c r="F9" s="277"/>
      <c r="G9" s="277"/>
      <c r="H9" s="277"/>
      <c r="I9" s="278"/>
    </row>
    <row r="10" spans="3:9" x14ac:dyDescent="0.35">
      <c r="C10" s="279" t="s">
        <v>389</v>
      </c>
      <c r="D10" s="280"/>
      <c r="E10" s="280"/>
      <c r="F10" s="280"/>
      <c r="G10" s="280"/>
      <c r="H10" s="280"/>
      <c r="I10" s="281"/>
    </row>
    <row r="11" spans="3:9" x14ac:dyDescent="0.35">
      <c r="C11" s="279" t="s">
        <v>390</v>
      </c>
      <c r="D11" s="280"/>
      <c r="E11" s="280"/>
      <c r="F11" s="280"/>
      <c r="G11" s="280"/>
      <c r="H11" s="280"/>
      <c r="I11" s="281"/>
    </row>
    <row r="12" spans="3:9" x14ac:dyDescent="0.35">
      <c r="C12" s="279" t="s">
        <v>391</v>
      </c>
      <c r="D12" s="280"/>
      <c r="E12" s="280"/>
      <c r="F12" s="280"/>
      <c r="G12" s="280"/>
      <c r="H12" s="280"/>
      <c r="I12" s="281"/>
    </row>
    <row r="13" spans="3:9" ht="15" thickBot="1" x14ac:dyDescent="0.4">
      <c r="C13" s="282" t="s">
        <v>392</v>
      </c>
      <c r="D13" s="283"/>
      <c r="E13" s="283"/>
      <c r="F13" s="283"/>
      <c r="G13" s="283"/>
      <c r="H13" s="283"/>
      <c r="I13" s="284"/>
    </row>
    <row r="14" spans="3:9" ht="15" thickBot="1" x14ac:dyDescent="0.4"/>
    <row r="15" spans="3:9" ht="30.75" customHeight="1" x14ac:dyDescent="0.35">
      <c r="C15" s="276" t="s">
        <v>393</v>
      </c>
      <c r="D15" s="277"/>
      <c r="E15" s="277"/>
      <c r="F15" s="277"/>
      <c r="G15" s="277"/>
      <c r="H15" s="277"/>
      <c r="I15" s="278"/>
    </row>
    <row r="16" spans="3:9" x14ac:dyDescent="0.35">
      <c r="C16" s="279" t="s">
        <v>394</v>
      </c>
      <c r="D16" s="280"/>
      <c r="E16" s="280"/>
      <c r="F16" s="280"/>
      <c r="G16" s="280"/>
      <c r="H16" s="280"/>
      <c r="I16" s="281"/>
    </row>
    <row r="17" spans="3:9" x14ac:dyDescent="0.35">
      <c r="C17" s="279" t="s">
        <v>395</v>
      </c>
      <c r="D17" s="280"/>
      <c r="E17" s="280"/>
      <c r="F17" s="280"/>
      <c r="G17" s="280"/>
      <c r="H17" s="280"/>
      <c r="I17" s="281"/>
    </row>
    <row r="18" spans="3:9" ht="78.75" customHeight="1" thickBot="1" x14ac:dyDescent="0.4">
      <c r="C18" s="282" t="s">
        <v>398</v>
      </c>
      <c r="D18" s="283"/>
      <c r="E18" s="283"/>
      <c r="F18" s="283"/>
      <c r="G18" s="283"/>
      <c r="H18" s="283"/>
      <c r="I18" s="284"/>
    </row>
    <row r="19" spans="3:9" ht="15" thickBot="1" x14ac:dyDescent="0.4"/>
    <row r="20" spans="3:9" ht="77.25" customHeight="1" thickBot="1" x14ac:dyDescent="0.4">
      <c r="C20" s="285" t="s">
        <v>399</v>
      </c>
      <c r="D20" s="286"/>
      <c r="E20" s="286"/>
      <c r="F20" s="286"/>
      <c r="G20" s="286"/>
      <c r="H20" s="286"/>
      <c r="I20" s="287"/>
    </row>
    <row r="21" spans="3:9" ht="15" thickBot="1" x14ac:dyDescent="0.4"/>
    <row r="22" spans="3:9" ht="63" customHeight="1" thickBot="1" x14ac:dyDescent="0.4">
      <c r="C22" s="285" t="s">
        <v>396</v>
      </c>
      <c r="D22" s="286"/>
      <c r="E22" s="286"/>
      <c r="F22" s="286"/>
      <c r="G22" s="286"/>
      <c r="H22" s="286"/>
      <c r="I22" s="287"/>
    </row>
    <row r="23" spans="3:9" ht="15" thickBot="1" x14ac:dyDescent="0.4"/>
    <row r="24" spans="3:9" ht="46.5" customHeight="1" thickBot="1" x14ac:dyDescent="0.4">
      <c r="C24" s="285" t="s">
        <v>397</v>
      </c>
      <c r="D24" s="286"/>
      <c r="E24" s="286"/>
      <c r="F24" s="286"/>
      <c r="G24" s="286"/>
      <c r="H24" s="286"/>
      <c r="I24" s="287"/>
    </row>
    <row r="25" spans="3:9" ht="15" thickBot="1" x14ac:dyDescent="0.4"/>
    <row r="26" spans="3:9" ht="33" customHeight="1" thickBot="1" x14ac:dyDescent="0.4">
      <c r="C26" s="285" t="s">
        <v>400</v>
      </c>
      <c r="D26" s="286"/>
      <c r="E26" s="286"/>
      <c r="F26" s="286"/>
      <c r="G26" s="286"/>
      <c r="H26" s="286"/>
      <c r="I26" s="287"/>
    </row>
    <row r="27" spans="3:9" ht="15" thickBot="1" x14ac:dyDescent="0.4"/>
    <row r="28" spans="3:9" ht="30.75" customHeight="1" thickBot="1" x14ac:dyDescent="0.4">
      <c r="C28" s="285" t="s">
        <v>401</v>
      </c>
      <c r="D28" s="286"/>
      <c r="E28" s="286"/>
      <c r="F28" s="286"/>
      <c r="G28" s="286"/>
      <c r="H28" s="286"/>
      <c r="I28" s="287"/>
    </row>
  </sheetData>
  <mergeCells count="14">
    <mergeCell ref="C26:I26"/>
    <mergeCell ref="C28:I28"/>
    <mergeCell ref="C16:I16"/>
    <mergeCell ref="C17:I17"/>
    <mergeCell ref="C18:I18"/>
    <mergeCell ref="C20:I20"/>
    <mergeCell ref="C22:I22"/>
    <mergeCell ref="C24:I24"/>
    <mergeCell ref="C15:I15"/>
    <mergeCell ref="C9:I9"/>
    <mergeCell ref="C10:I10"/>
    <mergeCell ref="C11:I11"/>
    <mergeCell ref="C12:I12"/>
    <mergeCell ref="C13:I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BF953-13AD-48B9-91CA-FE205A216C4E}">
  <dimension ref="A1:M53"/>
  <sheetViews>
    <sheetView topLeftCell="A10" zoomScaleNormal="100" workbookViewId="0">
      <pane ySplit="2" topLeftCell="A15" activePane="bottomLeft" state="frozen"/>
      <selection activeCell="A10" sqref="A10"/>
      <selection pane="bottomLeft" activeCell="B20" sqref="B20:B23"/>
    </sheetView>
  </sheetViews>
  <sheetFormatPr baseColWidth="10" defaultRowHeight="14.5" x14ac:dyDescent="0.35"/>
  <cols>
    <col min="1" max="1" width="7" style="119" customWidth="1"/>
    <col min="2" max="2" width="31.7265625" customWidth="1"/>
    <col min="3" max="3" width="16.7265625" bestFit="1" customWidth="1"/>
    <col min="5" max="5" width="13" bestFit="1" customWidth="1"/>
    <col min="6" max="6" width="13.26953125" bestFit="1" customWidth="1"/>
    <col min="8" max="8" width="16.7265625" bestFit="1" customWidth="1"/>
    <col min="12" max="12" width="14" bestFit="1" customWidth="1"/>
  </cols>
  <sheetData>
    <row r="1" spans="1:13" x14ac:dyDescent="0.35">
      <c r="G1" s="1"/>
      <c r="I1" s="2"/>
    </row>
    <row r="2" spans="1:13" x14ac:dyDescent="0.35">
      <c r="A2" s="119" t="s">
        <v>0</v>
      </c>
      <c r="B2" s="288" t="s">
        <v>1</v>
      </c>
      <c r="C2" s="288"/>
      <c r="G2" s="1"/>
      <c r="I2" s="2"/>
    </row>
    <row r="3" spans="1:13" x14ac:dyDescent="0.35">
      <c r="A3" s="119" t="s">
        <v>2</v>
      </c>
      <c r="B3" s="288" t="s">
        <v>3</v>
      </c>
      <c r="C3" s="288"/>
      <c r="G3" s="1"/>
      <c r="I3" s="2"/>
    </row>
    <row r="4" spans="1:13" x14ac:dyDescent="0.35">
      <c r="A4" s="119" t="s">
        <v>4</v>
      </c>
      <c r="B4" s="288" t="s">
        <v>5</v>
      </c>
      <c r="C4" s="288"/>
      <c r="G4" s="1"/>
      <c r="I4" s="2"/>
    </row>
    <row r="5" spans="1:13" ht="15" thickBot="1" x14ac:dyDescent="0.4">
      <c r="B5" s="3"/>
      <c r="C5" s="3"/>
      <c r="D5" s="3"/>
      <c r="E5" s="3"/>
      <c r="G5" s="1"/>
      <c r="H5" s="2"/>
      <c r="I5" s="2"/>
    </row>
    <row r="6" spans="1:13" ht="15" thickTop="1" x14ac:dyDescent="0.35">
      <c r="A6" s="119" t="s">
        <v>6</v>
      </c>
      <c r="B6" s="4" t="s">
        <v>7</v>
      </c>
      <c r="G6" s="1"/>
    </row>
    <row r="7" spans="1:13" x14ac:dyDescent="0.35">
      <c r="A7" s="119" t="s">
        <v>14</v>
      </c>
      <c r="B7" s="4"/>
      <c r="G7" s="1"/>
    </row>
    <row r="8" spans="1:13" x14ac:dyDescent="0.35">
      <c r="A8" s="119" t="s">
        <v>15</v>
      </c>
      <c r="B8" s="4"/>
      <c r="G8" s="1"/>
    </row>
    <row r="9" spans="1:13" x14ac:dyDescent="0.35">
      <c r="A9" s="119" t="s">
        <v>16</v>
      </c>
      <c r="B9" s="74" t="s">
        <v>117</v>
      </c>
      <c r="G9" s="1"/>
    </row>
    <row r="10" spans="1:13" x14ac:dyDescent="0.35">
      <c r="B10" s="4"/>
      <c r="G10" s="1"/>
    </row>
    <row r="11" spans="1:13" x14ac:dyDescent="0.35">
      <c r="B11" s="4"/>
      <c r="C11" s="38">
        <v>2022</v>
      </c>
      <c r="D11" s="38">
        <f>C11+1</f>
        <v>2023</v>
      </c>
      <c r="E11" s="38">
        <f t="shared" ref="E11:M11" si="0">D11+1</f>
        <v>2024</v>
      </c>
      <c r="F11" s="38">
        <f t="shared" si="0"/>
        <v>2025</v>
      </c>
      <c r="G11" s="38">
        <f t="shared" si="0"/>
        <v>2026</v>
      </c>
      <c r="H11" s="38">
        <f t="shared" si="0"/>
        <v>2027</v>
      </c>
      <c r="I11" s="38">
        <f t="shared" si="0"/>
        <v>2028</v>
      </c>
      <c r="J11" s="38">
        <f t="shared" si="0"/>
        <v>2029</v>
      </c>
      <c r="K11" s="38">
        <f t="shared" si="0"/>
        <v>2030</v>
      </c>
      <c r="L11" s="38">
        <f>K11+1</f>
        <v>2031</v>
      </c>
      <c r="M11" s="38">
        <f t="shared" si="0"/>
        <v>2032</v>
      </c>
    </row>
    <row r="12" spans="1:13" x14ac:dyDescent="0.35">
      <c r="B12" s="9" t="s">
        <v>120</v>
      </c>
      <c r="C12" s="5">
        <v>180</v>
      </c>
      <c r="D12" s="5">
        <v>360</v>
      </c>
      <c r="E12" s="5">
        <v>360</v>
      </c>
      <c r="F12" s="5">
        <v>360</v>
      </c>
      <c r="G12" s="5">
        <v>360</v>
      </c>
      <c r="H12" s="5">
        <v>360</v>
      </c>
      <c r="I12" s="5">
        <v>360</v>
      </c>
      <c r="J12" s="5">
        <v>360</v>
      </c>
      <c r="K12" s="5">
        <v>360</v>
      </c>
      <c r="L12" s="5">
        <v>360</v>
      </c>
      <c r="M12" s="5">
        <v>360</v>
      </c>
    </row>
    <row r="13" spans="1:13" x14ac:dyDescent="0.35">
      <c r="B13" s="9" t="s">
        <v>8</v>
      </c>
      <c r="C13" s="5">
        <v>0</v>
      </c>
      <c r="D13" s="5">
        <v>360</v>
      </c>
      <c r="E13" s="5">
        <v>360</v>
      </c>
      <c r="F13" s="5">
        <v>360</v>
      </c>
      <c r="G13" s="5">
        <v>360</v>
      </c>
      <c r="H13" s="5">
        <v>360</v>
      </c>
      <c r="I13" s="5">
        <v>360</v>
      </c>
      <c r="J13" s="5">
        <v>360</v>
      </c>
      <c r="K13" s="5">
        <v>360</v>
      </c>
      <c r="L13" s="5">
        <v>360</v>
      </c>
      <c r="M13" s="5">
        <v>360</v>
      </c>
    </row>
    <row r="14" spans="1:13" x14ac:dyDescent="0.35">
      <c r="B14" s="9" t="s">
        <v>9</v>
      </c>
      <c r="C14" s="6">
        <v>7.0999999999999994E-2</v>
      </c>
      <c r="D14" s="6">
        <v>4.8000000000000001E-2</v>
      </c>
      <c r="E14" s="6">
        <v>0.03</v>
      </c>
      <c r="F14" s="6">
        <v>0.03</v>
      </c>
      <c r="G14" s="6">
        <v>0.03</v>
      </c>
      <c r="H14" s="6">
        <v>0.03</v>
      </c>
      <c r="I14" s="6">
        <v>0.03</v>
      </c>
      <c r="J14" s="6">
        <v>0.03</v>
      </c>
      <c r="K14" s="6">
        <v>0.03</v>
      </c>
      <c r="L14" s="6">
        <v>0.03</v>
      </c>
      <c r="M14" s="6">
        <v>0.03</v>
      </c>
    </row>
    <row r="15" spans="1:13" x14ac:dyDescent="0.35">
      <c r="B15" s="9" t="s">
        <v>370</v>
      </c>
      <c r="C15" s="6">
        <v>0.05</v>
      </c>
      <c r="D15" s="6">
        <v>0.03</v>
      </c>
      <c r="E15" s="6">
        <v>0.03</v>
      </c>
      <c r="F15" s="6">
        <v>0.03</v>
      </c>
      <c r="G15" s="6">
        <v>0.03</v>
      </c>
      <c r="H15" s="6">
        <v>0.03</v>
      </c>
      <c r="I15" s="6">
        <v>0.03</v>
      </c>
      <c r="J15" s="6">
        <v>0.03</v>
      </c>
      <c r="K15" s="6">
        <v>0.03</v>
      </c>
      <c r="L15" s="6">
        <v>0.03</v>
      </c>
      <c r="M15" s="6">
        <v>0.03</v>
      </c>
    </row>
    <row r="16" spans="1:13" x14ac:dyDescent="0.35">
      <c r="B16" s="9" t="s">
        <v>10</v>
      </c>
      <c r="C16" s="7">
        <v>0.35</v>
      </c>
      <c r="D16" s="7">
        <v>0.34</v>
      </c>
      <c r="E16" s="7">
        <v>0.33</v>
      </c>
      <c r="F16" s="7">
        <v>0.33</v>
      </c>
      <c r="G16" s="7">
        <v>0.33</v>
      </c>
      <c r="H16" s="7">
        <v>0.33</v>
      </c>
      <c r="I16" s="7">
        <v>0.33</v>
      </c>
      <c r="J16" s="7">
        <v>0.33</v>
      </c>
      <c r="K16" s="7">
        <v>0.33</v>
      </c>
      <c r="L16" s="7">
        <v>0.33</v>
      </c>
      <c r="M16" s="7">
        <v>0.33</v>
      </c>
    </row>
    <row r="17" spans="1:13" x14ac:dyDescent="0.35">
      <c r="B17" s="9" t="s">
        <v>11</v>
      </c>
      <c r="D17" s="7">
        <v>0.6</v>
      </c>
      <c r="E17" s="7">
        <v>0.7</v>
      </c>
      <c r="F17" s="7">
        <v>0.8</v>
      </c>
      <c r="G17" s="7">
        <v>0.8</v>
      </c>
      <c r="H17" s="7">
        <v>0.8</v>
      </c>
      <c r="I17" s="7">
        <v>0.8</v>
      </c>
      <c r="J17" s="7">
        <v>0.8</v>
      </c>
      <c r="K17" s="7">
        <v>0.8</v>
      </c>
      <c r="L17" s="7">
        <v>0.8</v>
      </c>
      <c r="M17" s="7">
        <v>0.8</v>
      </c>
    </row>
    <row r="18" spans="1:13" x14ac:dyDescent="0.35">
      <c r="B18" s="9"/>
      <c r="D18" s="7"/>
      <c r="E18" s="7"/>
      <c r="F18" s="7"/>
      <c r="G18" s="7"/>
      <c r="H18" s="7"/>
      <c r="I18" s="7"/>
      <c r="J18" s="7"/>
      <c r="K18" s="7"/>
      <c r="L18" s="7"/>
      <c r="M18" s="7"/>
    </row>
    <row r="19" spans="1:13" ht="15" thickBot="1" x14ac:dyDescent="0.4">
      <c r="J19" s="69"/>
      <c r="K19" s="69"/>
      <c r="L19" s="69"/>
      <c r="M19" s="69"/>
    </row>
    <row r="20" spans="1:13" ht="15" thickTop="1" x14ac:dyDescent="0.35">
      <c r="A20" s="137"/>
      <c r="B20" s="138" t="s">
        <v>273</v>
      </c>
      <c r="C20" s="139"/>
      <c r="D20" s="140"/>
      <c r="F20" s="146" t="s">
        <v>275</v>
      </c>
      <c r="G20" s="139"/>
      <c r="H20" s="140"/>
      <c r="J20" s="137"/>
      <c r="K20" s="138" t="s">
        <v>274</v>
      </c>
      <c r="L20" s="139"/>
      <c r="M20" s="140"/>
    </row>
    <row r="21" spans="1:13" x14ac:dyDescent="0.35">
      <c r="A21" s="141"/>
      <c r="B21" s="69"/>
      <c r="C21" s="69"/>
      <c r="D21" s="142"/>
      <c r="E21" s="69"/>
      <c r="F21" s="147"/>
      <c r="G21" s="69"/>
      <c r="H21" s="142"/>
      <c r="J21" s="141"/>
      <c r="K21" s="69"/>
      <c r="L21" s="69"/>
      <c r="M21" s="142"/>
    </row>
    <row r="22" spans="1:13" x14ac:dyDescent="0.35">
      <c r="A22" s="141"/>
      <c r="B22" s="103" t="s">
        <v>110</v>
      </c>
      <c r="C22" s="48"/>
      <c r="D22" s="142"/>
      <c r="E22" s="69"/>
      <c r="F22" s="289" t="s">
        <v>271</v>
      </c>
      <c r="G22" s="290"/>
      <c r="H22" s="291"/>
      <c r="J22" s="141"/>
      <c r="K22" s="103" t="s">
        <v>113</v>
      </c>
      <c r="L22" s="48"/>
      <c r="M22" s="142"/>
    </row>
    <row r="23" spans="1:13" ht="15" thickBot="1" x14ac:dyDescent="0.4">
      <c r="A23" s="141"/>
      <c r="B23" s="69" t="s">
        <v>304</v>
      </c>
      <c r="C23" s="71">
        <v>200000000</v>
      </c>
      <c r="D23" s="142"/>
      <c r="E23" s="69"/>
      <c r="F23" s="147" t="s">
        <v>149</v>
      </c>
      <c r="G23" s="135">
        <v>0.7</v>
      </c>
      <c r="H23" s="220">
        <f>('CAPEX - OPEX'!$C$90+'CAPEX - OPEX'!$C$91)*INPUTS!G23</f>
        <v>145579000</v>
      </c>
      <c r="J23" s="141"/>
      <c r="K23" s="75" t="s">
        <v>111</v>
      </c>
      <c r="L23" s="104" t="s">
        <v>15</v>
      </c>
      <c r="M23" s="142"/>
    </row>
    <row r="24" spans="1:13" ht="15" thickTop="1" x14ac:dyDescent="0.35">
      <c r="A24" s="141"/>
      <c r="B24" s="69"/>
      <c r="C24" s="69"/>
      <c r="D24" s="142"/>
      <c r="E24" s="69"/>
      <c r="F24" s="147" t="s">
        <v>150</v>
      </c>
      <c r="G24" s="102">
        <f>1-G23</f>
        <v>0.30000000000000004</v>
      </c>
      <c r="H24" s="220">
        <f>('CAPEX - OPEX'!$C$90+'CAPEX - OPEX'!$C$91)*INPUTS!G24</f>
        <v>62391000.000000007</v>
      </c>
      <c r="J24" s="141"/>
      <c r="K24" s="69"/>
      <c r="L24" s="69"/>
      <c r="M24" s="142"/>
    </row>
    <row r="25" spans="1:13" x14ac:dyDescent="0.35">
      <c r="A25" s="141"/>
      <c r="B25" s="103" t="s">
        <v>112</v>
      </c>
      <c r="C25" s="48"/>
      <c r="D25" s="142"/>
      <c r="E25" s="69"/>
      <c r="F25" s="147"/>
      <c r="G25" s="69"/>
      <c r="H25" s="142"/>
      <c r="J25" s="141"/>
      <c r="K25" s="103" t="s">
        <v>116</v>
      </c>
      <c r="L25" s="48"/>
      <c r="M25" s="142"/>
    </row>
    <row r="26" spans="1:13" x14ac:dyDescent="0.35">
      <c r="A26" s="141"/>
      <c r="B26" s="70" t="s">
        <v>34</v>
      </c>
      <c r="C26" s="72">
        <v>3</v>
      </c>
      <c r="D26" s="142"/>
      <c r="E26" s="69"/>
      <c r="F26" s="147" t="s">
        <v>276</v>
      </c>
      <c r="G26" s="148">
        <v>5</v>
      </c>
      <c r="H26" s="142"/>
      <c r="J26" s="141"/>
      <c r="K26" s="69" t="s">
        <v>114</v>
      </c>
      <c r="L26" s="71">
        <v>700000</v>
      </c>
      <c r="M26" s="142"/>
    </row>
    <row r="27" spans="1:13" ht="15" thickBot="1" x14ac:dyDescent="0.4">
      <c r="A27" s="143"/>
      <c r="B27" s="144"/>
      <c r="C27" s="144"/>
      <c r="D27" s="145"/>
      <c r="E27" s="69"/>
      <c r="F27" s="149" t="s">
        <v>144</v>
      </c>
      <c r="G27" s="150">
        <v>0.02</v>
      </c>
      <c r="H27" s="142"/>
      <c r="J27" s="141"/>
      <c r="K27" s="69" t="s">
        <v>115</v>
      </c>
      <c r="L27" s="71">
        <v>550000</v>
      </c>
      <c r="M27" s="142"/>
    </row>
    <row r="28" spans="1:13" ht="31.5" customHeight="1" thickTop="1" thickBot="1" x14ac:dyDescent="0.4">
      <c r="A28" s="120"/>
      <c r="D28" s="69"/>
      <c r="E28" s="69"/>
      <c r="F28" s="164" t="s">
        <v>303</v>
      </c>
      <c r="G28" s="166">
        <v>44896</v>
      </c>
      <c r="H28" s="142"/>
      <c r="J28" s="143"/>
      <c r="K28" s="144"/>
      <c r="L28" s="144"/>
      <c r="M28" s="145"/>
    </row>
    <row r="29" spans="1:13" ht="15.5" thickTop="1" thickBot="1" x14ac:dyDescent="0.4">
      <c r="E29" s="69"/>
      <c r="F29" s="151"/>
      <c r="G29" s="144"/>
      <c r="H29" s="145"/>
      <c r="J29" s="69"/>
      <c r="K29" s="69"/>
      <c r="L29" s="69"/>
      <c r="M29" s="69"/>
    </row>
    <row r="30" spans="1:13" ht="15" thickTop="1" x14ac:dyDescent="0.35">
      <c r="E30" s="69"/>
      <c r="J30" s="69"/>
      <c r="K30" s="69"/>
      <c r="L30" s="69"/>
      <c r="M30" s="69"/>
    </row>
    <row r="32" spans="1:13" ht="15" thickBot="1" x14ac:dyDescent="0.4"/>
    <row r="33" spans="2:13" ht="15" thickTop="1" x14ac:dyDescent="0.35">
      <c r="B33" s="138" t="s">
        <v>277</v>
      </c>
    </row>
    <row r="35" spans="2:13" x14ac:dyDescent="0.35">
      <c r="B35" t="s">
        <v>159</v>
      </c>
      <c r="C35" s="223">
        <v>0.1</v>
      </c>
    </row>
    <row r="36" spans="2:13" x14ac:dyDescent="0.35">
      <c r="B36" t="s">
        <v>172</v>
      </c>
      <c r="C36" s="223">
        <v>0.01</v>
      </c>
      <c r="D36" t="s">
        <v>280</v>
      </c>
    </row>
    <row r="37" spans="2:13" ht="29" x14ac:dyDescent="0.35">
      <c r="B37" s="221" t="s">
        <v>247</v>
      </c>
      <c r="C37" s="222">
        <v>0.2</v>
      </c>
    </row>
    <row r="38" spans="2:13" x14ac:dyDescent="0.35">
      <c r="B38" t="s">
        <v>248</v>
      </c>
      <c r="C38" s="223">
        <v>0.8</v>
      </c>
      <c r="D38" t="s">
        <v>279</v>
      </c>
    </row>
    <row r="39" spans="2:13" x14ac:dyDescent="0.35">
      <c r="C39" s="114"/>
    </row>
    <row r="40" spans="2:13" ht="15" thickBot="1" x14ac:dyDescent="0.4">
      <c r="C40" s="116"/>
    </row>
    <row r="41" spans="2:13" ht="15" thickTop="1" x14ac:dyDescent="0.35">
      <c r="B41" s="138" t="s">
        <v>278</v>
      </c>
      <c r="C41" s="116"/>
    </row>
    <row r="42" spans="2:13" x14ac:dyDescent="0.35">
      <c r="C42" s="116"/>
    </row>
    <row r="43" spans="2:13" x14ac:dyDescent="0.35">
      <c r="B43" t="s">
        <v>249</v>
      </c>
      <c r="C43" s="224">
        <v>0</v>
      </c>
      <c r="D43" t="s">
        <v>250</v>
      </c>
    </row>
    <row r="44" spans="2:13" x14ac:dyDescent="0.35">
      <c r="B44" t="s">
        <v>251</v>
      </c>
      <c r="C44" s="224">
        <v>0</v>
      </c>
      <c r="D44" t="s">
        <v>252</v>
      </c>
    </row>
    <row r="45" spans="2:13" x14ac:dyDescent="0.35">
      <c r="B45" t="s">
        <v>253</v>
      </c>
      <c r="C45" s="224">
        <v>0</v>
      </c>
      <c r="D45" t="s">
        <v>252</v>
      </c>
    </row>
    <row r="46" spans="2:13" x14ac:dyDescent="0.35">
      <c r="B46" t="s">
        <v>220</v>
      </c>
      <c r="C46" s="215">
        <v>60</v>
      </c>
      <c r="D46" t="s">
        <v>254</v>
      </c>
    </row>
    <row r="48" spans="2:13" ht="20" x14ac:dyDescent="0.5">
      <c r="B48" t="s">
        <v>259</v>
      </c>
      <c r="C48" s="274">
        <v>0.82</v>
      </c>
      <c r="D48" s="274">
        <f>C48+0.01</f>
        <v>0.83</v>
      </c>
      <c r="E48" s="274">
        <f>D48+0.01</f>
        <v>0.84</v>
      </c>
      <c r="F48" s="274">
        <f>E48+0.01</f>
        <v>0.85</v>
      </c>
      <c r="G48" s="274">
        <f t="shared" ref="G48:L48" si="1">F48+0.01</f>
        <v>0.86</v>
      </c>
      <c r="H48" s="274">
        <f t="shared" si="1"/>
        <v>0.87</v>
      </c>
      <c r="I48" s="274">
        <f t="shared" si="1"/>
        <v>0.88</v>
      </c>
      <c r="J48" s="274">
        <f t="shared" si="1"/>
        <v>0.89</v>
      </c>
      <c r="K48" s="274">
        <f t="shared" si="1"/>
        <v>0.9</v>
      </c>
      <c r="L48" s="274">
        <f t="shared" si="1"/>
        <v>0.91</v>
      </c>
      <c r="M48" s="274">
        <f>L48+0.01</f>
        <v>0.92</v>
      </c>
    </row>
    <row r="49" spans="2:3" x14ac:dyDescent="0.35">
      <c r="B49" t="s">
        <v>260</v>
      </c>
      <c r="C49" s="130">
        <v>0.1</v>
      </c>
    </row>
    <row r="50" spans="2:3" x14ac:dyDescent="0.35">
      <c r="B50" t="s">
        <v>261</v>
      </c>
      <c r="C50" s="130">
        <v>0.08</v>
      </c>
    </row>
    <row r="51" spans="2:3" x14ac:dyDescent="0.35">
      <c r="B51" t="s">
        <v>262</v>
      </c>
      <c r="C51" s="130">
        <v>0.05</v>
      </c>
    </row>
    <row r="53" spans="2:3" x14ac:dyDescent="0.35">
      <c r="C53" s="35"/>
    </row>
  </sheetData>
  <mergeCells count="4">
    <mergeCell ref="B2:C2"/>
    <mergeCell ref="B3:C3"/>
    <mergeCell ref="B4:C4"/>
    <mergeCell ref="F22:H22"/>
  </mergeCells>
  <dataValidations count="2">
    <dataValidation type="list" allowBlank="1" showInputMessage="1" showErrorMessage="1" sqref="L23" xr:uid="{849FCF86-949C-47EC-A54D-15E3AB5CE4D6}">
      <formula1>Escenario</formula1>
    </dataValidation>
    <dataValidation type="list" allowBlank="1" showInputMessage="1" showErrorMessage="1" sqref="C24:C25" xr:uid="{FF35BA8F-CC63-4B15-8A27-A763054A0071}">
      <formula1>FRaiz</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08419-2540-454C-8E0A-521F041F9322}">
  <dimension ref="A2:AL118"/>
  <sheetViews>
    <sheetView topLeftCell="A5" zoomScale="70" zoomScaleNormal="70" workbookViewId="0">
      <pane xSplit="1" topLeftCell="B1" activePane="topRight" state="frozen"/>
      <selection activeCell="A63" sqref="A63"/>
      <selection pane="topRight" activeCell="B5" sqref="B5"/>
    </sheetView>
  </sheetViews>
  <sheetFormatPr baseColWidth="10" defaultColWidth="11.54296875" defaultRowHeight="14.5" x14ac:dyDescent="0.35"/>
  <cols>
    <col min="1" max="1" width="44.26953125" bestFit="1" customWidth="1"/>
    <col min="2" max="2" width="21.7265625" bestFit="1" customWidth="1"/>
    <col min="3" max="4" width="19.1796875" bestFit="1" customWidth="1"/>
    <col min="5" max="5" width="21.7265625" bestFit="1" customWidth="1"/>
    <col min="6" max="6" width="18.26953125" bestFit="1" customWidth="1"/>
    <col min="7" max="7" width="18.81640625" bestFit="1" customWidth="1"/>
    <col min="8" max="8" width="19.1796875" bestFit="1" customWidth="1"/>
    <col min="9" max="9" width="19.453125" bestFit="1" customWidth="1"/>
    <col min="10" max="17" width="19.1796875" bestFit="1" customWidth="1"/>
    <col min="18" max="38" width="18.453125" customWidth="1"/>
    <col min="39" max="124" width="15.81640625" bestFit="1" customWidth="1"/>
  </cols>
  <sheetData>
    <row r="2" spans="1:38" ht="18.5" x14ac:dyDescent="0.45">
      <c r="A2" s="294" t="s">
        <v>35</v>
      </c>
      <c r="B2" s="294"/>
      <c r="C2" s="294"/>
      <c r="D2" s="294"/>
      <c r="E2" s="294"/>
      <c r="F2" s="294"/>
      <c r="H2" s="294" t="s">
        <v>36</v>
      </c>
      <c r="I2" s="294"/>
      <c r="J2" s="294"/>
      <c r="K2" s="294"/>
      <c r="L2" s="294"/>
      <c r="M2" s="294"/>
      <c r="N2" s="294"/>
      <c r="O2" s="294"/>
      <c r="P2" s="294"/>
      <c r="Q2" s="294"/>
      <c r="R2" s="41"/>
      <c r="S2" s="41"/>
      <c r="T2" s="41"/>
      <c r="U2" s="41"/>
      <c r="V2" s="41"/>
      <c r="W2" s="41"/>
      <c r="X2" s="41"/>
      <c r="Y2" s="41"/>
      <c r="Z2" s="41"/>
      <c r="AA2" s="41"/>
      <c r="AB2" s="41"/>
      <c r="AC2" s="41"/>
      <c r="AD2" s="41"/>
      <c r="AE2" s="41"/>
      <c r="AF2" s="41"/>
      <c r="AG2" s="41"/>
      <c r="AH2" s="41"/>
      <c r="AI2" s="41"/>
      <c r="AJ2" s="41"/>
      <c r="AK2" s="41"/>
      <c r="AL2" s="41"/>
    </row>
    <row r="4" spans="1:38" x14ac:dyDescent="0.35">
      <c r="A4" s="293" t="s">
        <v>37</v>
      </c>
      <c r="B4" s="293"/>
      <c r="C4" s="293"/>
      <c r="D4" s="293"/>
      <c r="E4" s="293"/>
      <c r="F4" s="293"/>
      <c r="H4" s="293" t="s">
        <v>38</v>
      </c>
      <c r="I4" s="293"/>
      <c r="J4" s="293"/>
      <c r="K4" s="293"/>
      <c r="L4" s="293"/>
      <c r="M4" s="293"/>
      <c r="N4" s="293"/>
      <c r="O4" s="293"/>
      <c r="P4" s="293"/>
      <c r="Q4" s="293"/>
      <c r="R4" s="10"/>
      <c r="S4" s="10"/>
      <c r="T4" s="10"/>
      <c r="U4" s="10"/>
      <c r="V4" s="10"/>
      <c r="W4" s="10"/>
      <c r="X4" s="10"/>
      <c r="Y4" s="10"/>
      <c r="Z4" s="10"/>
      <c r="AA4" s="10"/>
      <c r="AB4" s="10"/>
      <c r="AC4" s="10"/>
      <c r="AD4" s="10"/>
      <c r="AE4" s="10"/>
      <c r="AF4" s="10"/>
      <c r="AG4" s="10"/>
      <c r="AH4" s="10"/>
      <c r="AI4" s="10"/>
      <c r="AJ4" s="10"/>
      <c r="AK4" s="10"/>
      <c r="AL4" s="10"/>
    </row>
    <row r="5" spans="1:38" x14ac:dyDescent="0.35">
      <c r="A5" s="42" t="s">
        <v>39</v>
      </c>
      <c r="B5" s="42" t="s">
        <v>40</v>
      </c>
      <c r="C5" s="42" t="s">
        <v>41</v>
      </c>
      <c r="D5" s="42" t="s">
        <v>42</v>
      </c>
      <c r="E5" s="42" t="s">
        <v>43</v>
      </c>
      <c r="F5" s="42" t="s">
        <v>44</v>
      </c>
      <c r="H5" s="34">
        <v>1</v>
      </c>
      <c r="I5" s="34">
        <f>H5+1</f>
        <v>2</v>
      </c>
      <c r="J5" s="34">
        <f t="shared" ref="J5:Q5" si="0">I5+1</f>
        <v>3</v>
      </c>
      <c r="K5" s="34">
        <f t="shared" si="0"/>
        <v>4</v>
      </c>
      <c r="L5" s="34">
        <f t="shared" si="0"/>
        <v>5</v>
      </c>
      <c r="M5" s="34">
        <f t="shared" si="0"/>
        <v>6</v>
      </c>
      <c r="N5" s="34">
        <f t="shared" si="0"/>
        <v>7</v>
      </c>
      <c r="O5" s="34">
        <f t="shared" si="0"/>
        <v>8</v>
      </c>
      <c r="P5" s="34">
        <f t="shared" si="0"/>
        <v>9</v>
      </c>
      <c r="Q5" s="34">
        <f t="shared" si="0"/>
        <v>10</v>
      </c>
      <c r="R5" s="43"/>
      <c r="S5" s="43"/>
      <c r="T5" s="43"/>
      <c r="U5" s="43"/>
      <c r="V5" s="43"/>
      <c r="W5" s="43"/>
      <c r="X5" s="43"/>
      <c r="Y5" s="43"/>
      <c r="Z5" s="43"/>
      <c r="AA5" s="43"/>
      <c r="AB5" s="43"/>
      <c r="AC5" s="43"/>
      <c r="AD5" s="43"/>
      <c r="AE5" s="43"/>
      <c r="AF5" s="43"/>
      <c r="AG5" s="43"/>
      <c r="AH5" s="43"/>
      <c r="AI5" s="43"/>
      <c r="AJ5" s="43"/>
      <c r="AK5" s="43"/>
      <c r="AL5" s="43"/>
    </row>
    <row r="6" spans="1:38" x14ac:dyDescent="0.35">
      <c r="A6" t="s">
        <v>45</v>
      </c>
      <c r="B6" s="37" t="s">
        <v>46</v>
      </c>
      <c r="C6" s="44">
        <f>INPUTS!C26</f>
        <v>3</v>
      </c>
      <c r="D6" s="45">
        <v>40000000</v>
      </c>
      <c r="E6" s="36">
        <f>+C6*D6</f>
        <v>120000000</v>
      </c>
      <c r="F6" s="46">
        <v>20</v>
      </c>
      <c r="H6" s="33"/>
      <c r="I6" s="33"/>
      <c r="J6" s="33">
        <f>$E6*1%</f>
        <v>1200000</v>
      </c>
      <c r="K6" s="33"/>
      <c r="L6" s="33">
        <f>$E6*1%</f>
        <v>1200000</v>
      </c>
      <c r="M6" s="33"/>
      <c r="N6" s="33">
        <f>$E6*1%</f>
        <v>1200000</v>
      </c>
      <c r="O6" s="33"/>
      <c r="P6" s="33">
        <f>$E6*1%</f>
        <v>1200000</v>
      </c>
      <c r="Q6" s="33"/>
      <c r="R6" s="47"/>
      <c r="S6" s="47"/>
      <c r="T6" s="47"/>
      <c r="U6" s="47"/>
      <c r="V6" s="47"/>
      <c r="W6" s="47"/>
      <c r="X6" s="47"/>
      <c r="Y6" s="47"/>
      <c r="Z6" s="47"/>
      <c r="AA6" s="47"/>
      <c r="AB6" s="47"/>
      <c r="AC6" s="47"/>
      <c r="AD6" s="47"/>
      <c r="AE6" s="47"/>
      <c r="AF6" s="47"/>
      <c r="AG6" s="47"/>
      <c r="AH6" s="47"/>
      <c r="AI6" s="47"/>
      <c r="AJ6" s="47"/>
      <c r="AK6" s="47"/>
      <c r="AL6" s="47"/>
    </row>
    <row r="7" spans="1:38" x14ac:dyDescent="0.35">
      <c r="A7" t="s">
        <v>47</v>
      </c>
      <c r="B7" s="37" t="s">
        <v>46</v>
      </c>
      <c r="C7" s="44">
        <v>1</v>
      </c>
      <c r="D7" s="45">
        <v>45000000</v>
      </c>
      <c r="E7" s="36">
        <f t="shared" ref="E7:E8" si="1">+C7*D7</f>
        <v>45000000</v>
      </c>
      <c r="F7" s="46">
        <v>20</v>
      </c>
      <c r="H7" s="33"/>
      <c r="I7" s="33"/>
      <c r="J7" s="33">
        <f>$E7*1%</f>
        <v>450000</v>
      </c>
      <c r="K7" s="33"/>
      <c r="L7" s="33">
        <f>$E7*1%</f>
        <v>450000</v>
      </c>
      <c r="M7" s="33"/>
      <c r="N7" s="33">
        <f>$E7*1%</f>
        <v>450000</v>
      </c>
      <c r="O7" s="33"/>
      <c r="P7" s="33">
        <f>$E7*1%</f>
        <v>450000</v>
      </c>
      <c r="Q7" s="33"/>
      <c r="R7" s="47"/>
      <c r="S7" s="47"/>
      <c r="T7" s="47"/>
      <c r="U7" s="47"/>
      <c r="V7" s="47"/>
      <c r="W7" s="47"/>
      <c r="X7" s="47"/>
      <c r="Y7" s="47"/>
      <c r="Z7" s="47"/>
      <c r="AA7" s="47"/>
      <c r="AB7" s="47"/>
      <c r="AC7" s="47"/>
      <c r="AD7" s="47"/>
      <c r="AE7" s="47"/>
      <c r="AF7" s="47"/>
      <c r="AG7" s="47"/>
      <c r="AH7" s="47"/>
      <c r="AI7" s="47"/>
      <c r="AJ7" s="47"/>
      <c r="AK7" s="47"/>
      <c r="AL7" s="47"/>
    </row>
    <row r="8" spans="1:38" x14ac:dyDescent="0.35">
      <c r="A8" s="48" t="s">
        <v>48</v>
      </c>
      <c r="B8" s="49" t="s">
        <v>49</v>
      </c>
      <c r="C8" s="50">
        <v>1</v>
      </c>
      <c r="D8" s="51">
        <f>3500000*C6</f>
        <v>10500000</v>
      </c>
      <c r="E8" s="52">
        <f t="shared" si="1"/>
        <v>10500000</v>
      </c>
      <c r="F8" s="53">
        <v>20</v>
      </c>
      <c r="H8" s="54"/>
      <c r="I8" s="54"/>
      <c r="J8" s="54">
        <f>$E8*1%</f>
        <v>105000</v>
      </c>
      <c r="K8" s="54"/>
      <c r="L8" s="54">
        <f>$E8*1%</f>
        <v>105000</v>
      </c>
      <c r="M8" s="54"/>
      <c r="N8" s="54">
        <f>$E8*1%</f>
        <v>105000</v>
      </c>
      <c r="O8" s="54"/>
      <c r="P8" s="54">
        <f>$E8*1%</f>
        <v>105000</v>
      </c>
      <c r="Q8" s="54"/>
      <c r="R8" s="47"/>
      <c r="S8" s="47"/>
      <c r="T8" s="47"/>
      <c r="U8" s="47"/>
      <c r="V8" s="47"/>
      <c r="W8" s="47"/>
      <c r="X8" s="47"/>
      <c r="Y8" s="47"/>
      <c r="Z8" s="47"/>
      <c r="AA8" s="47"/>
      <c r="AB8" s="47"/>
      <c r="AC8" s="47"/>
      <c r="AD8" s="47"/>
      <c r="AE8" s="47"/>
      <c r="AF8" s="47"/>
      <c r="AG8" s="47"/>
      <c r="AH8" s="47"/>
      <c r="AI8" s="47"/>
      <c r="AJ8" s="47"/>
      <c r="AK8" s="47"/>
      <c r="AL8" s="47"/>
    </row>
    <row r="9" spans="1:38" x14ac:dyDescent="0.35">
      <c r="A9" s="55" t="s">
        <v>50</v>
      </c>
      <c r="B9" s="55"/>
      <c r="C9" s="55"/>
      <c r="D9" s="56"/>
      <c r="E9" s="56">
        <f>SUM(E6:E8)</f>
        <v>175500000</v>
      </c>
      <c r="H9" s="33">
        <f>SUM(H6:H8)</f>
        <v>0</v>
      </c>
      <c r="I9" s="33">
        <f t="shared" ref="I9:Q9" si="2">SUM(I6:I8)</f>
        <v>0</v>
      </c>
      <c r="J9" s="33">
        <f t="shared" si="2"/>
        <v>1755000</v>
      </c>
      <c r="K9" s="33">
        <f t="shared" si="2"/>
        <v>0</v>
      </c>
      <c r="L9" s="33">
        <f t="shared" si="2"/>
        <v>1755000</v>
      </c>
      <c r="M9" s="33">
        <f t="shared" si="2"/>
        <v>0</v>
      </c>
      <c r="N9" s="33">
        <f t="shared" si="2"/>
        <v>1755000</v>
      </c>
      <c r="O9" s="33">
        <f t="shared" si="2"/>
        <v>0</v>
      </c>
      <c r="P9" s="33">
        <f t="shared" si="2"/>
        <v>1755000</v>
      </c>
      <c r="Q9" s="33">
        <f t="shared" si="2"/>
        <v>0</v>
      </c>
    </row>
    <row r="11" spans="1:38" x14ac:dyDescent="0.35">
      <c r="A11" s="293" t="s">
        <v>51</v>
      </c>
      <c r="B11" s="293"/>
      <c r="C11" s="293"/>
      <c r="D11" s="293"/>
      <c r="E11" s="293"/>
      <c r="F11" s="293"/>
      <c r="H11" s="293" t="s">
        <v>52</v>
      </c>
      <c r="I11" s="293"/>
      <c r="J11" s="293"/>
      <c r="K11" s="293"/>
      <c r="L11" s="293"/>
      <c r="M11" s="293"/>
      <c r="N11" s="293"/>
      <c r="O11" s="293"/>
      <c r="P11" s="293"/>
      <c r="Q11" s="293"/>
      <c r="R11" s="10"/>
      <c r="S11" s="10"/>
      <c r="T11" s="10"/>
      <c r="U11" s="10"/>
      <c r="V11" s="10"/>
      <c r="W11" s="10"/>
      <c r="X11" s="10"/>
      <c r="Y11" s="10"/>
      <c r="Z11" s="10"/>
      <c r="AA11" s="10"/>
      <c r="AB11" s="10"/>
      <c r="AC11" s="10"/>
      <c r="AD11" s="10"/>
      <c r="AE11" s="10"/>
      <c r="AF11" s="10"/>
      <c r="AG11" s="10"/>
      <c r="AH11" s="10"/>
      <c r="AI11" s="10"/>
      <c r="AJ11" s="10"/>
      <c r="AK11" s="10"/>
      <c r="AL11" s="10"/>
    </row>
    <row r="12" spans="1:38" x14ac:dyDescent="0.35">
      <c r="A12" s="57" t="s">
        <v>53</v>
      </c>
      <c r="B12" s="58"/>
      <c r="C12" s="58"/>
      <c r="D12" s="58"/>
      <c r="E12" s="58"/>
      <c r="I12" s="292" t="s">
        <v>54</v>
      </c>
      <c r="J12" s="292"/>
      <c r="K12" s="292"/>
      <c r="L12" s="292"/>
      <c r="M12" s="292"/>
      <c r="N12" s="292"/>
      <c r="O12" s="292"/>
      <c r="P12" s="292"/>
      <c r="Q12" s="292"/>
      <c r="R12" s="55"/>
      <c r="S12" s="55"/>
      <c r="T12" s="55"/>
      <c r="U12" s="55"/>
      <c r="V12" s="55"/>
      <c r="W12" s="55"/>
      <c r="X12" s="55"/>
      <c r="Y12" s="55"/>
      <c r="Z12" s="55"/>
      <c r="AA12" s="55"/>
      <c r="AB12" s="55"/>
      <c r="AC12" s="55"/>
      <c r="AD12" s="55"/>
      <c r="AE12" s="55"/>
      <c r="AF12" s="55"/>
      <c r="AG12" s="55"/>
      <c r="AH12" s="55"/>
      <c r="AI12" s="55"/>
      <c r="AJ12" s="55"/>
      <c r="AK12" s="55"/>
      <c r="AL12" s="55"/>
    </row>
    <row r="13" spans="1:38" x14ac:dyDescent="0.35">
      <c r="A13" s="42" t="s">
        <v>39</v>
      </c>
      <c r="B13" s="42" t="s">
        <v>40</v>
      </c>
      <c r="C13" s="42" t="s">
        <v>41</v>
      </c>
      <c r="D13" s="42" t="s">
        <v>42</v>
      </c>
      <c r="E13" s="42" t="s">
        <v>43</v>
      </c>
      <c r="F13" s="42" t="s">
        <v>44</v>
      </c>
      <c r="H13" s="34">
        <v>1</v>
      </c>
      <c r="I13" s="34">
        <f>H13+1</f>
        <v>2</v>
      </c>
      <c r="J13" s="34">
        <f t="shared" ref="J13:Q13" si="3">I13+1</f>
        <v>3</v>
      </c>
      <c r="K13" s="34">
        <f t="shared" si="3"/>
        <v>4</v>
      </c>
      <c r="L13" s="34">
        <f t="shared" si="3"/>
        <v>5</v>
      </c>
      <c r="M13" s="34">
        <f t="shared" si="3"/>
        <v>6</v>
      </c>
      <c r="N13" s="34">
        <f t="shared" si="3"/>
        <v>7</v>
      </c>
      <c r="O13" s="34">
        <f t="shared" si="3"/>
        <v>8</v>
      </c>
      <c r="P13" s="34">
        <f t="shared" si="3"/>
        <v>9</v>
      </c>
      <c r="Q13" s="34">
        <f t="shared" si="3"/>
        <v>10</v>
      </c>
      <c r="R13" s="43"/>
      <c r="S13" s="43"/>
      <c r="T13" s="43"/>
      <c r="U13" s="43"/>
      <c r="V13" s="43"/>
      <c r="W13" s="43"/>
      <c r="X13" s="43"/>
      <c r="Y13" s="43"/>
      <c r="Z13" s="43"/>
      <c r="AA13" s="43"/>
      <c r="AB13" s="43"/>
      <c r="AC13" s="43"/>
      <c r="AD13" s="43"/>
      <c r="AE13" s="43"/>
      <c r="AF13" s="43"/>
      <c r="AG13" s="43"/>
      <c r="AH13" s="43"/>
      <c r="AI13" s="43"/>
      <c r="AJ13" s="43"/>
      <c r="AK13" s="43"/>
      <c r="AL13" s="43"/>
    </row>
    <row r="14" spans="1:38" x14ac:dyDescent="0.35">
      <c r="A14" s="55" t="s">
        <v>55</v>
      </c>
    </row>
    <row r="15" spans="1:38" x14ac:dyDescent="0.35">
      <c r="A15" t="s">
        <v>56</v>
      </c>
      <c r="B15" s="37" t="s">
        <v>46</v>
      </c>
      <c r="C15" s="44">
        <v>1</v>
      </c>
      <c r="D15" s="45">
        <v>1500000</v>
      </c>
      <c r="E15" s="36">
        <f t="shared" ref="E15:E23" si="4">+C15*D15</f>
        <v>1500000</v>
      </c>
      <c r="F15" s="46">
        <v>5</v>
      </c>
      <c r="H15" s="33">
        <f>IF($F15+1=H$13,$E15,IF(($F15*2)+1=H$13,$E15,IF((($F15*3)+1)=H$13,$E15,IF((($F15*4)+1)=H$13,$E15,IF((($F15*5)+1)=H$13,$E15,0)))))</f>
        <v>0</v>
      </c>
      <c r="I15" s="33">
        <f>IF($F15+1=I$13,$E15,IF(($F15*2)+1=I$13,$E15,IF((($F15*3)+1)=I$13,$E15,IF((($F15*4)+1)=I$13,$E15,IF((($F15*5)+1)=I$13,$E15,0)))))</f>
        <v>0</v>
      </c>
      <c r="J15" s="33">
        <f t="shared" ref="J15:Q31" si="5">IF($F15+1=J$13,$E15,IF(($F15*2)+1=J$13,$E15,IF((($F15*3)+1)=J$13,$E15,IF((($F15*4)+1)=J$13,$E15,IF((($F15*5)+1)=J$13,$E15,0)))))</f>
        <v>0</v>
      </c>
      <c r="K15" s="33">
        <f t="shared" si="5"/>
        <v>0</v>
      </c>
      <c r="L15" s="33">
        <f t="shared" si="5"/>
        <v>0</v>
      </c>
      <c r="M15" s="33">
        <f t="shared" si="5"/>
        <v>1500000</v>
      </c>
      <c r="N15" s="33">
        <f t="shared" si="5"/>
        <v>0</v>
      </c>
      <c r="O15" s="33">
        <f t="shared" si="5"/>
        <v>0</v>
      </c>
      <c r="P15" s="33">
        <f t="shared" si="5"/>
        <v>0</v>
      </c>
      <c r="Q15" s="33">
        <f t="shared" si="5"/>
        <v>0</v>
      </c>
      <c r="R15" s="33"/>
      <c r="S15" s="33"/>
      <c r="T15" s="33"/>
      <c r="U15" s="33"/>
      <c r="V15" s="33"/>
      <c r="W15" s="33"/>
      <c r="X15" s="33"/>
      <c r="Y15" s="33"/>
      <c r="Z15" s="33"/>
      <c r="AA15" s="33"/>
      <c r="AB15" s="33"/>
      <c r="AC15" s="33"/>
      <c r="AD15" s="33"/>
      <c r="AE15" s="33"/>
      <c r="AF15" s="33"/>
      <c r="AG15" s="33"/>
      <c r="AH15" s="33"/>
      <c r="AI15" s="33"/>
      <c r="AJ15" s="33"/>
      <c r="AK15" s="33"/>
      <c r="AL15" s="33"/>
    </row>
    <row r="16" spans="1:38" x14ac:dyDescent="0.35">
      <c r="A16" t="s">
        <v>57</v>
      </c>
      <c r="B16" s="37" t="s">
        <v>46</v>
      </c>
      <c r="C16" s="44">
        <v>2</v>
      </c>
      <c r="D16" s="45">
        <v>60000</v>
      </c>
      <c r="E16" s="36">
        <f t="shared" si="4"/>
        <v>120000</v>
      </c>
      <c r="F16" s="46">
        <v>3</v>
      </c>
      <c r="H16" s="33">
        <f t="shared" ref="H16:I31" si="6">IF($F16+1=H$13,$E16,IF(($F16*2)+1=H$13,$E16,IF((($F16*3)+1)=H$13,$E16,IF((($F16*4)+1)=H$13,$E16,IF((($F16*5)+1)=H$13,$E16,0)))))</f>
        <v>0</v>
      </c>
      <c r="I16" s="33">
        <f t="shared" si="6"/>
        <v>0</v>
      </c>
      <c r="J16" s="33">
        <f t="shared" si="5"/>
        <v>0</v>
      </c>
      <c r="K16" s="33">
        <f t="shared" si="5"/>
        <v>120000</v>
      </c>
      <c r="L16" s="33">
        <f t="shared" si="5"/>
        <v>0</v>
      </c>
      <c r="M16" s="33">
        <f t="shared" si="5"/>
        <v>0</v>
      </c>
      <c r="N16" s="33">
        <f t="shared" si="5"/>
        <v>120000</v>
      </c>
      <c r="O16" s="33">
        <f t="shared" si="5"/>
        <v>0</v>
      </c>
      <c r="P16" s="33">
        <f t="shared" si="5"/>
        <v>0</v>
      </c>
      <c r="Q16" s="33">
        <f t="shared" si="5"/>
        <v>120000</v>
      </c>
      <c r="R16" s="33"/>
      <c r="S16" s="33"/>
      <c r="T16" s="33"/>
      <c r="U16" s="33"/>
      <c r="V16" s="33"/>
      <c r="W16" s="33"/>
      <c r="X16" s="33"/>
      <c r="Y16" s="33"/>
      <c r="Z16" s="33"/>
      <c r="AA16" s="33"/>
      <c r="AB16" s="33"/>
      <c r="AC16" s="33"/>
      <c r="AD16" s="33"/>
      <c r="AE16" s="33"/>
      <c r="AF16" s="33"/>
      <c r="AG16" s="33"/>
      <c r="AH16" s="33"/>
      <c r="AI16" s="33"/>
      <c r="AJ16" s="33"/>
      <c r="AK16" s="33"/>
      <c r="AL16" s="33"/>
    </row>
    <row r="17" spans="1:38" x14ac:dyDescent="0.35">
      <c r="A17" t="s">
        <v>58</v>
      </c>
      <c r="B17" s="37" t="s">
        <v>46</v>
      </c>
      <c r="C17" s="44">
        <v>2</v>
      </c>
      <c r="D17" s="45">
        <v>100000</v>
      </c>
      <c r="E17" s="36">
        <f t="shared" si="4"/>
        <v>200000</v>
      </c>
      <c r="F17" s="46">
        <v>2</v>
      </c>
      <c r="H17" s="33">
        <f t="shared" si="6"/>
        <v>0</v>
      </c>
      <c r="I17" s="33">
        <f t="shared" si="6"/>
        <v>0</v>
      </c>
      <c r="J17" s="33">
        <f t="shared" si="5"/>
        <v>200000</v>
      </c>
      <c r="K17" s="33">
        <f t="shared" si="5"/>
        <v>0</v>
      </c>
      <c r="L17" s="33">
        <f t="shared" si="5"/>
        <v>200000</v>
      </c>
      <c r="M17" s="33">
        <f t="shared" si="5"/>
        <v>0</v>
      </c>
      <c r="N17" s="33">
        <f t="shared" si="5"/>
        <v>200000</v>
      </c>
      <c r="O17" s="33">
        <f t="shared" si="5"/>
        <v>0</v>
      </c>
      <c r="P17" s="33">
        <f t="shared" si="5"/>
        <v>200000</v>
      </c>
      <c r="Q17" s="33">
        <f t="shared" si="5"/>
        <v>0</v>
      </c>
      <c r="R17" s="33"/>
      <c r="S17" s="33"/>
      <c r="T17" s="33"/>
      <c r="U17" s="33"/>
      <c r="V17" s="33"/>
      <c r="W17" s="33"/>
      <c r="X17" s="33"/>
      <c r="Y17" s="33"/>
      <c r="Z17" s="33"/>
      <c r="AA17" s="33"/>
      <c r="AB17" s="33"/>
      <c r="AC17" s="33"/>
      <c r="AD17" s="33"/>
      <c r="AE17" s="33"/>
      <c r="AF17" s="33"/>
      <c r="AG17" s="33"/>
      <c r="AH17" s="33"/>
      <c r="AI17" s="33"/>
      <c r="AJ17" s="33"/>
      <c r="AK17" s="33"/>
      <c r="AL17" s="33"/>
    </row>
    <row r="18" spans="1:38" x14ac:dyDescent="0.35">
      <c r="A18" t="s">
        <v>59</v>
      </c>
      <c r="B18" s="37" t="s">
        <v>46</v>
      </c>
      <c r="C18" s="44">
        <v>2</v>
      </c>
      <c r="D18" s="45">
        <v>200000</v>
      </c>
      <c r="E18" s="36">
        <f t="shared" si="4"/>
        <v>400000</v>
      </c>
      <c r="F18" s="46">
        <v>3</v>
      </c>
      <c r="H18" s="33">
        <f t="shared" si="6"/>
        <v>0</v>
      </c>
      <c r="I18" s="33">
        <f t="shared" si="6"/>
        <v>0</v>
      </c>
      <c r="J18" s="33">
        <f t="shared" si="5"/>
        <v>0</v>
      </c>
      <c r="K18" s="33">
        <f t="shared" si="5"/>
        <v>400000</v>
      </c>
      <c r="L18" s="33">
        <f t="shared" si="5"/>
        <v>0</v>
      </c>
      <c r="M18" s="33">
        <f t="shared" si="5"/>
        <v>0</v>
      </c>
      <c r="N18" s="33">
        <f t="shared" si="5"/>
        <v>400000</v>
      </c>
      <c r="O18" s="33">
        <f t="shared" si="5"/>
        <v>0</v>
      </c>
      <c r="P18" s="33">
        <f t="shared" si="5"/>
        <v>0</v>
      </c>
      <c r="Q18" s="33">
        <f t="shared" si="5"/>
        <v>400000</v>
      </c>
      <c r="R18" s="33"/>
      <c r="S18" s="33"/>
      <c r="T18" s="33"/>
      <c r="U18" s="33"/>
      <c r="V18" s="33"/>
      <c r="W18" s="33"/>
      <c r="X18" s="33"/>
      <c r="Y18" s="33"/>
      <c r="Z18" s="33"/>
      <c r="AA18" s="33"/>
      <c r="AB18" s="33"/>
      <c r="AC18" s="33"/>
      <c r="AD18" s="33"/>
      <c r="AE18" s="33"/>
      <c r="AF18" s="33"/>
      <c r="AG18" s="33"/>
      <c r="AH18" s="33"/>
      <c r="AI18" s="33"/>
      <c r="AJ18" s="33"/>
      <c r="AK18" s="33"/>
      <c r="AL18" s="33"/>
    </row>
    <row r="19" spans="1:38" x14ac:dyDescent="0.35">
      <c r="A19" t="s">
        <v>60</v>
      </c>
      <c r="B19" s="37" t="s">
        <v>46</v>
      </c>
      <c r="C19" s="44">
        <v>2</v>
      </c>
      <c r="D19" s="45">
        <v>100000</v>
      </c>
      <c r="E19" s="36">
        <f t="shared" si="4"/>
        <v>200000</v>
      </c>
      <c r="F19" s="46">
        <v>2</v>
      </c>
      <c r="H19" s="33">
        <f t="shared" si="6"/>
        <v>0</v>
      </c>
      <c r="I19" s="33">
        <f t="shared" si="6"/>
        <v>0</v>
      </c>
      <c r="J19" s="33">
        <f t="shared" si="5"/>
        <v>200000</v>
      </c>
      <c r="K19" s="33">
        <f t="shared" si="5"/>
        <v>0</v>
      </c>
      <c r="L19" s="33">
        <f t="shared" si="5"/>
        <v>200000</v>
      </c>
      <c r="M19" s="33">
        <f t="shared" si="5"/>
        <v>0</v>
      </c>
      <c r="N19" s="33">
        <f t="shared" si="5"/>
        <v>200000</v>
      </c>
      <c r="O19" s="33">
        <f t="shared" si="5"/>
        <v>0</v>
      </c>
      <c r="P19" s="33">
        <f t="shared" si="5"/>
        <v>200000</v>
      </c>
      <c r="Q19" s="33">
        <f t="shared" si="5"/>
        <v>0</v>
      </c>
      <c r="R19" s="33"/>
      <c r="S19" s="33"/>
      <c r="T19" s="33"/>
      <c r="U19" s="33"/>
      <c r="V19" s="33"/>
      <c r="W19" s="33"/>
      <c r="X19" s="33"/>
      <c r="Y19" s="33"/>
      <c r="Z19" s="33"/>
      <c r="AA19" s="33"/>
      <c r="AB19" s="33"/>
      <c r="AC19" s="33"/>
      <c r="AD19" s="33"/>
      <c r="AE19" s="33"/>
      <c r="AF19" s="33"/>
      <c r="AG19" s="33"/>
      <c r="AH19" s="33"/>
      <c r="AI19" s="33"/>
      <c r="AJ19" s="33"/>
      <c r="AK19" s="33"/>
      <c r="AL19" s="33"/>
    </row>
    <row r="20" spans="1:38" x14ac:dyDescent="0.35">
      <c r="A20" t="s">
        <v>61</v>
      </c>
      <c r="B20" s="37" t="s">
        <v>46</v>
      </c>
      <c r="C20" s="44">
        <v>2</v>
      </c>
      <c r="D20" s="45">
        <v>200000</v>
      </c>
      <c r="E20" s="36">
        <f t="shared" si="4"/>
        <v>400000</v>
      </c>
      <c r="F20" s="46">
        <v>2</v>
      </c>
      <c r="H20" s="33">
        <f t="shared" si="6"/>
        <v>0</v>
      </c>
      <c r="I20" s="33">
        <f t="shared" si="6"/>
        <v>0</v>
      </c>
      <c r="J20" s="33">
        <f t="shared" si="5"/>
        <v>400000</v>
      </c>
      <c r="K20" s="33">
        <f t="shared" si="5"/>
        <v>0</v>
      </c>
      <c r="L20" s="33">
        <f t="shared" si="5"/>
        <v>400000</v>
      </c>
      <c r="M20" s="33">
        <f t="shared" si="5"/>
        <v>0</v>
      </c>
      <c r="N20" s="33">
        <f t="shared" si="5"/>
        <v>400000</v>
      </c>
      <c r="O20" s="33">
        <f t="shared" si="5"/>
        <v>0</v>
      </c>
      <c r="P20" s="33">
        <f t="shared" si="5"/>
        <v>400000</v>
      </c>
      <c r="Q20" s="33">
        <f t="shared" si="5"/>
        <v>0</v>
      </c>
      <c r="R20" s="33"/>
      <c r="S20" s="33"/>
      <c r="T20" s="33"/>
      <c r="U20" s="33"/>
      <c r="V20" s="33"/>
      <c r="W20" s="33"/>
      <c r="X20" s="33"/>
      <c r="Y20" s="33"/>
      <c r="Z20" s="33"/>
      <c r="AA20" s="33"/>
      <c r="AB20" s="33"/>
      <c r="AC20" s="33"/>
      <c r="AD20" s="33"/>
      <c r="AE20" s="33"/>
      <c r="AF20" s="33"/>
      <c r="AG20" s="33"/>
      <c r="AH20" s="33"/>
      <c r="AI20" s="33"/>
      <c r="AJ20" s="33"/>
      <c r="AK20" s="33"/>
      <c r="AL20" s="33"/>
    </row>
    <row r="21" spans="1:38" x14ac:dyDescent="0.35">
      <c r="A21" t="s">
        <v>62</v>
      </c>
      <c r="B21" s="37" t="s">
        <v>46</v>
      </c>
      <c r="C21" s="44">
        <v>1</v>
      </c>
      <c r="D21" s="45">
        <v>400000</v>
      </c>
      <c r="E21" s="36">
        <f t="shared" si="4"/>
        <v>400000</v>
      </c>
      <c r="F21" s="46">
        <v>5</v>
      </c>
      <c r="H21" s="33">
        <f t="shared" si="6"/>
        <v>0</v>
      </c>
      <c r="I21" s="33">
        <f t="shared" si="6"/>
        <v>0</v>
      </c>
      <c r="J21" s="33">
        <f t="shared" si="5"/>
        <v>0</v>
      </c>
      <c r="K21" s="33">
        <f t="shared" si="5"/>
        <v>0</v>
      </c>
      <c r="L21" s="33">
        <f t="shared" si="5"/>
        <v>0</v>
      </c>
      <c r="M21" s="33">
        <f t="shared" si="5"/>
        <v>400000</v>
      </c>
      <c r="N21" s="33">
        <f t="shared" si="5"/>
        <v>0</v>
      </c>
      <c r="O21" s="33">
        <f t="shared" si="5"/>
        <v>0</v>
      </c>
      <c r="P21" s="33">
        <f t="shared" si="5"/>
        <v>0</v>
      </c>
      <c r="Q21" s="33">
        <f t="shared" si="5"/>
        <v>0</v>
      </c>
      <c r="R21" s="33"/>
      <c r="S21" s="33"/>
      <c r="T21" s="33"/>
      <c r="U21" s="33"/>
      <c r="V21" s="33"/>
      <c r="W21" s="33"/>
      <c r="X21" s="33"/>
      <c r="Y21" s="33"/>
      <c r="Z21" s="33"/>
      <c r="AA21" s="33"/>
      <c r="AB21" s="33"/>
      <c r="AC21" s="33"/>
      <c r="AD21" s="33"/>
      <c r="AE21" s="33"/>
      <c r="AF21" s="33"/>
      <c r="AG21" s="33"/>
      <c r="AH21" s="33"/>
      <c r="AI21" s="33"/>
      <c r="AJ21" s="33"/>
      <c r="AK21" s="33"/>
      <c r="AL21" s="33"/>
    </row>
    <row r="22" spans="1:38" x14ac:dyDescent="0.35">
      <c r="A22" t="s">
        <v>63</v>
      </c>
      <c r="B22" s="37" t="s">
        <v>49</v>
      </c>
      <c r="C22" s="44">
        <v>1</v>
      </c>
      <c r="D22" s="45">
        <v>1000000</v>
      </c>
      <c r="E22" s="36">
        <f t="shared" si="4"/>
        <v>1000000</v>
      </c>
      <c r="F22" s="46">
        <v>5</v>
      </c>
      <c r="H22" s="33">
        <f t="shared" si="6"/>
        <v>0</v>
      </c>
      <c r="I22" s="33">
        <f t="shared" si="6"/>
        <v>0</v>
      </c>
      <c r="J22" s="33">
        <f t="shared" si="5"/>
        <v>0</v>
      </c>
      <c r="K22" s="33">
        <f t="shared" si="5"/>
        <v>0</v>
      </c>
      <c r="L22" s="33">
        <f t="shared" si="5"/>
        <v>0</v>
      </c>
      <c r="M22" s="33">
        <f t="shared" si="5"/>
        <v>1000000</v>
      </c>
      <c r="N22" s="33">
        <f t="shared" si="5"/>
        <v>0</v>
      </c>
      <c r="O22" s="33">
        <f t="shared" si="5"/>
        <v>0</v>
      </c>
      <c r="P22" s="33">
        <f t="shared" si="5"/>
        <v>0</v>
      </c>
      <c r="Q22" s="33">
        <f t="shared" si="5"/>
        <v>0</v>
      </c>
      <c r="R22" s="33"/>
      <c r="S22" s="33"/>
      <c r="T22" s="33"/>
      <c r="U22" s="33"/>
      <c r="V22" s="33"/>
      <c r="W22" s="33"/>
      <c r="X22" s="33"/>
      <c r="Y22" s="33"/>
      <c r="Z22" s="33"/>
      <c r="AA22" s="33"/>
      <c r="AB22" s="33"/>
      <c r="AC22" s="33"/>
      <c r="AD22" s="33"/>
      <c r="AE22" s="33"/>
      <c r="AF22" s="33"/>
      <c r="AG22" s="33"/>
      <c r="AH22" s="33"/>
      <c r="AI22" s="33"/>
      <c r="AJ22" s="33"/>
      <c r="AK22" s="33"/>
      <c r="AL22" s="33"/>
    </row>
    <row r="23" spans="1:38" x14ac:dyDescent="0.35">
      <c r="A23" t="s">
        <v>64</v>
      </c>
      <c r="B23" s="37" t="s">
        <v>49</v>
      </c>
      <c r="C23" s="44">
        <v>1</v>
      </c>
      <c r="D23" s="45">
        <v>1000000</v>
      </c>
      <c r="E23" s="36">
        <f t="shared" si="4"/>
        <v>1000000</v>
      </c>
      <c r="F23" s="46">
        <v>5</v>
      </c>
      <c r="H23" s="33">
        <f t="shared" si="6"/>
        <v>0</v>
      </c>
      <c r="I23" s="33">
        <f t="shared" si="6"/>
        <v>0</v>
      </c>
      <c r="J23" s="33">
        <f t="shared" si="5"/>
        <v>0</v>
      </c>
      <c r="K23" s="33">
        <f t="shared" si="5"/>
        <v>0</v>
      </c>
      <c r="L23" s="33">
        <f t="shared" si="5"/>
        <v>0</v>
      </c>
      <c r="M23" s="33">
        <f t="shared" si="5"/>
        <v>1000000</v>
      </c>
      <c r="N23" s="33">
        <f t="shared" si="5"/>
        <v>0</v>
      </c>
      <c r="O23" s="33">
        <f t="shared" si="5"/>
        <v>0</v>
      </c>
      <c r="P23" s="33">
        <f t="shared" si="5"/>
        <v>0</v>
      </c>
      <c r="Q23" s="33">
        <f t="shared" si="5"/>
        <v>0</v>
      </c>
      <c r="R23" s="33"/>
      <c r="S23" s="33"/>
      <c r="T23" s="33"/>
      <c r="U23" s="33"/>
      <c r="V23" s="33"/>
      <c r="W23" s="33"/>
      <c r="X23" s="33"/>
      <c r="Y23" s="33"/>
      <c r="Z23" s="33"/>
      <c r="AA23" s="33"/>
      <c r="AB23" s="33"/>
      <c r="AC23" s="33"/>
      <c r="AD23" s="33"/>
      <c r="AE23" s="33"/>
      <c r="AF23" s="33"/>
      <c r="AG23" s="33"/>
      <c r="AH23" s="33"/>
      <c r="AI23" s="33"/>
      <c r="AJ23" s="33"/>
      <c r="AK23" s="33"/>
      <c r="AL23" s="33"/>
    </row>
    <row r="24" spans="1:38" x14ac:dyDescent="0.35">
      <c r="A24" s="55" t="s">
        <v>65</v>
      </c>
      <c r="D24" s="59"/>
      <c r="E24" s="47"/>
      <c r="F24" s="46"/>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row>
    <row r="25" spans="1:38" x14ac:dyDescent="0.35">
      <c r="A25" t="s">
        <v>66</v>
      </c>
      <c r="B25" s="37" t="s">
        <v>46</v>
      </c>
      <c r="C25" s="44">
        <v>2</v>
      </c>
      <c r="D25" s="45">
        <v>50000</v>
      </c>
      <c r="E25" s="36">
        <f>+C25*D25</f>
        <v>100000</v>
      </c>
      <c r="F25" s="46">
        <v>2</v>
      </c>
      <c r="H25" s="33">
        <f t="shared" si="6"/>
        <v>0</v>
      </c>
      <c r="I25" s="33">
        <f t="shared" si="6"/>
        <v>0</v>
      </c>
      <c r="J25" s="33">
        <f t="shared" si="5"/>
        <v>100000</v>
      </c>
      <c r="K25" s="33">
        <f t="shared" si="5"/>
        <v>0</v>
      </c>
      <c r="L25" s="33">
        <f t="shared" si="5"/>
        <v>100000</v>
      </c>
      <c r="M25" s="33">
        <f t="shared" si="5"/>
        <v>0</v>
      </c>
      <c r="N25" s="33">
        <f t="shared" si="5"/>
        <v>100000</v>
      </c>
      <c r="O25" s="33">
        <f t="shared" si="5"/>
        <v>0</v>
      </c>
      <c r="P25" s="33">
        <f t="shared" si="5"/>
        <v>100000</v>
      </c>
      <c r="Q25" s="33">
        <f t="shared" si="5"/>
        <v>0</v>
      </c>
      <c r="R25" s="33"/>
      <c r="S25" s="33"/>
      <c r="T25" s="33"/>
      <c r="U25" s="33"/>
      <c r="V25" s="33"/>
      <c r="W25" s="33"/>
      <c r="X25" s="33"/>
      <c r="Y25" s="33"/>
      <c r="Z25" s="33"/>
      <c r="AA25" s="33"/>
      <c r="AB25" s="33"/>
      <c r="AC25" s="33"/>
      <c r="AD25" s="33"/>
      <c r="AE25" s="33"/>
      <c r="AF25" s="33"/>
      <c r="AG25" s="33"/>
      <c r="AH25" s="33"/>
      <c r="AI25" s="33"/>
      <c r="AJ25" s="33"/>
      <c r="AK25" s="33"/>
      <c r="AL25" s="33"/>
    </row>
    <row r="26" spans="1:38" x14ac:dyDescent="0.35">
      <c r="A26" t="s">
        <v>67</v>
      </c>
      <c r="B26" s="37" t="s">
        <v>46</v>
      </c>
      <c r="C26" s="44">
        <v>2</v>
      </c>
      <c r="D26" s="45">
        <v>150000</v>
      </c>
      <c r="E26" s="36">
        <f>+C26*D26</f>
        <v>300000</v>
      </c>
      <c r="F26" s="46">
        <v>5</v>
      </c>
      <c r="H26" s="33">
        <f t="shared" si="6"/>
        <v>0</v>
      </c>
      <c r="I26" s="33">
        <f t="shared" si="6"/>
        <v>0</v>
      </c>
      <c r="J26" s="33">
        <f t="shared" si="5"/>
        <v>0</v>
      </c>
      <c r="K26" s="33">
        <f t="shared" si="5"/>
        <v>0</v>
      </c>
      <c r="L26" s="33">
        <f t="shared" si="5"/>
        <v>0</v>
      </c>
      <c r="M26" s="33">
        <f t="shared" si="5"/>
        <v>300000</v>
      </c>
      <c r="N26" s="33">
        <f t="shared" si="5"/>
        <v>0</v>
      </c>
      <c r="O26" s="33">
        <f t="shared" si="5"/>
        <v>0</v>
      </c>
      <c r="P26" s="33">
        <f t="shared" si="5"/>
        <v>0</v>
      </c>
      <c r="Q26" s="33">
        <f t="shared" si="5"/>
        <v>0</v>
      </c>
      <c r="R26" s="33"/>
      <c r="S26" s="33"/>
      <c r="T26" s="33"/>
      <c r="U26" s="33"/>
      <c r="V26" s="33"/>
      <c r="W26" s="33"/>
      <c r="X26" s="33"/>
      <c r="Y26" s="33"/>
      <c r="Z26" s="33"/>
      <c r="AA26" s="33"/>
      <c r="AB26" s="33"/>
      <c r="AC26" s="33"/>
      <c r="AD26" s="33"/>
      <c r="AE26" s="33"/>
      <c r="AF26" s="33"/>
      <c r="AG26" s="33"/>
      <c r="AH26" s="33"/>
      <c r="AI26" s="33"/>
      <c r="AJ26" s="33"/>
      <c r="AK26" s="33"/>
      <c r="AL26" s="33"/>
    </row>
    <row r="27" spans="1:38" x14ac:dyDescent="0.35">
      <c r="A27" s="55" t="s">
        <v>68</v>
      </c>
      <c r="D27" s="59"/>
      <c r="E27" s="47"/>
      <c r="F27" s="46"/>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row>
    <row r="28" spans="1:38" x14ac:dyDescent="0.35">
      <c r="A28" t="s">
        <v>69</v>
      </c>
      <c r="B28" s="37" t="s">
        <v>46</v>
      </c>
      <c r="C28" s="44">
        <v>2</v>
      </c>
      <c r="D28" s="45">
        <v>400000</v>
      </c>
      <c r="E28" s="36">
        <f>+C28*D28</f>
        <v>800000</v>
      </c>
      <c r="F28" s="46">
        <v>5</v>
      </c>
      <c r="H28" s="33">
        <f t="shared" si="6"/>
        <v>0</v>
      </c>
      <c r="I28" s="33">
        <f t="shared" si="6"/>
        <v>0</v>
      </c>
      <c r="J28" s="33">
        <f t="shared" si="5"/>
        <v>0</v>
      </c>
      <c r="K28" s="33">
        <f t="shared" si="5"/>
        <v>0</v>
      </c>
      <c r="L28" s="33">
        <f t="shared" si="5"/>
        <v>0</v>
      </c>
      <c r="M28" s="33">
        <f t="shared" si="5"/>
        <v>800000</v>
      </c>
      <c r="N28" s="33">
        <f t="shared" si="5"/>
        <v>0</v>
      </c>
      <c r="O28" s="33">
        <f t="shared" si="5"/>
        <v>0</v>
      </c>
      <c r="P28" s="33">
        <f t="shared" si="5"/>
        <v>0</v>
      </c>
      <c r="Q28" s="33">
        <f t="shared" si="5"/>
        <v>0</v>
      </c>
      <c r="R28" s="33"/>
      <c r="S28" s="33"/>
      <c r="T28" s="33"/>
      <c r="U28" s="33"/>
      <c r="V28" s="33"/>
      <c r="W28" s="33"/>
      <c r="X28" s="33"/>
      <c r="Y28" s="33"/>
      <c r="Z28" s="33"/>
      <c r="AA28" s="33"/>
      <c r="AB28" s="33"/>
      <c r="AC28" s="33"/>
      <c r="AD28" s="33"/>
      <c r="AE28" s="33"/>
      <c r="AF28" s="33"/>
      <c r="AG28" s="33"/>
      <c r="AH28" s="33"/>
      <c r="AI28" s="33"/>
      <c r="AJ28" s="33"/>
      <c r="AK28" s="33"/>
      <c r="AL28" s="33"/>
    </row>
    <row r="29" spans="1:38" x14ac:dyDescent="0.35">
      <c r="A29" t="s">
        <v>70</v>
      </c>
      <c r="B29" s="37" t="s">
        <v>46</v>
      </c>
      <c r="C29" s="44">
        <v>2</v>
      </c>
      <c r="D29" s="45">
        <v>200000</v>
      </c>
      <c r="E29" s="36">
        <f>+C29*D29</f>
        <v>400000</v>
      </c>
      <c r="F29" s="46">
        <v>5</v>
      </c>
      <c r="H29" s="33">
        <f t="shared" si="6"/>
        <v>0</v>
      </c>
      <c r="I29" s="33">
        <f t="shared" si="6"/>
        <v>0</v>
      </c>
      <c r="J29" s="33">
        <f t="shared" si="5"/>
        <v>0</v>
      </c>
      <c r="K29" s="33">
        <f t="shared" si="5"/>
        <v>0</v>
      </c>
      <c r="L29" s="33">
        <f t="shared" si="5"/>
        <v>0</v>
      </c>
      <c r="M29" s="33">
        <f t="shared" si="5"/>
        <v>400000</v>
      </c>
      <c r="N29" s="33">
        <f t="shared" si="5"/>
        <v>0</v>
      </c>
      <c r="O29" s="33">
        <f t="shared" si="5"/>
        <v>0</v>
      </c>
      <c r="P29" s="33">
        <f t="shared" si="5"/>
        <v>0</v>
      </c>
      <c r="Q29" s="33">
        <f t="shared" si="5"/>
        <v>0</v>
      </c>
      <c r="R29" s="33"/>
      <c r="S29" s="33"/>
      <c r="T29" s="33"/>
      <c r="U29" s="33"/>
      <c r="V29" s="33"/>
      <c r="W29" s="33"/>
      <c r="X29" s="33"/>
      <c r="Y29" s="33"/>
      <c r="Z29" s="33"/>
      <c r="AA29" s="33"/>
      <c r="AB29" s="33"/>
      <c r="AC29" s="33"/>
      <c r="AD29" s="33"/>
      <c r="AE29" s="33"/>
      <c r="AF29" s="33"/>
      <c r="AG29" s="33"/>
      <c r="AH29" s="33"/>
      <c r="AI29" s="33"/>
      <c r="AJ29" s="33"/>
      <c r="AK29" s="33"/>
      <c r="AL29" s="33"/>
    </row>
    <row r="30" spans="1:38" x14ac:dyDescent="0.35">
      <c r="A30" t="s">
        <v>71</v>
      </c>
      <c r="B30" s="37" t="s">
        <v>46</v>
      </c>
      <c r="C30" s="44">
        <v>1</v>
      </c>
      <c r="D30" s="45">
        <v>400000</v>
      </c>
      <c r="E30" s="36">
        <f>+C30*D30</f>
        <v>400000</v>
      </c>
      <c r="F30" s="46">
        <v>5</v>
      </c>
      <c r="H30" s="33">
        <f t="shared" si="6"/>
        <v>0</v>
      </c>
      <c r="I30" s="33">
        <f t="shared" si="6"/>
        <v>0</v>
      </c>
      <c r="J30" s="33">
        <f t="shared" si="5"/>
        <v>0</v>
      </c>
      <c r="K30" s="33">
        <f t="shared" si="5"/>
        <v>0</v>
      </c>
      <c r="L30" s="33">
        <f t="shared" si="5"/>
        <v>0</v>
      </c>
      <c r="M30" s="33">
        <f t="shared" si="5"/>
        <v>400000</v>
      </c>
      <c r="N30" s="33">
        <f t="shared" si="5"/>
        <v>0</v>
      </c>
      <c r="O30" s="33">
        <f t="shared" si="5"/>
        <v>0</v>
      </c>
      <c r="P30" s="33">
        <f t="shared" si="5"/>
        <v>0</v>
      </c>
      <c r="Q30" s="33">
        <f t="shared" si="5"/>
        <v>0</v>
      </c>
      <c r="R30" s="33"/>
      <c r="S30" s="33"/>
      <c r="T30" s="33"/>
      <c r="U30" s="33"/>
      <c r="V30" s="33"/>
      <c r="W30" s="33"/>
      <c r="X30" s="33"/>
      <c r="Y30" s="33"/>
      <c r="Z30" s="33"/>
      <c r="AA30" s="33"/>
      <c r="AB30" s="33"/>
      <c r="AC30" s="33"/>
      <c r="AD30" s="33"/>
      <c r="AE30" s="33"/>
      <c r="AF30" s="33"/>
      <c r="AG30" s="33"/>
      <c r="AH30" s="33"/>
      <c r="AI30" s="33"/>
      <c r="AJ30" s="33"/>
      <c r="AK30" s="33"/>
      <c r="AL30" s="33"/>
    </row>
    <row r="31" spans="1:38" x14ac:dyDescent="0.35">
      <c r="A31" s="48" t="s">
        <v>72</v>
      </c>
      <c r="B31" s="49" t="s">
        <v>46</v>
      </c>
      <c r="C31" s="50">
        <v>1</v>
      </c>
      <c r="D31" s="51">
        <v>400000</v>
      </c>
      <c r="E31" s="52">
        <f>+C31*D31</f>
        <v>400000</v>
      </c>
      <c r="F31" s="53">
        <v>5</v>
      </c>
      <c r="H31" s="54">
        <f t="shared" si="6"/>
        <v>0</v>
      </c>
      <c r="I31" s="54">
        <f t="shared" si="6"/>
        <v>0</v>
      </c>
      <c r="J31" s="54">
        <f t="shared" si="5"/>
        <v>0</v>
      </c>
      <c r="K31" s="54">
        <f t="shared" si="5"/>
        <v>0</v>
      </c>
      <c r="L31" s="54">
        <f t="shared" si="5"/>
        <v>0</v>
      </c>
      <c r="M31" s="54">
        <f t="shared" si="5"/>
        <v>400000</v>
      </c>
      <c r="N31" s="54">
        <f t="shared" si="5"/>
        <v>0</v>
      </c>
      <c r="O31" s="54">
        <f t="shared" si="5"/>
        <v>0</v>
      </c>
      <c r="P31" s="54">
        <f t="shared" si="5"/>
        <v>0</v>
      </c>
      <c r="Q31" s="54">
        <f t="shared" si="5"/>
        <v>0</v>
      </c>
      <c r="R31" s="60"/>
      <c r="S31" s="60"/>
      <c r="T31" s="60"/>
      <c r="U31" s="60"/>
      <c r="V31" s="60"/>
      <c r="W31" s="60"/>
      <c r="X31" s="60"/>
      <c r="Y31" s="60"/>
      <c r="Z31" s="60"/>
      <c r="AA31" s="60"/>
      <c r="AB31" s="60"/>
      <c r="AC31" s="60"/>
      <c r="AD31" s="60"/>
      <c r="AE31" s="60"/>
      <c r="AF31" s="60"/>
      <c r="AG31" s="60"/>
      <c r="AH31" s="60"/>
      <c r="AI31" s="60"/>
      <c r="AJ31" s="60"/>
      <c r="AK31" s="60"/>
      <c r="AL31" s="60"/>
    </row>
    <row r="32" spans="1:38" x14ac:dyDescent="0.35">
      <c r="A32" s="55" t="s">
        <v>73</v>
      </c>
      <c r="B32" s="55"/>
      <c r="C32" s="55"/>
      <c r="D32" s="56"/>
      <c r="E32" s="56">
        <f>SUM(E15:E31)</f>
        <v>7620000</v>
      </c>
      <c r="H32" s="61">
        <f>SUM(H15:H31)</f>
        <v>0</v>
      </c>
      <c r="I32" s="61">
        <f>SUM(I15:I31)</f>
        <v>0</v>
      </c>
      <c r="J32" s="61">
        <f t="shared" ref="J32:Q32" si="7">SUM(J15:J31)</f>
        <v>900000</v>
      </c>
      <c r="K32" s="61">
        <f t="shared" si="7"/>
        <v>520000</v>
      </c>
      <c r="L32" s="61">
        <f t="shared" si="7"/>
        <v>900000</v>
      </c>
      <c r="M32" s="61">
        <f t="shared" si="7"/>
        <v>6200000</v>
      </c>
      <c r="N32" s="61">
        <f t="shared" si="7"/>
        <v>1420000</v>
      </c>
      <c r="O32" s="61">
        <f t="shared" si="7"/>
        <v>0</v>
      </c>
      <c r="P32" s="61">
        <f t="shared" si="7"/>
        <v>900000</v>
      </c>
      <c r="Q32" s="61">
        <f t="shared" si="7"/>
        <v>520000</v>
      </c>
      <c r="R32" s="61"/>
      <c r="S32" s="61">
        <f>SUM(E32:Q32)</f>
        <v>18980000</v>
      </c>
      <c r="T32" s="61">
        <f>+S32*4</f>
        <v>75920000</v>
      </c>
      <c r="U32" s="61"/>
      <c r="V32" s="61"/>
      <c r="W32" s="61"/>
      <c r="X32" s="61"/>
      <c r="Y32" s="61"/>
      <c r="Z32" s="61"/>
      <c r="AA32" s="61"/>
      <c r="AB32" s="61"/>
      <c r="AC32" s="61"/>
      <c r="AD32" s="61"/>
      <c r="AE32" s="61"/>
      <c r="AF32" s="61"/>
      <c r="AG32" s="61"/>
      <c r="AH32" s="61"/>
      <c r="AI32" s="61"/>
      <c r="AJ32" s="61"/>
      <c r="AK32" s="61"/>
      <c r="AL32" s="61"/>
    </row>
    <row r="34" spans="1:38" x14ac:dyDescent="0.35">
      <c r="A34" s="57" t="s">
        <v>74</v>
      </c>
      <c r="B34" s="58"/>
      <c r="C34" s="58"/>
      <c r="D34" s="58"/>
      <c r="E34" s="58"/>
      <c r="H34" s="292" t="s">
        <v>54</v>
      </c>
      <c r="I34" s="292"/>
      <c r="J34" s="292"/>
      <c r="K34" s="292"/>
      <c r="L34" s="292"/>
      <c r="M34" s="292"/>
      <c r="N34" s="292"/>
      <c r="O34" s="292"/>
      <c r="P34" s="292"/>
      <c r="Q34" s="292"/>
      <c r="R34" s="55"/>
      <c r="S34" s="55"/>
      <c r="T34" s="55"/>
      <c r="U34" s="55"/>
      <c r="V34" s="55"/>
      <c r="W34" s="55"/>
      <c r="X34" s="55"/>
      <c r="Y34" s="55"/>
      <c r="Z34" s="55"/>
      <c r="AA34" s="55"/>
      <c r="AB34" s="55"/>
      <c r="AC34" s="55"/>
      <c r="AD34" s="55"/>
      <c r="AE34" s="55"/>
      <c r="AF34" s="55"/>
      <c r="AG34" s="55"/>
      <c r="AH34" s="55"/>
      <c r="AI34" s="55"/>
      <c r="AJ34" s="55"/>
      <c r="AK34" s="55"/>
      <c r="AL34" s="55"/>
    </row>
    <row r="35" spans="1:38" x14ac:dyDescent="0.35">
      <c r="A35" s="42" t="s">
        <v>39</v>
      </c>
      <c r="B35" s="42" t="s">
        <v>40</v>
      </c>
      <c r="C35" s="42" t="s">
        <v>41</v>
      </c>
      <c r="D35" s="42" t="s">
        <v>42</v>
      </c>
      <c r="E35" s="42" t="s">
        <v>43</v>
      </c>
      <c r="F35" s="42" t="s">
        <v>44</v>
      </c>
      <c r="H35" s="34">
        <v>1</v>
      </c>
      <c r="I35" s="34">
        <f>H35+1</f>
        <v>2</v>
      </c>
      <c r="J35" s="34">
        <f t="shared" ref="J35:Q35" si="8">I35+1</f>
        <v>3</v>
      </c>
      <c r="K35" s="34">
        <f t="shared" si="8"/>
        <v>4</v>
      </c>
      <c r="L35" s="34">
        <f t="shared" si="8"/>
        <v>5</v>
      </c>
      <c r="M35" s="34">
        <f t="shared" si="8"/>
        <v>6</v>
      </c>
      <c r="N35" s="34">
        <f t="shared" si="8"/>
        <v>7</v>
      </c>
      <c r="O35" s="34">
        <f t="shared" si="8"/>
        <v>8</v>
      </c>
      <c r="P35" s="34">
        <f t="shared" si="8"/>
        <v>9</v>
      </c>
      <c r="Q35" s="34">
        <f t="shared" si="8"/>
        <v>10</v>
      </c>
      <c r="R35" s="43"/>
      <c r="S35" s="43"/>
      <c r="T35" s="43"/>
      <c r="U35" s="43"/>
      <c r="V35" s="43"/>
      <c r="W35" s="43"/>
      <c r="X35" s="43"/>
      <c r="Y35" s="43"/>
      <c r="Z35" s="43"/>
      <c r="AA35" s="43"/>
      <c r="AB35" s="43"/>
      <c r="AC35" s="43"/>
      <c r="AD35" s="43"/>
      <c r="AE35" s="43"/>
      <c r="AF35" s="43"/>
      <c r="AG35" s="43"/>
      <c r="AH35" s="43"/>
      <c r="AI35" s="43"/>
      <c r="AJ35" s="43"/>
      <c r="AK35" s="43"/>
      <c r="AL35" s="43"/>
    </row>
    <row r="36" spans="1:38" x14ac:dyDescent="0.35">
      <c r="A36" s="55" t="s">
        <v>75</v>
      </c>
    </row>
    <row r="37" spans="1:38" x14ac:dyDescent="0.35">
      <c r="A37" t="s">
        <v>76</v>
      </c>
      <c r="B37" s="37" t="s">
        <v>46</v>
      </c>
      <c r="C37" s="44">
        <v>1</v>
      </c>
      <c r="D37" s="45">
        <v>1000000</v>
      </c>
      <c r="E37" s="36">
        <f t="shared" ref="E37:E42" si="9">+C37*D37</f>
        <v>1000000</v>
      </c>
      <c r="F37" s="46">
        <v>5</v>
      </c>
      <c r="H37" s="33">
        <f t="shared" ref="H37:Q53" si="10">IF($F37+1=H$13,$E37,IF(($F37*2)+1=H$13,$E37,IF((($F37*3)+1)=H$13,$E37,IF((($F37*4)+1)=H$13,$E37,IF((($F37*5)+1)=H$13,$E37,0)))))</f>
        <v>0</v>
      </c>
      <c r="I37" s="33">
        <f t="shared" si="10"/>
        <v>0</v>
      </c>
      <c r="J37" s="33">
        <f t="shared" si="10"/>
        <v>0</v>
      </c>
      <c r="K37" s="33">
        <f t="shared" si="10"/>
        <v>0</v>
      </c>
      <c r="L37" s="33">
        <f t="shared" si="10"/>
        <v>0</v>
      </c>
      <c r="M37" s="33">
        <f t="shared" si="10"/>
        <v>1000000</v>
      </c>
      <c r="N37" s="33">
        <f t="shared" si="10"/>
        <v>0</v>
      </c>
      <c r="O37" s="33">
        <f t="shared" si="10"/>
        <v>0</v>
      </c>
      <c r="P37" s="33">
        <f t="shared" si="10"/>
        <v>0</v>
      </c>
      <c r="Q37" s="33">
        <f t="shared" si="10"/>
        <v>0</v>
      </c>
      <c r="R37" s="33"/>
      <c r="S37" s="33"/>
      <c r="T37" s="33"/>
      <c r="U37" s="33"/>
      <c r="V37" s="33"/>
      <c r="W37" s="33"/>
      <c r="X37" s="33"/>
      <c r="Y37" s="33"/>
      <c r="Z37" s="33"/>
      <c r="AA37" s="33"/>
      <c r="AB37" s="33"/>
      <c r="AC37" s="33"/>
      <c r="AD37" s="33"/>
      <c r="AE37" s="33"/>
      <c r="AF37" s="33"/>
      <c r="AG37" s="33"/>
      <c r="AH37" s="33"/>
      <c r="AI37" s="33"/>
      <c r="AJ37" s="33"/>
      <c r="AK37" s="33"/>
      <c r="AL37" s="33"/>
    </row>
    <row r="38" spans="1:38" x14ac:dyDescent="0.35">
      <c r="A38" t="s">
        <v>57</v>
      </c>
      <c r="B38" s="37" t="s">
        <v>46</v>
      </c>
      <c r="C38" s="44">
        <v>2</v>
      </c>
      <c r="D38" s="45">
        <v>60000</v>
      </c>
      <c r="E38" s="36">
        <f t="shared" si="9"/>
        <v>120000</v>
      </c>
      <c r="F38" s="46">
        <v>3</v>
      </c>
      <c r="H38" s="33">
        <f t="shared" si="10"/>
        <v>0</v>
      </c>
      <c r="I38" s="33">
        <f t="shared" si="10"/>
        <v>0</v>
      </c>
      <c r="J38" s="33">
        <f t="shared" si="10"/>
        <v>0</v>
      </c>
      <c r="K38" s="33">
        <f t="shared" si="10"/>
        <v>120000</v>
      </c>
      <c r="L38" s="33">
        <f t="shared" si="10"/>
        <v>0</v>
      </c>
      <c r="M38" s="33">
        <f t="shared" si="10"/>
        <v>0</v>
      </c>
      <c r="N38" s="33">
        <f t="shared" si="10"/>
        <v>120000</v>
      </c>
      <c r="O38" s="33">
        <f t="shared" si="10"/>
        <v>0</v>
      </c>
      <c r="P38" s="33">
        <f t="shared" si="10"/>
        <v>0</v>
      </c>
      <c r="Q38" s="33">
        <f t="shared" si="10"/>
        <v>120000</v>
      </c>
      <c r="R38" s="33"/>
      <c r="S38" s="33"/>
      <c r="T38" s="33"/>
      <c r="U38" s="33"/>
      <c r="V38" s="33"/>
      <c r="W38" s="33"/>
      <c r="X38" s="33"/>
      <c r="Y38" s="33"/>
      <c r="Z38" s="33"/>
      <c r="AA38" s="33"/>
      <c r="AB38" s="33"/>
      <c r="AC38" s="33"/>
      <c r="AD38" s="33"/>
      <c r="AE38" s="33"/>
      <c r="AF38" s="33"/>
      <c r="AG38" s="33"/>
      <c r="AH38" s="33"/>
      <c r="AI38" s="33"/>
      <c r="AJ38" s="33"/>
      <c r="AK38" s="33"/>
      <c r="AL38" s="33"/>
    </row>
    <row r="39" spans="1:38" x14ac:dyDescent="0.35">
      <c r="A39" t="s">
        <v>58</v>
      </c>
      <c r="B39" s="37" t="s">
        <v>46</v>
      </c>
      <c r="C39" s="44">
        <v>2</v>
      </c>
      <c r="D39" s="45">
        <v>100000</v>
      </c>
      <c r="E39" s="36">
        <f t="shared" si="9"/>
        <v>200000</v>
      </c>
      <c r="F39" s="46">
        <v>2</v>
      </c>
      <c r="H39" s="33">
        <f t="shared" si="10"/>
        <v>0</v>
      </c>
      <c r="I39" s="33">
        <f t="shared" si="10"/>
        <v>0</v>
      </c>
      <c r="J39" s="33">
        <f t="shared" si="10"/>
        <v>200000</v>
      </c>
      <c r="K39" s="33">
        <f t="shared" si="10"/>
        <v>0</v>
      </c>
      <c r="L39" s="33">
        <f t="shared" si="10"/>
        <v>200000</v>
      </c>
      <c r="M39" s="33">
        <f t="shared" si="10"/>
        <v>0</v>
      </c>
      <c r="N39" s="33">
        <f t="shared" si="10"/>
        <v>200000</v>
      </c>
      <c r="O39" s="33">
        <f t="shared" si="10"/>
        <v>0</v>
      </c>
      <c r="P39" s="33">
        <f t="shared" si="10"/>
        <v>200000</v>
      </c>
      <c r="Q39" s="33">
        <f t="shared" si="10"/>
        <v>0</v>
      </c>
      <c r="R39" s="33"/>
      <c r="S39" s="33"/>
      <c r="T39" s="33"/>
      <c r="U39" s="33"/>
      <c r="V39" s="33"/>
      <c r="W39" s="33"/>
      <c r="X39" s="33"/>
      <c r="Y39" s="33"/>
      <c r="Z39" s="33"/>
      <c r="AA39" s="33"/>
      <c r="AB39" s="33"/>
      <c r="AC39" s="33"/>
      <c r="AD39" s="33"/>
      <c r="AE39" s="33"/>
      <c r="AF39" s="33"/>
      <c r="AG39" s="33"/>
      <c r="AH39" s="33"/>
      <c r="AI39" s="33"/>
      <c r="AJ39" s="33"/>
      <c r="AK39" s="33"/>
      <c r="AL39" s="33"/>
    </row>
    <row r="40" spans="1:38" x14ac:dyDescent="0.35">
      <c r="A40" t="s">
        <v>60</v>
      </c>
      <c r="B40" s="37" t="s">
        <v>46</v>
      </c>
      <c r="C40" s="44">
        <v>2</v>
      </c>
      <c r="D40" s="45">
        <v>100000</v>
      </c>
      <c r="E40" s="36">
        <f t="shared" si="9"/>
        <v>200000</v>
      </c>
      <c r="F40" s="46">
        <v>2</v>
      </c>
      <c r="H40" s="33">
        <f t="shared" si="10"/>
        <v>0</v>
      </c>
      <c r="I40" s="33">
        <f t="shared" si="10"/>
        <v>0</v>
      </c>
      <c r="J40" s="33">
        <f t="shared" si="10"/>
        <v>200000</v>
      </c>
      <c r="K40" s="33">
        <f t="shared" si="10"/>
        <v>0</v>
      </c>
      <c r="L40" s="33">
        <f t="shared" si="10"/>
        <v>200000</v>
      </c>
      <c r="M40" s="33">
        <f t="shared" si="10"/>
        <v>0</v>
      </c>
      <c r="N40" s="33">
        <f t="shared" si="10"/>
        <v>200000</v>
      </c>
      <c r="O40" s="33">
        <f t="shared" si="10"/>
        <v>0</v>
      </c>
      <c r="P40" s="33">
        <f t="shared" si="10"/>
        <v>200000</v>
      </c>
      <c r="Q40" s="33">
        <f t="shared" si="10"/>
        <v>0</v>
      </c>
      <c r="R40" s="33"/>
      <c r="S40" s="33"/>
      <c r="T40" s="33"/>
      <c r="U40" s="33"/>
      <c r="V40" s="33"/>
      <c r="W40" s="33"/>
      <c r="X40" s="33"/>
      <c r="Y40" s="33"/>
      <c r="Z40" s="33"/>
      <c r="AA40" s="33"/>
      <c r="AB40" s="33"/>
      <c r="AC40" s="33"/>
      <c r="AD40" s="33"/>
      <c r="AE40" s="33"/>
      <c r="AF40" s="33"/>
      <c r="AG40" s="33"/>
      <c r="AH40" s="33"/>
      <c r="AI40" s="33"/>
      <c r="AJ40" s="33"/>
      <c r="AK40" s="33"/>
      <c r="AL40" s="33"/>
    </row>
    <row r="41" spans="1:38" x14ac:dyDescent="0.35">
      <c r="A41" t="s">
        <v>61</v>
      </c>
      <c r="B41" s="37" t="s">
        <v>46</v>
      </c>
      <c r="C41" s="44">
        <v>2</v>
      </c>
      <c r="D41" s="45">
        <v>200000</v>
      </c>
      <c r="E41" s="36">
        <f t="shared" si="9"/>
        <v>400000</v>
      </c>
      <c r="F41" s="46">
        <v>2</v>
      </c>
      <c r="H41" s="33">
        <f t="shared" si="10"/>
        <v>0</v>
      </c>
      <c r="I41" s="33">
        <f t="shared" si="10"/>
        <v>0</v>
      </c>
      <c r="J41" s="33">
        <f t="shared" si="10"/>
        <v>400000</v>
      </c>
      <c r="K41" s="33">
        <f t="shared" si="10"/>
        <v>0</v>
      </c>
      <c r="L41" s="33">
        <f t="shared" si="10"/>
        <v>400000</v>
      </c>
      <c r="M41" s="33">
        <f t="shared" si="10"/>
        <v>0</v>
      </c>
      <c r="N41" s="33">
        <f t="shared" si="10"/>
        <v>400000</v>
      </c>
      <c r="O41" s="33">
        <f t="shared" si="10"/>
        <v>0</v>
      </c>
      <c r="P41" s="33">
        <f t="shared" si="10"/>
        <v>400000</v>
      </c>
      <c r="Q41" s="33">
        <f t="shared" si="10"/>
        <v>0</v>
      </c>
      <c r="R41" s="33"/>
      <c r="S41" s="33"/>
      <c r="T41" s="33"/>
      <c r="U41" s="33"/>
      <c r="V41" s="33"/>
      <c r="W41" s="33"/>
      <c r="X41" s="33"/>
      <c r="Y41" s="33"/>
      <c r="Z41" s="33"/>
      <c r="AA41" s="33"/>
      <c r="AB41" s="33"/>
      <c r="AC41" s="33"/>
      <c r="AD41" s="33"/>
      <c r="AE41" s="33"/>
      <c r="AF41" s="33"/>
      <c r="AG41" s="33"/>
      <c r="AH41" s="33"/>
      <c r="AI41" s="33"/>
      <c r="AJ41" s="33"/>
      <c r="AK41" s="33"/>
      <c r="AL41" s="33"/>
    </row>
    <row r="42" spans="1:38" x14ac:dyDescent="0.35">
      <c r="A42" t="s">
        <v>63</v>
      </c>
      <c r="B42" s="37" t="s">
        <v>49</v>
      </c>
      <c r="C42" s="44">
        <v>1</v>
      </c>
      <c r="D42" s="45">
        <v>500000</v>
      </c>
      <c r="E42" s="36">
        <f t="shared" si="9"/>
        <v>500000</v>
      </c>
      <c r="F42" s="46">
        <v>5</v>
      </c>
      <c r="H42" s="33">
        <f t="shared" si="10"/>
        <v>0</v>
      </c>
      <c r="I42" s="33">
        <f t="shared" si="10"/>
        <v>0</v>
      </c>
      <c r="J42" s="33">
        <f t="shared" si="10"/>
        <v>0</v>
      </c>
      <c r="K42" s="33">
        <f t="shared" si="10"/>
        <v>0</v>
      </c>
      <c r="L42" s="33">
        <f t="shared" si="10"/>
        <v>0</v>
      </c>
      <c r="M42" s="33">
        <f t="shared" si="10"/>
        <v>500000</v>
      </c>
      <c r="N42" s="33">
        <f t="shared" si="10"/>
        <v>0</v>
      </c>
      <c r="O42" s="33">
        <f t="shared" si="10"/>
        <v>0</v>
      </c>
      <c r="P42" s="33">
        <f t="shared" si="10"/>
        <v>0</v>
      </c>
      <c r="Q42" s="33">
        <f t="shared" si="10"/>
        <v>0</v>
      </c>
      <c r="R42" s="33"/>
      <c r="S42" s="33"/>
      <c r="T42" s="33"/>
      <c r="U42" s="33"/>
      <c r="V42" s="33"/>
      <c r="W42" s="33"/>
      <c r="X42" s="33"/>
      <c r="Y42" s="33"/>
      <c r="Z42" s="33"/>
      <c r="AA42" s="33"/>
      <c r="AB42" s="33"/>
      <c r="AC42" s="33"/>
      <c r="AD42" s="33"/>
      <c r="AE42" s="33"/>
      <c r="AF42" s="33"/>
      <c r="AG42" s="33"/>
      <c r="AH42" s="33"/>
      <c r="AI42" s="33"/>
      <c r="AJ42" s="33"/>
      <c r="AK42" s="33"/>
      <c r="AL42" s="33"/>
    </row>
    <row r="43" spans="1:38" x14ac:dyDescent="0.35">
      <c r="A43" s="55" t="s">
        <v>65</v>
      </c>
      <c r="D43" s="59"/>
      <c r="E43" s="47"/>
      <c r="F43" s="46"/>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row>
    <row r="44" spans="1:38" x14ac:dyDescent="0.35">
      <c r="A44" t="s">
        <v>66</v>
      </c>
      <c r="B44" s="37" t="s">
        <v>46</v>
      </c>
      <c r="C44" s="44">
        <v>2</v>
      </c>
      <c r="D44" s="45">
        <v>50000</v>
      </c>
      <c r="E44" s="36">
        <f>+C44*D44</f>
        <v>100000</v>
      </c>
      <c r="F44" s="46">
        <v>2</v>
      </c>
      <c r="H44" s="33">
        <f t="shared" si="10"/>
        <v>0</v>
      </c>
      <c r="I44" s="33">
        <f t="shared" si="10"/>
        <v>0</v>
      </c>
      <c r="J44" s="33">
        <f t="shared" si="10"/>
        <v>100000</v>
      </c>
      <c r="K44" s="33">
        <f t="shared" si="10"/>
        <v>0</v>
      </c>
      <c r="L44" s="33">
        <f t="shared" si="10"/>
        <v>100000</v>
      </c>
      <c r="M44" s="33">
        <f t="shared" si="10"/>
        <v>0</v>
      </c>
      <c r="N44" s="33">
        <f t="shared" si="10"/>
        <v>100000</v>
      </c>
      <c r="O44" s="33">
        <f t="shared" si="10"/>
        <v>0</v>
      </c>
      <c r="P44" s="33">
        <f t="shared" si="10"/>
        <v>100000</v>
      </c>
      <c r="Q44" s="33">
        <f t="shared" si="10"/>
        <v>0</v>
      </c>
      <c r="R44" s="33"/>
      <c r="S44" s="33"/>
      <c r="T44" s="33"/>
      <c r="U44" s="33"/>
      <c r="V44" s="33"/>
      <c r="W44" s="33"/>
      <c r="X44" s="33"/>
      <c r="Y44" s="33"/>
      <c r="Z44" s="33"/>
      <c r="AA44" s="33"/>
      <c r="AB44" s="33"/>
      <c r="AC44" s="33"/>
      <c r="AD44" s="33"/>
      <c r="AE44" s="33"/>
      <c r="AF44" s="33"/>
      <c r="AG44" s="33"/>
      <c r="AH44" s="33"/>
      <c r="AI44" s="33"/>
      <c r="AJ44" s="33"/>
      <c r="AK44" s="33"/>
      <c r="AL44" s="33"/>
    </row>
    <row r="45" spans="1:38" x14ac:dyDescent="0.35">
      <c r="A45" s="55" t="s">
        <v>68</v>
      </c>
      <c r="D45" s="59"/>
      <c r="E45" s="47"/>
      <c r="F45" s="46"/>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row>
    <row r="46" spans="1:38" x14ac:dyDescent="0.35">
      <c r="A46" t="s">
        <v>77</v>
      </c>
      <c r="B46" s="37" t="s">
        <v>46</v>
      </c>
      <c r="C46" s="44">
        <v>1</v>
      </c>
      <c r="D46" s="45">
        <v>500000</v>
      </c>
      <c r="E46" s="36">
        <f>+C46*D46</f>
        <v>500000</v>
      </c>
      <c r="F46" s="46">
        <v>5</v>
      </c>
      <c r="H46" s="33">
        <f t="shared" si="10"/>
        <v>0</v>
      </c>
      <c r="I46" s="33">
        <f t="shared" si="10"/>
        <v>0</v>
      </c>
      <c r="J46" s="33">
        <f t="shared" si="10"/>
        <v>0</v>
      </c>
      <c r="K46" s="33">
        <f t="shared" si="10"/>
        <v>0</v>
      </c>
      <c r="L46" s="33">
        <f t="shared" si="10"/>
        <v>0</v>
      </c>
      <c r="M46" s="33">
        <f t="shared" si="10"/>
        <v>500000</v>
      </c>
      <c r="N46" s="33">
        <f t="shared" si="10"/>
        <v>0</v>
      </c>
      <c r="O46" s="33">
        <f t="shared" si="10"/>
        <v>0</v>
      </c>
      <c r="P46" s="33">
        <f t="shared" si="10"/>
        <v>0</v>
      </c>
      <c r="Q46" s="33">
        <f t="shared" si="10"/>
        <v>0</v>
      </c>
      <c r="R46" s="33"/>
      <c r="S46" s="33"/>
      <c r="T46" s="33"/>
      <c r="U46" s="33"/>
      <c r="V46" s="33"/>
      <c r="W46" s="33"/>
      <c r="X46" s="33"/>
      <c r="Y46" s="33"/>
      <c r="Z46" s="33"/>
      <c r="AA46" s="33"/>
      <c r="AB46" s="33"/>
      <c r="AC46" s="33"/>
      <c r="AD46" s="33"/>
      <c r="AE46" s="33"/>
      <c r="AF46" s="33"/>
      <c r="AG46" s="33"/>
      <c r="AH46" s="33"/>
      <c r="AI46" s="33"/>
      <c r="AJ46" s="33"/>
      <c r="AK46" s="33"/>
      <c r="AL46" s="33"/>
    </row>
    <row r="47" spans="1:38" x14ac:dyDescent="0.35">
      <c r="A47" s="55" t="s">
        <v>78</v>
      </c>
      <c r="D47" s="62"/>
      <c r="F47" s="46"/>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row>
    <row r="48" spans="1:38" x14ac:dyDescent="0.35">
      <c r="A48" t="s">
        <v>79</v>
      </c>
      <c r="B48" s="37" t="s">
        <v>49</v>
      </c>
      <c r="C48" s="37">
        <v>1</v>
      </c>
      <c r="D48" s="45">
        <v>500000</v>
      </c>
      <c r="E48" s="36">
        <f t="shared" ref="E48:E56" si="11">+C48*D48</f>
        <v>500000</v>
      </c>
      <c r="F48" s="46">
        <v>5</v>
      </c>
      <c r="H48" s="33">
        <f t="shared" si="10"/>
        <v>0</v>
      </c>
      <c r="I48" s="33">
        <f t="shared" si="10"/>
        <v>0</v>
      </c>
      <c r="J48" s="33">
        <f t="shared" si="10"/>
        <v>0</v>
      </c>
      <c r="K48" s="33">
        <f t="shared" si="10"/>
        <v>0</v>
      </c>
      <c r="L48" s="33">
        <f t="shared" si="10"/>
        <v>0</v>
      </c>
      <c r="M48" s="33">
        <f t="shared" si="10"/>
        <v>500000</v>
      </c>
      <c r="N48" s="33">
        <f t="shared" si="10"/>
        <v>0</v>
      </c>
      <c r="O48" s="33">
        <f t="shared" si="10"/>
        <v>0</v>
      </c>
      <c r="P48" s="33">
        <f t="shared" si="10"/>
        <v>0</v>
      </c>
      <c r="Q48" s="33">
        <f t="shared" si="10"/>
        <v>0</v>
      </c>
      <c r="R48" s="33"/>
      <c r="S48" s="33"/>
      <c r="T48" s="33"/>
      <c r="U48" s="33"/>
      <c r="V48" s="33"/>
      <c r="W48" s="33"/>
      <c r="X48" s="33"/>
      <c r="Y48" s="33"/>
      <c r="Z48" s="33"/>
      <c r="AA48" s="33"/>
      <c r="AB48" s="33"/>
      <c r="AC48" s="33"/>
      <c r="AD48" s="33"/>
      <c r="AE48" s="33"/>
      <c r="AF48" s="33"/>
      <c r="AG48" s="33"/>
      <c r="AH48" s="33"/>
      <c r="AI48" s="33"/>
      <c r="AJ48" s="33"/>
      <c r="AK48" s="33"/>
      <c r="AL48" s="33"/>
    </row>
    <row r="49" spans="1:38" x14ac:dyDescent="0.35">
      <c r="A49" t="s">
        <v>80</v>
      </c>
      <c r="B49" s="37" t="s">
        <v>46</v>
      </c>
      <c r="C49" s="37">
        <f>ROUNDUP(0.5*($C$6+1),0)</f>
        <v>2</v>
      </c>
      <c r="D49" s="45">
        <v>150000</v>
      </c>
      <c r="E49" s="36">
        <f t="shared" si="11"/>
        <v>300000</v>
      </c>
      <c r="F49" s="46">
        <v>2</v>
      </c>
      <c r="H49" s="33">
        <f t="shared" si="10"/>
        <v>0</v>
      </c>
      <c r="I49" s="33">
        <f t="shared" si="10"/>
        <v>0</v>
      </c>
      <c r="J49" s="33">
        <f t="shared" si="10"/>
        <v>300000</v>
      </c>
      <c r="K49" s="33">
        <f t="shared" si="10"/>
        <v>0</v>
      </c>
      <c r="L49" s="33">
        <f t="shared" si="10"/>
        <v>300000</v>
      </c>
      <c r="M49" s="33">
        <f t="shared" si="10"/>
        <v>0</v>
      </c>
      <c r="N49" s="33">
        <f t="shared" si="10"/>
        <v>300000</v>
      </c>
      <c r="O49" s="33">
        <f t="shared" si="10"/>
        <v>0</v>
      </c>
      <c r="P49" s="33">
        <f t="shared" si="10"/>
        <v>300000</v>
      </c>
      <c r="Q49" s="33">
        <f t="shared" si="10"/>
        <v>0</v>
      </c>
      <c r="R49" s="33"/>
      <c r="S49" s="33"/>
      <c r="T49" s="33"/>
      <c r="U49" s="33"/>
      <c r="V49" s="33"/>
      <c r="W49" s="33"/>
      <c r="X49" s="33"/>
      <c r="Y49" s="33"/>
      <c r="Z49" s="33"/>
      <c r="AA49" s="33"/>
      <c r="AB49" s="33"/>
      <c r="AC49" s="33"/>
      <c r="AD49" s="33"/>
      <c r="AE49" s="33"/>
      <c r="AF49" s="33"/>
      <c r="AG49" s="33"/>
      <c r="AH49" s="33"/>
      <c r="AI49" s="33"/>
      <c r="AJ49" s="33"/>
      <c r="AK49" s="33"/>
      <c r="AL49" s="33"/>
    </row>
    <row r="50" spans="1:38" x14ac:dyDescent="0.35">
      <c r="A50" t="s">
        <v>81</v>
      </c>
      <c r="B50" s="37" t="s">
        <v>46</v>
      </c>
      <c r="C50" s="37">
        <f>ROUNDUP(0.5*($C$6+1),0)</f>
        <v>2</v>
      </c>
      <c r="D50" s="45">
        <v>70000</v>
      </c>
      <c r="E50" s="36">
        <f t="shared" si="11"/>
        <v>140000</v>
      </c>
      <c r="F50" s="46">
        <v>2</v>
      </c>
      <c r="H50" s="33">
        <f t="shared" si="10"/>
        <v>0</v>
      </c>
      <c r="I50" s="33">
        <f t="shared" si="10"/>
        <v>0</v>
      </c>
      <c r="J50" s="33">
        <f t="shared" si="10"/>
        <v>140000</v>
      </c>
      <c r="K50" s="33">
        <f t="shared" si="10"/>
        <v>0</v>
      </c>
      <c r="L50" s="33">
        <f t="shared" si="10"/>
        <v>140000</v>
      </c>
      <c r="M50" s="33">
        <f t="shared" si="10"/>
        <v>0</v>
      </c>
      <c r="N50" s="33">
        <f t="shared" si="10"/>
        <v>140000</v>
      </c>
      <c r="O50" s="33">
        <f t="shared" si="10"/>
        <v>0</v>
      </c>
      <c r="P50" s="33">
        <f t="shared" si="10"/>
        <v>140000</v>
      </c>
      <c r="Q50" s="33">
        <f t="shared" si="10"/>
        <v>0</v>
      </c>
      <c r="R50" s="33"/>
      <c r="S50" s="33"/>
      <c r="T50" s="33"/>
      <c r="U50" s="33"/>
      <c r="V50" s="33"/>
      <c r="W50" s="33"/>
      <c r="X50" s="33"/>
      <c r="Y50" s="33"/>
      <c r="Z50" s="33"/>
      <c r="AA50" s="33"/>
      <c r="AB50" s="33"/>
      <c r="AC50" s="33"/>
      <c r="AD50" s="33"/>
      <c r="AE50" s="33"/>
      <c r="AF50" s="33"/>
      <c r="AG50" s="33"/>
      <c r="AH50" s="33"/>
      <c r="AI50" s="33"/>
      <c r="AJ50" s="33"/>
      <c r="AK50" s="33"/>
      <c r="AL50" s="33"/>
    </row>
    <row r="51" spans="1:38" x14ac:dyDescent="0.35">
      <c r="A51" t="s">
        <v>82</v>
      </c>
      <c r="B51" s="37" t="s">
        <v>49</v>
      </c>
      <c r="C51" s="37">
        <v>1</v>
      </c>
      <c r="D51" s="45">
        <v>150000</v>
      </c>
      <c r="E51" s="36">
        <f t="shared" si="11"/>
        <v>150000</v>
      </c>
      <c r="F51" s="46">
        <v>3</v>
      </c>
      <c r="H51" s="33">
        <f t="shared" si="10"/>
        <v>0</v>
      </c>
      <c r="I51" s="33">
        <f t="shared" si="10"/>
        <v>0</v>
      </c>
      <c r="J51" s="33">
        <f t="shared" si="10"/>
        <v>0</v>
      </c>
      <c r="K51" s="33">
        <f t="shared" si="10"/>
        <v>150000</v>
      </c>
      <c r="L51" s="33">
        <f t="shared" si="10"/>
        <v>0</v>
      </c>
      <c r="M51" s="33">
        <f t="shared" si="10"/>
        <v>0</v>
      </c>
      <c r="N51" s="33">
        <f t="shared" si="10"/>
        <v>150000</v>
      </c>
      <c r="O51" s="33">
        <f t="shared" si="10"/>
        <v>0</v>
      </c>
      <c r="P51" s="33">
        <f t="shared" si="10"/>
        <v>0</v>
      </c>
      <c r="Q51" s="33">
        <f t="shared" si="10"/>
        <v>150000</v>
      </c>
      <c r="R51" s="33"/>
      <c r="S51" s="33"/>
      <c r="T51" s="33"/>
      <c r="U51" s="33"/>
      <c r="V51" s="33"/>
      <c r="W51" s="33"/>
      <c r="X51" s="33"/>
      <c r="Y51" s="33"/>
      <c r="Z51" s="33"/>
      <c r="AA51" s="33"/>
      <c r="AB51" s="33"/>
      <c r="AC51" s="33"/>
      <c r="AD51" s="33"/>
      <c r="AE51" s="33"/>
      <c r="AF51" s="33"/>
      <c r="AG51" s="33"/>
      <c r="AH51" s="33"/>
      <c r="AI51" s="33"/>
      <c r="AJ51" s="33"/>
      <c r="AK51" s="33"/>
      <c r="AL51" s="33"/>
    </row>
    <row r="52" spans="1:38" x14ac:dyDescent="0.35">
      <c r="A52" t="s">
        <v>83</v>
      </c>
      <c r="B52" s="37" t="s">
        <v>46</v>
      </c>
      <c r="C52" s="37">
        <f>2*C6</f>
        <v>6</v>
      </c>
      <c r="D52" s="45">
        <v>50000</v>
      </c>
      <c r="E52" s="36">
        <f t="shared" si="11"/>
        <v>300000</v>
      </c>
      <c r="F52" s="46">
        <v>2</v>
      </c>
      <c r="H52" s="33">
        <f t="shared" si="10"/>
        <v>0</v>
      </c>
      <c r="I52" s="33">
        <f t="shared" si="10"/>
        <v>0</v>
      </c>
      <c r="J52" s="33">
        <f t="shared" si="10"/>
        <v>300000</v>
      </c>
      <c r="K52" s="33">
        <f t="shared" si="10"/>
        <v>0</v>
      </c>
      <c r="L52" s="33">
        <f t="shared" si="10"/>
        <v>300000</v>
      </c>
      <c r="M52" s="33">
        <f t="shared" si="10"/>
        <v>0</v>
      </c>
      <c r="N52" s="33">
        <f t="shared" si="10"/>
        <v>300000</v>
      </c>
      <c r="O52" s="33">
        <f t="shared" si="10"/>
        <v>0</v>
      </c>
      <c r="P52" s="33">
        <f t="shared" si="10"/>
        <v>300000</v>
      </c>
      <c r="Q52" s="33">
        <f t="shared" si="10"/>
        <v>0</v>
      </c>
      <c r="R52" s="33"/>
      <c r="S52" s="33"/>
      <c r="T52" s="33"/>
      <c r="U52" s="33"/>
      <c r="V52" s="33"/>
      <c r="W52" s="33"/>
      <c r="X52" s="33"/>
      <c r="Y52" s="33"/>
      <c r="Z52" s="33"/>
      <c r="AA52" s="33"/>
      <c r="AB52" s="33"/>
      <c r="AC52" s="33"/>
      <c r="AD52" s="33"/>
      <c r="AE52" s="33"/>
      <c r="AF52" s="33"/>
      <c r="AG52" s="33"/>
      <c r="AH52" s="33"/>
      <c r="AI52" s="33"/>
      <c r="AJ52" s="33"/>
      <c r="AK52" s="33"/>
      <c r="AL52" s="33"/>
    </row>
    <row r="53" spans="1:38" x14ac:dyDescent="0.35">
      <c r="A53" t="s">
        <v>84</v>
      </c>
      <c r="B53" s="37" t="s">
        <v>46</v>
      </c>
      <c r="C53" s="37">
        <v>4</v>
      </c>
      <c r="D53" s="45">
        <v>50000</v>
      </c>
      <c r="E53" s="36">
        <f t="shared" si="11"/>
        <v>200000</v>
      </c>
      <c r="F53" s="46">
        <v>2</v>
      </c>
      <c r="H53" s="33">
        <f t="shared" si="10"/>
        <v>0</v>
      </c>
      <c r="I53" s="33">
        <f t="shared" si="10"/>
        <v>0</v>
      </c>
      <c r="J53" s="33">
        <f t="shared" si="10"/>
        <v>200000</v>
      </c>
      <c r="K53" s="33">
        <f t="shared" si="10"/>
        <v>0</v>
      </c>
      <c r="L53" s="33">
        <f t="shared" si="10"/>
        <v>200000</v>
      </c>
      <c r="M53" s="33">
        <f t="shared" si="10"/>
        <v>0</v>
      </c>
      <c r="N53" s="33">
        <f t="shared" si="10"/>
        <v>200000</v>
      </c>
      <c r="O53" s="33">
        <f t="shared" si="10"/>
        <v>0</v>
      </c>
      <c r="P53" s="33">
        <f t="shared" si="10"/>
        <v>200000</v>
      </c>
      <c r="Q53" s="33">
        <f t="shared" si="10"/>
        <v>0</v>
      </c>
      <c r="R53" s="33"/>
      <c r="S53" s="33"/>
      <c r="T53" s="33"/>
      <c r="U53" s="33"/>
      <c r="V53" s="33"/>
      <c r="W53" s="33"/>
      <c r="X53" s="33"/>
      <c r="Y53" s="33"/>
      <c r="Z53" s="33"/>
      <c r="AA53" s="33"/>
      <c r="AB53" s="33"/>
      <c r="AC53" s="33"/>
      <c r="AD53" s="33"/>
      <c r="AE53" s="33"/>
      <c r="AF53" s="33"/>
      <c r="AG53" s="33"/>
      <c r="AH53" s="33"/>
      <c r="AI53" s="33"/>
      <c r="AJ53" s="33"/>
      <c r="AK53" s="33"/>
      <c r="AL53" s="33"/>
    </row>
    <row r="54" spans="1:38" x14ac:dyDescent="0.35">
      <c r="A54" t="s">
        <v>85</v>
      </c>
      <c r="B54" s="37" t="s">
        <v>46</v>
      </c>
      <c r="C54" s="37">
        <v>1</v>
      </c>
      <c r="D54" s="45">
        <v>1500000</v>
      </c>
      <c r="E54" s="36">
        <f t="shared" si="11"/>
        <v>1500000</v>
      </c>
      <c r="F54" s="46">
        <v>10</v>
      </c>
      <c r="H54" s="33">
        <f t="shared" ref="H54:Q60" si="12">IF($F54+1=H$13,$E54,IF(($F54*2)+1=H$13,$E54,IF((($F54*3)+1)=H$13,$E54,IF((($F54*4)+1)=H$13,$E54,IF((($F54*5)+1)=H$13,$E54,0)))))</f>
        <v>0</v>
      </c>
      <c r="I54" s="33">
        <f t="shared" si="12"/>
        <v>0</v>
      </c>
      <c r="J54" s="33">
        <f t="shared" si="12"/>
        <v>0</v>
      </c>
      <c r="K54" s="33">
        <f t="shared" si="12"/>
        <v>0</v>
      </c>
      <c r="L54" s="33">
        <f t="shared" si="12"/>
        <v>0</v>
      </c>
      <c r="M54" s="33">
        <f t="shared" si="12"/>
        <v>0</v>
      </c>
      <c r="N54" s="33">
        <f t="shared" si="12"/>
        <v>0</v>
      </c>
      <c r="O54" s="33">
        <f t="shared" si="12"/>
        <v>0</v>
      </c>
      <c r="P54" s="33">
        <f t="shared" si="12"/>
        <v>0</v>
      </c>
      <c r="Q54" s="33">
        <f t="shared" si="12"/>
        <v>0</v>
      </c>
      <c r="R54" s="33"/>
      <c r="S54" s="33"/>
      <c r="T54" s="33"/>
      <c r="U54" s="33"/>
      <c r="V54" s="33"/>
      <c r="W54" s="33"/>
      <c r="X54" s="33"/>
      <c r="Y54" s="33"/>
      <c r="Z54" s="33"/>
      <c r="AA54" s="33"/>
      <c r="AB54" s="33"/>
      <c r="AC54" s="33"/>
      <c r="AD54" s="33"/>
      <c r="AE54" s="33"/>
      <c r="AF54" s="33"/>
      <c r="AG54" s="33"/>
      <c r="AH54" s="33"/>
      <c r="AI54" s="33"/>
      <c r="AJ54" s="33"/>
      <c r="AK54" s="33"/>
      <c r="AL54" s="33"/>
    </row>
    <row r="55" spans="1:38" x14ac:dyDescent="0.35">
      <c r="A55" t="s">
        <v>86</v>
      </c>
      <c r="B55" s="37" t="s">
        <v>46</v>
      </c>
      <c r="C55" s="37">
        <v>1</v>
      </c>
      <c r="D55" s="45">
        <v>300000</v>
      </c>
      <c r="E55" s="36">
        <f t="shared" si="11"/>
        <v>300000</v>
      </c>
      <c r="F55" s="46">
        <v>5</v>
      </c>
      <c r="H55" s="33">
        <f t="shared" si="12"/>
        <v>0</v>
      </c>
      <c r="I55" s="33">
        <f t="shared" si="12"/>
        <v>0</v>
      </c>
      <c r="J55" s="33">
        <f t="shared" si="12"/>
        <v>0</v>
      </c>
      <c r="K55" s="33">
        <f t="shared" si="12"/>
        <v>0</v>
      </c>
      <c r="L55" s="33">
        <f t="shared" si="12"/>
        <v>0</v>
      </c>
      <c r="M55" s="33">
        <f t="shared" si="12"/>
        <v>300000</v>
      </c>
      <c r="N55" s="33">
        <f t="shared" si="12"/>
        <v>0</v>
      </c>
      <c r="O55" s="33">
        <f t="shared" si="12"/>
        <v>0</v>
      </c>
      <c r="P55" s="33">
        <f t="shared" si="12"/>
        <v>0</v>
      </c>
      <c r="Q55" s="33">
        <f t="shared" si="12"/>
        <v>0</v>
      </c>
      <c r="R55" s="33"/>
      <c r="S55" s="33"/>
      <c r="T55" s="33"/>
      <c r="U55" s="33"/>
      <c r="V55" s="33"/>
      <c r="W55" s="33"/>
      <c r="X55" s="33"/>
      <c r="Y55" s="33"/>
      <c r="Z55" s="33"/>
      <c r="AA55" s="33"/>
      <c r="AB55" s="33"/>
      <c r="AC55" s="33"/>
      <c r="AD55" s="33"/>
      <c r="AE55" s="33"/>
      <c r="AF55" s="33"/>
      <c r="AG55" s="33"/>
      <c r="AH55" s="33"/>
      <c r="AI55" s="33"/>
      <c r="AJ55" s="33"/>
      <c r="AK55" s="33"/>
      <c r="AL55" s="33"/>
    </row>
    <row r="56" spans="1:38" x14ac:dyDescent="0.35">
      <c r="A56" t="s">
        <v>87</v>
      </c>
      <c r="B56" s="37" t="s">
        <v>46</v>
      </c>
      <c r="C56" s="37">
        <v>1</v>
      </c>
      <c r="D56" s="45">
        <v>100000</v>
      </c>
      <c r="E56" s="36">
        <f t="shared" si="11"/>
        <v>100000</v>
      </c>
      <c r="F56" s="46">
        <v>3</v>
      </c>
      <c r="H56" s="33">
        <f t="shared" si="12"/>
        <v>0</v>
      </c>
      <c r="I56" s="33">
        <f t="shared" si="12"/>
        <v>0</v>
      </c>
      <c r="J56" s="33">
        <f t="shared" si="12"/>
        <v>0</v>
      </c>
      <c r="K56" s="33">
        <f t="shared" si="12"/>
        <v>100000</v>
      </c>
      <c r="L56" s="33">
        <f t="shared" si="12"/>
        <v>0</v>
      </c>
      <c r="M56" s="33">
        <f t="shared" si="12"/>
        <v>0</v>
      </c>
      <c r="N56" s="33">
        <f t="shared" si="12"/>
        <v>100000</v>
      </c>
      <c r="O56" s="33">
        <f t="shared" si="12"/>
        <v>0</v>
      </c>
      <c r="P56" s="33">
        <f t="shared" si="12"/>
        <v>0</v>
      </c>
      <c r="Q56" s="33">
        <f t="shared" si="12"/>
        <v>100000</v>
      </c>
      <c r="R56" s="33"/>
      <c r="S56" s="33"/>
      <c r="T56" s="33"/>
      <c r="U56" s="33"/>
      <c r="V56" s="33"/>
      <c r="W56" s="33"/>
      <c r="X56" s="33"/>
      <c r="Y56" s="33"/>
      <c r="Z56" s="33"/>
      <c r="AA56" s="33"/>
      <c r="AB56" s="33"/>
      <c r="AC56" s="33"/>
      <c r="AD56" s="33"/>
      <c r="AE56" s="33"/>
      <c r="AF56" s="33"/>
      <c r="AG56" s="33"/>
      <c r="AH56" s="33"/>
      <c r="AI56" s="33"/>
      <c r="AJ56" s="33"/>
      <c r="AK56" s="33"/>
      <c r="AL56" s="33"/>
    </row>
    <row r="57" spans="1:38" x14ac:dyDescent="0.35">
      <c r="A57" s="55" t="s">
        <v>74</v>
      </c>
      <c r="D57" s="62"/>
      <c r="F57" s="46"/>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row>
    <row r="58" spans="1:38" x14ac:dyDescent="0.35">
      <c r="A58" t="s">
        <v>88</v>
      </c>
      <c r="B58" s="37" t="s">
        <v>46</v>
      </c>
      <c r="C58" s="37">
        <v>1</v>
      </c>
      <c r="D58" s="45">
        <v>300000</v>
      </c>
      <c r="E58" s="36">
        <f t="shared" ref="E58:E60" si="13">+C58*D58</f>
        <v>300000</v>
      </c>
      <c r="F58" s="46">
        <v>5</v>
      </c>
      <c r="H58" s="33">
        <f t="shared" si="12"/>
        <v>0</v>
      </c>
      <c r="I58" s="33">
        <f t="shared" si="12"/>
        <v>0</v>
      </c>
      <c r="J58" s="33">
        <f t="shared" si="12"/>
        <v>0</v>
      </c>
      <c r="K58" s="33">
        <f t="shared" si="12"/>
        <v>0</v>
      </c>
      <c r="L58" s="33">
        <f t="shared" si="12"/>
        <v>0</v>
      </c>
      <c r="M58" s="33">
        <f t="shared" si="12"/>
        <v>300000</v>
      </c>
      <c r="N58" s="33">
        <f t="shared" si="12"/>
        <v>0</v>
      </c>
      <c r="O58" s="33">
        <f t="shared" si="12"/>
        <v>0</v>
      </c>
      <c r="P58" s="33">
        <f t="shared" si="12"/>
        <v>0</v>
      </c>
      <c r="Q58" s="33">
        <f t="shared" si="12"/>
        <v>0</v>
      </c>
      <c r="R58" s="33"/>
      <c r="S58" s="33"/>
      <c r="T58" s="33"/>
      <c r="U58" s="33"/>
      <c r="V58" s="33"/>
      <c r="W58" s="33"/>
      <c r="X58" s="33"/>
      <c r="Y58" s="33"/>
      <c r="Z58" s="33"/>
      <c r="AA58" s="33"/>
      <c r="AB58" s="33"/>
      <c r="AC58" s="33"/>
      <c r="AD58" s="33"/>
      <c r="AE58" s="33"/>
      <c r="AF58" s="33"/>
      <c r="AG58" s="33"/>
      <c r="AH58" s="33"/>
      <c r="AI58" s="33"/>
      <c r="AJ58" s="33"/>
      <c r="AK58" s="33"/>
      <c r="AL58" s="33"/>
    </row>
    <row r="59" spans="1:38" x14ac:dyDescent="0.35">
      <c r="A59" t="s">
        <v>89</v>
      </c>
      <c r="B59" s="37" t="s">
        <v>46</v>
      </c>
      <c r="C59" s="37">
        <v>1</v>
      </c>
      <c r="D59" s="45">
        <v>2500000</v>
      </c>
      <c r="E59" s="36">
        <f t="shared" si="13"/>
        <v>2500000</v>
      </c>
      <c r="F59" s="46">
        <v>5</v>
      </c>
      <c r="H59" s="33">
        <f t="shared" si="12"/>
        <v>0</v>
      </c>
      <c r="I59" s="33">
        <f t="shared" si="12"/>
        <v>0</v>
      </c>
      <c r="J59" s="33">
        <f t="shared" si="12"/>
        <v>0</v>
      </c>
      <c r="K59" s="33">
        <f t="shared" si="12"/>
        <v>0</v>
      </c>
      <c r="L59" s="33">
        <f t="shared" si="12"/>
        <v>0</v>
      </c>
      <c r="M59" s="33">
        <f t="shared" si="12"/>
        <v>2500000</v>
      </c>
      <c r="N59" s="33">
        <f t="shared" si="12"/>
        <v>0</v>
      </c>
      <c r="O59" s="33">
        <f t="shared" si="12"/>
        <v>0</v>
      </c>
      <c r="P59" s="33">
        <f t="shared" si="12"/>
        <v>0</v>
      </c>
      <c r="Q59" s="33">
        <f t="shared" si="12"/>
        <v>0</v>
      </c>
      <c r="R59" s="33"/>
      <c r="S59" s="33"/>
      <c r="T59" s="33"/>
      <c r="U59" s="33"/>
      <c r="V59" s="33"/>
      <c r="W59" s="33"/>
      <c r="X59" s="33"/>
      <c r="Y59" s="33"/>
      <c r="Z59" s="33"/>
      <c r="AA59" s="33"/>
      <c r="AB59" s="33"/>
      <c r="AC59" s="33"/>
      <c r="AD59" s="33"/>
      <c r="AE59" s="33"/>
      <c r="AF59" s="33"/>
      <c r="AG59" s="33"/>
      <c r="AH59" s="33"/>
      <c r="AI59" s="33"/>
      <c r="AJ59" s="33"/>
      <c r="AK59" s="33"/>
      <c r="AL59" s="33"/>
    </row>
    <row r="60" spans="1:38" x14ac:dyDescent="0.35">
      <c r="A60" s="48" t="s">
        <v>90</v>
      </c>
      <c r="B60" s="49" t="s">
        <v>46</v>
      </c>
      <c r="C60" s="49">
        <v>1</v>
      </c>
      <c r="D60" s="51">
        <v>300000</v>
      </c>
      <c r="E60" s="52">
        <f t="shared" si="13"/>
        <v>300000</v>
      </c>
      <c r="F60" s="53">
        <v>5</v>
      </c>
      <c r="H60" s="54">
        <f t="shared" si="12"/>
        <v>0</v>
      </c>
      <c r="I60" s="54">
        <f t="shared" si="12"/>
        <v>0</v>
      </c>
      <c r="J60" s="54">
        <f t="shared" si="12"/>
        <v>0</v>
      </c>
      <c r="K60" s="54">
        <f t="shared" si="12"/>
        <v>0</v>
      </c>
      <c r="L60" s="54">
        <f t="shared" si="12"/>
        <v>0</v>
      </c>
      <c r="M60" s="54">
        <f t="shared" si="12"/>
        <v>300000</v>
      </c>
      <c r="N60" s="54">
        <f t="shared" si="12"/>
        <v>0</v>
      </c>
      <c r="O60" s="54">
        <f t="shared" si="12"/>
        <v>0</v>
      </c>
      <c r="P60" s="54">
        <f t="shared" si="12"/>
        <v>0</v>
      </c>
      <c r="Q60" s="54">
        <f t="shared" si="12"/>
        <v>0</v>
      </c>
      <c r="R60" s="60"/>
      <c r="S60" s="60"/>
      <c r="T60" s="60"/>
      <c r="U60" s="60"/>
      <c r="V60" s="60"/>
      <c r="W60" s="60"/>
      <c r="X60" s="60"/>
      <c r="Y60" s="60"/>
      <c r="Z60" s="60"/>
      <c r="AA60" s="60"/>
      <c r="AB60" s="60"/>
      <c r="AC60" s="60"/>
      <c r="AD60" s="60"/>
      <c r="AE60" s="60"/>
      <c r="AF60" s="60"/>
      <c r="AG60" s="60"/>
      <c r="AH60" s="60"/>
      <c r="AI60" s="60"/>
      <c r="AJ60" s="60"/>
      <c r="AK60" s="60"/>
      <c r="AL60" s="60"/>
    </row>
    <row r="61" spans="1:38" x14ac:dyDescent="0.35">
      <c r="A61" s="55" t="s">
        <v>91</v>
      </c>
      <c r="B61" s="55"/>
      <c r="C61" s="55"/>
      <c r="D61" s="56"/>
      <c r="E61" s="56">
        <f>SUM(E37:E60)</f>
        <v>9610000</v>
      </c>
      <c r="H61" s="61">
        <f>SUM(H37:H60)</f>
        <v>0</v>
      </c>
      <c r="I61" s="61">
        <f>SUM(I37:I60)</f>
        <v>0</v>
      </c>
      <c r="J61" s="61">
        <f>SUM(J37:J60)</f>
        <v>1840000</v>
      </c>
      <c r="K61" s="61">
        <f t="shared" ref="K61:Q61" si="14">SUM(K37:K60)</f>
        <v>370000</v>
      </c>
      <c r="L61" s="61">
        <f t="shared" si="14"/>
        <v>1840000</v>
      </c>
      <c r="M61" s="61">
        <f t="shared" si="14"/>
        <v>5900000</v>
      </c>
      <c r="N61" s="61">
        <f t="shared" si="14"/>
        <v>2210000</v>
      </c>
      <c r="O61" s="61">
        <f t="shared" si="14"/>
        <v>0</v>
      </c>
      <c r="P61" s="61">
        <f t="shared" si="14"/>
        <v>1840000</v>
      </c>
      <c r="Q61" s="61">
        <f t="shared" si="14"/>
        <v>370000</v>
      </c>
      <c r="R61" s="61"/>
      <c r="S61" s="61">
        <f>SUM(E61:Q61)</f>
        <v>23980000</v>
      </c>
      <c r="T61" s="61"/>
      <c r="U61" s="61"/>
      <c r="V61" s="61"/>
      <c r="W61" s="61"/>
      <c r="X61" s="61"/>
      <c r="Y61" s="61"/>
      <c r="Z61" s="61"/>
      <c r="AA61" s="61"/>
      <c r="AB61" s="61"/>
      <c r="AC61" s="61"/>
      <c r="AD61" s="61"/>
      <c r="AE61" s="61"/>
      <c r="AF61" s="61"/>
      <c r="AG61" s="61"/>
      <c r="AH61" s="61"/>
      <c r="AI61" s="61"/>
      <c r="AJ61" s="61"/>
      <c r="AK61" s="61"/>
      <c r="AL61" s="61"/>
    </row>
    <row r="63" spans="1:38" s="8" customFormat="1" x14ac:dyDescent="0.35">
      <c r="A63" s="63" t="s">
        <v>92</v>
      </c>
      <c r="E63" s="64">
        <f t="shared" ref="E63" si="15">(E32*$C$6)+E61</f>
        <v>32470000</v>
      </c>
      <c r="H63" s="64">
        <f>(H32*$C$6)+H61</f>
        <v>0</v>
      </c>
      <c r="I63" s="64">
        <f>(I32*$C$6)+I61</f>
        <v>0</v>
      </c>
      <c r="J63" s="64">
        <f t="shared" ref="J63:Q63" si="16">(J32*$C$6)+J61</f>
        <v>4540000</v>
      </c>
      <c r="K63" s="64">
        <f t="shared" si="16"/>
        <v>1930000</v>
      </c>
      <c r="L63" s="64">
        <f t="shared" si="16"/>
        <v>4540000</v>
      </c>
      <c r="M63" s="64">
        <f t="shared" si="16"/>
        <v>24500000</v>
      </c>
      <c r="N63" s="64">
        <f t="shared" si="16"/>
        <v>6470000</v>
      </c>
      <c r="O63" s="64">
        <f t="shared" si="16"/>
        <v>0</v>
      </c>
      <c r="P63" s="64">
        <f t="shared" si="16"/>
        <v>4540000</v>
      </c>
      <c r="Q63" s="64">
        <f t="shared" si="16"/>
        <v>1930000</v>
      </c>
      <c r="R63" s="64"/>
      <c r="S63" s="64"/>
      <c r="T63" s="64"/>
      <c r="U63" s="64"/>
      <c r="V63" s="64"/>
      <c r="W63" s="64"/>
      <c r="X63" s="64"/>
      <c r="Y63" s="64"/>
      <c r="Z63" s="64"/>
      <c r="AA63" s="64"/>
      <c r="AB63" s="64"/>
      <c r="AC63" s="64"/>
      <c r="AD63" s="64"/>
      <c r="AE63" s="64"/>
      <c r="AF63" s="64"/>
      <c r="AG63" s="64"/>
      <c r="AH63" s="64"/>
      <c r="AI63" s="64"/>
      <c r="AJ63" s="64"/>
      <c r="AK63" s="64"/>
      <c r="AL63" s="64"/>
    </row>
    <row r="66" spans="1:38" x14ac:dyDescent="0.35">
      <c r="A66" s="293" t="s">
        <v>93</v>
      </c>
      <c r="B66" s="293"/>
      <c r="C66" s="293"/>
      <c r="D66" s="293"/>
      <c r="E66" s="293"/>
      <c r="F66" s="293"/>
      <c r="H66" s="293" t="s">
        <v>94</v>
      </c>
      <c r="I66" s="293"/>
      <c r="J66" s="293"/>
      <c r="K66" s="293"/>
      <c r="L66" s="293"/>
      <c r="M66" s="293"/>
      <c r="N66" s="293"/>
      <c r="O66" s="293"/>
      <c r="P66" s="293"/>
      <c r="Q66" s="293"/>
      <c r="R66" s="10"/>
      <c r="S66" s="10"/>
      <c r="T66" s="10"/>
      <c r="U66" s="10"/>
      <c r="V66" s="10"/>
      <c r="W66" s="10"/>
      <c r="X66" s="10"/>
      <c r="Y66" s="10"/>
      <c r="Z66" s="10"/>
      <c r="AA66" s="10"/>
      <c r="AB66" s="10"/>
      <c r="AC66" s="10"/>
      <c r="AD66" s="10"/>
      <c r="AE66" s="10"/>
      <c r="AF66" s="10"/>
      <c r="AG66" s="10"/>
      <c r="AH66" s="10"/>
      <c r="AI66" s="10"/>
      <c r="AJ66" s="10"/>
      <c r="AK66" s="10"/>
      <c r="AL66" s="10"/>
    </row>
    <row r="67" spans="1:38" x14ac:dyDescent="0.35">
      <c r="A67" s="42" t="s">
        <v>39</v>
      </c>
      <c r="B67" s="42" t="s">
        <v>40</v>
      </c>
      <c r="C67" s="42" t="s">
        <v>41</v>
      </c>
      <c r="D67" s="42" t="s">
        <v>95</v>
      </c>
      <c r="E67" s="42" t="s">
        <v>43</v>
      </c>
      <c r="G67" s="34">
        <v>0</v>
      </c>
      <c r="H67" s="34">
        <f>G67+1</f>
        <v>1</v>
      </c>
      <c r="I67" s="34">
        <f>H67+1</f>
        <v>2</v>
      </c>
      <c r="J67" s="34">
        <f t="shared" ref="J67:Q67" si="17">I67+1</f>
        <v>3</v>
      </c>
      <c r="K67" s="34">
        <f t="shared" si="17"/>
        <v>4</v>
      </c>
      <c r="L67" s="34">
        <f t="shared" si="17"/>
        <v>5</v>
      </c>
      <c r="M67" s="34">
        <f t="shared" si="17"/>
        <v>6</v>
      </c>
      <c r="N67" s="34">
        <f t="shared" si="17"/>
        <v>7</v>
      </c>
      <c r="O67" s="34">
        <f t="shared" si="17"/>
        <v>8</v>
      </c>
      <c r="P67" s="34">
        <f t="shared" si="17"/>
        <v>9</v>
      </c>
      <c r="Q67" s="34">
        <f t="shared" si="17"/>
        <v>10</v>
      </c>
      <c r="R67" s="43"/>
      <c r="S67" s="43"/>
      <c r="T67" s="43"/>
      <c r="U67" s="43"/>
      <c r="V67" s="43"/>
      <c r="W67" s="43"/>
      <c r="X67" s="43"/>
      <c r="Y67" s="43"/>
      <c r="Z67" s="43"/>
      <c r="AA67" s="43"/>
      <c r="AB67" s="43"/>
      <c r="AC67" s="43"/>
      <c r="AD67" s="43"/>
      <c r="AE67" s="43"/>
      <c r="AF67" s="43"/>
      <c r="AG67" s="43"/>
      <c r="AH67" s="43"/>
      <c r="AI67" s="43"/>
      <c r="AJ67" s="43"/>
      <c r="AK67" s="43"/>
      <c r="AL67" s="43"/>
    </row>
    <row r="68" spans="1:38" x14ac:dyDescent="0.35">
      <c r="A68" t="s">
        <v>96</v>
      </c>
      <c r="B68" s="37" t="s">
        <v>97</v>
      </c>
      <c r="C68" s="37">
        <v>1</v>
      </c>
      <c r="D68" s="45">
        <v>2000000</v>
      </c>
      <c r="E68" s="36">
        <f>+C68*D68</f>
        <v>2000000</v>
      </c>
      <c r="F68" s="65"/>
      <c r="G68" s="47">
        <f>$E68*INPUTS!C$13/30</f>
        <v>0</v>
      </c>
      <c r="H68" s="47">
        <f>$E68*INPUTS!D$13/30</f>
        <v>24000000</v>
      </c>
      <c r="I68" s="47">
        <f>$E68*INPUTS!E$13/30</f>
        <v>24000000</v>
      </c>
      <c r="J68" s="47">
        <f>$E68*INPUTS!F$13/30</f>
        <v>24000000</v>
      </c>
      <c r="K68" s="47">
        <f>$E68*INPUTS!G$13/30</f>
        <v>24000000</v>
      </c>
      <c r="L68" s="47">
        <f>$E68*INPUTS!H$13/30</f>
        <v>24000000</v>
      </c>
      <c r="M68" s="47">
        <f>$E68*INPUTS!I$13/30</f>
        <v>24000000</v>
      </c>
      <c r="N68" s="47">
        <f>$E68*INPUTS!J$13/30</f>
        <v>24000000</v>
      </c>
      <c r="O68" s="47">
        <f>$E68*INPUTS!K$13/30</f>
        <v>24000000</v>
      </c>
      <c r="P68" s="47">
        <f>$E68*INPUTS!L$13/30</f>
        <v>24000000</v>
      </c>
      <c r="Q68" s="47">
        <f>$E68*INPUTS!M$13/30</f>
        <v>24000000</v>
      </c>
      <c r="R68" s="33"/>
      <c r="S68" s="33"/>
      <c r="T68" s="33"/>
      <c r="U68" s="33"/>
      <c r="V68" s="33"/>
      <c r="W68" s="33"/>
      <c r="X68" s="33"/>
      <c r="Y68" s="33"/>
      <c r="Z68" s="33"/>
      <c r="AA68" s="33"/>
      <c r="AB68" s="33"/>
      <c r="AC68" s="33"/>
      <c r="AD68" s="33"/>
      <c r="AE68" s="33"/>
      <c r="AF68" s="33"/>
      <c r="AG68" s="33"/>
      <c r="AH68" s="33"/>
      <c r="AI68" s="33"/>
      <c r="AJ68" s="33"/>
      <c r="AK68" s="33"/>
      <c r="AL68" s="33"/>
    </row>
    <row r="69" spans="1:38" x14ac:dyDescent="0.35">
      <c r="A69" t="s">
        <v>98</v>
      </c>
      <c r="B69" s="37" t="s">
        <v>97</v>
      </c>
      <c r="C69" s="37">
        <v>1</v>
      </c>
      <c r="D69" s="45">
        <f>1500000*1.5</f>
        <v>2250000</v>
      </c>
      <c r="E69" s="36">
        <f t="shared" ref="E69:E76" si="18">+C69*D69</f>
        <v>2250000</v>
      </c>
      <c r="F69" s="65"/>
      <c r="G69" s="47">
        <f>$E69*INPUTS!C$13/30</f>
        <v>0</v>
      </c>
      <c r="H69" s="47">
        <f>$E69*INPUTS!D$13/30</f>
        <v>27000000</v>
      </c>
      <c r="I69" s="47">
        <f>$E69*INPUTS!E$13/30</f>
        <v>27000000</v>
      </c>
      <c r="J69" s="47">
        <f>$E69*INPUTS!F$13/30</f>
        <v>27000000</v>
      </c>
      <c r="K69" s="47">
        <f>$E69*INPUTS!G$13/30</f>
        <v>27000000</v>
      </c>
      <c r="L69" s="47">
        <f>$E69*INPUTS!H$13/30</f>
        <v>27000000</v>
      </c>
      <c r="M69" s="47">
        <f>$E69*INPUTS!I$13/30</f>
        <v>27000000</v>
      </c>
      <c r="N69" s="47">
        <f>$E69*INPUTS!J$13/30</f>
        <v>27000000</v>
      </c>
      <c r="O69" s="47">
        <f>$E69*INPUTS!K$13/30</f>
        <v>27000000</v>
      </c>
      <c r="P69" s="47">
        <f>$E69*INPUTS!L$13/30</f>
        <v>27000000</v>
      </c>
      <c r="Q69" s="47">
        <f>$E69*INPUTS!M$13/30</f>
        <v>27000000</v>
      </c>
      <c r="R69" s="33"/>
      <c r="S69" s="33"/>
      <c r="T69" s="33"/>
      <c r="U69" s="33"/>
      <c r="V69" s="33"/>
      <c r="W69" s="33"/>
      <c r="X69" s="33"/>
      <c r="Y69" s="33"/>
      <c r="Z69" s="33"/>
      <c r="AA69" s="33"/>
      <c r="AB69" s="33"/>
      <c r="AC69" s="33"/>
      <c r="AD69" s="33"/>
      <c r="AE69" s="33"/>
      <c r="AF69" s="33"/>
      <c r="AG69" s="33"/>
      <c r="AH69" s="33"/>
      <c r="AI69" s="33"/>
      <c r="AJ69" s="33"/>
      <c r="AK69" s="33"/>
      <c r="AL69" s="33"/>
    </row>
    <row r="70" spans="1:38" x14ac:dyDescent="0.35">
      <c r="A70" t="s">
        <v>99</v>
      </c>
      <c r="B70" s="37" t="s">
        <v>97</v>
      </c>
      <c r="C70" s="37">
        <v>1</v>
      </c>
      <c r="D70" s="45">
        <f>1500000*1.5</f>
        <v>2250000</v>
      </c>
      <c r="E70" s="36">
        <f t="shared" si="18"/>
        <v>2250000</v>
      </c>
      <c r="F70" s="65"/>
      <c r="G70" s="47">
        <f>$E70*INPUTS!C$13/30</f>
        <v>0</v>
      </c>
      <c r="H70" s="47">
        <f>$E70*INPUTS!D$13/30</f>
        <v>27000000</v>
      </c>
      <c r="I70" s="47">
        <f>$E70*INPUTS!E$13/30</f>
        <v>27000000</v>
      </c>
      <c r="J70" s="47">
        <f>$E70*INPUTS!F$13/30</f>
        <v>27000000</v>
      </c>
      <c r="K70" s="47">
        <f>$E70*INPUTS!G$13/30</f>
        <v>27000000</v>
      </c>
      <c r="L70" s="47">
        <f>$E70*INPUTS!H$13/30</f>
        <v>27000000</v>
      </c>
      <c r="M70" s="47">
        <f>$E70*INPUTS!I$13/30</f>
        <v>27000000</v>
      </c>
      <c r="N70" s="47">
        <f>$E70*INPUTS!J$13/30</f>
        <v>27000000</v>
      </c>
      <c r="O70" s="47">
        <f>$E70*INPUTS!K$13/30</f>
        <v>27000000</v>
      </c>
      <c r="P70" s="47">
        <f>$E70*INPUTS!L$13/30</f>
        <v>27000000</v>
      </c>
      <c r="Q70" s="47">
        <f>$E70*INPUTS!M$13/30</f>
        <v>27000000</v>
      </c>
      <c r="R70" s="33"/>
      <c r="S70" s="33"/>
      <c r="T70" s="33"/>
      <c r="U70" s="33"/>
      <c r="V70" s="33"/>
      <c r="W70" s="33"/>
      <c r="X70" s="33"/>
      <c r="Y70" s="33"/>
      <c r="Z70" s="33"/>
      <c r="AA70" s="33"/>
      <c r="AB70" s="33"/>
      <c r="AC70" s="33"/>
      <c r="AD70" s="33"/>
      <c r="AE70" s="33"/>
      <c r="AF70" s="33"/>
      <c r="AG70" s="33"/>
      <c r="AH70" s="33"/>
      <c r="AI70" s="33"/>
      <c r="AJ70" s="33"/>
      <c r="AK70" s="33"/>
      <c r="AL70" s="33"/>
    </row>
    <row r="71" spans="1:38" x14ac:dyDescent="0.35">
      <c r="A71" t="s">
        <v>100</v>
      </c>
      <c r="B71" s="37" t="s">
        <v>101</v>
      </c>
      <c r="C71" s="37">
        <v>2</v>
      </c>
      <c r="D71" s="45">
        <v>100000</v>
      </c>
      <c r="E71" s="36">
        <f t="shared" si="18"/>
        <v>200000</v>
      </c>
      <c r="F71" s="65"/>
      <c r="G71" s="47">
        <f>$E71*INPUTS!C$13/30</f>
        <v>0</v>
      </c>
      <c r="H71" s="47">
        <f>$E71*INPUTS!D$13/30</f>
        <v>2400000</v>
      </c>
      <c r="I71" s="47">
        <f>$E71*INPUTS!E$13/30</f>
        <v>2400000</v>
      </c>
      <c r="J71" s="47">
        <f>$E71*INPUTS!F$13/30</f>
        <v>2400000</v>
      </c>
      <c r="K71" s="47">
        <f>$E71*INPUTS!G$13/30</f>
        <v>2400000</v>
      </c>
      <c r="L71" s="47">
        <f>$E71*INPUTS!H$13/30</f>
        <v>2400000</v>
      </c>
      <c r="M71" s="47">
        <f>$E71*INPUTS!I$13/30</f>
        <v>2400000</v>
      </c>
      <c r="N71" s="47">
        <f>$E71*INPUTS!J$13/30</f>
        <v>2400000</v>
      </c>
      <c r="O71" s="47">
        <f>$E71*INPUTS!K$13/30</f>
        <v>2400000</v>
      </c>
      <c r="P71" s="47">
        <f>$E71*INPUTS!L$13/30</f>
        <v>2400000</v>
      </c>
      <c r="Q71" s="47">
        <f>$E71*INPUTS!M$13/30</f>
        <v>2400000</v>
      </c>
      <c r="R71" s="33"/>
      <c r="S71" s="33"/>
      <c r="T71" s="33"/>
      <c r="U71" s="33"/>
      <c r="V71" s="33"/>
      <c r="W71" s="33"/>
      <c r="X71" s="33"/>
      <c r="Y71" s="33"/>
      <c r="Z71" s="33"/>
      <c r="AA71" s="33"/>
      <c r="AB71" s="33"/>
      <c r="AC71" s="33"/>
      <c r="AD71" s="33"/>
      <c r="AE71" s="33"/>
      <c r="AF71" s="33"/>
      <c r="AG71" s="33"/>
      <c r="AH71" s="33"/>
      <c r="AI71" s="33"/>
      <c r="AJ71" s="33"/>
      <c r="AK71" s="33"/>
      <c r="AL71" s="33"/>
    </row>
    <row r="72" spans="1:38" x14ac:dyDescent="0.35">
      <c r="A72" t="s">
        <v>102</v>
      </c>
      <c r="B72" s="37" t="s">
        <v>97</v>
      </c>
      <c r="C72" s="37">
        <v>1</v>
      </c>
      <c r="D72" s="45">
        <v>100000</v>
      </c>
      <c r="E72" s="36">
        <f t="shared" si="18"/>
        <v>100000</v>
      </c>
      <c r="F72" s="65"/>
      <c r="G72" s="47">
        <f>$E72*INPUTS!C$13/30</f>
        <v>0</v>
      </c>
      <c r="H72" s="47">
        <f>$E72*INPUTS!D$13/30</f>
        <v>1200000</v>
      </c>
      <c r="I72" s="47">
        <f>$E72*INPUTS!E$13/30</f>
        <v>1200000</v>
      </c>
      <c r="J72" s="47">
        <f>$E72*INPUTS!F$13/30</f>
        <v>1200000</v>
      </c>
      <c r="K72" s="47">
        <f>$E72*INPUTS!G$13/30</f>
        <v>1200000</v>
      </c>
      <c r="L72" s="47">
        <f>$E72*INPUTS!H$13/30</f>
        <v>1200000</v>
      </c>
      <c r="M72" s="47">
        <f>$E72*INPUTS!I$13/30</f>
        <v>1200000</v>
      </c>
      <c r="N72" s="47">
        <f>$E72*INPUTS!J$13/30</f>
        <v>1200000</v>
      </c>
      <c r="O72" s="47">
        <f>$E72*INPUTS!K$13/30</f>
        <v>1200000</v>
      </c>
      <c r="P72" s="47">
        <f>$E72*INPUTS!L$13/30</f>
        <v>1200000</v>
      </c>
      <c r="Q72" s="47">
        <f>$E72*INPUTS!M$13/30</f>
        <v>1200000</v>
      </c>
      <c r="R72" s="33"/>
      <c r="S72" s="33"/>
      <c r="T72" s="33"/>
      <c r="U72" s="33"/>
      <c r="V72" s="33"/>
      <c r="W72" s="33"/>
      <c r="X72" s="33"/>
      <c r="Y72" s="33"/>
      <c r="Z72" s="33"/>
      <c r="AA72" s="33"/>
      <c r="AB72" s="33"/>
      <c r="AC72" s="33"/>
      <c r="AD72" s="33"/>
      <c r="AE72" s="33"/>
      <c r="AF72" s="33"/>
      <c r="AG72" s="33"/>
      <c r="AH72" s="33"/>
      <c r="AI72" s="33"/>
      <c r="AJ72" s="33"/>
      <c r="AK72" s="33"/>
      <c r="AL72" s="33"/>
    </row>
    <row r="73" spans="1:38" x14ac:dyDescent="0.35">
      <c r="A73" t="s">
        <v>103</v>
      </c>
      <c r="B73" s="37" t="s">
        <v>97</v>
      </c>
      <c r="C73" s="37">
        <v>1</v>
      </c>
      <c r="D73" s="45">
        <v>30000</v>
      </c>
      <c r="E73" s="36">
        <f t="shared" si="18"/>
        <v>30000</v>
      </c>
      <c r="F73" s="65"/>
      <c r="G73" s="47">
        <f>$E73*INPUTS!C$13/30</f>
        <v>0</v>
      </c>
      <c r="H73" s="47">
        <f>$E73*INPUTS!D$13/30</f>
        <v>360000</v>
      </c>
      <c r="I73" s="47">
        <f>$E73*INPUTS!E$13/30</f>
        <v>360000</v>
      </c>
      <c r="J73" s="47">
        <f>$E73*INPUTS!F$13/30</f>
        <v>360000</v>
      </c>
      <c r="K73" s="47">
        <f>$E73*INPUTS!G$13/30</f>
        <v>360000</v>
      </c>
      <c r="L73" s="47">
        <f>$E73*INPUTS!H$13/30</f>
        <v>360000</v>
      </c>
      <c r="M73" s="47">
        <f>$E73*INPUTS!I$13/30</f>
        <v>360000</v>
      </c>
      <c r="N73" s="47">
        <f>$E73*INPUTS!J$13/30</f>
        <v>360000</v>
      </c>
      <c r="O73" s="47">
        <f>$E73*INPUTS!K$13/30</f>
        <v>360000</v>
      </c>
      <c r="P73" s="47">
        <f>$E73*INPUTS!L$13/30</f>
        <v>360000</v>
      </c>
      <c r="Q73" s="47">
        <f>$E73*INPUTS!M$13/30</f>
        <v>360000</v>
      </c>
      <c r="R73" s="33"/>
      <c r="S73" s="33"/>
      <c r="T73" s="33"/>
      <c r="U73" s="33"/>
      <c r="V73" s="33"/>
      <c r="W73" s="33"/>
      <c r="X73" s="33"/>
      <c r="Y73" s="33"/>
      <c r="Z73" s="33"/>
      <c r="AA73" s="33"/>
      <c r="AB73" s="33"/>
      <c r="AC73" s="33"/>
      <c r="AD73" s="33"/>
      <c r="AE73" s="33"/>
      <c r="AF73" s="33"/>
      <c r="AG73" s="33"/>
      <c r="AH73" s="33"/>
      <c r="AI73" s="33"/>
      <c r="AJ73" s="33"/>
      <c r="AK73" s="33"/>
      <c r="AL73" s="33"/>
    </row>
    <row r="74" spans="1:38" x14ac:dyDescent="0.35">
      <c r="A74" t="s">
        <v>104</v>
      </c>
      <c r="B74" s="37" t="s">
        <v>97</v>
      </c>
      <c r="C74" s="37">
        <v>1</v>
      </c>
      <c r="D74" s="45">
        <v>500000</v>
      </c>
      <c r="E74" s="36">
        <f t="shared" si="18"/>
        <v>500000</v>
      </c>
      <c r="F74" s="65"/>
      <c r="G74" s="47">
        <f>$E74*INPUTS!C$13/30</f>
        <v>0</v>
      </c>
      <c r="H74" s="47">
        <f>$E74*INPUTS!D$13/30</f>
        <v>6000000</v>
      </c>
      <c r="I74" s="47">
        <f>$E74*INPUTS!E$13/30</f>
        <v>6000000</v>
      </c>
      <c r="J74" s="47">
        <f>$E74*INPUTS!F$13/30</f>
        <v>6000000</v>
      </c>
      <c r="K74" s="47">
        <f>$E74*INPUTS!G$13/30</f>
        <v>6000000</v>
      </c>
      <c r="L74" s="47">
        <f>$E74*INPUTS!H$13/30</f>
        <v>6000000</v>
      </c>
      <c r="M74" s="47">
        <f>$E74*INPUTS!I$13/30</f>
        <v>6000000</v>
      </c>
      <c r="N74" s="47">
        <f>$E74*INPUTS!J$13/30</f>
        <v>6000000</v>
      </c>
      <c r="O74" s="47">
        <f>$E74*INPUTS!K$13/30</f>
        <v>6000000</v>
      </c>
      <c r="P74" s="47">
        <f>$E74*INPUTS!L$13/30</f>
        <v>6000000</v>
      </c>
      <c r="Q74" s="47">
        <f>$E74*INPUTS!M$13/30</f>
        <v>6000000</v>
      </c>
      <c r="R74" s="33"/>
      <c r="S74" s="33"/>
      <c r="T74" s="33"/>
      <c r="U74" s="33"/>
      <c r="V74" s="33"/>
      <c r="W74" s="33"/>
      <c r="X74" s="33"/>
      <c r="Y74" s="33"/>
      <c r="Z74" s="33"/>
      <c r="AA74" s="33"/>
      <c r="AB74" s="33"/>
      <c r="AC74" s="33"/>
      <c r="AD74" s="33"/>
      <c r="AE74" s="33"/>
      <c r="AF74" s="33"/>
      <c r="AG74" s="33"/>
      <c r="AH74" s="33"/>
      <c r="AI74" s="33"/>
      <c r="AJ74" s="33"/>
      <c r="AK74" s="33"/>
      <c r="AL74" s="33"/>
    </row>
    <row r="75" spans="1:38" x14ac:dyDescent="0.35">
      <c r="A75" t="s">
        <v>256</v>
      </c>
      <c r="B75" s="121" t="s">
        <v>97</v>
      </c>
      <c r="C75" s="121">
        <v>1</v>
      </c>
      <c r="D75" s="45">
        <v>150000</v>
      </c>
      <c r="E75" s="36">
        <f t="shared" si="18"/>
        <v>150000</v>
      </c>
      <c r="F75" s="65"/>
      <c r="G75" s="47">
        <f>$E75*INPUTS!C$13/30</f>
        <v>0</v>
      </c>
      <c r="H75" s="47">
        <f>$E75*INPUTS!D$13/30</f>
        <v>1800000</v>
      </c>
      <c r="I75" s="47">
        <f>$E75*INPUTS!E$13/30</f>
        <v>1800000</v>
      </c>
      <c r="J75" s="47">
        <f>$E75*INPUTS!F$13/30</f>
        <v>1800000</v>
      </c>
      <c r="K75" s="47">
        <f>$E75*INPUTS!G$13/30</f>
        <v>1800000</v>
      </c>
      <c r="L75" s="47">
        <f>$E75*INPUTS!H$13/30</f>
        <v>1800000</v>
      </c>
      <c r="M75" s="47">
        <f>$E75*INPUTS!I$13/30</f>
        <v>1800000</v>
      </c>
      <c r="N75" s="47">
        <f>$E75*INPUTS!J$13/30</f>
        <v>1800000</v>
      </c>
      <c r="O75" s="47">
        <f>$E75*INPUTS!K$13/30</f>
        <v>1800000</v>
      </c>
      <c r="P75" s="47">
        <f>$E75*INPUTS!L$13/30</f>
        <v>1800000</v>
      </c>
      <c r="Q75" s="47">
        <f>$E75*INPUTS!M$13/30</f>
        <v>1800000</v>
      </c>
      <c r="R75" s="33"/>
      <c r="S75" s="33"/>
      <c r="T75" s="33"/>
      <c r="U75" s="33"/>
      <c r="V75" s="33"/>
      <c r="W75" s="33"/>
      <c r="X75" s="33"/>
      <c r="Y75" s="33"/>
      <c r="Z75" s="33"/>
      <c r="AA75" s="33"/>
      <c r="AB75" s="33"/>
      <c r="AC75" s="33"/>
      <c r="AD75" s="33"/>
      <c r="AE75" s="33"/>
      <c r="AF75" s="33"/>
      <c r="AG75" s="33"/>
      <c r="AH75" s="33"/>
      <c r="AI75" s="33"/>
      <c r="AJ75" s="33"/>
      <c r="AK75" s="33"/>
      <c r="AL75" s="33"/>
    </row>
    <row r="76" spans="1:38" x14ac:dyDescent="0.35">
      <c r="A76" s="48" t="s">
        <v>105</v>
      </c>
      <c r="B76" s="49" t="s">
        <v>97</v>
      </c>
      <c r="C76" s="49">
        <v>1</v>
      </c>
      <c r="D76" s="51">
        <v>500000</v>
      </c>
      <c r="E76" s="52">
        <f t="shared" si="18"/>
        <v>500000</v>
      </c>
      <c r="F76" s="65"/>
      <c r="G76" s="52">
        <f>$E76*INPUTS!C$13/30</f>
        <v>0</v>
      </c>
      <c r="H76" s="52">
        <f>$E76*INPUTS!D$13/30</f>
        <v>6000000</v>
      </c>
      <c r="I76" s="52">
        <f>$E76*INPUTS!E$13/30</f>
        <v>6000000</v>
      </c>
      <c r="J76" s="52">
        <f>$E76*INPUTS!F$13/30</f>
        <v>6000000</v>
      </c>
      <c r="K76" s="52">
        <f>$E76*INPUTS!G$13/30</f>
        <v>6000000</v>
      </c>
      <c r="L76" s="52">
        <f>$E76*INPUTS!H$13/30</f>
        <v>6000000</v>
      </c>
      <c r="M76" s="52">
        <f>$E76*INPUTS!I$13/30</f>
        <v>6000000</v>
      </c>
      <c r="N76" s="52">
        <f>$E76*INPUTS!J$13/30</f>
        <v>6000000</v>
      </c>
      <c r="O76" s="52">
        <f>$E76*INPUTS!K$13/30</f>
        <v>6000000</v>
      </c>
      <c r="P76" s="52">
        <f>$E76*INPUTS!L$13/30</f>
        <v>6000000</v>
      </c>
      <c r="Q76" s="52">
        <f>$E76*INPUTS!M$13/30</f>
        <v>6000000</v>
      </c>
      <c r="R76" s="66"/>
      <c r="S76" s="66"/>
      <c r="T76" s="66"/>
      <c r="U76" s="66"/>
      <c r="V76" s="66"/>
      <c r="W76" s="66"/>
      <c r="X76" s="66"/>
      <c r="Y76" s="66"/>
      <c r="Z76" s="66"/>
      <c r="AA76" s="66"/>
      <c r="AB76" s="66"/>
      <c r="AC76" s="66"/>
      <c r="AD76" s="66"/>
      <c r="AE76" s="66"/>
      <c r="AF76" s="66"/>
      <c r="AG76" s="66"/>
      <c r="AH76" s="66"/>
      <c r="AI76" s="66"/>
      <c r="AJ76" s="66"/>
      <c r="AK76" s="66"/>
      <c r="AL76" s="66"/>
    </row>
    <row r="77" spans="1:38" x14ac:dyDescent="0.35">
      <c r="A77" s="55" t="s">
        <v>106</v>
      </c>
      <c r="B77" s="55"/>
      <c r="C77" s="55"/>
      <c r="D77" s="55"/>
      <c r="E77" s="56">
        <f>SUM(E68:E76)</f>
        <v>7980000</v>
      </c>
      <c r="G77" s="61">
        <f>$E$77*INPUTS!C13/30</f>
        <v>0</v>
      </c>
      <c r="H77" s="61">
        <f>$E$77*INPUTS!D13/30</f>
        <v>95760000</v>
      </c>
      <c r="I77" s="61">
        <f>$E$77*INPUTS!E13/30</f>
        <v>95760000</v>
      </c>
      <c r="J77" s="61">
        <f>$E$77*INPUTS!F13/30</f>
        <v>95760000</v>
      </c>
      <c r="K77" s="61">
        <f>$E$77*INPUTS!G13/30</f>
        <v>95760000</v>
      </c>
      <c r="L77" s="61">
        <f>$E$77*INPUTS!H13/30</f>
        <v>95760000</v>
      </c>
      <c r="M77" s="61">
        <f>$E$77*INPUTS!I13/30</f>
        <v>95760000</v>
      </c>
      <c r="N77" s="61">
        <f>$E$77*INPUTS!J13/30</f>
        <v>95760000</v>
      </c>
      <c r="O77" s="61">
        <f>$E$77*INPUTS!K13/30</f>
        <v>95760000</v>
      </c>
      <c r="P77" s="61">
        <f>$E$77*INPUTS!L13/30</f>
        <v>95760000</v>
      </c>
      <c r="Q77" s="61">
        <f>$E$77*INPUTS!M13/30</f>
        <v>95760000</v>
      </c>
      <c r="R77" s="61"/>
      <c r="S77" s="61"/>
      <c r="T77" s="61"/>
      <c r="U77" s="61"/>
      <c r="V77" s="61"/>
      <c r="W77" s="61"/>
      <c r="X77" s="61"/>
      <c r="Y77" s="61"/>
      <c r="Z77" s="61"/>
      <c r="AA77" s="61"/>
      <c r="AB77" s="61"/>
      <c r="AC77" s="61"/>
      <c r="AD77" s="61"/>
      <c r="AE77" s="61"/>
      <c r="AF77" s="61"/>
      <c r="AG77" s="61"/>
      <c r="AH77" s="61"/>
      <c r="AI77" s="61"/>
      <c r="AJ77" s="61"/>
      <c r="AK77" s="61"/>
      <c r="AL77" s="61"/>
    </row>
    <row r="82" spans="1:13" x14ac:dyDescent="0.35">
      <c r="C82" s="39">
        <f>INPUTS!C11</f>
        <v>2022</v>
      </c>
      <c r="D82" s="39">
        <f>C82+1</f>
        <v>2023</v>
      </c>
      <c r="E82" s="39">
        <f t="shared" ref="E82:M82" si="19">D82+1</f>
        <v>2024</v>
      </c>
      <c r="F82" s="39">
        <f t="shared" si="19"/>
        <v>2025</v>
      </c>
      <c r="G82" s="39">
        <f t="shared" si="19"/>
        <v>2026</v>
      </c>
      <c r="H82" s="39">
        <f t="shared" si="19"/>
        <v>2027</v>
      </c>
      <c r="I82" s="39">
        <f t="shared" si="19"/>
        <v>2028</v>
      </c>
      <c r="J82" s="39">
        <f t="shared" si="19"/>
        <v>2029</v>
      </c>
      <c r="K82" s="39">
        <f t="shared" si="19"/>
        <v>2030</v>
      </c>
      <c r="L82" s="39">
        <f t="shared" si="19"/>
        <v>2031</v>
      </c>
      <c r="M82" s="39">
        <f t="shared" si="19"/>
        <v>2032</v>
      </c>
    </row>
    <row r="83" spans="1:13" x14ac:dyDescent="0.35">
      <c r="A83" t="s">
        <v>9</v>
      </c>
      <c r="C83" s="80">
        <f>INPUTS!C14</f>
        <v>7.0999999999999994E-2</v>
      </c>
      <c r="D83" s="80">
        <f>INPUTS!D14</f>
        <v>4.8000000000000001E-2</v>
      </c>
      <c r="E83" s="80">
        <f>INPUTS!E14</f>
        <v>0.03</v>
      </c>
      <c r="F83" s="80">
        <f>INPUTS!F14</f>
        <v>0.03</v>
      </c>
      <c r="G83" s="80">
        <f>INPUTS!G14</f>
        <v>0.03</v>
      </c>
      <c r="H83" s="80">
        <f>INPUTS!H14</f>
        <v>0.03</v>
      </c>
      <c r="I83" s="80">
        <f>INPUTS!I14</f>
        <v>0.03</v>
      </c>
      <c r="J83" s="80">
        <f>INPUTS!J14</f>
        <v>0.03</v>
      </c>
      <c r="K83" s="80">
        <f>INPUTS!K14</f>
        <v>0.03</v>
      </c>
      <c r="L83" s="80">
        <f>INPUTS!L14</f>
        <v>0.03</v>
      </c>
      <c r="M83" s="80">
        <f>INPUTS!M14</f>
        <v>0.03</v>
      </c>
    </row>
    <row r="84" spans="1:13" x14ac:dyDescent="0.35">
      <c r="A84" t="s">
        <v>123</v>
      </c>
      <c r="C84" s="81">
        <v>1</v>
      </c>
      <c r="D84" s="81">
        <f>C84*(1+C83)</f>
        <v>1.071</v>
      </c>
      <c r="E84" s="81">
        <f>D84*(1+D83)</f>
        <v>1.1224080000000001</v>
      </c>
      <c r="F84" s="81">
        <f t="shared" ref="F84:I84" si="20">E84*(1+E83)</f>
        <v>1.1560802400000001</v>
      </c>
      <c r="G84" s="81">
        <f t="shared" si="20"/>
        <v>1.1907626472000001</v>
      </c>
      <c r="H84" s="81">
        <f t="shared" si="20"/>
        <v>1.2264855266160002</v>
      </c>
      <c r="I84" s="81">
        <f t="shared" si="20"/>
        <v>1.2632800924144802</v>
      </c>
      <c r="J84" s="81">
        <f t="shared" ref="J84:M84" si="21">I84*(1+I83)</f>
        <v>1.3011784951869148</v>
      </c>
      <c r="K84" s="81">
        <f t="shared" si="21"/>
        <v>1.3402138500425222</v>
      </c>
      <c r="L84" s="81">
        <f t="shared" si="21"/>
        <v>1.380420265543798</v>
      </c>
      <c r="M84" s="81">
        <f t="shared" si="21"/>
        <v>1.421832873510112</v>
      </c>
    </row>
    <row r="85" spans="1:13" x14ac:dyDescent="0.35">
      <c r="C85" s="80"/>
      <c r="D85" s="80"/>
      <c r="E85" s="80"/>
      <c r="F85" s="80"/>
      <c r="G85" s="80"/>
      <c r="H85" s="80"/>
      <c r="I85" s="80"/>
      <c r="J85" s="80"/>
      <c r="K85" s="80"/>
      <c r="L85" s="80"/>
      <c r="M85" s="80"/>
    </row>
    <row r="87" spans="1:13" x14ac:dyDescent="0.35">
      <c r="C87" s="34">
        <v>0</v>
      </c>
      <c r="D87" s="34">
        <f>C87+1</f>
        <v>1</v>
      </c>
      <c r="E87" s="34">
        <f>D87+1</f>
        <v>2</v>
      </c>
      <c r="F87" s="34">
        <f t="shared" ref="F87:M87" si="22">E87+1</f>
        <v>3</v>
      </c>
      <c r="G87" s="34">
        <f t="shared" si="22"/>
        <v>4</v>
      </c>
      <c r="H87" s="34">
        <f t="shared" si="22"/>
        <v>5</v>
      </c>
      <c r="I87" s="34">
        <f t="shared" si="22"/>
        <v>6</v>
      </c>
      <c r="J87" s="34">
        <f t="shared" si="22"/>
        <v>7</v>
      </c>
      <c r="K87" s="34">
        <f t="shared" si="22"/>
        <v>8</v>
      </c>
      <c r="L87" s="34">
        <f t="shared" si="22"/>
        <v>9</v>
      </c>
      <c r="M87" s="34">
        <f t="shared" si="22"/>
        <v>10</v>
      </c>
    </row>
    <row r="88" spans="1:13" s="33" customFormat="1" x14ac:dyDescent="0.35">
      <c r="A88" s="82" t="s">
        <v>124</v>
      </c>
    </row>
    <row r="89" spans="1:13" s="33" customFormat="1" x14ac:dyDescent="0.35">
      <c r="A89" s="33" t="s">
        <v>107</v>
      </c>
      <c r="B89" s="61">
        <f>SUM(C89:M89)</f>
        <v>200000000</v>
      </c>
      <c r="C89" s="33">
        <f>INPUTS!C23</f>
        <v>200000000</v>
      </c>
    </row>
    <row r="90" spans="1:13" s="33" customFormat="1" x14ac:dyDescent="0.35">
      <c r="A90" s="33" t="str">
        <f>A4</f>
        <v>CAPEX - Infraestructura</v>
      </c>
      <c r="B90" s="61">
        <f t="shared" ref="B90:B101" si="23">SUM(C90:M90)</f>
        <v>175500000</v>
      </c>
      <c r="C90" s="33">
        <f>E9</f>
        <v>175500000</v>
      </c>
    </row>
    <row r="91" spans="1:13" s="33" customFormat="1" x14ac:dyDescent="0.35">
      <c r="A91" s="54" t="str">
        <f>A11</f>
        <v>CAPEX - Operación</v>
      </c>
      <c r="B91" s="122">
        <f t="shared" si="23"/>
        <v>32470000</v>
      </c>
      <c r="C91" s="54">
        <f>E63</f>
        <v>32470000</v>
      </c>
      <c r="D91" s="54"/>
      <c r="E91" s="54"/>
      <c r="F91" s="54"/>
      <c r="G91" s="54"/>
      <c r="H91" s="54"/>
      <c r="I91" s="54"/>
      <c r="J91" s="54"/>
      <c r="K91" s="54"/>
      <c r="L91" s="54"/>
      <c r="M91" s="54"/>
    </row>
    <row r="92" spans="1:13" s="61" customFormat="1" x14ac:dyDescent="0.35">
      <c r="A92" s="82" t="s">
        <v>108</v>
      </c>
      <c r="B92" s="82">
        <f t="shared" si="23"/>
        <v>407970000</v>
      </c>
      <c r="C92" s="82">
        <f>SUM(C89:C91)</f>
        <v>407970000</v>
      </c>
      <c r="D92" s="82"/>
      <c r="E92" s="82"/>
      <c r="F92" s="82"/>
      <c r="G92" s="82"/>
      <c r="H92" s="82"/>
      <c r="I92" s="82"/>
      <c r="J92" s="82"/>
      <c r="K92" s="82"/>
      <c r="L92" s="82"/>
      <c r="M92" s="82"/>
    </row>
    <row r="93" spans="1:13" s="33" customFormat="1" x14ac:dyDescent="0.35"/>
    <row r="94" spans="1:13" s="33" customFormat="1" x14ac:dyDescent="0.35">
      <c r="A94" s="82" t="s">
        <v>125</v>
      </c>
    </row>
    <row r="95" spans="1:13" s="33" customFormat="1" x14ac:dyDescent="0.35">
      <c r="A95" s="33" t="str">
        <f>H4</f>
        <v>OPEX - Mantenimiento</v>
      </c>
      <c r="B95" s="61">
        <f t="shared" si="23"/>
        <v>7020000</v>
      </c>
      <c r="D95" s="33">
        <f t="shared" ref="D95:M95" si="24">H9</f>
        <v>0</v>
      </c>
      <c r="E95" s="33">
        <f t="shared" si="24"/>
        <v>0</v>
      </c>
      <c r="F95" s="33">
        <f t="shared" si="24"/>
        <v>1755000</v>
      </c>
      <c r="G95" s="33">
        <f t="shared" si="24"/>
        <v>0</v>
      </c>
      <c r="H95" s="33">
        <f t="shared" si="24"/>
        <v>1755000</v>
      </c>
      <c r="I95" s="33">
        <f t="shared" si="24"/>
        <v>0</v>
      </c>
      <c r="J95" s="33">
        <f t="shared" si="24"/>
        <v>1755000</v>
      </c>
      <c r="K95" s="33">
        <f t="shared" si="24"/>
        <v>0</v>
      </c>
      <c r="L95" s="33">
        <f t="shared" si="24"/>
        <v>1755000</v>
      </c>
      <c r="M95" s="33">
        <f t="shared" si="24"/>
        <v>0</v>
      </c>
    </row>
    <row r="96" spans="1:13" s="33" customFormat="1" x14ac:dyDescent="0.35">
      <c r="A96" s="33" t="str">
        <f>H11</f>
        <v>OPEX - Reposición</v>
      </c>
      <c r="B96" s="61">
        <f t="shared" si="23"/>
        <v>48450000</v>
      </c>
      <c r="D96" s="33">
        <f t="shared" ref="D96:M96" si="25">H63</f>
        <v>0</v>
      </c>
      <c r="E96" s="33">
        <f t="shared" si="25"/>
        <v>0</v>
      </c>
      <c r="F96" s="33">
        <f t="shared" si="25"/>
        <v>4540000</v>
      </c>
      <c r="G96" s="33">
        <f t="shared" si="25"/>
        <v>1930000</v>
      </c>
      <c r="H96" s="33">
        <f t="shared" si="25"/>
        <v>4540000</v>
      </c>
      <c r="I96" s="33">
        <f t="shared" si="25"/>
        <v>24500000</v>
      </c>
      <c r="J96" s="33">
        <f t="shared" si="25"/>
        <v>6470000</v>
      </c>
      <c r="K96" s="33">
        <f t="shared" si="25"/>
        <v>0</v>
      </c>
      <c r="L96" s="33">
        <f t="shared" si="25"/>
        <v>4540000</v>
      </c>
      <c r="M96" s="33">
        <f t="shared" si="25"/>
        <v>1930000</v>
      </c>
    </row>
    <row r="97" spans="1:13" s="33" customFormat="1" x14ac:dyDescent="0.35">
      <c r="A97" s="33" t="s">
        <v>257</v>
      </c>
      <c r="B97" s="61"/>
      <c r="C97" s="33">
        <f>G74+G75</f>
        <v>0</v>
      </c>
      <c r="D97" s="33">
        <f>H73+H74</f>
        <v>6360000</v>
      </c>
      <c r="E97" s="33">
        <f t="shared" ref="E97:M97" si="26">I73+I74</f>
        <v>6360000</v>
      </c>
      <c r="F97" s="33">
        <f t="shared" si="26"/>
        <v>6360000</v>
      </c>
      <c r="G97" s="33">
        <f t="shared" si="26"/>
        <v>6360000</v>
      </c>
      <c r="H97" s="33">
        <f t="shared" si="26"/>
        <v>6360000</v>
      </c>
      <c r="I97" s="33">
        <f t="shared" si="26"/>
        <v>6360000</v>
      </c>
      <c r="J97" s="33">
        <f t="shared" si="26"/>
        <v>6360000</v>
      </c>
      <c r="K97" s="33">
        <f t="shared" si="26"/>
        <v>6360000</v>
      </c>
      <c r="L97" s="33">
        <f t="shared" si="26"/>
        <v>6360000</v>
      </c>
      <c r="M97" s="33">
        <f t="shared" si="26"/>
        <v>6360000</v>
      </c>
    </row>
    <row r="98" spans="1:13" s="33" customFormat="1" x14ac:dyDescent="0.35">
      <c r="A98" s="54" t="str">
        <f>H66</f>
        <v>OPEX - Administración</v>
      </c>
      <c r="B98" s="122">
        <f t="shared" si="23"/>
        <v>894000000</v>
      </c>
      <c r="C98" s="54">
        <f t="shared" ref="C98:M98" si="27">G77-C97</f>
        <v>0</v>
      </c>
      <c r="D98" s="54">
        <f t="shared" si="27"/>
        <v>89400000</v>
      </c>
      <c r="E98" s="54">
        <f t="shared" si="27"/>
        <v>89400000</v>
      </c>
      <c r="F98" s="54">
        <f t="shared" si="27"/>
        <v>89400000</v>
      </c>
      <c r="G98" s="54">
        <f t="shared" si="27"/>
        <v>89400000</v>
      </c>
      <c r="H98" s="54">
        <f t="shared" si="27"/>
        <v>89400000</v>
      </c>
      <c r="I98" s="54">
        <f t="shared" si="27"/>
        <v>89400000</v>
      </c>
      <c r="J98" s="54">
        <f t="shared" si="27"/>
        <v>89400000</v>
      </c>
      <c r="K98" s="54">
        <f t="shared" si="27"/>
        <v>89400000</v>
      </c>
      <c r="L98" s="54">
        <f t="shared" si="27"/>
        <v>89400000</v>
      </c>
      <c r="M98" s="54">
        <f t="shared" si="27"/>
        <v>89400000</v>
      </c>
    </row>
    <row r="99" spans="1:13" s="61" customFormat="1" x14ac:dyDescent="0.35">
      <c r="A99" s="82" t="s">
        <v>109</v>
      </c>
      <c r="B99" s="82">
        <f t="shared" si="23"/>
        <v>1013070000</v>
      </c>
      <c r="C99" s="82">
        <f t="shared" ref="C99:M99" si="28">SUM(C95:C98)</f>
        <v>0</v>
      </c>
      <c r="D99" s="82">
        <f t="shared" si="28"/>
        <v>95760000</v>
      </c>
      <c r="E99" s="82">
        <f t="shared" si="28"/>
        <v>95760000</v>
      </c>
      <c r="F99" s="82">
        <f t="shared" si="28"/>
        <v>102055000</v>
      </c>
      <c r="G99" s="82">
        <f t="shared" si="28"/>
        <v>97690000</v>
      </c>
      <c r="H99" s="82">
        <f t="shared" si="28"/>
        <v>102055000</v>
      </c>
      <c r="I99" s="82">
        <f t="shared" si="28"/>
        <v>120260000</v>
      </c>
      <c r="J99" s="82">
        <f t="shared" si="28"/>
        <v>103985000</v>
      </c>
      <c r="K99" s="82">
        <f t="shared" si="28"/>
        <v>95760000</v>
      </c>
      <c r="L99" s="82">
        <f t="shared" si="28"/>
        <v>102055000</v>
      </c>
      <c r="M99" s="82">
        <f t="shared" si="28"/>
        <v>97690000</v>
      </c>
    </row>
    <row r="100" spans="1:13" s="33" customFormat="1" x14ac:dyDescent="0.35"/>
    <row r="101" spans="1:13" s="61" customFormat="1" x14ac:dyDescent="0.35">
      <c r="A101" s="82" t="s">
        <v>272</v>
      </c>
      <c r="B101" s="82">
        <f t="shared" si="23"/>
        <v>1421040000</v>
      </c>
      <c r="C101" s="82">
        <f t="shared" ref="C101:M101" si="29">C99+C92</f>
        <v>407970000</v>
      </c>
      <c r="D101" s="82">
        <f t="shared" si="29"/>
        <v>95760000</v>
      </c>
      <c r="E101" s="82">
        <f t="shared" si="29"/>
        <v>95760000</v>
      </c>
      <c r="F101" s="82">
        <f t="shared" si="29"/>
        <v>102055000</v>
      </c>
      <c r="G101" s="82">
        <f t="shared" si="29"/>
        <v>97690000</v>
      </c>
      <c r="H101" s="82">
        <f t="shared" si="29"/>
        <v>102055000</v>
      </c>
      <c r="I101" s="82">
        <f t="shared" si="29"/>
        <v>120260000</v>
      </c>
      <c r="J101" s="82">
        <f t="shared" si="29"/>
        <v>103985000</v>
      </c>
      <c r="K101" s="82">
        <f t="shared" si="29"/>
        <v>95760000</v>
      </c>
      <c r="L101" s="82">
        <f t="shared" si="29"/>
        <v>102055000</v>
      </c>
      <c r="M101" s="82">
        <f t="shared" si="29"/>
        <v>97690000</v>
      </c>
    </row>
    <row r="102" spans="1:13" s="33" customFormat="1" x14ac:dyDescent="0.35"/>
    <row r="103" spans="1:13" s="33" customFormat="1" ht="15" thickBot="1" x14ac:dyDescent="0.4">
      <c r="A103" s="83"/>
      <c r="B103" s="83"/>
      <c r="C103" s="83"/>
      <c r="D103" s="83"/>
      <c r="E103" s="83"/>
      <c r="F103" s="83"/>
      <c r="G103" s="83"/>
      <c r="H103" s="83"/>
      <c r="I103" s="83"/>
      <c r="J103" s="83"/>
      <c r="K103" s="83"/>
      <c r="L103" s="83"/>
      <c r="M103" s="83"/>
    </row>
    <row r="104" spans="1:13" ht="15" thickTop="1" x14ac:dyDescent="0.35">
      <c r="C104" s="39">
        <f>C82</f>
        <v>2022</v>
      </c>
      <c r="D104" s="39">
        <f>C104+1</f>
        <v>2023</v>
      </c>
      <c r="E104" s="39">
        <f t="shared" ref="E104:M104" si="30">D104+1</f>
        <v>2024</v>
      </c>
      <c r="F104" s="39">
        <f t="shared" si="30"/>
        <v>2025</v>
      </c>
      <c r="G104" s="39">
        <f t="shared" si="30"/>
        <v>2026</v>
      </c>
      <c r="H104" s="39">
        <f t="shared" si="30"/>
        <v>2027</v>
      </c>
      <c r="I104" s="39">
        <f t="shared" si="30"/>
        <v>2028</v>
      </c>
      <c r="J104" s="39">
        <f t="shared" si="30"/>
        <v>2029</v>
      </c>
      <c r="K104" s="39">
        <f t="shared" si="30"/>
        <v>2030</v>
      </c>
      <c r="L104" s="39">
        <f t="shared" si="30"/>
        <v>2031</v>
      </c>
      <c r="M104" s="39">
        <f t="shared" si="30"/>
        <v>2032</v>
      </c>
    </row>
    <row r="105" spans="1:13" s="33" customFormat="1" x14ac:dyDescent="0.35">
      <c r="A105" s="82" t="s">
        <v>126</v>
      </c>
    </row>
    <row r="106" spans="1:13" s="33" customFormat="1" x14ac:dyDescent="0.35">
      <c r="A106" s="33" t="str">
        <f>A89</f>
        <v>CAPEX - Finca Raiz</v>
      </c>
      <c r="B106" s="33">
        <f>SUM(C106:M106)</f>
        <v>200000000</v>
      </c>
      <c r="C106" s="33">
        <f t="shared" ref="C106:M106" si="31">C89*C$84</f>
        <v>200000000</v>
      </c>
      <c r="D106" s="33">
        <f t="shared" si="31"/>
        <v>0</v>
      </c>
      <c r="E106" s="33">
        <f t="shared" si="31"/>
        <v>0</v>
      </c>
      <c r="F106" s="33">
        <f t="shared" si="31"/>
        <v>0</v>
      </c>
      <c r="G106" s="33">
        <f t="shared" si="31"/>
        <v>0</v>
      </c>
      <c r="H106" s="33">
        <f t="shared" si="31"/>
        <v>0</v>
      </c>
      <c r="I106" s="33">
        <f t="shared" si="31"/>
        <v>0</v>
      </c>
      <c r="J106" s="33">
        <f t="shared" si="31"/>
        <v>0</v>
      </c>
      <c r="K106" s="33">
        <f t="shared" si="31"/>
        <v>0</v>
      </c>
      <c r="L106" s="33">
        <f t="shared" si="31"/>
        <v>0</v>
      </c>
      <c r="M106" s="33">
        <f t="shared" si="31"/>
        <v>0</v>
      </c>
    </row>
    <row r="107" spans="1:13" s="33" customFormat="1" x14ac:dyDescent="0.35">
      <c r="A107" s="33" t="str">
        <f>A90</f>
        <v>CAPEX - Infraestructura</v>
      </c>
      <c r="B107" s="33">
        <f t="shared" ref="B107:B109" si="32">SUM(C107:M107)</f>
        <v>175500000</v>
      </c>
      <c r="C107" s="33">
        <f t="shared" ref="C107:M107" si="33">C90*C$84</f>
        <v>175500000</v>
      </c>
      <c r="D107" s="33">
        <f t="shared" si="33"/>
        <v>0</v>
      </c>
      <c r="E107" s="33">
        <f t="shared" si="33"/>
        <v>0</v>
      </c>
      <c r="F107" s="33">
        <f t="shared" si="33"/>
        <v>0</v>
      </c>
      <c r="G107" s="33">
        <f t="shared" si="33"/>
        <v>0</v>
      </c>
      <c r="H107" s="33">
        <f t="shared" si="33"/>
        <v>0</v>
      </c>
      <c r="I107" s="33">
        <f t="shared" si="33"/>
        <v>0</v>
      </c>
      <c r="J107" s="33">
        <f t="shared" si="33"/>
        <v>0</v>
      </c>
      <c r="K107" s="33">
        <f t="shared" si="33"/>
        <v>0</v>
      </c>
      <c r="L107" s="33">
        <f t="shared" si="33"/>
        <v>0</v>
      </c>
      <c r="M107" s="33">
        <f t="shared" si="33"/>
        <v>0</v>
      </c>
    </row>
    <row r="108" spans="1:13" s="33" customFormat="1" x14ac:dyDescent="0.35">
      <c r="A108" s="54" t="str">
        <f>A91</f>
        <v>CAPEX - Operación</v>
      </c>
      <c r="B108" s="54">
        <f t="shared" si="32"/>
        <v>32470000</v>
      </c>
      <c r="C108" s="54">
        <f t="shared" ref="C108:M108" si="34">C91*C$84</f>
        <v>32470000</v>
      </c>
      <c r="D108" s="54">
        <f t="shared" si="34"/>
        <v>0</v>
      </c>
      <c r="E108" s="54">
        <f t="shared" si="34"/>
        <v>0</v>
      </c>
      <c r="F108" s="54">
        <f t="shared" si="34"/>
        <v>0</v>
      </c>
      <c r="G108" s="54">
        <f t="shared" si="34"/>
        <v>0</v>
      </c>
      <c r="H108" s="54">
        <f t="shared" si="34"/>
        <v>0</v>
      </c>
      <c r="I108" s="54">
        <f t="shared" si="34"/>
        <v>0</v>
      </c>
      <c r="J108" s="54">
        <f t="shared" si="34"/>
        <v>0</v>
      </c>
      <c r="K108" s="54">
        <f t="shared" si="34"/>
        <v>0</v>
      </c>
      <c r="L108" s="54">
        <f t="shared" si="34"/>
        <v>0</v>
      </c>
      <c r="M108" s="54">
        <f t="shared" si="34"/>
        <v>0</v>
      </c>
    </row>
    <row r="109" spans="1:13" s="61" customFormat="1" x14ac:dyDescent="0.35">
      <c r="A109" s="82" t="s">
        <v>108</v>
      </c>
      <c r="B109" s="82">
        <f t="shared" si="32"/>
        <v>407970000</v>
      </c>
      <c r="C109" s="82">
        <f>SUM(C106:C108)</f>
        <v>407970000</v>
      </c>
      <c r="D109" s="82"/>
      <c r="E109" s="82"/>
      <c r="F109" s="82"/>
      <c r="G109" s="82"/>
      <c r="H109" s="82"/>
      <c r="I109" s="82"/>
      <c r="J109" s="82"/>
      <c r="K109" s="82"/>
      <c r="L109" s="82"/>
      <c r="M109" s="82"/>
    </row>
    <row r="110" spans="1:13" s="33" customFormat="1" x14ac:dyDescent="0.35"/>
    <row r="111" spans="1:13" s="33" customFormat="1" x14ac:dyDescent="0.35">
      <c r="A111" s="82" t="s">
        <v>127</v>
      </c>
    </row>
    <row r="112" spans="1:13" s="33" customFormat="1" x14ac:dyDescent="0.35">
      <c r="A112" s="33" t="str">
        <f>A95</f>
        <v>OPEX - Mantenimiento</v>
      </c>
      <c r="B112" s="33">
        <f t="shared" ref="B112:B116" si="35">SUM(C112:M112)</f>
        <v>8887608.7454934809</v>
      </c>
      <c r="C112" s="33">
        <f t="shared" ref="C112:M112" si="36">C95*C$84</f>
        <v>0</v>
      </c>
      <c r="D112" s="33">
        <f t="shared" si="36"/>
        <v>0</v>
      </c>
      <c r="E112" s="33">
        <f t="shared" si="36"/>
        <v>0</v>
      </c>
      <c r="F112" s="33">
        <f t="shared" si="36"/>
        <v>2028920.8212000001</v>
      </c>
      <c r="G112" s="33">
        <f t="shared" si="36"/>
        <v>0</v>
      </c>
      <c r="H112" s="33">
        <f t="shared" si="36"/>
        <v>2152482.0992110805</v>
      </c>
      <c r="I112" s="33">
        <f t="shared" si="36"/>
        <v>0</v>
      </c>
      <c r="J112" s="33">
        <f t="shared" si="36"/>
        <v>2283568.2590530352</v>
      </c>
      <c r="K112" s="33">
        <f t="shared" si="36"/>
        <v>0</v>
      </c>
      <c r="L112" s="33">
        <f t="shared" si="36"/>
        <v>2422637.5660293656</v>
      </c>
      <c r="M112" s="33">
        <f t="shared" si="36"/>
        <v>0</v>
      </c>
    </row>
    <row r="113" spans="1:13" s="33" customFormat="1" x14ac:dyDescent="0.35">
      <c r="A113" s="33" t="str">
        <f>A96</f>
        <v>OPEX - Reposición</v>
      </c>
      <c r="B113" s="33">
        <f t="shared" si="35"/>
        <v>61495253.068990119</v>
      </c>
      <c r="C113" s="33">
        <f t="shared" ref="C113:M113" si="37">C96*C$84</f>
        <v>0</v>
      </c>
      <c r="D113" s="33">
        <f t="shared" si="37"/>
        <v>0</v>
      </c>
      <c r="E113" s="33">
        <f t="shared" si="37"/>
        <v>0</v>
      </c>
      <c r="F113" s="33">
        <f t="shared" si="37"/>
        <v>5248604.2896000007</v>
      </c>
      <c r="G113" s="33">
        <f t="shared" si="37"/>
        <v>2298171.9090960003</v>
      </c>
      <c r="H113" s="33">
        <f t="shared" si="37"/>
        <v>5568244.2908366406</v>
      </c>
      <c r="I113" s="33">
        <f t="shared" si="37"/>
        <v>30950362.264154766</v>
      </c>
      <c r="J113" s="33">
        <f t="shared" si="37"/>
        <v>8418624.8638593387</v>
      </c>
      <c r="K113" s="33">
        <f t="shared" si="37"/>
        <v>0</v>
      </c>
      <c r="L113" s="33">
        <f t="shared" si="37"/>
        <v>6267108.0055688433</v>
      </c>
      <c r="M113" s="33">
        <f t="shared" si="37"/>
        <v>2744137.4458745164</v>
      </c>
    </row>
    <row r="114" spans="1:13" s="33" customFormat="1" x14ac:dyDescent="0.35">
      <c r="A114" s="33" t="str">
        <f>A97</f>
        <v>OPEX - Otros costos de operación</v>
      </c>
      <c r="B114" s="33">
        <f t="shared" ref="B114" si="38">SUM(C114:M114)</f>
        <v>79332490.259667948</v>
      </c>
      <c r="C114" s="33">
        <f t="shared" ref="C114:M114" si="39">C97*C$84</f>
        <v>0</v>
      </c>
      <c r="D114" s="33">
        <f t="shared" si="39"/>
        <v>6811560</v>
      </c>
      <c r="E114" s="33">
        <f t="shared" si="39"/>
        <v>7138514.8800000008</v>
      </c>
      <c r="F114" s="33">
        <f t="shared" si="39"/>
        <v>7352670.3264000006</v>
      </c>
      <c r="G114" s="33">
        <f t="shared" si="39"/>
        <v>7573250.4361920012</v>
      </c>
      <c r="H114" s="33">
        <f t="shared" si="39"/>
        <v>7800447.9492777614</v>
      </c>
      <c r="I114" s="33">
        <f t="shared" si="39"/>
        <v>8034461.3877560943</v>
      </c>
      <c r="J114" s="33">
        <f t="shared" si="39"/>
        <v>8275495.2293887781</v>
      </c>
      <c r="K114" s="33">
        <f t="shared" si="39"/>
        <v>8523760.0862704422</v>
      </c>
      <c r="L114" s="33">
        <f t="shared" si="39"/>
        <v>8779472.8888585549</v>
      </c>
      <c r="M114" s="33">
        <f t="shared" si="39"/>
        <v>9042857.0755243115</v>
      </c>
    </row>
    <row r="115" spans="1:13" s="33" customFormat="1" x14ac:dyDescent="0.35">
      <c r="A115" s="33" t="str">
        <f>A98</f>
        <v>OPEX - Administración</v>
      </c>
      <c r="B115" s="54">
        <f t="shared" si="35"/>
        <v>1115145381.9519362</v>
      </c>
      <c r="C115" s="54">
        <f t="shared" ref="C115:M115" si="40">C98*C$84</f>
        <v>0</v>
      </c>
      <c r="D115" s="54">
        <f t="shared" si="40"/>
        <v>95747400</v>
      </c>
      <c r="E115" s="54">
        <f t="shared" si="40"/>
        <v>100343275.2</v>
      </c>
      <c r="F115" s="54">
        <f t="shared" si="40"/>
        <v>103353573.45600002</v>
      </c>
      <c r="G115" s="54">
        <f t="shared" si="40"/>
        <v>106454180.65968001</v>
      </c>
      <c r="H115" s="54">
        <f t="shared" si="40"/>
        <v>109647806.07947041</v>
      </c>
      <c r="I115" s="54">
        <f t="shared" si="40"/>
        <v>112937240.26185453</v>
      </c>
      <c r="J115" s="54">
        <f t="shared" si="40"/>
        <v>116325357.46971019</v>
      </c>
      <c r="K115" s="54">
        <f t="shared" si="40"/>
        <v>119815118.19380149</v>
      </c>
      <c r="L115" s="54">
        <f t="shared" si="40"/>
        <v>123409571.73961554</v>
      </c>
      <c r="M115" s="54">
        <f t="shared" si="40"/>
        <v>127111858.89180401</v>
      </c>
    </row>
    <row r="116" spans="1:13" s="61" customFormat="1" x14ac:dyDescent="0.35">
      <c r="A116" s="82" t="s">
        <v>128</v>
      </c>
      <c r="B116" s="82">
        <f t="shared" si="35"/>
        <v>1264860734.0260878</v>
      </c>
      <c r="C116" s="82">
        <f t="shared" ref="C116:M116" si="41">SUM(C112:C115)</f>
        <v>0</v>
      </c>
      <c r="D116" s="82">
        <f t="shared" si="41"/>
        <v>102558960</v>
      </c>
      <c r="E116" s="82">
        <f t="shared" si="41"/>
        <v>107481790.08</v>
      </c>
      <c r="F116" s="82">
        <f t="shared" si="41"/>
        <v>117983768.89320001</v>
      </c>
      <c r="G116" s="82">
        <f t="shared" si="41"/>
        <v>116325603.00496802</v>
      </c>
      <c r="H116" s="82">
        <f t="shared" si="41"/>
        <v>125168980.4187959</v>
      </c>
      <c r="I116" s="82">
        <f t="shared" si="41"/>
        <v>151922063.91376537</v>
      </c>
      <c r="J116" s="82">
        <f t="shared" si="41"/>
        <v>135303045.82201135</v>
      </c>
      <c r="K116" s="82">
        <f t="shared" si="41"/>
        <v>128338878.28007193</v>
      </c>
      <c r="L116" s="82">
        <f t="shared" si="41"/>
        <v>140878790.20007232</v>
      </c>
      <c r="M116" s="82">
        <f t="shared" si="41"/>
        <v>138898853.41320282</v>
      </c>
    </row>
    <row r="118" spans="1:13" s="61" customFormat="1" x14ac:dyDescent="0.35">
      <c r="A118" s="82" t="s">
        <v>119</v>
      </c>
      <c r="B118" s="82">
        <f t="shared" ref="B118" si="42">SUM(C118:M118)</f>
        <v>1672830734.026088</v>
      </c>
      <c r="C118" s="82">
        <f t="shared" ref="C118:M118" si="43">C116+C109</f>
        <v>407970000</v>
      </c>
      <c r="D118" s="82">
        <f t="shared" si="43"/>
        <v>102558960</v>
      </c>
      <c r="E118" s="82">
        <f t="shared" si="43"/>
        <v>107481790.08</v>
      </c>
      <c r="F118" s="82">
        <f t="shared" si="43"/>
        <v>117983768.89320001</v>
      </c>
      <c r="G118" s="82">
        <f t="shared" si="43"/>
        <v>116325603.00496802</v>
      </c>
      <c r="H118" s="82">
        <f t="shared" si="43"/>
        <v>125168980.4187959</v>
      </c>
      <c r="I118" s="82">
        <f t="shared" si="43"/>
        <v>151922063.91376537</v>
      </c>
      <c r="J118" s="82">
        <f t="shared" si="43"/>
        <v>135303045.82201135</v>
      </c>
      <c r="K118" s="82">
        <f t="shared" si="43"/>
        <v>128338878.28007193</v>
      </c>
      <c r="L118" s="82">
        <f t="shared" si="43"/>
        <v>140878790.20007232</v>
      </c>
      <c r="M118" s="82">
        <f t="shared" si="43"/>
        <v>138898853.41320282</v>
      </c>
    </row>
  </sheetData>
  <mergeCells count="10">
    <mergeCell ref="I12:Q12"/>
    <mergeCell ref="H34:Q34"/>
    <mergeCell ref="A66:F66"/>
    <mergeCell ref="H66:Q66"/>
    <mergeCell ref="A2:F2"/>
    <mergeCell ref="H2:Q2"/>
    <mergeCell ref="A4:F4"/>
    <mergeCell ref="H4:Q4"/>
    <mergeCell ref="A11:F11"/>
    <mergeCell ref="H11:Q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46961-87CE-4E83-B887-93FCD60DA108}">
  <dimension ref="A2:DZ46"/>
  <sheetViews>
    <sheetView topLeftCell="A5" zoomScale="85" zoomScaleNormal="85" workbookViewId="0">
      <selection activeCell="B5" sqref="B5:C5"/>
    </sheetView>
  </sheetViews>
  <sheetFormatPr baseColWidth="10" defaultRowHeight="14.5" x14ac:dyDescent="0.35"/>
  <cols>
    <col min="1" max="1" width="26" bestFit="1" customWidth="1"/>
    <col min="2" max="2" width="14.1796875" bestFit="1" customWidth="1"/>
    <col min="3" max="3" width="11.54296875" bestFit="1" customWidth="1"/>
    <col min="4" max="4" width="13.453125" bestFit="1" customWidth="1"/>
    <col min="5" max="8" width="12.54296875" bestFit="1" customWidth="1"/>
    <col min="9" max="9" width="18.453125" bestFit="1" customWidth="1"/>
    <col min="10" max="13" width="12.54296875" bestFit="1" customWidth="1"/>
    <col min="14" max="123" width="11.54296875" bestFit="1" customWidth="1"/>
  </cols>
  <sheetData>
    <row r="2" spans="1:15" x14ac:dyDescent="0.35">
      <c r="A2" s="67" t="s">
        <v>34</v>
      </c>
      <c r="B2" s="55">
        <f>INPUTS!C26</f>
        <v>3</v>
      </c>
    </row>
    <row r="4" spans="1:15" x14ac:dyDescent="0.35">
      <c r="A4" s="68" t="s">
        <v>29</v>
      </c>
      <c r="B4" s="297" t="s">
        <v>30</v>
      </c>
      <c r="C4" s="297"/>
      <c r="D4" s="68" t="s">
        <v>31</v>
      </c>
    </row>
    <row r="5" spans="1:15" x14ac:dyDescent="0.35">
      <c r="A5" s="37" t="s">
        <v>33</v>
      </c>
      <c r="B5" s="298" t="s">
        <v>27</v>
      </c>
      <c r="C5" s="298"/>
      <c r="D5" s="76">
        <f>INPUTS!L26</f>
        <v>700000</v>
      </c>
    </row>
    <row r="6" spans="1:15" x14ac:dyDescent="0.35">
      <c r="A6" s="37" t="s">
        <v>32</v>
      </c>
      <c r="B6" s="298" t="s">
        <v>28</v>
      </c>
      <c r="C6" s="298"/>
      <c r="D6" s="76">
        <f>INPUTS!L27</f>
        <v>550000</v>
      </c>
    </row>
    <row r="9" spans="1:15" x14ac:dyDescent="0.35">
      <c r="A9" s="293" t="s">
        <v>12</v>
      </c>
      <c r="B9" s="293"/>
      <c r="C9" s="293"/>
      <c r="D9" s="293"/>
      <c r="E9" s="293"/>
      <c r="F9" s="293"/>
      <c r="G9" s="293"/>
      <c r="I9" s="293" t="s">
        <v>13</v>
      </c>
      <c r="J9" s="293"/>
      <c r="K9" s="293"/>
      <c r="L9" s="293"/>
      <c r="M9" s="293"/>
      <c r="N9" s="293"/>
      <c r="O9" s="293"/>
    </row>
    <row r="10" spans="1:15" ht="15" thickBot="1" x14ac:dyDescent="0.4"/>
    <row r="11" spans="1:15" x14ac:dyDescent="0.35">
      <c r="B11" s="295" t="s">
        <v>14</v>
      </c>
      <c r="C11" s="296"/>
      <c r="D11" s="299" t="s">
        <v>15</v>
      </c>
      <c r="E11" s="300"/>
      <c r="F11" s="295" t="s">
        <v>16</v>
      </c>
      <c r="G11" s="296"/>
      <c r="J11" s="295" t="s">
        <v>14</v>
      </c>
      <c r="K11" s="296"/>
      <c r="L11" s="299" t="s">
        <v>15</v>
      </c>
      <c r="M11" s="300"/>
      <c r="N11" s="295" t="s">
        <v>16</v>
      </c>
      <c r="O11" s="296"/>
    </row>
    <row r="12" spans="1:15" ht="15" thickBot="1" x14ac:dyDescent="0.4">
      <c r="B12" s="11" t="s">
        <v>33</v>
      </c>
      <c r="C12" s="12" t="s">
        <v>32</v>
      </c>
      <c r="D12" s="13" t="s">
        <v>33</v>
      </c>
      <c r="E12" s="14" t="s">
        <v>32</v>
      </c>
      <c r="F12" s="11" t="s">
        <v>33</v>
      </c>
      <c r="G12" s="12" t="s">
        <v>32</v>
      </c>
      <c r="J12" s="11" t="s">
        <v>33</v>
      </c>
      <c r="K12" s="12" t="s">
        <v>32</v>
      </c>
      <c r="L12" s="13" t="s">
        <v>33</v>
      </c>
      <c r="M12" s="14" t="s">
        <v>32</v>
      </c>
      <c r="N12" s="11" t="s">
        <v>33</v>
      </c>
      <c r="O12" s="12" t="s">
        <v>32</v>
      </c>
    </row>
    <row r="13" spans="1:15" x14ac:dyDescent="0.35">
      <c r="A13" s="15" t="s">
        <v>17</v>
      </c>
      <c r="B13" s="16">
        <v>1</v>
      </c>
      <c r="C13" s="17">
        <v>0</v>
      </c>
      <c r="D13" s="16">
        <v>2</v>
      </c>
      <c r="E13" s="17">
        <v>1</v>
      </c>
      <c r="F13" s="16">
        <v>4</v>
      </c>
      <c r="G13" s="17">
        <v>2</v>
      </c>
      <c r="H13" s="18"/>
      <c r="I13" s="15" t="s">
        <v>17</v>
      </c>
      <c r="J13" s="19">
        <f>B13*$B$2</f>
        <v>3</v>
      </c>
      <c r="K13" s="20">
        <f t="shared" ref="K13:K16" si="0">C13*$B$2</f>
        <v>0</v>
      </c>
      <c r="L13" s="19">
        <f t="shared" ref="L13:L16" si="1">D13*$B$2</f>
        <v>6</v>
      </c>
      <c r="M13" s="20">
        <f t="shared" ref="M13:M16" si="2">E13*$B$2</f>
        <v>3</v>
      </c>
      <c r="N13" s="19">
        <f t="shared" ref="N13:N16" si="3">F13*$B$2</f>
        <v>12</v>
      </c>
      <c r="O13" s="20">
        <f t="shared" ref="O13:O16" si="4">G13*$B$2</f>
        <v>6</v>
      </c>
    </row>
    <row r="14" spans="1:15" x14ac:dyDescent="0.35">
      <c r="A14" s="21" t="s">
        <v>18</v>
      </c>
      <c r="B14" s="22">
        <v>2</v>
      </c>
      <c r="C14" s="23">
        <v>1</v>
      </c>
      <c r="D14" s="22">
        <v>3</v>
      </c>
      <c r="E14" s="23">
        <v>2</v>
      </c>
      <c r="F14" s="22">
        <v>4</v>
      </c>
      <c r="G14" s="23">
        <v>4</v>
      </c>
      <c r="H14" s="18"/>
      <c r="I14" s="21" t="s">
        <v>18</v>
      </c>
      <c r="J14" s="24">
        <f t="shared" ref="J14:J16" si="5">B14*$B$2</f>
        <v>6</v>
      </c>
      <c r="K14" s="25">
        <f t="shared" si="0"/>
        <v>3</v>
      </c>
      <c r="L14" s="24">
        <f t="shared" si="1"/>
        <v>9</v>
      </c>
      <c r="M14" s="25">
        <f t="shared" si="2"/>
        <v>6</v>
      </c>
      <c r="N14" s="24">
        <f t="shared" si="3"/>
        <v>12</v>
      </c>
      <c r="O14" s="25">
        <f t="shared" si="4"/>
        <v>12</v>
      </c>
    </row>
    <row r="15" spans="1:15" x14ac:dyDescent="0.35">
      <c r="A15" s="21" t="s">
        <v>19</v>
      </c>
      <c r="B15" s="22">
        <v>3</v>
      </c>
      <c r="C15" s="23">
        <v>1</v>
      </c>
      <c r="D15" s="22">
        <v>5</v>
      </c>
      <c r="E15" s="23">
        <v>3</v>
      </c>
      <c r="F15" s="22">
        <v>6</v>
      </c>
      <c r="G15" s="23">
        <v>4</v>
      </c>
      <c r="H15" s="18"/>
      <c r="I15" s="21" t="s">
        <v>19</v>
      </c>
      <c r="J15" s="24">
        <f t="shared" si="5"/>
        <v>9</v>
      </c>
      <c r="K15" s="25">
        <f t="shared" si="0"/>
        <v>3</v>
      </c>
      <c r="L15" s="24">
        <f t="shared" si="1"/>
        <v>15</v>
      </c>
      <c r="M15" s="25">
        <f t="shared" si="2"/>
        <v>9</v>
      </c>
      <c r="N15" s="24">
        <f t="shared" si="3"/>
        <v>18</v>
      </c>
      <c r="O15" s="25">
        <f t="shared" si="4"/>
        <v>12</v>
      </c>
    </row>
    <row r="16" spans="1:15" ht="15" thickBot="1" x14ac:dyDescent="0.4">
      <c r="A16" s="26" t="s">
        <v>20</v>
      </c>
      <c r="B16" s="27">
        <v>4</v>
      </c>
      <c r="C16" s="28">
        <v>3</v>
      </c>
      <c r="D16" s="27">
        <v>6</v>
      </c>
      <c r="E16" s="28">
        <v>4</v>
      </c>
      <c r="F16" s="27">
        <v>8</v>
      </c>
      <c r="G16" s="28">
        <v>5</v>
      </c>
      <c r="H16" s="18"/>
      <c r="I16" s="26" t="s">
        <v>20</v>
      </c>
      <c r="J16" s="29">
        <f t="shared" si="5"/>
        <v>12</v>
      </c>
      <c r="K16" s="30">
        <f t="shared" si="0"/>
        <v>9</v>
      </c>
      <c r="L16" s="29">
        <f t="shared" si="1"/>
        <v>18</v>
      </c>
      <c r="M16" s="30">
        <f t="shared" si="2"/>
        <v>12</v>
      </c>
      <c r="N16" s="29">
        <f t="shared" si="3"/>
        <v>24</v>
      </c>
      <c r="O16" s="30">
        <f t="shared" si="4"/>
        <v>15</v>
      </c>
    </row>
    <row r="19" spans="1:130" s="37" customFormat="1" x14ac:dyDescent="0.35">
      <c r="C19" s="37">
        <f>YEAR(C21)</f>
        <v>2022</v>
      </c>
      <c r="D19" s="37">
        <f t="shared" ref="D19:BO19" si="6">YEAR(D21)</f>
        <v>2022</v>
      </c>
      <c r="E19" s="37">
        <f t="shared" si="6"/>
        <v>2022</v>
      </c>
      <c r="F19" s="37">
        <f t="shared" si="6"/>
        <v>2022</v>
      </c>
      <c r="G19" s="37">
        <f t="shared" si="6"/>
        <v>2022</v>
      </c>
      <c r="H19" s="37">
        <f t="shared" si="6"/>
        <v>2022</v>
      </c>
      <c r="I19" s="37">
        <f t="shared" si="6"/>
        <v>2022</v>
      </c>
      <c r="J19" s="37">
        <f t="shared" si="6"/>
        <v>2023</v>
      </c>
      <c r="K19" s="37">
        <f t="shared" si="6"/>
        <v>2023</v>
      </c>
      <c r="L19" s="37">
        <f t="shared" si="6"/>
        <v>2023</v>
      </c>
      <c r="M19" s="37">
        <f t="shared" si="6"/>
        <v>2023</v>
      </c>
      <c r="N19" s="37">
        <f t="shared" si="6"/>
        <v>2023</v>
      </c>
      <c r="O19" s="37">
        <f t="shared" si="6"/>
        <v>2023</v>
      </c>
      <c r="P19" s="37">
        <f t="shared" si="6"/>
        <v>2023</v>
      </c>
      <c r="Q19" s="37">
        <f t="shared" si="6"/>
        <v>2023</v>
      </c>
      <c r="R19" s="37">
        <f t="shared" si="6"/>
        <v>2023</v>
      </c>
      <c r="S19" s="37">
        <f t="shared" si="6"/>
        <v>2023</v>
      </c>
      <c r="T19" s="37">
        <f t="shared" si="6"/>
        <v>2023</v>
      </c>
      <c r="U19" s="37">
        <f t="shared" si="6"/>
        <v>2023</v>
      </c>
      <c r="V19" s="37">
        <f t="shared" si="6"/>
        <v>2024</v>
      </c>
      <c r="W19" s="37">
        <f t="shared" si="6"/>
        <v>2024</v>
      </c>
      <c r="X19" s="37">
        <f t="shared" si="6"/>
        <v>2024</v>
      </c>
      <c r="Y19" s="37">
        <f t="shared" si="6"/>
        <v>2024</v>
      </c>
      <c r="Z19" s="37">
        <f t="shared" si="6"/>
        <v>2024</v>
      </c>
      <c r="AA19" s="37">
        <f t="shared" si="6"/>
        <v>2024</v>
      </c>
      <c r="AB19" s="37">
        <f t="shared" si="6"/>
        <v>2024</v>
      </c>
      <c r="AC19" s="37">
        <f t="shared" si="6"/>
        <v>2024</v>
      </c>
      <c r="AD19" s="37">
        <f t="shared" si="6"/>
        <v>2024</v>
      </c>
      <c r="AE19" s="37">
        <f t="shared" si="6"/>
        <v>2024</v>
      </c>
      <c r="AF19" s="37">
        <f t="shared" si="6"/>
        <v>2024</v>
      </c>
      <c r="AG19" s="37">
        <f t="shared" si="6"/>
        <v>2024</v>
      </c>
      <c r="AH19" s="37">
        <f t="shared" si="6"/>
        <v>2025</v>
      </c>
      <c r="AI19" s="37">
        <f t="shared" si="6"/>
        <v>2025</v>
      </c>
      <c r="AJ19" s="37">
        <f t="shared" si="6"/>
        <v>2025</v>
      </c>
      <c r="AK19" s="37">
        <f t="shared" si="6"/>
        <v>2025</v>
      </c>
      <c r="AL19" s="37">
        <f t="shared" si="6"/>
        <v>2025</v>
      </c>
      <c r="AM19" s="37">
        <f t="shared" si="6"/>
        <v>2025</v>
      </c>
      <c r="AN19" s="37">
        <f t="shared" si="6"/>
        <v>2025</v>
      </c>
      <c r="AO19" s="37">
        <f t="shared" si="6"/>
        <v>2025</v>
      </c>
      <c r="AP19" s="37">
        <f t="shared" si="6"/>
        <v>2025</v>
      </c>
      <c r="AQ19" s="37">
        <f t="shared" si="6"/>
        <v>2025</v>
      </c>
      <c r="AR19" s="37">
        <f t="shared" si="6"/>
        <v>2025</v>
      </c>
      <c r="AS19" s="37">
        <f t="shared" si="6"/>
        <v>2025</v>
      </c>
      <c r="AT19" s="37">
        <f t="shared" si="6"/>
        <v>2026</v>
      </c>
      <c r="AU19" s="37">
        <f t="shared" si="6"/>
        <v>2026</v>
      </c>
      <c r="AV19" s="37">
        <f t="shared" si="6"/>
        <v>2026</v>
      </c>
      <c r="AW19" s="37">
        <f t="shared" si="6"/>
        <v>2026</v>
      </c>
      <c r="AX19" s="37">
        <f t="shared" si="6"/>
        <v>2026</v>
      </c>
      <c r="AY19" s="37">
        <f t="shared" si="6"/>
        <v>2026</v>
      </c>
      <c r="AZ19" s="37">
        <f t="shared" si="6"/>
        <v>2026</v>
      </c>
      <c r="BA19" s="37">
        <f t="shared" si="6"/>
        <v>2026</v>
      </c>
      <c r="BB19" s="37">
        <f t="shared" si="6"/>
        <v>2026</v>
      </c>
      <c r="BC19" s="37">
        <f t="shared" si="6"/>
        <v>2026</v>
      </c>
      <c r="BD19" s="37">
        <f t="shared" si="6"/>
        <v>2026</v>
      </c>
      <c r="BE19" s="37">
        <f t="shared" si="6"/>
        <v>2026</v>
      </c>
      <c r="BF19" s="37">
        <f t="shared" si="6"/>
        <v>2027</v>
      </c>
      <c r="BG19" s="37">
        <f t="shared" si="6"/>
        <v>2027</v>
      </c>
      <c r="BH19" s="37">
        <f t="shared" si="6"/>
        <v>2027</v>
      </c>
      <c r="BI19" s="37">
        <f t="shared" si="6"/>
        <v>2027</v>
      </c>
      <c r="BJ19" s="37">
        <f t="shared" si="6"/>
        <v>2027</v>
      </c>
      <c r="BK19" s="37">
        <f t="shared" si="6"/>
        <v>2027</v>
      </c>
      <c r="BL19" s="37">
        <f t="shared" si="6"/>
        <v>2027</v>
      </c>
      <c r="BM19" s="37">
        <f t="shared" si="6"/>
        <v>2027</v>
      </c>
      <c r="BN19" s="37">
        <f t="shared" si="6"/>
        <v>2027</v>
      </c>
      <c r="BO19" s="37">
        <f t="shared" si="6"/>
        <v>2027</v>
      </c>
      <c r="BP19" s="37">
        <f t="shared" ref="BP19:DS19" si="7">YEAR(BP21)</f>
        <v>2027</v>
      </c>
      <c r="BQ19" s="37">
        <f t="shared" si="7"/>
        <v>2027</v>
      </c>
      <c r="BR19" s="37">
        <f t="shared" si="7"/>
        <v>2028</v>
      </c>
      <c r="BS19" s="37">
        <f t="shared" si="7"/>
        <v>2028</v>
      </c>
      <c r="BT19" s="37">
        <f t="shared" si="7"/>
        <v>2028</v>
      </c>
      <c r="BU19" s="37">
        <f t="shared" si="7"/>
        <v>2028</v>
      </c>
      <c r="BV19" s="37">
        <f t="shared" si="7"/>
        <v>2028</v>
      </c>
      <c r="BW19" s="37">
        <f t="shared" si="7"/>
        <v>2028</v>
      </c>
      <c r="BX19" s="37">
        <f t="shared" si="7"/>
        <v>2028</v>
      </c>
      <c r="BY19" s="37">
        <f t="shared" si="7"/>
        <v>2028</v>
      </c>
      <c r="BZ19" s="37">
        <f t="shared" si="7"/>
        <v>2028</v>
      </c>
      <c r="CA19" s="37">
        <f t="shared" si="7"/>
        <v>2028</v>
      </c>
      <c r="CB19" s="37">
        <f t="shared" si="7"/>
        <v>2028</v>
      </c>
      <c r="CC19" s="37">
        <f t="shared" si="7"/>
        <v>2028</v>
      </c>
      <c r="CD19" s="37">
        <f t="shared" si="7"/>
        <v>2029</v>
      </c>
      <c r="CE19" s="37">
        <f t="shared" si="7"/>
        <v>2029</v>
      </c>
      <c r="CF19" s="37">
        <f t="shared" si="7"/>
        <v>2029</v>
      </c>
      <c r="CG19" s="37">
        <f t="shared" si="7"/>
        <v>2029</v>
      </c>
      <c r="CH19" s="37">
        <f t="shared" si="7"/>
        <v>2029</v>
      </c>
      <c r="CI19" s="37">
        <f t="shared" si="7"/>
        <v>2029</v>
      </c>
      <c r="CJ19" s="37">
        <f t="shared" si="7"/>
        <v>2029</v>
      </c>
      <c r="CK19" s="37">
        <f t="shared" si="7"/>
        <v>2029</v>
      </c>
      <c r="CL19" s="37">
        <f t="shared" si="7"/>
        <v>2029</v>
      </c>
      <c r="CM19" s="37">
        <f t="shared" si="7"/>
        <v>2029</v>
      </c>
      <c r="CN19" s="37">
        <f t="shared" si="7"/>
        <v>2029</v>
      </c>
      <c r="CO19" s="37">
        <f t="shared" si="7"/>
        <v>2029</v>
      </c>
      <c r="CP19" s="37">
        <f t="shared" si="7"/>
        <v>2030</v>
      </c>
      <c r="CQ19" s="37">
        <f t="shared" si="7"/>
        <v>2030</v>
      </c>
      <c r="CR19" s="37">
        <f t="shared" si="7"/>
        <v>2030</v>
      </c>
      <c r="CS19" s="37">
        <f t="shared" si="7"/>
        <v>2030</v>
      </c>
      <c r="CT19" s="37">
        <f t="shared" si="7"/>
        <v>2030</v>
      </c>
      <c r="CU19" s="37">
        <f t="shared" si="7"/>
        <v>2030</v>
      </c>
      <c r="CV19" s="37">
        <f t="shared" si="7"/>
        <v>2030</v>
      </c>
      <c r="CW19" s="37">
        <f t="shared" si="7"/>
        <v>2030</v>
      </c>
      <c r="CX19" s="37">
        <f t="shared" si="7"/>
        <v>2030</v>
      </c>
      <c r="CY19" s="37">
        <f t="shared" si="7"/>
        <v>2030</v>
      </c>
      <c r="CZ19" s="37">
        <f t="shared" si="7"/>
        <v>2030</v>
      </c>
      <c r="DA19" s="37">
        <f t="shared" si="7"/>
        <v>2030</v>
      </c>
      <c r="DB19" s="37">
        <f t="shared" si="7"/>
        <v>2031</v>
      </c>
      <c r="DC19" s="37">
        <f t="shared" si="7"/>
        <v>2031</v>
      </c>
      <c r="DD19" s="37">
        <f t="shared" si="7"/>
        <v>2031</v>
      </c>
      <c r="DE19" s="37">
        <f t="shared" si="7"/>
        <v>2031</v>
      </c>
      <c r="DF19" s="37">
        <f t="shared" si="7"/>
        <v>2031</v>
      </c>
      <c r="DG19" s="37">
        <f t="shared" si="7"/>
        <v>2031</v>
      </c>
      <c r="DH19" s="37">
        <f t="shared" si="7"/>
        <v>2031</v>
      </c>
      <c r="DI19" s="37">
        <f t="shared" si="7"/>
        <v>2031</v>
      </c>
      <c r="DJ19" s="37">
        <f t="shared" si="7"/>
        <v>2031</v>
      </c>
      <c r="DK19" s="37">
        <f t="shared" si="7"/>
        <v>2031</v>
      </c>
      <c r="DL19" s="37">
        <f t="shared" si="7"/>
        <v>2031</v>
      </c>
      <c r="DM19" s="37">
        <f t="shared" si="7"/>
        <v>2031</v>
      </c>
      <c r="DN19" s="37">
        <f t="shared" si="7"/>
        <v>2032</v>
      </c>
      <c r="DO19" s="37">
        <f t="shared" si="7"/>
        <v>2032</v>
      </c>
      <c r="DP19" s="37">
        <f t="shared" si="7"/>
        <v>2032</v>
      </c>
      <c r="DQ19" s="37">
        <f t="shared" si="7"/>
        <v>2032</v>
      </c>
      <c r="DR19" s="37">
        <f t="shared" si="7"/>
        <v>2032</v>
      </c>
      <c r="DS19" s="37">
        <f t="shared" si="7"/>
        <v>2032</v>
      </c>
      <c r="DT19" s="37">
        <f t="shared" ref="DT19:DY19" si="8">YEAR(DT21)</f>
        <v>2032</v>
      </c>
      <c r="DU19" s="37">
        <f t="shared" si="8"/>
        <v>2032</v>
      </c>
      <c r="DV19" s="37">
        <f t="shared" si="8"/>
        <v>2032</v>
      </c>
      <c r="DW19" s="37">
        <f t="shared" si="8"/>
        <v>2032</v>
      </c>
      <c r="DX19" s="37">
        <f t="shared" si="8"/>
        <v>2032</v>
      </c>
      <c r="DY19" s="37">
        <f t="shared" si="8"/>
        <v>2032</v>
      </c>
    </row>
    <row r="20" spans="1:130" x14ac:dyDescent="0.35">
      <c r="A20" t="s">
        <v>21</v>
      </c>
      <c r="C20" s="31">
        <v>0</v>
      </c>
      <c r="D20" s="31">
        <f>+C20+1</f>
        <v>1</v>
      </c>
      <c r="E20" s="31">
        <f t="shared" ref="E20:BP20" si="9">+D20+1</f>
        <v>2</v>
      </c>
      <c r="F20" s="31">
        <f t="shared" si="9"/>
        <v>3</v>
      </c>
      <c r="G20" s="31">
        <f t="shared" si="9"/>
        <v>4</v>
      </c>
      <c r="H20" s="31">
        <f t="shared" si="9"/>
        <v>5</v>
      </c>
      <c r="I20" s="31">
        <f t="shared" si="9"/>
        <v>6</v>
      </c>
      <c r="J20" s="31">
        <f t="shared" si="9"/>
        <v>7</v>
      </c>
      <c r="K20" s="31">
        <f t="shared" si="9"/>
        <v>8</v>
      </c>
      <c r="L20" s="31">
        <f t="shared" si="9"/>
        <v>9</v>
      </c>
      <c r="M20" s="31">
        <f t="shared" si="9"/>
        <v>10</v>
      </c>
      <c r="N20" s="31">
        <f t="shared" si="9"/>
        <v>11</v>
      </c>
      <c r="O20" s="31">
        <f t="shared" si="9"/>
        <v>12</v>
      </c>
      <c r="P20" s="31">
        <f t="shared" si="9"/>
        <v>13</v>
      </c>
      <c r="Q20" s="31">
        <f t="shared" si="9"/>
        <v>14</v>
      </c>
      <c r="R20" s="31">
        <f t="shared" si="9"/>
        <v>15</v>
      </c>
      <c r="S20" s="31">
        <f t="shared" si="9"/>
        <v>16</v>
      </c>
      <c r="T20" s="31">
        <f t="shared" si="9"/>
        <v>17</v>
      </c>
      <c r="U20" s="31">
        <f t="shared" si="9"/>
        <v>18</v>
      </c>
      <c r="V20" s="31">
        <f t="shared" si="9"/>
        <v>19</v>
      </c>
      <c r="W20" s="31">
        <f t="shared" si="9"/>
        <v>20</v>
      </c>
      <c r="X20" s="31">
        <f t="shared" si="9"/>
        <v>21</v>
      </c>
      <c r="Y20" s="31">
        <f t="shared" si="9"/>
        <v>22</v>
      </c>
      <c r="Z20" s="31">
        <f t="shared" si="9"/>
        <v>23</v>
      </c>
      <c r="AA20" s="31">
        <f t="shared" si="9"/>
        <v>24</v>
      </c>
      <c r="AB20" s="31">
        <f t="shared" si="9"/>
        <v>25</v>
      </c>
      <c r="AC20" s="31">
        <f t="shared" si="9"/>
        <v>26</v>
      </c>
      <c r="AD20" s="31">
        <f t="shared" si="9"/>
        <v>27</v>
      </c>
      <c r="AE20" s="31">
        <f t="shared" si="9"/>
        <v>28</v>
      </c>
      <c r="AF20" s="31">
        <f t="shared" si="9"/>
        <v>29</v>
      </c>
      <c r="AG20" s="31">
        <f t="shared" si="9"/>
        <v>30</v>
      </c>
      <c r="AH20" s="31">
        <f t="shared" si="9"/>
        <v>31</v>
      </c>
      <c r="AI20" s="31">
        <f t="shared" si="9"/>
        <v>32</v>
      </c>
      <c r="AJ20" s="31">
        <f t="shared" si="9"/>
        <v>33</v>
      </c>
      <c r="AK20" s="31">
        <f t="shared" si="9"/>
        <v>34</v>
      </c>
      <c r="AL20" s="31">
        <f t="shared" si="9"/>
        <v>35</v>
      </c>
      <c r="AM20" s="31">
        <f t="shared" si="9"/>
        <v>36</v>
      </c>
      <c r="AN20" s="31">
        <f t="shared" si="9"/>
        <v>37</v>
      </c>
      <c r="AO20" s="31">
        <f t="shared" si="9"/>
        <v>38</v>
      </c>
      <c r="AP20" s="31">
        <f t="shared" si="9"/>
        <v>39</v>
      </c>
      <c r="AQ20" s="31">
        <f t="shared" si="9"/>
        <v>40</v>
      </c>
      <c r="AR20" s="31">
        <f t="shared" si="9"/>
        <v>41</v>
      </c>
      <c r="AS20" s="31">
        <f t="shared" si="9"/>
        <v>42</v>
      </c>
      <c r="AT20" s="31">
        <f t="shared" si="9"/>
        <v>43</v>
      </c>
      <c r="AU20" s="31">
        <f t="shared" si="9"/>
        <v>44</v>
      </c>
      <c r="AV20" s="31">
        <f t="shared" si="9"/>
        <v>45</v>
      </c>
      <c r="AW20" s="31">
        <f t="shared" si="9"/>
        <v>46</v>
      </c>
      <c r="AX20" s="31">
        <f t="shared" si="9"/>
        <v>47</v>
      </c>
      <c r="AY20" s="31">
        <f t="shared" si="9"/>
        <v>48</v>
      </c>
      <c r="AZ20" s="31">
        <f t="shared" si="9"/>
        <v>49</v>
      </c>
      <c r="BA20" s="31">
        <f t="shared" si="9"/>
        <v>50</v>
      </c>
      <c r="BB20" s="31">
        <f t="shared" si="9"/>
        <v>51</v>
      </c>
      <c r="BC20" s="31">
        <f t="shared" si="9"/>
        <v>52</v>
      </c>
      <c r="BD20" s="31">
        <f t="shared" si="9"/>
        <v>53</v>
      </c>
      <c r="BE20" s="31">
        <f t="shared" si="9"/>
        <v>54</v>
      </c>
      <c r="BF20" s="31">
        <f t="shared" si="9"/>
        <v>55</v>
      </c>
      <c r="BG20" s="31">
        <f t="shared" si="9"/>
        <v>56</v>
      </c>
      <c r="BH20" s="31">
        <f t="shared" si="9"/>
        <v>57</v>
      </c>
      <c r="BI20" s="31">
        <f t="shared" si="9"/>
        <v>58</v>
      </c>
      <c r="BJ20" s="31">
        <f t="shared" si="9"/>
        <v>59</v>
      </c>
      <c r="BK20" s="31">
        <f t="shared" si="9"/>
        <v>60</v>
      </c>
      <c r="BL20" s="31">
        <f t="shared" si="9"/>
        <v>61</v>
      </c>
      <c r="BM20" s="31">
        <f t="shared" si="9"/>
        <v>62</v>
      </c>
      <c r="BN20" s="31">
        <f t="shared" si="9"/>
        <v>63</v>
      </c>
      <c r="BO20" s="31">
        <f t="shared" si="9"/>
        <v>64</v>
      </c>
      <c r="BP20" s="31">
        <f t="shared" si="9"/>
        <v>65</v>
      </c>
      <c r="BQ20" s="31">
        <f t="shared" ref="BQ20:DS20" si="10">+BP20+1</f>
        <v>66</v>
      </c>
      <c r="BR20" s="31">
        <f t="shared" si="10"/>
        <v>67</v>
      </c>
      <c r="BS20" s="31">
        <f t="shared" si="10"/>
        <v>68</v>
      </c>
      <c r="BT20" s="31">
        <f t="shared" si="10"/>
        <v>69</v>
      </c>
      <c r="BU20" s="31">
        <f t="shared" si="10"/>
        <v>70</v>
      </c>
      <c r="BV20" s="31">
        <f t="shared" si="10"/>
        <v>71</v>
      </c>
      <c r="BW20" s="31">
        <f t="shared" si="10"/>
        <v>72</v>
      </c>
      <c r="BX20" s="31">
        <f t="shared" si="10"/>
        <v>73</v>
      </c>
      <c r="BY20" s="31">
        <f t="shared" si="10"/>
        <v>74</v>
      </c>
      <c r="BZ20" s="31">
        <f t="shared" si="10"/>
        <v>75</v>
      </c>
      <c r="CA20" s="31">
        <f t="shared" si="10"/>
        <v>76</v>
      </c>
      <c r="CB20" s="31">
        <f t="shared" si="10"/>
        <v>77</v>
      </c>
      <c r="CC20" s="31">
        <f t="shared" si="10"/>
        <v>78</v>
      </c>
      <c r="CD20" s="31">
        <f t="shared" si="10"/>
        <v>79</v>
      </c>
      <c r="CE20" s="31">
        <f t="shared" si="10"/>
        <v>80</v>
      </c>
      <c r="CF20" s="31">
        <f t="shared" si="10"/>
        <v>81</v>
      </c>
      <c r="CG20" s="31">
        <f t="shared" si="10"/>
        <v>82</v>
      </c>
      <c r="CH20" s="31">
        <f t="shared" si="10"/>
        <v>83</v>
      </c>
      <c r="CI20" s="31">
        <f t="shared" si="10"/>
        <v>84</v>
      </c>
      <c r="CJ20" s="31">
        <f t="shared" si="10"/>
        <v>85</v>
      </c>
      <c r="CK20" s="31">
        <f t="shared" si="10"/>
        <v>86</v>
      </c>
      <c r="CL20" s="31">
        <f t="shared" si="10"/>
        <v>87</v>
      </c>
      <c r="CM20" s="31">
        <f t="shared" si="10"/>
        <v>88</v>
      </c>
      <c r="CN20" s="31">
        <f t="shared" si="10"/>
        <v>89</v>
      </c>
      <c r="CO20" s="31">
        <f t="shared" si="10"/>
        <v>90</v>
      </c>
      <c r="CP20" s="31">
        <f t="shared" si="10"/>
        <v>91</v>
      </c>
      <c r="CQ20" s="31">
        <f t="shared" si="10"/>
        <v>92</v>
      </c>
      <c r="CR20" s="31">
        <f t="shared" si="10"/>
        <v>93</v>
      </c>
      <c r="CS20" s="31">
        <f t="shared" si="10"/>
        <v>94</v>
      </c>
      <c r="CT20" s="31">
        <f t="shared" si="10"/>
        <v>95</v>
      </c>
      <c r="CU20" s="31">
        <f t="shared" si="10"/>
        <v>96</v>
      </c>
      <c r="CV20" s="31">
        <f t="shared" si="10"/>
        <v>97</v>
      </c>
      <c r="CW20" s="31">
        <f t="shared" si="10"/>
        <v>98</v>
      </c>
      <c r="CX20" s="31">
        <f t="shared" si="10"/>
        <v>99</v>
      </c>
      <c r="CY20" s="31">
        <f t="shared" si="10"/>
        <v>100</v>
      </c>
      <c r="CZ20" s="31">
        <f t="shared" si="10"/>
        <v>101</v>
      </c>
      <c r="DA20" s="31">
        <f t="shared" si="10"/>
        <v>102</v>
      </c>
      <c r="DB20" s="31">
        <f t="shared" si="10"/>
        <v>103</v>
      </c>
      <c r="DC20" s="31">
        <f t="shared" si="10"/>
        <v>104</v>
      </c>
      <c r="DD20" s="31">
        <f t="shared" si="10"/>
        <v>105</v>
      </c>
      <c r="DE20" s="31">
        <f t="shared" si="10"/>
        <v>106</v>
      </c>
      <c r="DF20" s="31">
        <f t="shared" si="10"/>
        <v>107</v>
      </c>
      <c r="DG20" s="31">
        <f t="shared" si="10"/>
        <v>108</v>
      </c>
      <c r="DH20" s="31">
        <f t="shared" si="10"/>
        <v>109</v>
      </c>
      <c r="DI20" s="31">
        <f t="shared" si="10"/>
        <v>110</v>
      </c>
      <c r="DJ20" s="31">
        <f t="shared" si="10"/>
        <v>111</v>
      </c>
      <c r="DK20" s="31">
        <f t="shared" si="10"/>
        <v>112</v>
      </c>
      <c r="DL20" s="31">
        <f t="shared" si="10"/>
        <v>113</v>
      </c>
      <c r="DM20" s="31">
        <f t="shared" si="10"/>
        <v>114</v>
      </c>
      <c r="DN20" s="31">
        <f t="shared" si="10"/>
        <v>115</v>
      </c>
      <c r="DO20" s="31">
        <f t="shared" si="10"/>
        <v>116</v>
      </c>
      <c r="DP20" s="31">
        <f t="shared" si="10"/>
        <v>117</v>
      </c>
      <c r="DQ20" s="31">
        <f t="shared" si="10"/>
        <v>118</v>
      </c>
      <c r="DR20" s="31">
        <f t="shared" si="10"/>
        <v>119</v>
      </c>
      <c r="DS20" s="31">
        <f t="shared" si="10"/>
        <v>120</v>
      </c>
      <c r="DT20" s="37">
        <f t="shared" ref="DT20" si="11">+DS20+1</f>
        <v>121</v>
      </c>
      <c r="DU20" s="37">
        <f t="shared" ref="DU20" si="12">+DT20+1</f>
        <v>122</v>
      </c>
      <c r="DV20" s="37">
        <f t="shared" ref="DV20" si="13">+DU20+1</f>
        <v>123</v>
      </c>
      <c r="DW20" s="37">
        <f t="shared" ref="DW20" si="14">+DV20+1</f>
        <v>124</v>
      </c>
      <c r="DX20" s="37">
        <f t="shared" ref="DX20" si="15">+DW20+1</f>
        <v>125</v>
      </c>
      <c r="DY20" s="37">
        <f t="shared" ref="DY20" si="16">+DX20+1</f>
        <v>126</v>
      </c>
    </row>
    <row r="21" spans="1:130" x14ac:dyDescent="0.35">
      <c r="A21" t="s">
        <v>22</v>
      </c>
      <c r="C21" s="32">
        <v>44713</v>
      </c>
      <c r="D21" s="32">
        <v>44743</v>
      </c>
      <c r="E21" s="32">
        <v>44774</v>
      </c>
      <c r="F21" s="32">
        <v>44805</v>
      </c>
      <c r="G21" s="32">
        <v>44835</v>
      </c>
      <c r="H21" s="32">
        <v>44866</v>
      </c>
      <c r="I21" s="32">
        <v>44896</v>
      </c>
      <c r="J21" s="32">
        <v>44927</v>
      </c>
      <c r="K21" s="32">
        <v>44958</v>
      </c>
      <c r="L21" s="32">
        <v>44986</v>
      </c>
      <c r="M21" s="32">
        <v>45017</v>
      </c>
      <c r="N21" s="32">
        <v>45047</v>
      </c>
      <c r="O21" s="32">
        <v>45078</v>
      </c>
      <c r="P21" s="32">
        <v>45108</v>
      </c>
      <c r="Q21" s="32">
        <v>45139</v>
      </c>
      <c r="R21" s="32">
        <v>45170</v>
      </c>
      <c r="S21" s="32">
        <v>45200</v>
      </c>
      <c r="T21" s="32">
        <v>45231</v>
      </c>
      <c r="U21" s="32">
        <v>45261</v>
      </c>
      <c r="V21" s="32">
        <v>45292</v>
      </c>
      <c r="W21" s="32">
        <v>45323</v>
      </c>
      <c r="X21" s="32">
        <v>45352</v>
      </c>
      <c r="Y21" s="32">
        <v>45383</v>
      </c>
      <c r="Z21" s="32">
        <v>45413</v>
      </c>
      <c r="AA21" s="32">
        <v>45444</v>
      </c>
      <c r="AB21" s="32">
        <v>45474</v>
      </c>
      <c r="AC21" s="32">
        <v>45505</v>
      </c>
      <c r="AD21" s="32">
        <v>45536</v>
      </c>
      <c r="AE21" s="32">
        <v>45566</v>
      </c>
      <c r="AF21" s="32">
        <v>45597</v>
      </c>
      <c r="AG21" s="32">
        <v>45627</v>
      </c>
      <c r="AH21" s="32">
        <v>45658</v>
      </c>
      <c r="AI21" s="32">
        <v>45689</v>
      </c>
      <c r="AJ21" s="32">
        <v>45717</v>
      </c>
      <c r="AK21" s="32">
        <v>45748</v>
      </c>
      <c r="AL21" s="32">
        <v>45778</v>
      </c>
      <c r="AM21" s="32">
        <v>45809</v>
      </c>
      <c r="AN21" s="32">
        <v>45839</v>
      </c>
      <c r="AO21" s="32">
        <v>45870</v>
      </c>
      <c r="AP21" s="32">
        <v>45901</v>
      </c>
      <c r="AQ21" s="32">
        <v>45931</v>
      </c>
      <c r="AR21" s="32">
        <v>45962</v>
      </c>
      <c r="AS21" s="32">
        <v>45992</v>
      </c>
      <c r="AT21" s="32">
        <v>46023</v>
      </c>
      <c r="AU21" s="32">
        <v>46054</v>
      </c>
      <c r="AV21" s="32">
        <v>46082</v>
      </c>
      <c r="AW21" s="32">
        <v>46113</v>
      </c>
      <c r="AX21" s="32">
        <v>46143</v>
      </c>
      <c r="AY21" s="32">
        <v>46174</v>
      </c>
      <c r="AZ21" s="32">
        <v>46204</v>
      </c>
      <c r="BA21" s="32">
        <v>46235</v>
      </c>
      <c r="BB21" s="32">
        <v>46266</v>
      </c>
      <c r="BC21" s="32">
        <v>46296</v>
      </c>
      <c r="BD21" s="32">
        <v>46327</v>
      </c>
      <c r="BE21" s="32">
        <v>46357</v>
      </c>
      <c r="BF21" s="32">
        <v>46388</v>
      </c>
      <c r="BG21" s="32">
        <v>46419</v>
      </c>
      <c r="BH21" s="32">
        <v>46447</v>
      </c>
      <c r="BI21" s="32">
        <v>46478</v>
      </c>
      <c r="BJ21" s="32">
        <v>46508</v>
      </c>
      <c r="BK21" s="32">
        <v>46539</v>
      </c>
      <c r="BL21" s="32">
        <v>46569</v>
      </c>
      <c r="BM21" s="32">
        <v>46600</v>
      </c>
      <c r="BN21" s="32">
        <v>46631</v>
      </c>
      <c r="BO21" s="32">
        <v>46661</v>
      </c>
      <c r="BP21" s="32">
        <v>46692</v>
      </c>
      <c r="BQ21" s="32">
        <v>46722</v>
      </c>
      <c r="BR21" s="32">
        <v>46753</v>
      </c>
      <c r="BS21" s="32">
        <v>46784</v>
      </c>
      <c r="BT21" s="32">
        <v>46813</v>
      </c>
      <c r="BU21" s="32">
        <v>46844</v>
      </c>
      <c r="BV21" s="32">
        <v>46874</v>
      </c>
      <c r="BW21" s="32">
        <v>46905</v>
      </c>
      <c r="BX21" s="32">
        <v>46935</v>
      </c>
      <c r="BY21" s="32">
        <v>46966</v>
      </c>
      <c r="BZ21" s="32">
        <v>46997</v>
      </c>
      <c r="CA21" s="32">
        <v>47027</v>
      </c>
      <c r="CB21" s="32">
        <v>47058</v>
      </c>
      <c r="CC21" s="32">
        <v>47088</v>
      </c>
      <c r="CD21" s="32">
        <v>47119</v>
      </c>
      <c r="CE21" s="32">
        <v>47150</v>
      </c>
      <c r="CF21" s="32">
        <v>47178</v>
      </c>
      <c r="CG21" s="32">
        <v>47209</v>
      </c>
      <c r="CH21" s="32">
        <v>47239</v>
      </c>
      <c r="CI21" s="32">
        <v>47270</v>
      </c>
      <c r="CJ21" s="32">
        <v>47300</v>
      </c>
      <c r="CK21" s="32">
        <v>47331</v>
      </c>
      <c r="CL21" s="32">
        <v>47362</v>
      </c>
      <c r="CM21" s="32">
        <v>47392</v>
      </c>
      <c r="CN21" s="32">
        <v>47423</v>
      </c>
      <c r="CO21" s="32">
        <v>47453</v>
      </c>
      <c r="CP21" s="32">
        <v>47484</v>
      </c>
      <c r="CQ21" s="32">
        <v>47515</v>
      </c>
      <c r="CR21" s="32">
        <v>47543</v>
      </c>
      <c r="CS21" s="32">
        <v>47574</v>
      </c>
      <c r="CT21" s="32">
        <v>47604</v>
      </c>
      <c r="CU21" s="32">
        <v>47635</v>
      </c>
      <c r="CV21" s="32">
        <v>47665</v>
      </c>
      <c r="CW21" s="32">
        <v>47696</v>
      </c>
      <c r="CX21" s="32">
        <v>47727</v>
      </c>
      <c r="CY21" s="32">
        <v>47757</v>
      </c>
      <c r="CZ21" s="32">
        <v>47788</v>
      </c>
      <c r="DA21" s="32">
        <v>47818</v>
      </c>
      <c r="DB21" s="32">
        <v>47849</v>
      </c>
      <c r="DC21" s="32">
        <v>47880</v>
      </c>
      <c r="DD21" s="32">
        <v>47908</v>
      </c>
      <c r="DE21" s="32">
        <v>47939</v>
      </c>
      <c r="DF21" s="32">
        <v>47969</v>
      </c>
      <c r="DG21" s="32">
        <v>48000</v>
      </c>
      <c r="DH21" s="32">
        <v>48030</v>
      </c>
      <c r="DI21" s="32">
        <v>48061</v>
      </c>
      <c r="DJ21" s="32">
        <v>48092</v>
      </c>
      <c r="DK21" s="32">
        <v>48122</v>
      </c>
      <c r="DL21" s="32">
        <v>48153</v>
      </c>
      <c r="DM21" s="32">
        <v>48183</v>
      </c>
      <c r="DN21" s="32">
        <v>48214</v>
      </c>
      <c r="DO21" s="32">
        <v>48245</v>
      </c>
      <c r="DP21" s="32">
        <v>48274</v>
      </c>
      <c r="DQ21" s="32">
        <v>48305</v>
      </c>
      <c r="DR21" s="32">
        <v>48335</v>
      </c>
      <c r="DS21" s="32">
        <v>48366</v>
      </c>
      <c r="DT21" s="32">
        <v>48396</v>
      </c>
      <c r="DU21" s="32">
        <v>48427</v>
      </c>
      <c r="DV21" s="32">
        <v>48458</v>
      </c>
      <c r="DW21" s="32">
        <v>48488</v>
      </c>
      <c r="DX21" s="32">
        <v>48519</v>
      </c>
      <c r="DY21" s="32">
        <v>48549</v>
      </c>
    </row>
    <row r="22" spans="1:130" x14ac:dyDescent="0.35">
      <c r="A22" t="s">
        <v>23</v>
      </c>
      <c r="C22" s="40"/>
      <c r="D22" s="31"/>
      <c r="E22" s="31"/>
      <c r="F22" s="31"/>
      <c r="G22" s="31"/>
      <c r="H22" s="31"/>
      <c r="I22" s="31">
        <v>1</v>
      </c>
      <c r="J22" s="31">
        <f>I22+1</f>
        <v>2</v>
      </c>
      <c r="K22" s="31">
        <f t="shared" ref="K22:BV22" si="17">J22+1</f>
        <v>3</v>
      </c>
      <c r="L22" s="31">
        <f t="shared" si="17"/>
        <v>4</v>
      </c>
      <c r="M22" s="31">
        <f t="shared" si="17"/>
        <v>5</v>
      </c>
      <c r="N22" s="31">
        <f t="shared" si="17"/>
        <v>6</v>
      </c>
      <c r="O22" s="31">
        <f t="shared" si="17"/>
        <v>7</v>
      </c>
      <c r="P22" s="31">
        <f t="shared" si="17"/>
        <v>8</v>
      </c>
      <c r="Q22" s="31">
        <f t="shared" si="17"/>
        <v>9</v>
      </c>
      <c r="R22" s="31">
        <f t="shared" si="17"/>
        <v>10</v>
      </c>
      <c r="S22" s="31">
        <f t="shared" si="17"/>
        <v>11</v>
      </c>
      <c r="T22" s="31">
        <f t="shared" si="17"/>
        <v>12</v>
      </c>
      <c r="U22" s="31">
        <f t="shared" si="17"/>
        <v>13</v>
      </c>
      <c r="V22" s="31">
        <f t="shared" si="17"/>
        <v>14</v>
      </c>
      <c r="W22" s="31">
        <f t="shared" si="17"/>
        <v>15</v>
      </c>
      <c r="X22" s="31">
        <f t="shared" si="17"/>
        <v>16</v>
      </c>
      <c r="Y22" s="31">
        <f t="shared" si="17"/>
        <v>17</v>
      </c>
      <c r="Z22" s="31">
        <f t="shared" si="17"/>
        <v>18</v>
      </c>
      <c r="AA22" s="31">
        <f t="shared" si="17"/>
        <v>19</v>
      </c>
      <c r="AB22" s="31">
        <f t="shared" si="17"/>
        <v>20</v>
      </c>
      <c r="AC22" s="31">
        <f t="shared" si="17"/>
        <v>21</v>
      </c>
      <c r="AD22" s="31">
        <f t="shared" si="17"/>
        <v>22</v>
      </c>
      <c r="AE22" s="31">
        <f t="shared" si="17"/>
        <v>23</v>
      </c>
      <c r="AF22" s="31">
        <f t="shared" si="17"/>
        <v>24</v>
      </c>
      <c r="AG22" s="31">
        <f t="shared" si="17"/>
        <v>25</v>
      </c>
      <c r="AH22" s="31">
        <f t="shared" si="17"/>
        <v>26</v>
      </c>
      <c r="AI22" s="31">
        <f t="shared" si="17"/>
        <v>27</v>
      </c>
      <c r="AJ22" s="31">
        <f t="shared" si="17"/>
        <v>28</v>
      </c>
      <c r="AK22" s="31">
        <f t="shared" si="17"/>
        <v>29</v>
      </c>
      <c r="AL22" s="31">
        <f t="shared" si="17"/>
        <v>30</v>
      </c>
      <c r="AM22" s="31">
        <f t="shared" si="17"/>
        <v>31</v>
      </c>
      <c r="AN22" s="31">
        <f t="shared" si="17"/>
        <v>32</v>
      </c>
      <c r="AO22" s="31">
        <f t="shared" si="17"/>
        <v>33</v>
      </c>
      <c r="AP22" s="31">
        <f t="shared" si="17"/>
        <v>34</v>
      </c>
      <c r="AQ22" s="31">
        <f t="shared" si="17"/>
        <v>35</v>
      </c>
      <c r="AR22" s="31">
        <f t="shared" si="17"/>
        <v>36</v>
      </c>
      <c r="AS22" s="31">
        <f t="shared" si="17"/>
        <v>37</v>
      </c>
      <c r="AT22" s="31">
        <f t="shared" si="17"/>
        <v>38</v>
      </c>
      <c r="AU22" s="31">
        <f t="shared" si="17"/>
        <v>39</v>
      </c>
      <c r="AV22" s="31">
        <f t="shared" si="17"/>
        <v>40</v>
      </c>
      <c r="AW22" s="31">
        <f t="shared" si="17"/>
        <v>41</v>
      </c>
      <c r="AX22" s="31">
        <f t="shared" si="17"/>
        <v>42</v>
      </c>
      <c r="AY22" s="31">
        <f t="shared" si="17"/>
        <v>43</v>
      </c>
      <c r="AZ22" s="31">
        <f t="shared" si="17"/>
        <v>44</v>
      </c>
      <c r="BA22" s="31">
        <f t="shared" si="17"/>
        <v>45</v>
      </c>
      <c r="BB22" s="31">
        <f t="shared" si="17"/>
        <v>46</v>
      </c>
      <c r="BC22" s="31">
        <f t="shared" si="17"/>
        <v>47</v>
      </c>
      <c r="BD22" s="31">
        <f t="shared" si="17"/>
        <v>48</v>
      </c>
      <c r="BE22" s="31">
        <f t="shared" si="17"/>
        <v>49</v>
      </c>
      <c r="BF22" s="31">
        <f t="shared" si="17"/>
        <v>50</v>
      </c>
      <c r="BG22" s="31">
        <f t="shared" si="17"/>
        <v>51</v>
      </c>
      <c r="BH22" s="31">
        <f t="shared" si="17"/>
        <v>52</v>
      </c>
      <c r="BI22" s="31">
        <f t="shared" si="17"/>
        <v>53</v>
      </c>
      <c r="BJ22" s="31">
        <f t="shared" si="17"/>
        <v>54</v>
      </c>
      <c r="BK22" s="31">
        <f t="shared" si="17"/>
        <v>55</v>
      </c>
      <c r="BL22" s="31">
        <f t="shared" si="17"/>
        <v>56</v>
      </c>
      <c r="BM22" s="31">
        <f t="shared" si="17"/>
        <v>57</v>
      </c>
      <c r="BN22" s="31">
        <f t="shared" si="17"/>
        <v>58</v>
      </c>
      <c r="BO22" s="31">
        <f t="shared" si="17"/>
        <v>59</v>
      </c>
      <c r="BP22" s="31">
        <f t="shared" si="17"/>
        <v>60</v>
      </c>
      <c r="BQ22" s="31">
        <f t="shared" si="17"/>
        <v>61</v>
      </c>
      <c r="BR22" s="31">
        <f t="shared" si="17"/>
        <v>62</v>
      </c>
      <c r="BS22" s="31">
        <f t="shared" si="17"/>
        <v>63</v>
      </c>
      <c r="BT22" s="31">
        <f t="shared" si="17"/>
        <v>64</v>
      </c>
      <c r="BU22" s="31">
        <f t="shared" si="17"/>
        <v>65</v>
      </c>
      <c r="BV22" s="31">
        <f t="shared" si="17"/>
        <v>66</v>
      </c>
      <c r="BW22" s="31">
        <f t="shared" ref="BW22:DS22" si="18">BV22+1</f>
        <v>67</v>
      </c>
      <c r="BX22" s="31">
        <f t="shared" si="18"/>
        <v>68</v>
      </c>
      <c r="BY22" s="31">
        <f t="shared" si="18"/>
        <v>69</v>
      </c>
      <c r="BZ22" s="31">
        <f t="shared" si="18"/>
        <v>70</v>
      </c>
      <c r="CA22" s="31">
        <f t="shared" si="18"/>
        <v>71</v>
      </c>
      <c r="CB22" s="31">
        <f t="shared" si="18"/>
        <v>72</v>
      </c>
      <c r="CC22" s="31">
        <f t="shared" si="18"/>
        <v>73</v>
      </c>
      <c r="CD22" s="31">
        <f t="shared" si="18"/>
        <v>74</v>
      </c>
      <c r="CE22" s="31">
        <f t="shared" si="18"/>
        <v>75</v>
      </c>
      <c r="CF22" s="31">
        <f t="shared" si="18"/>
        <v>76</v>
      </c>
      <c r="CG22" s="31">
        <f t="shared" si="18"/>
        <v>77</v>
      </c>
      <c r="CH22" s="31">
        <f t="shared" si="18"/>
        <v>78</v>
      </c>
      <c r="CI22" s="31">
        <f t="shared" si="18"/>
        <v>79</v>
      </c>
      <c r="CJ22" s="31">
        <f t="shared" si="18"/>
        <v>80</v>
      </c>
      <c r="CK22" s="31">
        <f t="shared" si="18"/>
        <v>81</v>
      </c>
      <c r="CL22" s="31">
        <f t="shared" si="18"/>
        <v>82</v>
      </c>
      <c r="CM22" s="31">
        <f t="shared" si="18"/>
        <v>83</v>
      </c>
      <c r="CN22" s="31">
        <f t="shared" si="18"/>
        <v>84</v>
      </c>
      <c r="CO22" s="31">
        <f t="shared" si="18"/>
        <v>85</v>
      </c>
      <c r="CP22" s="31">
        <f t="shared" si="18"/>
        <v>86</v>
      </c>
      <c r="CQ22" s="31">
        <f t="shared" si="18"/>
        <v>87</v>
      </c>
      <c r="CR22" s="31">
        <f t="shared" si="18"/>
        <v>88</v>
      </c>
      <c r="CS22" s="31">
        <f t="shared" si="18"/>
        <v>89</v>
      </c>
      <c r="CT22" s="31">
        <f t="shared" si="18"/>
        <v>90</v>
      </c>
      <c r="CU22" s="31">
        <f t="shared" si="18"/>
        <v>91</v>
      </c>
      <c r="CV22" s="31">
        <f t="shared" si="18"/>
        <v>92</v>
      </c>
      <c r="CW22" s="31">
        <f t="shared" si="18"/>
        <v>93</v>
      </c>
      <c r="CX22" s="31">
        <f t="shared" si="18"/>
        <v>94</v>
      </c>
      <c r="CY22" s="31">
        <f t="shared" si="18"/>
        <v>95</v>
      </c>
      <c r="CZ22" s="31">
        <f t="shared" si="18"/>
        <v>96</v>
      </c>
      <c r="DA22" s="31">
        <f t="shared" si="18"/>
        <v>97</v>
      </c>
      <c r="DB22" s="31">
        <f t="shared" si="18"/>
        <v>98</v>
      </c>
      <c r="DC22" s="31">
        <f t="shared" si="18"/>
        <v>99</v>
      </c>
      <c r="DD22" s="31">
        <f t="shared" si="18"/>
        <v>100</v>
      </c>
      <c r="DE22" s="31">
        <f t="shared" si="18"/>
        <v>101</v>
      </c>
      <c r="DF22" s="31">
        <f t="shared" si="18"/>
        <v>102</v>
      </c>
      <c r="DG22" s="31">
        <f t="shared" si="18"/>
        <v>103</v>
      </c>
      <c r="DH22" s="31">
        <f t="shared" si="18"/>
        <v>104</v>
      </c>
      <c r="DI22" s="31">
        <f t="shared" si="18"/>
        <v>105</v>
      </c>
      <c r="DJ22" s="31">
        <f t="shared" si="18"/>
        <v>106</v>
      </c>
      <c r="DK22" s="31">
        <f t="shared" si="18"/>
        <v>107</v>
      </c>
      <c r="DL22" s="31">
        <f t="shared" si="18"/>
        <v>108</v>
      </c>
      <c r="DM22" s="31">
        <f t="shared" si="18"/>
        <v>109</v>
      </c>
      <c r="DN22" s="31">
        <f t="shared" si="18"/>
        <v>110</v>
      </c>
      <c r="DO22" s="31">
        <f t="shared" si="18"/>
        <v>111</v>
      </c>
      <c r="DP22" s="31">
        <f t="shared" si="18"/>
        <v>112</v>
      </c>
      <c r="DQ22" s="31">
        <f t="shared" si="18"/>
        <v>113</v>
      </c>
      <c r="DR22" s="31">
        <f t="shared" si="18"/>
        <v>114</v>
      </c>
      <c r="DS22" s="31">
        <f t="shared" si="18"/>
        <v>115</v>
      </c>
      <c r="DT22" s="37">
        <f t="shared" ref="DT22" si="19">DS22+1</f>
        <v>116</v>
      </c>
      <c r="DU22" s="37">
        <f t="shared" ref="DU22" si="20">DT22+1</f>
        <v>117</v>
      </c>
      <c r="DV22" s="37">
        <f t="shared" ref="DV22" si="21">DU22+1</f>
        <v>118</v>
      </c>
      <c r="DW22" s="37">
        <f t="shared" ref="DW22" si="22">DV22+1</f>
        <v>119</v>
      </c>
      <c r="DX22" s="37">
        <f t="shared" ref="DX22" si="23">DW22+1</f>
        <v>120</v>
      </c>
      <c r="DY22" s="37">
        <f t="shared" ref="DY22" si="24">DX22+1</f>
        <v>121</v>
      </c>
    </row>
    <row r="23" spans="1:130" x14ac:dyDescent="0.35">
      <c r="C23" s="78">
        <f ca="1">LOOKUP(C19,INPUTS!$C$11:$M$16,INPUTS!$C$14:$M$14)</f>
        <v>7.0999999999999994E-2</v>
      </c>
      <c r="D23" s="78">
        <f ca="1">LOOKUP(D19,INPUTS!$C$11:$M$16,INPUTS!$C$14:$M$14)</f>
        <v>7.0999999999999994E-2</v>
      </c>
      <c r="E23" s="78">
        <f ca="1">LOOKUP(E19,INPUTS!$C$11:$M$16,INPUTS!$C$14:$M$14)</f>
        <v>7.0999999999999994E-2</v>
      </c>
      <c r="F23" s="78">
        <f ca="1">LOOKUP(F19,INPUTS!$C$11:$M$16,INPUTS!$C$14:$M$14)</f>
        <v>7.0999999999999994E-2</v>
      </c>
      <c r="G23" s="78">
        <f ca="1">LOOKUP(G19,INPUTS!$C$11:$M$16,INPUTS!$C$14:$M$14)</f>
        <v>7.0999999999999994E-2</v>
      </c>
      <c r="H23" s="78">
        <f ca="1">LOOKUP(H19,INPUTS!$C$11:$M$16,INPUTS!$C$14:$M$14)</f>
        <v>7.0999999999999994E-2</v>
      </c>
      <c r="I23" s="78">
        <f ca="1">LOOKUP(I19,INPUTS!$C$11:$M$16,INPUTS!$C$14:$M$14)</f>
        <v>7.0999999999999994E-2</v>
      </c>
      <c r="J23" s="78">
        <f ca="1">LOOKUP(J19,INPUTS!$C$11:$M$16,INPUTS!$C$14:$M$14)</f>
        <v>4.8000000000000001E-2</v>
      </c>
      <c r="K23" s="78">
        <f ca="1">LOOKUP(K19,INPUTS!$C$11:$M$16,INPUTS!$C$14:$M$14)</f>
        <v>4.8000000000000001E-2</v>
      </c>
      <c r="L23" s="78">
        <f ca="1">LOOKUP(L19,INPUTS!$C$11:$M$16,INPUTS!$C$14:$M$14)</f>
        <v>4.8000000000000001E-2</v>
      </c>
      <c r="M23" s="78">
        <f ca="1">LOOKUP(M19,INPUTS!$C$11:$M$16,INPUTS!$C$14:$M$14)</f>
        <v>4.8000000000000001E-2</v>
      </c>
      <c r="N23" s="78">
        <f ca="1">LOOKUP(N19,INPUTS!$C$11:$M$16,INPUTS!$C$14:$M$14)</f>
        <v>4.8000000000000001E-2</v>
      </c>
      <c r="O23" s="78">
        <f ca="1">LOOKUP(O19,INPUTS!$C$11:$M$16,INPUTS!$C$14:$M$14)</f>
        <v>4.8000000000000001E-2</v>
      </c>
      <c r="P23" s="78">
        <f ca="1">LOOKUP(P19,INPUTS!$C$11:$M$16,INPUTS!$C$14:$M$14)</f>
        <v>4.8000000000000001E-2</v>
      </c>
      <c r="Q23" s="78">
        <f ca="1">LOOKUP(Q19,INPUTS!$C$11:$M$16,INPUTS!$C$14:$M$14)</f>
        <v>4.8000000000000001E-2</v>
      </c>
      <c r="R23" s="78">
        <f ca="1">LOOKUP(R19,INPUTS!$C$11:$M$16,INPUTS!$C$14:$M$14)</f>
        <v>4.8000000000000001E-2</v>
      </c>
      <c r="S23" s="78">
        <f ca="1">LOOKUP(S19,INPUTS!$C$11:$M$16,INPUTS!$C$14:$M$14)</f>
        <v>4.8000000000000001E-2</v>
      </c>
      <c r="T23" s="78">
        <f ca="1">LOOKUP(T19,INPUTS!$C$11:$M$16,INPUTS!$C$14:$M$14)</f>
        <v>4.8000000000000001E-2</v>
      </c>
      <c r="U23" s="78">
        <f ca="1">LOOKUP(U19,INPUTS!$C$11:$M$16,INPUTS!$C$14:$M$14)</f>
        <v>4.8000000000000001E-2</v>
      </c>
      <c r="V23" s="78">
        <f ca="1">LOOKUP(V19,INPUTS!$C$11:$M$16,INPUTS!$C$14:$M$14)</f>
        <v>0.03</v>
      </c>
      <c r="W23" s="78">
        <f ca="1">LOOKUP(W19,INPUTS!$C$11:$M$16,INPUTS!$C$14:$M$14)</f>
        <v>0.03</v>
      </c>
      <c r="X23" s="78">
        <f ca="1">LOOKUP(X19,INPUTS!$C$11:$M$16,INPUTS!$C$14:$M$14)</f>
        <v>0.03</v>
      </c>
      <c r="Y23" s="78">
        <f ca="1">LOOKUP(Y19,INPUTS!$C$11:$M$16,INPUTS!$C$14:$M$14)</f>
        <v>0.03</v>
      </c>
      <c r="Z23" s="78">
        <f ca="1">LOOKUP(Z19,INPUTS!$C$11:$M$16,INPUTS!$C$14:$M$14)</f>
        <v>0.03</v>
      </c>
      <c r="AA23" s="78">
        <f ca="1">LOOKUP(AA19,INPUTS!$C$11:$M$16,INPUTS!$C$14:$M$14)</f>
        <v>0.03</v>
      </c>
      <c r="AB23" s="78">
        <f ca="1">LOOKUP(AB19,INPUTS!$C$11:$M$16,INPUTS!$C$14:$M$14)</f>
        <v>0.03</v>
      </c>
      <c r="AC23" s="78">
        <f ca="1">LOOKUP(AC19,INPUTS!$C$11:$M$16,INPUTS!$C$14:$M$14)</f>
        <v>0.03</v>
      </c>
      <c r="AD23" s="78">
        <f ca="1">LOOKUP(AD19,INPUTS!$C$11:$M$16,INPUTS!$C$14:$M$14)</f>
        <v>0.03</v>
      </c>
      <c r="AE23" s="78">
        <f ca="1">LOOKUP(AE19,INPUTS!$C$11:$M$16,INPUTS!$C$14:$M$14)</f>
        <v>0.03</v>
      </c>
      <c r="AF23" s="78">
        <f ca="1">LOOKUP(AF19,INPUTS!$C$11:$M$16,INPUTS!$C$14:$M$14)</f>
        <v>0.03</v>
      </c>
      <c r="AG23" s="78">
        <f ca="1">LOOKUP(AG19,INPUTS!$C$11:$M$16,INPUTS!$C$14:$M$14)</f>
        <v>0.03</v>
      </c>
      <c r="AH23" s="78">
        <f ca="1">LOOKUP(AH19,INPUTS!$C$11:$M$16,INPUTS!$C$14:$M$14)</f>
        <v>0.03</v>
      </c>
      <c r="AI23" s="78">
        <f ca="1">LOOKUP(AI19,INPUTS!$C$11:$M$16,INPUTS!$C$14:$M$14)</f>
        <v>0.03</v>
      </c>
      <c r="AJ23" s="78">
        <f ca="1">LOOKUP(AJ19,INPUTS!$C$11:$M$16,INPUTS!$C$14:$M$14)</f>
        <v>0.03</v>
      </c>
      <c r="AK23" s="78">
        <f ca="1">LOOKUP(AK19,INPUTS!$C$11:$M$16,INPUTS!$C$14:$M$14)</f>
        <v>0.03</v>
      </c>
      <c r="AL23" s="78">
        <f ca="1">LOOKUP(AL19,INPUTS!$C$11:$M$16,INPUTS!$C$14:$M$14)</f>
        <v>0.03</v>
      </c>
      <c r="AM23" s="78">
        <f ca="1">LOOKUP(AM19,INPUTS!$C$11:$M$16,INPUTS!$C$14:$M$14)</f>
        <v>0.03</v>
      </c>
      <c r="AN23" s="78">
        <f ca="1">LOOKUP(AN19,INPUTS!$C$11:$M$16,INPUTS!$C$14:$M$14)</f>
        <v>0.03</v>
      </c>
      <c r="AO23" s="78">
        <f ca="1">LOOKUP(AO19,INPUTS!$C$11:$M$16,INPUTS!$C$14:$M$14)</f>
        <v>0.03</v>
      </c>
      <c r="AP23" s="78">
        <f ca="1">LOOKUP(AP19,INPUTS!$C$11:$M$16,INPUTS!$C$14:$M$14)</f>
        <v>0.03</v>
      </c>
      <c r="AQ23" s="78">
        <f ca="1">LOOKUP(AQ19,INPUTS!$C$11:$M$16,INPUTS!$C$14:$M$14)</f>
        <v>0.03</v>
      </c>
      <c r="AR23" s="78">
        <f ca="1">LOOKUP(AR19,INPUTS!$C$11:$M$16,INPUTS!$C$14:$M$14)</f>
        <v>0.03</v>
      </c>
      <c r="AS23" s="78">
        <f ca="1">LOOKUP(AS19,INPUTS!$C$11:$M$16,INPUTS!$C$14:$M$14)</f>
        <v>0.03</v>
      </c>
      <c r="AT23" s="78">
        <f ca="1">LOOKUP(AT19,INPUTS!$C$11:$M$16,INPUTS!$C$14:$M$14)</f>
        <v>0.03</v>
      </c>
      <c r="AU23" s="78">
        <f ca="1">LOOKUP(AU19,INPUTS!$C$11:$M$16,INPUTS!$C$14:$M$14)</f>
        <v>0.03</v>
      </c>
      <c r="AV23" s="78">
        <f ca="1">LOOKUP(AV19,INPUTS!$C$11:$M$16,INPUTS!$C$14:$M$14)</f>
        <v>0.03</v>
      </c>
      <c r="AW23" s="78">
        <f ca="1">LOOKUP(AW19,INPUTS!$C$11:$M$16,INPUTS!$C$14:$M$14)</f>
        <v>0.03</v>
      </c>
      <c r="AX23" s="78">
        <f ca="1">LOOKUP(AX19,INPUTS!$C$11:$M$16,INPUTS!$C$14:$M$14)</f>
        <v>0.03</v>
      </c>
      <c r="AY23" s="78">
        <f ca="1">LOOKUP(AY19,INPUTS!$C$11:$M$16,INPUTS!$C$14:$M$14)</f>
        <v>0.03</v>
      </c>
      <c r="AZ23" s="78">
        <f ca="1">LOOKUP(AZ19,INPUTS!$C$11:$M$16,INPUTS!$C$14:$M$14)</f>
        <v>0.03</v>
      </c>
      <c r="BA23" s="78">
        <f ca="1">LOOKUP(BA19,INPUTS!$C$11:$M$16,INPUTS!$C$14:$M$14)</f>
        <v>0.03</v>
      </c>
      <c r="BB23" s="78">
        <f ca="1">LOOKUP(BB19,INPUTS!$C$11:$M$16,INPUTS!$C$14:$M$14)</f>
        <v>0.03</v>
      </c>
      <c r="BC23" s="78">
        <f ca="1">LOOKUP(BC19,INPUTS!$C$11:$M$16,INPUTS!$C$14:$M$14)</f>
        <v>0.03</v>
      </c>
      <c r="BD23" s="78">
        <f ca="1">LOOKUP(BD19,INPUTS!$C$11:$M$16,INPUTS!$C$14:$M$14)</f>
        <v>0.03</v>
      </c>
      <c r="BE23" s="78">
        <f ca="1">LOOKUP(BE19,INPUTS!$C$11:$M$16,INPUTS!$C$14:$M$14)</f>
        <v>0.03</v>
      </c>
      <c r="BF23" s="78">
        <f ca="1">LOOKUP(BF19,INPUTS!$C$11:$M$16,INPUTS!$C$14:$M$14)</f>
        <v>0.03</v>
      </c>
      <c r="BG23" s="78">
        <f ca="1">LOOKUP(BG19,INPUTS!$C$11:$M$16,INPUTS!$C$14:$M$14)</f>
        <v>0.03</v>
      </c>
      <c r="BH23" s="78">
        <f ca="1">LOOKUP(BH19,INPUTS!$C$11:$M$16,INPUTS!$C$14:$M$14)</f>
        <v>0.03</v>
      </c>
      <c r="BI23" s="78">
        <f ca="1">LOOKUP(BI19,INPUTS!$C$11:$M$16,INPUTS!$C$14:$M$14)</f>
        <v>0.03</v>
      </c>
      <c r="BJ23" s="78">
        <f ca="1">LOOKUP(BJ19,INPUTS!$C$11:$M$16,INPUTS!$C$14:$M$14)</f>
        <v>0.03</v>
      </c>
      <c r="BK23" s="78">
        <f ca="1">LOOKUP(BK19,INPUTS!$C$11:$M$16,INPUTS!$C$14:$M$14)</f>
        <v>0.03</v>
      </c>
      <c r="BL23" s="78">
        <f ca="1">LOOKUP(BL19,INPUTS!$C$11:$M$16,INPUTS!$C$14:$M$14)</f>
        <v>0.03</v>
      </c>
      <c r="BM23" s="78">
        <f ca="1">LOOKUP(BM19,INPUTS!$C$11:$M$16,INPUTS!$C$14:$M$14)</f>
        <v>0.03</v>
      </c>
      <c r="BN23" s="78">
        <f ca="1">LOOKUP(BN19,INPUTS!$C$11:$M$16,INPUTS!$C$14:$M$14)</f>
        <v>0.03</v>
      </c>
      <c r="BO23" s="78">
        <f ca="1">LOOKUP(BO19,INPUTS!$C$11:$M$16,INPUTS!$C$14:$M$14)</f>
        <v>0.03</v>
      </c>
      <c r="BP23" s="78">
        <f ca="1">LOOKUP(BP19,INPUTS!$C$11:$M$16,INPUTS!$C$14:$M$14)</f>
        <v>0.03</v>
      </c>
      <c r="BQ23" s="78">
        <f ca="1">LOOKUP(BQ19,INPUTS!$C$11:$M$16,INPUTS!$C$14:$M$14)</f>
        <v>0.03</v>
      </c>
      <c r="BR23" s="78">
        <f ca="1">LOOKUP(BR19,INPUTS!$C$11:$M$16,INPUTS!$C$14:$M$14)</f>
        <v>0.03</v>
      </c>
      <c r="BS23" s="78">
        <f ca="1">LOOKUP(BS19,INPUTS!$C$11:$M$16,INPUTS!$C$14:$M$14)</f>
        <v>0.03</v>
      </c>
      <c r="BT23" s="78">
        <f ca="1">LOOKUP(BT19,INPUTS!$C$11:$M$16,INPUTS!$C$14:$M$14)</f>
        <v>0.03</v>
      </c>
      <c r="BU23" s="78">
        <f ca="1">LOOKUP(BU19,INPUTS!$C$11:$M$16,INPUTS!$C$14:$M$14)</f>
        <v>0.03</v>
      </c>
      <c r="BV23" s="78">
        <f ca="1">LOOKUP(BV19,INPUTS!$C$11:$M$16,INPUTS!$C$14:$M$14)</f>
        <v>0.03</v>
      </c>
      <c r="BW23" s="78">
        <f ca="1">LOOKUP(BW19,INPUTS!$C$11:$M$16,INPUTS!$C$14:$M$14)</f>
        <v>0.03</v>
      </c>
      <c r="BX23" s="78">
        <f ca="1">LOOKUP(BX19,INPUTS!$C$11:$M$16,INPUTS!$C$14:$M$14)</f>
        <v>0.03</v>
      </c>
      <c r="BY23" s="78">
        <f ca="1">LOOKUP(BY19,INPUTS!$C$11:$M$16,INPUTS!$C$14:$M$14)</f>
        <v>0.03</v>
      </c>
      <c r="BZ23" s="78">
        <f ca="1">LOOKUP(BZ19,INPUTS!$C$11:$M$16,INPUTS!$C$14:$M$14)</f>
        <v>0.03</v>
      </c>
      <c r="CA23" s="78">
        <f ca="1">LOOKUP(CA19,INPUTS!$C$11:$M$16,INPUTS!$C$14:$M$14)</f>
        <v>0.03</v>
      </c>
      <c r="CB23" s="78">
        <f ca="1">LOOKUP(CB19,INPUTS!$C$11:$M$16,INPUTS!$C$14:$M$14)</f>
        <v>0.03</v>
      </c>
      <c r="CC23" s="78">
        <f ca="1">LOOKUP(CC19,INPUTS!$C$11:$M$16,INPUTS!$C$14:$M$14)</f>
        <v>0.03</v>
      </c>
      <c r="CD23" s="78">
        <f ca="1">LOOKUP(CD19,INPUTS!$C$11:$M$16,INPUTS!$C$14:$M$14)</f>
        <v>0.03</v>
      </c>
      <c r="CE23" s="78">
        <f ca="1">LOOKUP(CE19,INPUTS!$C$11:$M$16,INPUTS!$C$14:$M$14)</f>
        <v>0.03</v>
      </c>
      <c r="CF23" s="78">
        <f ca="1">LOOKUP(CF19,INPUTS!$C$11:$M$16,INPUTS!$C$14:$M$14)</f>
        <v>0.03</v>
      </c>
      <c r="CG23" s="78">
        <f ca="1">LOOKUP(CG19,INPUTS!$C$11:$M$16,INPUTS!$C$14:$M$14)</f>
        <v>0.03</v>
      </c>
      <c r="CH23" s="78">
        <f ca="1">LOOKUP(CH19,INPUTS!$C$11:$M$16,INPUTS!$C$14:$M$14)</f>
        <v>0.03</v>
      </c>
      <c r="CI23" s="78">
        <f ca="1">LOOKUP(CI19,INPUTS!$C$11:$M$16,INPUTS!$C$14:$M$14)</f>
        <v>0.03</v>
      </c>
      <c r="CJ23" s="78">
        <f ca="1">LOOKUP(CJ19,INPUTS!$C$11:$M$16,INPUTS!$C$14:$M$14)</f>
        <v>0.03</v>
      </c>
      <c r="CK23" s="78">
        <f ca="1">LOOKUP(CK19,INPUTS!$C$11:$M$16,INPUTS!$C$14:$M$14)</f>
        <v>0.03</v>
      </c>
      <c r="CL23" s="78">
        <f ca="1">LOOKUP(CL19,INPUTS!$C$11:$M$16,INPUTS!$C$14:$M$14)</f>
        <v>0.03</v>
      </c>
      <c r="CM23" s="78">
        <f ca="1">LOOKUP(CM19,INPUTS!$C$11:$M$16,INPUTS!$C$14:$M$14)</f>
        <v>0.03</v>
      </c>
      <c r="CN23" s="78">
        <f ca="1">LOOKUP(CN19,INPUTS!$C$11:$M$16,INPUTS!$C$14:$M$14)</f>
        <v>0.03</v>
      </c>
      <c r="CO23" s="78">
        <f ca="1">LOOKUP(CO19,INPUTS!$C$11:$M$16,INPUTS!$C$14:$M$14)</f>
        <v>0.03</v>
      </c>
      <c r="CP23" s="78">
        <f ca="1">LOOKUP(CP19,INPUTS!$C$11:$M$16,INPUTS!$C$14:$M$14)</f>
        <v>0.03</v>
      </c>
      <c r="CQ23" s="78">
        <f ca="1">LOOKUP(CQ19,INPUTS!$C$11:$M$16,INPUTS!$C$14:$M$14)</f>
        <v>0.03</v>
      </c>
      <c r="CR23" s="78">
        <f ca="1">LOOKUP(CR19,INPUTS!$C$11:$M$16,INPUTS!$C$14:$M$14)</f>
        <v>0.03</v>
      </c>
      <c r="CS23" s="78">
        <f ca="1">LOOKUP(CS19,INPUTS!$C$11:$M$16,INPUTS!$C$14:$M$14)</f>
        <v>0.03</v>
      </c>
      <c r="CT23" s="78">
        <f ca="1">LOOKUP(CT19,INPUTS!$C$11:$M$16,INPUTS!$C$14:$M$14)</f>
        <v>0.03</v>
      </c>
      <c r="CU23" s="78">
        <f ca="1">LOOKUP(CU19,INPUTS!$C$11:$M$16,INPUTS!$C$14:$M$14)</f>
        <v>0.03</v>
      </c>
      <c r="CV23" s="78">
        <f ca="1">LOOKUP(CV19,INPUTS!$C$11:$M$16,INPUTS!$C$14:$M$14)</f>
        <v>0.03</v>
      </c>
      <c r="CW23" s="78">
        <f ca="1">LOOKUP(CW19,INPUTS!$C$11:$M$16,INPUTS!$C$14:$M$14)</f>
        <v>0.03</v>
      </c>
      <c r="CX23" s="78">
        <f ca="1">LOOKUP(CX19,INPUTS!$C$11:$M$16,INPUTS!$C$14:$M$14)</f>
        <v>0.03</v>
      </c>
      <c r="CY23" s="78">
        <f ca="1">LOOKUP(CY19,INPUTS!$C$11:$M$16,INPUTS!$C$14:$M$14)</f>
        <v>0.03</v>
      </c>
      <c r="CZ23" s="78">
        <f ca="1">LOOKUP(CZ19,INPUTS!$C$11:$M$16,INPUTS!$C$14:$M$14)</f>
        <v>0.03</v>
      </c>
      <c r="DA23" s="78">
        <f ca="1">LOOKUP(DA19,INPUTS!$C$11:$M$16,INPUTS!$C$14:$M$14)</f>
        <v>0.03</v>
      </c>
      <c r="DB23" s="78">
        <f ca="1">LOOKUP(DB19,INPUTS!$C$11:$M$16,INPUTS!$C$14:$M$14)</f>
        <v>0.03</v>
      </c>
      <c r="DC23" s="78">
        <f ca="1">LOOKUP(DC19,INPUTS!$C$11:$M$16,INPUTS!$C$14:$M$14)</f>
        <v>0.03</v>
      </c>
      <c r="DD23" s="78">
        <f ca="1">LOOKUP(DD19,INPUTS!$C$11:$M$16,INPUTS!$C$14:$M$14)</f>
        <v>0.03</v>
      </c>
      <c r="DE23" s="78">
        <f ca="1">LOOKUP(DE19,INPUTS!$C$11:$M$16,INPUTS!$C$14:$M$14)</f>
        <v>0.03</v>
      </c>
      <c r="DF23" s="78">
        <f ca="1">LOOKUP(DF19,INPUTS!$C$11:$M$16,INPUTS!$C$14:$M$14)</f>
        <v>0.03</v>
      </c>
      <c r="DG23" s="78">
        <f ca="1">LOOKUP(DG19,INPUTS!$C$11:$M$16,INPUTS!$C$14:$M$14)</f>
        <v>0.03</v>
      </c>
      <c r="DH23" s="78">
        <f ca="1">LOOKUP(DH19,INPUTS!$C$11:$M$16,INPUTS!$C$14:$M$14)</f>
        <v>0.03</v>
      </c>
      <c r="DI23" s="78">
        <f ca="1">LOOKUP(DI19,INPUTS!$C$11:$M$16,INPUTS!$C$14:$M$14)</f>
        <v>0.03</v>
      </c>
      <c r="DJ23" s="78">
        <f ca="1">LOOKUP(DJ19,INPUTS!$C$11:$M$16,INPUTS!$C$14:$M$14)</f>
        <v>0.03</v>
      </c>
      <c r="DK23" s="78">
        <f ca="1">LOOKUP(DK19,INPUTS!$C$11:$M$16,INPUTS!$C$14:$M$14)</f>
        <v>0.03</v>
      </c>
      <c r="DL23" s="78">
        <f ca="1">LOOKUP(DL19,INPUTS!$C$11:$M$16,INPUTS!$C$14:$M$14)</f>
        <v>0.03</v>
      </c>
      <c r="DM23" s="78">
        <f ca="1">LOOKUP(DM19,INPUTS!$C$11:$M$16,INPUTS!$C$14:$M$14)</f>
        <v>0.03</v>
      </c>
      <c r="DN23" s="78">
        <f ca="1">LOOKUP(DN19,INPUTS!$C$11:$M$16,INPUTS!$C$14:$M$14)</f>
        <v>0.03</v>
      </c>
      <c r="DO23" s="78">
        <f ca="1">LOOKUP(DO19,INPUTS!$C$11:$M$16,INPUTS!$C$14:$M$14)</f>
        <v>0.03</v>
      </c>
      <c r="DP23" s="78">
        <f ca="1">LOOKUP(DP19,INPUTS!$C$11:$M$16,INPUTS!$C$14:$M$14)</f>
        <v>0.03</v>
      </c>
      <c r="DQ23" s="78">
        <f ca="1">LOOKUP(DQ19,INPUTS!$C$11:$M$16,INPUTS!$C$14:$M$14)</f>
        <v>0.03</v>
      </c>
      <c r="DR23" s="78">
        <f ca="1">LOOKUP(DR19,INPUTS!$C$11:$M$16,INPUTS!$C$14:$M$14)</f>
        <v>0.03</v>
      </c>
      <c r="DS23" s="78">
        <f ca="1">LOOKUP(DS19,INPUTS!$C$11:$M$16,INPUTS!$C$14:$M$14)</f>
        <v>0.03</v>
      </c>
      <c r="DT23" s="78">
        <f ca="1">LOOKUP(DT19,INPUTS!$C$11:$M$16,INPUTS!$C$14:$M$14)</f>
        <v>0.03</v>
      </c>
      <c r="DU23" s="78">
        <f ca="1">LOOKUP(DU19,INPUTS!$C$11:$M$16,INPUTS!$C$14:$M$14)</f>
        <v>0.03</v>
      </c>
      <c r="DV23" s="78">
        <f ca="1">LOOKUP(DV19,INPUTS!$C$11:$M$16,INPUTS!$C$14:$M$14)</f>
        <v>0.03</v>
      </c>
      <c r="DW23" s="78">
        <f ca="1">LOOKUP(DW19,INPUTS!$C$11:$M$16,INPUTS!$C$14:$M$14)</f>
        <v>0.03</v>
      </c>
      <c r="DX23" s="78">
        <f ca="1">LOOKUP(DX19,INPUTS!$C$11:$M$16,INPUTS!$C$14:$M$14)</f>
        <v>0.03</v>
      </c>
      <c r="DY23" s="78">
        <f ca="1">LOOKUP(DY19,INPUTS!$C$11:$M$16,INPUTS!$C$14:$M$14)</f>
        <v>0.03</v>
      </c>
    </row>
    <row r="24" spans="1:130" x14ac:dyDescent="0.35">
      <c r="A24" t="s">
        <v>121</v>
      </c>
      <c r="C24" s="40"/>
    </row>
    <row r="25" spans="1:130" x14ac:dyDescent="0.35">
      <c r="A25" s="8" t="s">
        <v>24</v>
      </c>
      <c r="B25" s="61">
        <f>SUM(C25:DY25)</f>
        <v>1513350000</v>
      </c>
      <c r="C25" s="40"/>
      <c r="J25" s="33">
        <f>($J$13*$D$5)+($K$13*$D$6)</f>
        <v>2100000</v>
      </c>
      <c r="K25" s="33">
        <f t="shared" ref="K25:L27" si="25">J25</f>
        <v>2100000</v>
      </c>
      <c r="L25" s="33">
        <f t="shared" si="25"/>
        <v>2100000</v>
      </c>
      <c r="M25" s="33">
        <f>($J$14*$D$5)+($K$14*$D$6)</f>
        <v>5850000</v>
      </c>
      <c r="N25" s="33">
        <f>M25</f>
        <v>5850000</v>
      </c>
      <c r="O25" s="33">
        <f t="shared" ref="O25:O27" si="26">N25</f>
        <v>5850000</v>
      </c>
      <c r="P25" s="33">
        <f>($J$15*$D$5)+($K$15*$D$6)</f>
        <v>7950000</v>
      </c>
      <c r="Q25" s="33">
        <f>P25</f>
        <v>7950000</v>
      </c>
      <c r="R25" s="33">
        <f t="shared" ref="R25:U25" si="27">Q25</f>
        <v>7950000</v>
      </c>
      <c r="S25" s="33">
        <f t="shared" si="27"/>
        <v>7950000</v>
      </c>
      <c r="T25" s="33">
        <f t="shared" si="27"/>
        <v>7950000</v>
      </c>
      <c r="U25" s="33">
        <f t="shared" si="27"/>
        <v>7950000</v>
      </c>
      <c r="V25" s="33">
        <f>($J$16*$D$5)+($K$16*$D$6)</f>
        <v>13350000</v>
      </c>
      <c r="W25" s="33">
        <f>V25</f>
        <v>13350000</v>
      </c>
      <c r="X25" s="33">
        <f t="shared" ref="X25:AM27" si="28">W25</f>
        <v>13350000</v>
      </c>
      <c r="Y25" s="33">
        <f t="shared" si="28"/>
        <v>13350000</v>
      </c>
      <c r="Z25" s="33">
        <f t="shared" si="28"/>
        <v>13350000</v>
      </c>
      <c r="AA25" s="33">
        <f t="shared" si="28"/>
        <v>13350000</v>
      </c>
      <c r="AB25" s="33">
        <f t="shared" si="28"/>
        <v>13350000</v>
      </c>
      <c r="AC25" s="33">
        <f t="shared" si="28"/>
        <v>13350000</v>
      </c>
      <c r="AD25" s="33">
        <f t="shared" si="28"/>
        <v>13350000</v>
      </c>
      <c r="AE25" s="33">
        <f t="shared" si="28"/>
        <v>13350000</v>
      </c>
      <c r="AF25" s="33">
        <f t="shared" si="28"/>
        <v>13350000</v>
      </c>
      <c r="AG25" s="33">
        <f t="shared" si="28"/>
        <v>13350000</v>
      </c>
      <c r="AH25" s="33">
        <f t="shared" si="28"/>
        <v>13350000</v>
      </c>
      <c r="AI25" s="33">
        <f t="shared" si="28"/>
        <v>13350000</v>
      </c>
      <c r="AJ25" s="33">
        <f t="shared" si="28"/>
        <v>13350000</v>
      </c>
      <c r="AK25" s="33">
        <f t="shared" si="28"/>
        <v>13350000</v>
      </c>
      <c r="AL25" s="33">
        <f t="shared" si="28"/>
        <v>13350000</v>
      </c>
      <c r="AM25" s="33">
        <f t="shared" si="28"/>
        <v>13350000</v>
      </c>
      <c r="AN25" s="33">
        <f t="shared" ref="AN25:BC27" si="29">AM25</f>
        <v>13350000</v>
      </c>
      <c r="AO25" s="33">
        <f t="shared" si="29"/>
        <v>13350000</v>
      </c>
      <c r="AP25" s="33">
        <f t="shared" si="29"/>
        <v>13350000</v>
      </c>
      <c r="AQ25" s="33">
        <f t="shared" si="29"/>
        <v>13350000</v>
      </c>
      <c r="AR25" s="33">
        <f t="shared" si="29"/>
        <v>13350000</v>
      </c>
      <c r="AS25" s="33">
        <f t="shared" si="29"/>
        <v>13350000</v>
      </c>
      <c r="AT25" s="33">
        <f t="shared" si="29"/>
        <v>13350000</v>
      </c>
      <c r="AU25" s="33">
        <f t="shared" si="29"/>
        <v>13350000</v>
      </c>
      <c r="AV25" s="33">
        <f t="shared" si="29"/>
        <v>13350000</v>
      </c>
      <c r="AW25" s="33">
        <f t="shared" si="29"/>
        <v>13350000</v>
      </c>
      <c r="AX25" s="33">
        <f t="shared" si="29"/>
        <v>13350000</v>
      </c>
      <c r="AY25" s="33">
        <f t="shared" si="29"/>
        <v>13350000</v>
      </c>
      <c r="AZ25" s="33">
        <f t="shared" si="29"/>
        <v>13350000</v>
      </c>
      <c r="BA25" s="33">
        <f t="shared" si="29"/>
        <v>13350000</v>
      </c>
      <c r="BB25" s="33">
        <f t="shared" si="29"/>
        <v>13350000</v>
      </c>
      <c r="BC25" s="33">
        <f t="shared" si="29"/>
        <v>13350000</v>
      </c>
      <c r="BD25" s="33">
        <f t="shared" ref="BD25:BS27" si="30">BC25</f>
        <v>13350000</v>
      </c>
      <c r="BE25" s="33">
        <f t="shared" si="30"/>
        <v>13350000</v>
      </c>
      <c r="BF25" s="33">
        <f t="shared" si="30"/>
        <v>13350000</v>
      </c>
      <c r="BG25" s="33">
        <f t="shared" si="30"/>
        <v>13350000</v>
      </c>
      <c r="BH25" s="33">
        <f t="shared" si="30"/>
        <v>13350000</v>
      </c>
      <c r="BI25" s="33">
        <f t="shared" si="30"/>
        <v>13350000</v>
      </c>
      <c r="BJ25" s="33">
        <f t="shared" si="30"/>
        <v>13350000</v>
      </c>
      <c r="BK25" s="33">
        <f t="shared" si="30"/>
        <v>13350000</v>
      </c>
      <c r="BL25" s="33">
        <f t="shared" si="30"/>
        <v>13350000</v>
      </c>
      <c r="BM25" s="33">
        <f t="shared" si="30"/>
        <v>13350000</v>
      </c>
      <c r="BN25" s="33">
        <f t="shared" si="30"/>
        <v>13350000</v>
      </c>
      <c r="BO25" s="33">
        <f t="shared" si="30"/>
        <v>13350000</v>
      </c>
      <c r="BP25" s="33">
        <f t="shared" si="30"/>
        <v>13350000</v>
      </c>
      <c r="BQ25" s="33">
        <f t="shared" si="30"/>
        <v>13350000</v>
      </c>
      <c r="BR25" s="33">
        <f t="shared" si="30"/>
        <v>13350000</v>
      </c>
      <c r="BS25" s="33">
        <f t="shared" si="30"/>
        <v>13350000</v>
      </c>
      <c r="BT25" s="33">
        <f t="shared" ref="BT25:CI27" si="31">BS25</f>
        <v>13350000</v>
      </c>
      <c r="BU25" s="33">
        <f t="shared" si="31"/>
        <v>13350000</v>
      </c>
      <c r="BV25" s="33">
        <f t="shared" si="31"/>
        <v>13350000</v>
      </c>
      <c r="BW25" s="33">
        <f t="shared" si="31"/>
        <v>13350000</v>
      </c>
      <c r="BX25" s="33">
        <f t="shared" si="31"/>
        <v>13350000</v>
      </c>
      <c r="BY25" s="33">
        <f t="shared" si="31"/>
        <v>13350000</v>
      </c>
      <c r="BZ25" s="33">
        <f t="shared" si="31"/>
        <v>13350000</v>
      </c>
      <c r="CA25" s="33">
        <f t="shared" si="31"/>
        <v>13350000</v>
      </c>
      <c r="CB25" s="33">
        <f t="shared" si="31"/>
        <v>13350000</v>
      </c>
      <c r="CC25" s="33">
        <f t="shared" si="31"/>
        <v>13350000</v>
      </c>
      <c r="CD25" s="33">
        <f t="shared" si="31"/>
        <v>13350000</v>
      </c>
      <c r="CE25" s="33">
        <f t="shared" si="31"/>
        <v>13350000</v>
      </c>
      <c r="CF25" s="33">
        <f t="shared" si="31"/>
        <v>13350000</v>
      </c>
      <c r="CG25" s="33">
        <f t="shared" si="31"/>
        <v>13350000</v>
      </c>
      <c r="CH25" s="33">
        <f t="shared" si="31"/>
        <v>13350000</v>
      </c>
      <c r="CI25" s="33">
        <f t="shared" si="31"/>
        <v>13350000</v>
      </c>
      <c r="CJ25" s="33">
        <f t="shared" ref="CJ25:CY27" si="32">CI25</f>
        <v>13350000</v>
      </c>
      <c r="CK25" s="33">
        <f t="shared" si="32"/>
        <v>13350000</v>
      </c>
      <c r="CL25" s="33">
        <f t="shared" si="32"/>
        <v>13350000</v>
      </c>
      <c r="CM25" s="33">
        <f t="shared" si="32"/>
        <v>13350000</v>
      </c>
      <c r="CN25" s="33">
        <f t="shared" si="32"/>
        <v>13350000</v>
      </c>
      <c r="CO25" s="33">
        <f t="shared" si="32"/>
        <v>13350000</v>
      </c>
      <c r="CP25" s="33">
        <f t="shared" si="32"/>
        <v>13350000</v>
      </c>
      <c r="CQ25" s="33">
        <f t="shared" si="32"/>
        <v>13350000</v>
      </c>
      <c r="CR25" s="33">
        <f t="shared" si="32"/>
        <v>13350000</v>
      </c>
      <c r="CS25" s="33">
        <f t="shared" si="32"/>
        <v>13350000</v>
      </c>
      <c r="CT25" s="33">
        <f t="shared" si="32"/>
        <v>13350000</v>
      </c>
      <c r="CU25" s="33">
        <f t="shared" si="32"/>
        <v>13350000</v>
      </c>
      <c r="CV25" s="33">
        <f t="shared" si="32"/>
        <v>13350000</v>
      </c>
      <c r="CW25" s="33">
        <f t="shared" si="32"/>
        <v>13350000</v>
      </c>
      <c r="CX25" s="33">
        <f t="shared" si="32"/>
        <v>13350000</v>
      </c>
      <c r="CY25" s="33">
        <f t="shared" si="32"/>
        <v>13350000</v>
      </c>
      <c r="CZ25" s="33">
        <f t="shared" ref="CZ25:DO27" si="33">CY25</f>
        <v>13350000</v>
      </c>
      <c r="DA25" s="33">
        <f t="shared" si="33"/>
        <v>13350000</v>
      </c>
      <c r="DB25" s="33">
        <f t="shared" si="33"/>
        <v>13350000</v>
      </c>
      <c r="DC25" s="33">
        <f t="shared" si="33"/>
        <v>13350000</v>
      </c>
      <c r="DD25" s="33">
        <f t="shared" si="33"/>
        <v>13350000</v>
      </c>
      <c r="DE25" s="33">
        <f t="shared" si="33"/>
        <v>13350000</v>
      </c>
      <c r="DF25" s="33">
        <f t="shared" si="33"/>
        <v>13350000</v>
      </c>
      <c r="DG25" s="33">
        <f t="shared" si="33"/>
        <v>13350000</v>
      </c>
      <c r="DH25" s="33">
        <f t="shared" si="33"/>
        <v>13350000</v>
      </c>
      <c r="DI25" s="33">
        <f t="shared" si="33"/>
        <v>13350000</v>
      </c>
      <c r="DJ25" s="33">
        <f t="shared" si="33"/>
        <v>13350000</v>
      </c>
      <c r="DK25" s="33">
        <f t="shared" si="33"/>
        <v>13350000</v>
      </c>
      <c r="DL25" s="33">
        <f t="shared" si="33"/>
        <v>13350000</v>
      </c>
      <c r="DM25" s="33">
        <f t="shared" si="33"/>
        <v>13350000</v>
      </c>
      <c r="DN25" s="33">
        <f t="shared" si="33"/>
        <v>13350000</v>
      </c>
      <c r="DO25" s="33">
        <f t="shared" si="33"/>
        <v>13350000</v>
      </c>
      <c r="DP25" s="33">
        <f t="shared" ref="DP25:DT27" si="34">DO25</f>
        <v>13350000</v>
      </c>
      <c r="DQ25" s="33">
        <f t="shared" si="34"/>
        <v>13350000</v>
      </c>
      <c r="DR25" s="33">
        <f t="shared" si="34"/>
        <v>13350000</v>
      </c>
      <c r="DS25" s="33">
        <f t="shared" si="34"/>
        <v>13350000</v>
      </c>
      <c r="DT25" s="33">
        <f t="shared" si="34"/>
        <v>13350000</v>
      </c>
      <c r="DU25" s="33">
        <f t="shared" ref="DU25:DU27" si="35">DT25</f>
        <v>13350000</v>
      </c>
      <c r="DV25" s="33">
        <f t="shared" ref="DV25:DV27" si="36">DU25</f>
        <v>13350000</v>
      </c>
      <c r="DW25" s="33">
        <f t="shared" ref="DW25:DW27" si="37">DV25</f>
        <v>13350000</v>
      </c>
      <c r="DX25" s="33">
        <f t="shared" ref="DX25:DX27" si="38">DW25</f>
        <v>13350000</v>
      </c>
      <c r="DY25" s="33">
        <f t="shared" ref="DY25:DY27" si="39">DX25</f>
        <v>13350000</v>
      </c>
      <c r="DZ25" s="33">
        <f t="shared" ref="DZ25:DZ27" si="40">DY25</f>
        <v>13350000</v>
      </c>
    </row>
    <row r="26" spans="1:130" x14ac:dyDescent="0.35">
      <c r="A26" s="8" t="s">
        <v>25</v>
      </c>
      <c r="B26" s="61">
        <f>SUM(C26:DY26)</f>
        <v>2212650000</v>
      </c>
      <c r="C26" s="40"/>
      <c r="J26" s="33">
        <f>($L$13*$D$5)+($M$13*$D$6)</f>
        <v>5850000</v>
      </c>
      <c r="K26" s="33">
        <f t="shared" ref="K26" si="41">J26</f>
        <v>5850000</v>
      </c>
      <c r="L26" s="33">
        <f t="shared" si="25"/>
        <v>5850000</v>
      </c>
      <c r="M26" s="33">
        <f>($L$14*$D$5)+($M$14*$D$6)</f>
        <v>9600000</v>
      </c>
      <c r="N26" s="33">
        <f t="shared" ref="N26" si="42">M26</f>
        <v>9600000</v>
      </c>
      <c r="O26" s="33">
        <f t="shared" si="26"/>
        <v>9600000</v>
      </c>
      <c r="P26" s="33">
        <f>($L$15*$D$5)+($M$15*$D$6)</f>
        <v>15450000</v>
      </c>
      <c r="Q26" s="33">
        <f t="shared" ref="Q26:U27" si="43">P26</f>
        <v>15450000</v>
      </c>
      <c r="R26" s="33">
        <f t="shared" si="43"/>
        <v>15450000</v>
      </c>
      <c r="S26" s="33">
        <f t="shared" si="43"/>
        <v>15450000</v>
      </c>
      <c r="T26" s="33">
        <f t="shared" si="43"/>
        <v>15450000</v>
      </c>
      <c r="U26" s="33">
        <f t="shared" si="43"/>
        <v>15450000</v>
      </c>
      <c r="V26" s="33">
        <f>($L$16*$D$5)+($M$16*$D$6)</f>
        <v>19200000</v>
      </c>
      <c r="W26" s="33">
        <f>V26</f>
        <v>19200000</v>
      </c>
      <c r="X26" s="33">
        <f t="shared" si="28"/>
        <v>19200000</v>
      </c>
      <c r="Y26" s="33">
        <f t="shared" si="28"/>
        <v>19200000</v>
      </c>
      <c r="Z26" s="33">
        <f t="shared" si="28"/>
        <v>19200000</v>
      </c>
      <c r="AA26" s="33">
        <f t="shared" si="28"/>
        <v>19200000</v>
      </c>
      <c r="AB26" s="33">
        <f t="shared" si="28"/>
        <v>19200000</v>
      </c>
      <c r="AC26" s="33">
        <f t="shared" si="28"/>
        <v>19200000</v>
      </c>
      <c r="AD26" s="33">
        <f t="shared" si="28"/>
        <v>19200000</v>
      </c>
      <c r="AE26" s="33">
        <f t="shared" si="28"/>
        <v>19200000</v>
      </c>
      <c r="AF26" s="33">
        <f t="shared" si="28"/>
        <v>19200000</v>
      </c>
      <c r="AG26" s="33">
        <f t="shared" si="28"/>
        <v>19200000</v>
      </c>
      <c r="AH26" s="33">
        <f t="shared" si="28"/>
        <v>19200000</v>
      </c>
      <c r="AI26" s="33">
        <f t="shared" si="28"/>
        <v>19200000</v>
      </c>
      <c r="AJ26" s="33">
        <f t="shared" si="28"/>
        <v>19200000</v>
      </c>
      <c r="AK26" s="33">
        <f t="shared" si="28"/>
        <v>19200000</v>
      </c>
      <c r="AL26" s="33">
        <f t="shared" si="28"/>
        <v>19200000</v>
      </c>
      <c r="AM26" s="33">
        <f t="shared" si="28"/>
        <v>19200000</v>
      </c>
      <c r="AN26" s="33">
        <f t="shared" si="29"/>
        <v>19200000</v>
      </c>
      <c r="AO26" s="33">
        <f t="shared" si="29"/>
        <v>19200000</v>
      </c>
      <c r="AP26" s="33">
        <f t="shared" si="29"/>
        <v>19200000</v>
      </c>
      <c r="AQ26" s="33">
        <f t="shared" si="29"/>
        <v>19200000</v>
      </c>
      <c r="AR26" s="33">
        <f t="shared" si="29"/>
        <v>19200000</v>
      </c>
      <c r="AS26" s="33">
        <f t="shared" si="29"/>
        <v>19200000</v>
      </c>
      <c r="AT26" s="33">
        <f t="shared" si="29"/>
        <v>19200000</v>
      </c>
      <c r="AU26" s="33">
        <f t="shared" si="29"/>
        <v>19200000</v>
      </c>
      <c r="AV26" s="33">
        <f t="shared" si="29"/>
        <v>19200000</v>
      </c>
      <c r="AW26" s="33">
        <f t="shared" si="29"/>
        <v>19200000</v>
      </c>
      <c r="AX26" s="33">
        <f t="shared" si="29"/>
        <v>19200000</v>
      </c>
      <c r="AY26" s="33">
        <f t="shared" si="29"/>
        <v>19200000</v>
      </c>
      <c r="AZ26" s="33">
        <f t="shared" si="29"/>
        <v>19200000</v>
      </c>
      <c r="BA26" s="33">
        <f t="shared" si="29"/>
        <v>19200000</v>
      </c>
      <c r="BB26" s="33">
        <f t="shared" si="29"/>
        <v>19200000</v>
      </c>
      <c r="BC26" s="33">
        <f t="shared" si="29"/>
        <v>19200000</v>
      </c>
      <c r="BD26" s="33">
        <f t="shared" si="30"/>
        <v>19200000</v>
      </c>
      <c r="BE26" s="33">
        <f t="shared" si="30"/>
        <v>19200000</v>
      </c>
      <c r="BF26" s="33">
        <f t="shared" si="30"/>
        <v>19200000</v>
      </c>
      <c r="BG26" s="33">
        <f t="shared" si="30"/>
        <v>19200000</v>
      </c>
      <c r="BH26" s="33">
        <f t="shared" si="30"/>
        <v>19200000</v>
      </c>
      <c r="BI26" s="33">
        <f t="shared" si="30"/>
        <v>19200000</v>
      </c>
      <c r="BJ26" s="33">
        <f t="shared" si="30"/>
        <v>19200000</v>
      </c>
      <c r="BK26" s="33">
        <f t="shared" si="30"/>
        <v>19200000</v>
      </c>
      <c r="BL26" s="33">
        <f t="shared" si="30"/>
        <v>19200000</v>
      </c>
      <c r="BM26" s="33">
        <f t="shared" si="30"/>
        <v>19200000</v>
      </c>
      <c r="BN26" s="33">
        <f t="shared" si="30"/>
        <v>19200000</v>
      </c>
      <c r="BO26" s="33">
        <f t="shared" si="30"/>
        <v>19200000</v>
      </c>
      <c r="BP26" s="33">
        <f t="shared" si="30"/>
        <v>19200000</v>
      </c>
      <c r="BQ26" s="33">
        <f t="shared" si="30"/>
        <v>19200000</v>
      </c>
      <c r="BR26" s="33">
        <f t="shared" si="30"/>
        <v>19200000</v>
      </c>
      <c r="BS26" s="33">
        <f t="shared" si="30"/>
        <v>19200000</v>
      </c>
      <c r="BT26" s="33">
        <f t="shared" si="31"/>
        <v>19200000</v>
      </c>
      <c r="BU26" s="33">
        <f t="shared" si="31"/>
        <v>19200000</v>
      </c>
      <c r="BV26" s="33">
        <f t="shared" si="31"/>
        <v>19200000</v>
      </c>
      <c r="BW26" s="33">
        <f t="shared" si="31"/>
        <v>19200000</v>
      </c>
      <c r="BX26" s="33">
        <f t="shared" si="31"/>
        <v>19200000</v>
      </c>
      <c r="BY26" s="33">
        <f t="shared" si="31"/>
        <v>19200000</v>
      </c>
      <c r="BZ26" s="33">
        <f t="shared" si="31"/>
        <v>19200000</v>
      </c>
      <c r="CA26" s="33">
        <f t="shared" si="31"/>
        <v>19200000</v>
      </c>
      <c r="CB26" s="33">
        <f t="shared" si="31"/>
        <v>19200000</v>
      </c>
      <c r="CC26" s="33">
        <f t="shared" si="31"/>
        <v>19200000</v>
      </c>
      <c r="CD26" s="33">
        <f t="shared" si="31"/>
        <v>19200000</v>
      </c>
      <c r="CE26" s="33">
        <f t="shared" si="31"/>
        <v>19200000</v>
      </c>
      <c r="CF26" s="33">
        <f t="shared" si="31"/>
        <v>19200000</v>
      </c>
      <c r="CG26" s="33">
        <f t="shared" si="31"/>
        <v>19200000</v>
      </c>
      <c r="CH26" s="33">
        <f t="shared" si="31"/>
        <v>19200000</v>
      </c>
      <c r="CI26" s="33">
        <f t="shared" si="31"/>
        <v>19200000</v>
      </c>
      <c r="CJ26" s="33">
        <f t="shared" si="32"/>
        <v>19200000</v>
      </c>
      <c r="CK26" s="33">
        <f t="shared" si="32"/>
        <v>19200000</v>
      </c>
      <c r="CL26" s="33">
        <f t="shared" si="32"/>
        <v>19200000</v>
      </c>
      <c r="CM26" s="33">
        <f t="shared" si="32"/>
        <v>19200000</v>
      </c>
      <c r="CN26" s="33">
        <f t="shared" si="32"/>
        <v>19200000</v>
      </c>
      <c r="CO26" s="33">
        <f t="shared" si="32"/>
        <v>19200000</v>
      </c>
      <c r="CP26" s="33">
        <f t="shared" si="32"/>
        <v>19200000</v>
      </c>
      <c r="CQ26" s="33">
        <f t="shared" si="32"/>
        <v>19200000</v>
      </c>
      <c r="CR26" s="33">
        <f t="shared" si="32"/>
        <v>19200000</v>
      </c>
      <c r="CS26" s="33">
        <f t="shared" si="32"/>
        <v>19200000</v>
      </c>
      <c r="CT26" s="33">
        <f t="shared" si="32"/>
        <v>19200000</v>
      </c>
      <c r="CU26" s="33">
        <f t="shared" si="32"/>
        <v>19200000</v>
      </c>
      <c r="CV26" s="33">
        <f t="shared" si="32"/>
        <v>19200000</v>
      </c>
      <c r="CW26" s="33">
        <f t="shared" si="32"/>
        <v>19200000</v>
      </c>
      <c r="CX26" s="33">
        <f t="shared" si="32"/>
        <v>19200000</v>
      </c>
      <c r="CY26" s="33">
        <f t="shared" si="32"/>
        <v>19200000</v>
      </c>
      <c r="CZ26" s="33">
        <f t="shared" si="33"/>
        <v>19200000</v>
      </c>
      <c r="DA26" s="33">
        <f t="shared" si="33"/>
        <v>19200000</v>
      </c>
      <c r="DB26" s="33">
        <f t="shared" si="33"/>
        <v>19200000</v>
      </c>
      <c r="DC26" s="33">
        <f t="shared" si="33"/>
        <v>19200000</v>
      </c>
      <c r="DD26" s="33">
        <f t="shared" si="33"/>
        <v>19200000</v>
      </c>
      <c r="DE26" s="33">
        <f t="shared" si="33"/>
        <v>19200000</v>
      </c>
      <c r="DF26" s="33">
        <f t="shared" si="33"/>
        <v>19200000</v>
      </c>
      <c r="DG26" s="33">
        <f t="shared" si="33"/>
        <v>19200000</v>
      </c>
      <c r="DH26" s="33">
        <f t="shared" si="33"/>
        <v>19200000</v>
      </c>
      <c r="DI26" s="33">
        <f t="shared" si="33"/>
        <v>19200000</v>
      </c>
      <c r="DJ26" s="33">
        <f t="shared" si="33"/>
        <v>19200000</v>
      </c>
      <c r="DK26" s="33">
        <f t="shared" si="33"/>
        <v>19200000</v>
      </c>
      <c r="DL26" s="33">
        <f t="shared" si="33"/>
        <v>19200000</v>
      </c>
      <c r="DM26" s="33">
        <f t="shared" si="33"/>
        <v>19200000</v>
      </c>
      <c r="DN26" s="33">
        <f t="shared" si="33"/>
        <v>19200000</v>
      </c>
      <c r="DO26" s="33">
        <f t="shared" si="33"/>
        <v>19200000</v>
      </c>
      <c r="DP26" s="33">
        <f t="shared" si="34"/>
        <v>19200000</v>
      </c>
      <c r="DQ26" s="33">
        <f t="shared" si="34"/>
        <v>19200000</v>
      </c>
      <c r="DR26" s="33">
        <f t="shared" si="34"/>
        <v>19200000</v>
      </c>
      <c r="DS26" s="33">
        <f t="shared" si="34"/>
        <v>19200000</v>
      </c>
      <c r="DT26" s="33">
        <f t="shared" si="34"/>
        <v>19200000</v>
      </c>
      <c r="DU26" s="33">
        <f t="shared" si="35"/>
        <v>19200000</v>
      </c>
      <c r="DV26" s="33">
        <f t="shared" si="36"/>
        <v>19200000</v>
      </c>
      <c r="DW26" s="33">
        <f t="shared" si="37"/>
        <v>19200000</v>
      </c>
      <c r="DX26" s="33">
        <f t="shared" si="38"/>
        <v>19200000</v>
      </c>
      <c r="DY26" s="33">
        <f t="shared" si="39"/>
        <v>19200000</v>
      </c>
      <c r="DZ26" s="33">
        <f t="shared" si="40"/>
        <v>19200000</v>
      </c>
    </row>
    <row r="27" spans="1:130" x14ac:dyDescent="0.35">
      <c r="A27" s="8" t="s">
        <v>26</v>
      </c>
      <c r="B27" s="61">
        <f>SUM(C27:DY27)</f>
        <v>2900700000</v>
      </c>
      <c r="J27" s="33">
        <f>($N$13*$D$5)+($O$13*$D$6)</f>
        <v>11700000</v>
      </c>
      <c r="K27" s="33">
        <f t="shared" ref="K27" si="44">J27</f>
        <v>11700000</v>
      </c>
      <c r="L27" s="33">
        <f t="shared" si="25"/>
        <v>11700000</v>
      </c>
      <c r="M27" s="33">
        <f>($N$14*$D$5)+($O$14*$D$6)</f>
        <v>15000000</v>
      </c>
      <c r="N27" s="33">
        <f t="shared" ref="N27" si="45">M27</f>
        <v>15000000</v>
      </c>
      <c r="O27" s="33">
        <f t="shared" si="26"/>
        <v>15000000</v>
      </c>
      <c r="P27" s="33">
        <f>($N$15*$D$5)+($O$15*$D$6)</f>
        <v>19200000</v>
      </c>
      <c r="Q27" s="33">
        <f t="shared" si="43"/>
        <v>19200000</v>
      </c>
      <c r="R27" s="33">
        <f t="shared" si="43"/>
        <v>19200000</v>
      </c>
      <c r="S27" s="33">
        <f t="shared" si="43"/>
        <v>19200000</v>
      </c>
      <c r="T27" s="33">
        <f t="shared" si="43"/>
        <v>19200000</v>
      </c>
      <c r="U27" s="33">
        <f t="shared" si="43"/>
        <v>19200000</v>
      </c>
      <c r="V27" s="33">
        <f>($N$16*$D$5)+($O$16*$D$6)</f>
        <v>25050000</v>
      </c>
      <c r="W27" s="33">
        <f>V27</f>
        <v>25050000</v>
      </c>
      <c r="X27" s="33">
        <f t="shared" si="28"/>
        <v>25050000</v>
      </c>
      <c r="Y27" s="33">
        <f t="shared" si="28"/>
        <v>25050000</v>
      </c>
      <c r="Z27" s="33">
        <f t="shared" si="28"/>
        <v>25050000</v>
      </c>
      <c r="AA27" s="33">
        <f t="shared" si="28"/>
        <v>25050000</v>
      </c>
      <c r="AB27" s="33">
        <f t="shared" si="28"/>
        <v>25050000</v>
      </c>
      <c r="AC27" s="33">
        <f t="shared" si="28"/>
        <v>25050000</v>
      </c>
      <c r="AD27" s="33">
        <f t="shared" si="28"/>
        <v>25050000</v>
      </c>
      <c r="AE27" s="33">
        <f t="shared" si="28"/>
        <v>25050000</v>
      </c>
      <c r="AF27" s="33">
        <f t="shared" si="28"/>
        <v>25050000</v>
      </c>
      <c r="AG27" s="33">
        <f t="shared" si="28"/>
        <v>25050000</v>
      </c>
      <c r="AH27" s="33">
        <f t="shared" si="28"/>
        <v>25050000</v>
      </c>
      <c r="AI27" s="33">
        <f t="shared" si="28"/>
        <v>25050000</v>
      </c>
      <c r="AJ27" s="33">
        <f t="shared" si="28"/>
        <v>25050000</v>
      </c>
      <c r="AK27" s="33">
        <f t="shared" si="28"/>
        <v>25050000</v>
      </c>
      <c r="AL27" s="33">
        <f t="shared" si="28"/>
        <v>25050000</v>
      </c>
      <c r="AM27" s="33">
        <f t="shared" si="28"/>
        <v>25050000</v>
      </c>
      <c r="AN27" s="33">
        <f t="shared" si="29"/>
        <v>25050000</v>
      </c>
      <c r="AO27" s="33">
        <f t="shared" si="29"/>
        <v>25050000</v>
      </c>
      <c r="AP27" s="33">
        <f t="shared" si="29"/>
        <v>25050000</v>
      </c>
      <c r="AQ27" s="33">
        <f t="shared" si="29"/>
        <v>25050000</v>
      </c>
      <c r="AR27" s="33">
        <f t="shared" si="29"/>
        <v>25050000</v>
      </c>
      <c r="AS27" s="33">
        <f t="shared" si="29"/>
        <v>25050000</v>
      </c>
      <c r="AT27" s="33">
        <f t="shared" si="29"/>
        <v>25050000</v>
      </c>
      <c r="AU27" s="33">
        <f t="shared" si="29"/>
        <v>25050000</v>
      </c>
      <c r="AV27" s="33">
        <f t="shared" si="29"/>
        <v>25050000</v>
      </c>
      <c r="AW27" s="33">
        <f t="shared" si="29"/>
        <v>25050000</v>
      </c>
      <c r="AX27" s="33">
        <f t="shared" si="29"/>
        <v>25050000</v>
      </c>
      <c r="AY27" s="33">
        <f t="shared" si="29"/>
        <v>25050000</v>
      </c>
      <c r="AZ27" s="33">
        <f t="shared" si="29"/>
        <v>25050000</v>
      </c>
      <c r="BA27" s="33">
        <f t="shared" si="29"/>
        <v>25050000</v>
      </c>
      <c r="BB27" s="33">
        <f t="shared" si="29"/>
        <v>25050000</v>
      </c>
      <c r="BC27" s="33">
        <f t="shared" si="29"/>
        <v>25050000</v>
      </c>
      <c r="BD27" s="33">
        <f t="shared" si="30"/>
        <v>25050000</v>
      </c>
      <c r="BE27" s="33">
        <f t="shared" si="30"/>
        <v>25050000</v>
      </c>
      <c r="BF27" s="33">
        <f t="shared" si="30"/>
        <v>25050000</v>
      </c>
      <c r="BG27" s="33">
        <f t="shared" si="30"/>
        <v>25050000</v>
      </c>
      <c r="BH27" s="33">
        <f t="shared" si="30"/>
        <v>25050000</v>
      </c>
      <c r="BI27" s="33">
        <f t="shared" si="30"/>
        <v>25050000</v>
      </c>
      <c r="BJ27" s="33">
        <f t="shared" si="30"/>
        <v>25050000</v>
      </c>
      <c r="BK27" s="33">
        <f t="shared" si="30"/>
        <v>25050000</v>
      </c>
      <c r="BL27" s="33">
        <f t="shared" si="30"/>
        <v>25050000</v>
      </c>
      <c r="BM27" s="33">
        <f t="shared" si="30"/>
        <v>25050000</v>
      </c>
      <c r="BN27" s="33">
        <f t="shared" si="30"/>
        <v>25050000</v>
      </c>
      <c r="BO27" s="33">
        <f t="shared" si="30"/>
        <v>25050000</v>
      </c>
      <c r="BP27" s="33">
        <f t="shared" si="30"/>
        <v>25050000</v>
      </c>
      <c r="BQ27" s="33">
        <f t="shared" si="30"/>
        <v>25050000</v>
      </c>
      <c r="BR27" s="33">
        <f t="shared" si="30"/>
        <v>25050000</v>
      </c>
      <c r="BS27" s="33">
        <f t="shared" si="30"/>
        <v>25050000</v>
      </c>
      <c r="BT27" s="33">
        <f t="shared" si="31"/>
        <v>25050000</v>
      </c>
      <c r="BU27" s="33">
        <f t="shared" si="31"/>
        <v>25050000</v>
      </c>
      <c r="BV27" s="33">
        <f t="shared" si="31"/>
        <v>25050000</v>
      </c>
      <c r="BW27" s="33">
        <f t="shared" si="31"/>
        <v>25050000</v>
      </c>
      <c r="BX27" s="33">
        <f t="shared" si="31"/>
        <v>25050000</v>
      </c>
      <c r="BY27" s="33">
        <f t="shared" si="31"/>
        <v>25050000</v>
      </c>
      <c r="BZ27" s="33">
        <f t="shared" si="31"/>
        <v>25050000</v>
      </c>
      <c r="CA27" s="33">
        <f t="shared" si="31"/>
        <v>25050000</v>
      </c>
      <c r="CB27" s="33">
        <f t="shared" si="31"/>
        <v>25050000</v>
      </c>
      <c r="CC27" s="33">
        <f t="shared" si="31"/>
        <v>25050000</v>
      </c>
      <c r="CD27" s="33">
        <f t="shared" si="31"/>
        <v>25050000</v>
      </c>
      <c r="CE27" s="33">
        <f t="shared" si="31"/>
        <v>25050000</v>
      </c>
      <c r="CF27" s="33">
        <f t="shared" si="31"/>
        <v>25050000</v>
      </c>
      <c r="CG27" s="33">
        <f t="shared" si="31"/>
        <v>25050000</v>
      </c>
      <c r="CH27" s="33">
        <f t="shared" si="31"/>
        <v>25050000</v>
      </c>
      <c r="CI27" s="33">
        <f t="shared" si="31"/>
        <v>25050000</v>
      </c>
      <c r="CJ27" s="33">
        <f t="shared" si="32"/>
        <v>25050000</v>
      </c>
      <c r="CK27" s="33">
        <f t="shared" si="32"/>
        <v>25050000</v>
      </c>
      <c r="CL27" s="33">
        <f t="shared" si="32"/>
        <v>25050000</v>
      </c>
      <c r="CM27" s="33">
        <f t="shared" si="32"/>
        <v>25050000</v>
      </c>
      <c r="CN27" s="33">
        <f t="shared" si="32"/>
        <v>25050000</v>
      </c>
      <c r="CO27" s="33">
        <f t="shared" si="32"/>
        <v>25050000</v>
      </c>
      <c r="CP27" s="33">
        <f t="shared" si="32"/>
        <v>25050000</v>
      </c>
      <c r="CQ27" s="33">
        <f t="shared" si="32"/>
        <v>25050000</v>
      </c>
      <c r="CR27" s="33">
        <f t="shared" si="32"/>
        <v>25050000</v>
      </c>
      <c r="CS27" s="33">
        <f t="shared" si="32"/>
        <v>25050000</v>
      </c>
      <c r="CT27" s="33">
        <f t="shared" si="32"/>
        <v>25050000</v>
      </c>
      <c r="CU27" s="33">
        <f t="shared" si="32"/>
        <v>25050000</v>
      </c>
      <c r="CV27" s="33">
        <f t="shared" si="32"/>
        <v>25050000</v>
      </c>
      <c r="CW27" s="33">
        <f t="shared" si="32"/>
        <v>25050000</v>
      </c>
      <c r="CX27" s="33">
        <f t="shared" si="32"/>
        <v>25050000</v>
      </c>
      <c r="CY27" s="33">
        <f t="shared" si="32"/>
        <v>25050000</v>
      </c>
      <c r="CZ27" s="33">
        <f t="shared" si="33"/>
        <v>25050000</v>
      </c>
      <c r="DA27" s="33">
        <f t="shared" si="33"/>
        <v>25050000</v>
      </c>
      <c r="DB27" s="33">
        <f t="shared" si="33"/>
        <v>25050000</v>
      </c>
      <c r="DC27" s="33">
        <f t="shared" si="33"/>
        <v>25050000</v>
      </c>
      <c r="DD27" s="33">
        <f t="shared" si="33"/>
        <v>25050000</v>
      </c>
      <c r="DE27" s="33">
        <f t="shared" si="33"/>
        <v>25050000</v>
      </c>
      <c r="DF27" s="33">
        <f t="shared" si="33"/>
        <v>25050000</v>
      </c>
      <c r="DG27" s="33">
        <f t="shared" si="33"/>
        <v>25050000</v>
      </c>
      <c r="DH27" s="33">
        <f t="shared" si="33"/>
        <v>25050000</v>
      </c>
      <c r="DI27" s="33">
        <f t="shared" si="33"/>
        <v>25050000</v>
      </c>
      <c r="DJ27" s="33">
        <f t="shared" si="33"/>
        <v>25050000</v>
      </c>
      <c r="DK27" s="33">
        <f t="shared" si="33"/>
        <v>25050000</v>
      </c>
      <c r="DL27" s="33">
        <f t="shared" si="33"/>
        <v>25050000</v>
      </c>
      <c r="DM27" s="33">
        <f t="shared" si="33"/>
        <v>25050000</v>
      </c>
      <c r="DN27" s="33">
        <f t="shared" si="33"/>
        <v>25050000</v>
      </c>
      <c r="DO27" s="33">
        <f t="shared" si="33"/>
        <v>25050000</v>
      </c>
      <c r="DP27" s="33">
        <f t="shared" si="34"/>
        <v>25050000</v>
      </c>
      <c r="DQ27" s="33">
        <f t="shared" si="34"/>
        <v>25050000</v>
      </c>
      <c r="DR27" s="33">
        <f t="shared" si="34"/>
        <v>25050000</v>
      </c>
      <c r="DS27" s="33">
        <f t="shared" si="34"/>
        <v>25050000</v>
      </c>
      <c r="DT27" s="33">
        <f t="shared" si="34"/>
        <v>25050000</v>
      </c>
      <c r="DU27" s="33">
        <f t="shared" si="35"/>
        <v>25050000</v>
      </c>
      <c r="DV27" s="33">
        <f t="shared" si="36"/>
        <v>25050000</v>
      </c>
      <c r="DW27" s="33">
        <f t="shared" si="37"/>
        <v>25050000</v>
      </c>
      <c r="DX27" s="33">
        <f t="shared" si="38"/>
        <v>25050000</v>
      </c>
      <c r="DY27" s="33">
        <f t="shared" si="39"/>
        <v>25050000</v>
      </c>
      <c r="DZ27" s="33">
        <f t="shared" si="40"/>
        <v>25050000</v>
      </c>
    </row>
    <row r="30" spans="1:130" x14ac:dyDescent="0.35">
      <c r="C30" s="39">
        <f>INPUTS!C11</f>
        <v>2022</v>
      </c>
      <c r="D30" s="39">
        <f>C30+1</f>
        <v>2023</v>
      </c>
      <c r="E30" s="39">
        <f t="shared" ref="E30:M30" si="46">D30+1</f>
        <v>2024</v>
      </c>
      <c r="F30" s="39">
        <f t="shared" si="46"/>
        <v>2025</v>
      </c>
      <c r="G30" s="39">
        <f t="shared" si="46"/>
        <v>2026</v>
      </c>
      <c r="H30" s="39">
        <f t="shared" si="46"/>
        <v>2027</v>
      </c>
      <c r="I30" s="39">
        <f t="shared" si="46"/>
        <v>2028</v>
      </c>
      <c r="J30" s="39">
        <f t="shared" si="46"/>
        <v>2029</v>
      </c>
      <c r="K30" s="39">
        <f t="shared" si="46"/>
        <v>2030</v>
      </c>
      <c r="L30" s="39">
        <f t="shared" si="46"/>
        <v>2031</v>
      </c>
      <c r="M30" s="39">
        <f t="shared" si="46"/>
        <v>2032</v>
      </c>
    </row>
    <row r="31" spans="1:130" x14ac:dyDescent="0.35">
      <c r="A31" t="s">
        <v>9</v>
      </c>
      <c r="C31" s="80">
        <f>INPUTS!C14</f>
        <v>7.0999999999999994E-2</v>
      </c>
      <c r="D31" s="80">
        <f>INPUTS!D14</f>
        <v>4.8000000000000001E-2</v>
      </c>
      <c r="E31" s="80">
        <f>INPUTS!E14</f>
        <v>0.03</v>
      </c>
      <c r="F31" s="80">
        <f>INPUTS!F14</f>
        <v>0.03</v>
      </c>
      <c r="G31" s="80">
        <f>INPUTS!G14</f>
        <v>0.03</v>
      </c>
      <c r="H31" s="80">
        <f>INPUTS!H14</f>
        <v>0.03</v>
      </c>
      <c r="I31" s="80">
        <f>INPUTS!I14</f>
        <v>0.03</v>
      </c>
      <c r="J31" s="80">
        <f>INPUTS!J14</f>
        <v>0.03</v>
      </c>
      <c r="K31" s="80">
        <f>INPUTS!K14</f>
        <v>0.03</v>
      </c>
      <c r="L31" s="80">
        <f>INPUTS!L14</f>
        <v>0.03</v>
      </c>
      <c r="M31" s="80">
        <f>INPUTS!M14</f>
        <v>0.03</v>
      </c>
    </row>
    <row r="32" spans="1:130" x14ac:dyDescent="0.35">
      <c r="A32" t="s">
        <v>123</v>
      </c>
      <c r="C32" s="81">
        <v>1</v>
      </c>
      <c r="D32" s="81">
        <f>C32*(1+C31)</f>
        <v>1.071</v>
      </c>
      <c r="E32" s="81">
        <f t="shared" ref="E32:M32" si="47">D32*(1+D31)</f>
        <v>1.1224080000000001</v>
      </c>
      <c r="F32" s="81">
        <f t="shared" si="47"/>
        <v>1.1560802400000001</v>
      </c>
      <c r="G32" s="81">
        <f t="shared" si="47"/>
        <v>1.1907626472000001</v>
      </c>
      <c r="H32" s="81">
        <f t="shared" si="47"/>
        <v>1.2264855266160002</v>
      </c>
      <c r="I32" s="81">
        <f t="shared" si="47"/>
        <v>1.2632800924144802</v>
      </c>
      <c r="J32" s="81">
        <f t="shared" si="47"/>
        <v>1.3011784951869148</v>
      </c>
      <c r="K32" s="81">
        <f t="shared" si="47"/>
        <v>1.3402138500425222</v>
      </c>
      <c r="L32" s="81">
        <f t="shared" si="47"/>
        <v>1.380420265543798</v>
      </c>
      <c r="M32" s="81">
        <f t="shared" si="47"/>
        <v>1.421832873510112</v>
      </c>
    </row>
    <row r="33" spans="1:13" x14ac:dyDescent="0.35">
      <c r="C33" s="80"/>
      <c r="D33" s="80"/>
      <c r="E33" s="80"/>
      <c r="F33" s="80"/>
      <c r="G33" s="80"/>
      <c r="H33" s="80"/>
      <c r="I33" s="80"/>
      <c r="J33" s="80"/>
      <c r="K33" s="80"/>
      <c r="L33" s="80"/>
      <c r="M33" s="80"/>
    </row>
    <row r="34" spans="1:13" x14ac:dyDescent="0.35">
      <c r="A34" t="s">
        <v>121</v>
      </c>
      <c r="B34" s="34" t="s">
        <v>119</v>
      </c>
      <c r="C34" s="34">
        <v>0</v>
      </c>
      <c r="D34" s="34">
        <f>C34+1</f>
        <v>1</v>
      </c>
      <c r="E34" s="34">
        <f>D34+1</f>
        <v>2</v>
      </c>
      <c r="F34" s="34">
        <f t="shared" ref="F34:M34" si="48">E34+1</f>
        <v>3</v>
      </c>
      <c r="G34" s="34">
        <f t="shared" si="48"/>
        <v>4</v>
      </c>
      <c r="H34" s="34">
        <f t="shared" si="48"/>
        <v>5</v>
      </c>
      <c r="I34" s="34">
        <f t="shared" si="48"/>
        <v>6</v>
      </c>
      <c r="J34" s="34">
        <f t="shared" si="48"/>
        <v>7</v>
      </c>
      <c r="K34" s="34">
        <f t="shared" si="48"/>
        <v>8</v>
      </c>
      <c r="L34" s="34">
        <f t="shared" si="48"/>
        <v>9</v>
      </c>
      <c r="M34" s="34">
        <f t="shared" si="48"/>
        <v>10</v>
      </c>
    </row>
    <row r="35" spans="1:13" x14ac:dyDescent="0.35">
      <c r="A35" s="8" t="s">
        <v>24</v>
      </c>
      <c r="B35" s="77">
        <f ca="1">SUM(C35:M35)</f>
        <v>1513350000</v>
      </c>
      <c r="C35" s="33">
        <f ca="1">SUMIF($I$19:$DY$27,C$34+2022,$I$25:$DY$25)</f>
        <v>0</v>
      </c>
      <c r="D35" s="33">
        <f t="shared" ref="D35:M35" ca="1" si="49">SUMIF($I$19:$DY$27,D$34+2022,$I$25:$DY$25)</f>
        <v>71550000</v>
      </c>
      <c r="E35" s="33">
        <f t="shared" ca="1" si="49"/>
        <v>160200000</v>
      </c>
      <c r="F35" s="33">
        <f t="shared" ca="1" si="49"/>
        <v>160200000</v>
      </c>
      <c r="G35" s="33">
        <f t="shared" ca="1" si="49"/>
        <v>160200000</v>
      </c>
      <c r="H35" s="33">
        <f t="shared" ca="1" si="49"/>
        <v>160200000</v>
      </c>
      <c r="I35" s="33">
        <f t="shared" ca="1" si="49"/>
        <v>160200000</v>
      </c>
      <c r="J35" s="33">
        <f t="shared" ca="1" si="49"/>
        <v>160200000</v>
      </c>
      <c r="K35" s="33">
        <f t="shared" ca="1" si="49"/>
        <v>160200000</v>
      </c>
      <c r="L35" s="33">
        <f t="shared" ca="1" si="49"/>
        <v>160200000</v>
      </c>
      <c r="M35" s="33">
        <f t="shared" ca="1" si="49"/>
        <v>160200000</v>
      </c>
    </row>
    <row r="36" spans="1:13" x14ac:dyDescent="0.35">
      <c r="A36" s="8" t="s">
        <v>25</v>
      </c>
      <c r="B36" s="77">
        <f t="shared" ref="B36:B37" ca="1" si="50">SUM(C36:M36)</f>
        <v>2212650000</v>
      </c>
      <c r="C36" s="33">
        <f ca="1">SUMIF($I$19:$DZ$27,C$34+2022,$I$26:$DZ$26)</f>
        <v>0</v>
      </c>
      <c r="D36" s="33">
        <f t="shared" ref="D36:M36" ca="1" si="51">SUMIF($I$19:$DZ$27,D$34+2022,$I$26:$DZ$26)</f>
        <v>139050000</v>
      </c>
      <c r="E36" s="33">
        <f t="shared" ca="1" si="51"/>
        <v>230400000</v>
      </c>
      <c r="F36" s="33">
        <f t="shared" ca="1" si="51"/>
        <v>230400000</v>
      </c>
      <c r="G36" s="33">
        <f t="shared" ca="1" si="51"/>
        <v>230400000</v>
      </c>
      <c r="H36" s="33">
        <f t="shared" ca="1" si="51"/>
        <v>230400000</v>
      </c>
      <c r="I36" s="33">
        <f t="shared" ca="1" si="51"/>
        <v>230400000</v>
      </c>
      <c r="J36" s="33">
        <f t="shared" ca="1" si="51"/>
        <v>230400000</v>
      </c>
      <c r="K36" s="33">
        <f t="shared" ca="1" si="51"/>
        <v>230400000</v>
      </c>
      <c r="L36" s="33">
        <f t="shared" ca="1" si="51"/>
        <v>230400000</v>
      </c>
      <c r="M36" s="33">
        <f t="shared" ca="1" si="51"/>
        <v>230400000</v>
      </c>
    </row>
    <row r="37" spans="1:13" x14ac:dyDescent="0.35">
      <c r="A37" s="8" t="s">
        <v>26</v>
      </c>
      <c r="B37" s="77">
        <f t="shared" ca="1" si="50"/>
        <v>2900700000</v>
      </c>
      <c r="C37" s="33">
        <f ca="1">SUMIF($I$19:$DY$27,C$34+2022,$I$27:$DY$27)</f>
        <v>0</v>
      </c>
      <c r="D37" s="33">
        <f t="shared" ref="D37:M37" ca="1" si="52">SUMIF($I$19:$DY$27,D$34+2022,$I$27:$DY$27)</f>
        <v>195300000</v>
      </c>
      <c r="E37" s="33">
        <f t="shared" ca="1" si="52"/>
        <v>300600000</v>
      </c>
      <c r="F37" s="33">
        <f t="shared" ca="1" si="52"/>
        <v>300600000</v>
      </c>
      <c r="G37" s="33">
        <f t="shared" ca="1" si="52"/>
        <v>300600000</v>
      </c>
      <c r="H37" s="33">
        <f t="shared" ca="1" si="52"/>
        <v>300600000</v>
      </c>
      <c r="I37" s="33">
        <f t="shared" ca="1" si="52"/>
        <v>300600000</v>
      </c>
      <c r="J37" s="33">
        <f t="shared" ca="1" si="52"/>
        <v>300600000</v>
      </c>
      <c r="K37" s="33">
        <f t="shared" ca="1" si="52"/>
        <v>300600000</v>
      </c>
      <c r="L37" s="33">
        <f t="shared" ca="1" si="52"/>
        <v>300600000</v>
      </c>
      <c r="M37" s="33">
        <f t="shared" ca="1" si="52"/>
        <v>300600000</v>
      </c>
    </row>
    <row r="40" spans="1:13" x14ac:dyDescent="0.35">
      <c r="A40" t="s">
        <v>122</v>
      </c>
      <c r="B40" s="34" t="s">
        <v>119</v>
      </c>
      <c r="C40" s="34">
        <v>0</v>
      </c>
      <c r="D40" s="34">
        <f>C40+1</f>
        <v>1</v>
      </c>
      <c r="E40" s="34">
        <f>D40+1</f>
        <v>2</v>
      </c>
      <c r="F40" s="34">
        <f t="shared" ref="F40" si="53">E40+1</f>
        <v>3</v>
      </c>
      <c r="G40" s="34">
        <f t="shared" ref="G40" si="54">F40+1</f>
        <v>4</v>
      </c>
      <c r="H40" s="34">
        <f t="shared" ref="H40" si="55">G40+1</f>
        <v>5</v>
      </c>
      <c r="I40" s="34">
        <f t="shared" ref="I40" si="56">H40+1</f>
        <v>6</v>
      </c>
      <c r="J40" s="34">
        <f t="shared" ref="J40" si="57">I40+1</f>
        <v>7</v>
      </c>
      <c r="K40" s="34">
        <f t="shared" ref="K40" si="58">J40+1</f>
        <v>8</v>
      </c>
      <c r="L40" s="34">
        <f t="shared" ref="L40" si="59">K40+1</f>
        <v>9</v>
      </c>
      <c r="M40" s="34">
        <f t="shared" ref="M40" si="60">L40+1</f>
        <v>10</v>
      </c>
    </row>
    <row r="41" spans="1:13" x14ac:dyDescent="0.35">
      <c r="A41" s="8" t="s">
        <v>24</v>
      </c>
      <c r="B41" s="77">
        <f ca="1">SUM(C41:M41)</f>
        <v>1903336500.8803155</v>
      </c>
      <c r="C41" s="33">
        <f ca="1">C35*C$32</f>
        <v>0</v>
      </c>
      <c r="D41" s="33">
        <f t="shared" ref="D41:M41" ca="1" si="61">D35*D$32</f>
        <v>76630050</v>
      </c>
      <c r="E41" s="33">
        <f t="shared" ca="1" si="61"/>
        <v>179809761.60000002</v>
      </c>
      <c r="F41" s="33">
        <f t="shared" ca="1" si="61"/>
        <v>185204054.44800001</v>
      </c>
      <c r="G41" s="33">
        <f t="shared" ca="1" si="61"/>
        <v>190760176.08144003</v>
      </c>
      <c r="H41" s="33">
        <f t="shared" ca="1" si="61"/>
        <v>196482981.36388323</v>
      </c>
      <c r="I41" s="33">
        <f t="shared" ca="1" si="61"/>
        <v>202377470.80479974</v>
      </c>
      <c r="J41" s="33">
        <f t="shared" ca="1" si="61"/>
        <v>208448794.92894375</v>
      </c>
      <c r="K41" s="33">
        <f t="shared" ca="1" si="61"/>
        <v>214702258.77681208</v>
      </c>
      <c r="L41" s="33">
        <f t="shared" ca="1" si="61"/>
        <v>221143326.54011646</v>
      </c>
      <c r="M41" s="33">
        <f t="shared" ca="1" si="61"/>
        <v>227777626.33631995</v>
      </c>
    </row>
    <row r="42" spans="1:13" x14ac:dyDescent="0.35">
      <c r="A42" s="8" t="s">
        <v>25</v>
      </c>
      <c r="B42" s="77">
        <f t="shared" ref="B42:B43" ca="1" si="62">SUM(C42:M42)</f>
        <v>2776095872.6143856</v>
      </c>
      <c r="C42" s="33">
        <f t="shared" ref="C42:M42" ca="1" si="63">C36*C$32</f>
        <v>0</v>
      </c>
      <c r="D42" s="33">
        <f t="shared" ca="1" si="63"/>
        <v>148922550</v>
      </c>
      <c r="E42" s="33">
        <f t="shared" ca="1" si="63"/>
        <v>258602803.20000002</v>
      </c>
      <c r="F42" s="33">
        <f t="shared" ca="1" si="63"/>
        <v>266360887.29600003</v>
      </c>
      <c r="G42" s="33">
        <f t="shared" ca="1" si="63"/>
        <v>274351713.91488004</v>
      </c>
      <c r="H42" s="33">
        <f t="shared" ca="1" si="63"/>
        <v>282582265.33232647</v>
      </c>
      <c r="I42" s="33">
        <f t="shared" ca="1" si="63"/>
        <v>291059733.29229623</v>
      </c>
      <c r="J42" s="33">
        <f t="shared" ca="1" si="63"/>
        <v>299791525.29106516</v>
      </c>
      <c r="K42" s="33">
        <f t="shared" ca="1" si="63"/>
        <v>308785271.04979712</v>
      </c>
      <c r="L42" s="33">
        <f t="shared" ca="1" si="63"/>
        <v>318048829.18129104</v>
      </c>
      <c r="M42" s="33">
        <f t="shared" ca="1" si="63"/>
        <v>327590294.05672979</v>
      </c>
    </row>
    <row r="43" spans="1:13" x14ac:dyDescent="0.35">
      <c r="A43" s="8" t="s">
        <v>26</v>
      </c>
      <c r="B43" s="77">
        <f t="shared" ca="1" si="62"/>
        <v>3636806494.3484569</v>
      </c>
      <c r="C43" s="33">
        <f t="shared" ref="C43:M43" ca="1" si="64">C37*C$32</f>
        <v>0</v>
      </c>
      <c r="D43" s="33">
        <f t="shared" ca="1" si="64"/>
        <v>209166300</v>
      </c>
      <c r="E43" s="33">
        <f t="shared" ca="1" si="64"/>
        <v>337395844.80000001</v>
      </c>
      <c r="F43" s="33">
        <f t="shared" ca="1" si="64"/>
        <v>347517720.14400005</v>
      </c>
      <c r="G43" s="33">
        <f t="shared" ca="1" si="64"/>
        <v>357943251.74832004</v>
      </c>
      <c r="H43" s="33">
        <f t="shared" ca="1" si="64"/>
        <v>368681549.30076963</v>
      </c>
      <c r="I43" s="33">
        <f t="shared" ca="1" si="64"/>
        <v>379741995.77979279</v>
      </c>
      <c r="J43" s="33">
        <f t="shared" ca="1" si="64"/>
        <v>391134255.65318656</v>
      </c>
      <c r="K43" s="33">
        <f t="shared" ca="1" si="64"/>
        <v>402868283.32278216</v>
      </c>
      <c r="L43" s="33">
        <f t="shared" ca="1" si="64"/>
        <v>414954331.82246572</v>
      </c>
      <c r="M43" s="33">
        <f t="shared" ca="1" si="64"/>
        <v>427402961.77713966</v>
      </c>
    </row>
    <row r="44" spans="1:13" x14ac:dyDescent="0.35">
      <c r="A44" s="8"/>
      <c r="B44" s="77"/>
      <c r="C44" s="33"/>
      <c r="D44" s="33"/>
      <c r="E44" s="33"/>
      <c r="F44" s="33"/>
      <c r="G44" s="33"/>
      <c r="H44" s="33"/>
      <c r="I44" s="33"/>
      <c r="J44" s="33"/>
      <c r="K44" s="33"/>
      <c r="L44" s="33"/>
      <c r="M44" s="33"/>
    </row>
    <row r="45" spans="1:13" ht="15" thickBot="1" x14ac:dyDescent="0.4">
      <c r="A45" s="8"/>
      <c r="B45" s="77"/>
      <c r="C45" s="33"/>
      <c r="D45" s="33"/>
      <c r="E45" s="33"/>
      <c r="F45" s="33"/>
      <c r="G45" s="33"/>
      <c r="H45" s="33"/>
      <c r="I45" s="33"/>
      <c r="J45" s="33"/>
      <c r="K45" s="33"/>
      <c r="L45" s="33"/>
      <c r="M45" s="33"/>
    </row>
    <row r="46" spans="1:13" ht="15" thickBot="1" x14ac:dyDescent="0.4">
      <c r="A46" s="131" t="s">
        <v>118</v>
      </c>
      <c r="B46" s="132">
        <f t="shared" ref="B46" ca="1" si="65">SUM(C46:M46)</f>
        <v>2776095872.6143856</v>
      </c>
      <c r="C46" s="133">
        <f ca="1">IF(INPUTS!$L$23="Pesimista",INGRESOS!C41,IF(INPUTS!$L$23="Base",INGRESOS!C42,INGRESOS!C43))</f>
        <v>0</v>
      </c>
      <c r="D46" s="133">
        <f ca="1">IF(INPUTS!$L$23="Pesimista",INGRESOS!D41,IF(INPUTS!$L$23="Base",INGRESOS!D42,INGRESOS!D43))</f>
        <v>148922550</v>
      </c>
      <c r="E46" s="133">
        <f ca="1">IF(INPUTS!$L$23="Pesimista",INGRESOS!E41,IF(INPUTS!$L$23="Base",INGRESOS!E42,INGRESOS!E43))</f>
        <v>258602803.20000002</v>
      </c>
      <c r="F46" s="133">
        <f ca="1">IF(INPUTS!$L$23="Pesimista",INGRESOS!F41,IF(INPUTS!$L$23="Base",INGRESOS!F42,INGRESOS!F43))</f>
        <v>266360887.29600003</v>
      </c>
      <c r="G46" s="133">
        <f ca="1">IF(INPUTS!$L$23="Pesimista",INGRESOS!G41,IF(INPUTS!$L$23="Base",INGRESOS!G42,INGRESOS!G43))</f>
        <v>274351713.91488004</v>
      </c>
      <c r="H46" s="133">
        <f ca="1">IF(INPUTS!$L$23="Pesimista",INGRESOS!H41,IF(INPUTS!$L$23="Base",INGRESOS!H42,INGRESOS!H43))</f>
        <v>282582265.33232647</v>
      </c>
      <c r="I46" s="133">
        <f ca="1">IF(INPUTS!$L$23="Pesimista",INGRESOS!I41,IF(INPUTS!$L$23="Base",INGRESOS!I42,INGRESOS!I43))</f>
        <v>291059733.29229623</v>
      </c>
      <c r="J46" s="133">
        <f ca="1">IF(INPUTS!$L$23="Pesimista",INGRESOS!J41,IF(INPUTS!$L$23="Base",INGRESOS!J42,INGRESOS!J43))</f>
        <v>299791525.29106516</v>
      </c>
      <c r="K46" s="133">
        <f ca="1">IF(INPUTS!$L$23="Pesimista",INGRESOS!K41,IF(INPUTS!$L$23="Base",INGRESOS!K42,INGRESOS!K43))</f>
        <v>308785271.04979712</v>
      </c>
      <c r="L46" s="133">
        <f ca="1">IF(INPUTS!$L$23="Pesimista",INGRESOS!L41,IF(INPUTS!$L$23="Base",INGRESOS!L42,INGRESOS!L43))</f>
        <v>318048829.18129104</v>
      </c>
      <c r="M46" s="134">
        <f ca="1">IF(INPUTS!$L$23="Pesimista",INGRESOS!M41,IF(INPUTS!$L$23="Base",INGRESOS!M42,INGRESOS!M43))</f>
        <v>327590294.05672979</v>
      </c>
    </row>
  </sheetData>
  <mergeCells count="11">
    <mergeCell ref="N11:O11"/>
    <mergeCell ref="B4:C4"/>
    <mergeCell ref="B5:C5"/>
    <mergeCell ref="B6:C6"/>
    <mergeCell ref="B11:C11"/>
    <mergeCell ref="D11:E11"/>
    <mergeCell ref="F11:G11"/>
    <mergeCell ref="A9:G9"/>
    <mergeCell ref="I9:O9"/>
    <mergeCell ref="J11:K11"/>
    <mergeCell ref="L11:M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2725-D0DA-4846-B53F-B47E845EF31D}">
  <dimension ref="A2:M76"/>
  <sheetViews>
    <sheetView zoomScale="85" zoomScaleNormal="85" workbookViewId="0">
      <pane xSplit="2" ySplit="2" topLeftCell="C3" activePane="bottomRight" state="frozen"/>
      <selection pane="topRight" activeCell="C1" sqref="C1"/>
      <selection pane="bottomLeft" activeCell="A3" sqref="A3"/>
      <selection pane="bottomRight" activeCell="B5" sqref="B5"/>
    </sheetView>
  </sheetViews>
  <sheetFormatPr baseColWidth="10" defaultRowHeight="14.5" x14ac:dyDescent="0.35"/>
  <cols>
    <col min="1" max="1" width="42.1796875" bestFit="1" customWidth="1"/>
    <col min="3" max="3" width="15.26953125" bestFit="1" customWidth="1"/>
    <col min="4" max="4" width="16.81640625" bestFit="1" customWidth="1"/>
    <col min="5" max="13" width="16" bestFit="1" customWidth="1"/>
  </cols>
  <sheetData>
    <row r="2" spans="1:13" x14ac:dyDescent="0.35">
      <c r="C2" s="34">
        <v>0</v>
      </c>
      <c r="D2" s="34">
        <f>C2+1</f>
        <v>1</v>
      </c>
      <c r="E2" s="34">
        <f>D2+1</f>
        <v>2</v>
      </c>
      <c r="F2" s="34">
        <f t="shared" ref="F2:M2" si="0">E2+1</f>
        <v>3</v>
      </c>
      <c r="G2" s="34">
        <f t="shared" si="0"/>
        <v>4</v>
      </c>
      <c r="H2" s="34">
        <f t="shared" si="0"/>
        <v>5</v>
      </c>
      <c r="I2" s="34">
        <f t="shared" si="0"/>
        <v>6</v>
      </c>
      <c r="J2" s="34">
        <f t="shared" si="0"/>
        <v>7</v>
      </c>
      <c r="K2" s="34">
        <f t="shared" si="0"/>
        <v>8</v>
      </c>
      <c r="L2" s="34">
        <f t="shared" si="0"/>
        <v>9</v>
      </c>
      <c r="M2" s="34">
        <f t="shared" si="0"/>
        <v>10</v>
      </c>
    </row>
    <row r="4" spans="1:13" x14ac:dyDescent="0.35">
      <c r="A4" s="84" t="str">
        <f>'[1]CAPEX - OPEX'!A4</f>
        <v>CAPEX - Infraestructura</v>
      </c>
    </row>
    <row r="5" spans="1:13" x14ac:dyDescent="0.35">
      <c r="A5" s="42" t="str">
        <f>'[1]CAPEX - OPEX'!A5</f>
        <v>Detalle</v>
      </c>
    </row>
    <row r="6" spans="1:13" x14ac:dyDescent="0.35">
      <c r="A6" t="str">
        <f>'[1]CAPEX - OPEX'!A6</f>
        <v>Inversión por cabaña</v>
      </c>
      <c r="D6" s="33">
        <f>IF(D$2&lt;='CAPEX - OPEX'!$F6,'CAPEX - OPEX'!$E6/'CAPEX - OPEX'!$F6,0)</f>
        <v>6000000</v>
      </c>
      <c r="E6" s="33">
        <f>IF(E$2&lt;='CAPEX - OPEX'!$F6,'CAPEX - OPEX'!$E6/'CAPEX - OPEX'!$F6,0)</f>
        <v>6000000</v>
      </c>
      <c r="F6" s="33">
        <f>IF(F$2&lt;='CAPEX - OPEX'!$F6,'CAPEX - OPEX'!$E6/'CAPEX - OPEX'!$F6,0)</f>
        <v>6000000</v>
      </c>
      <c r="G6" s="33">
        <f>IF(G$2&lt;='CAPEX - OPEX'!$F6,'CAPEX - OPEX'!$E6/'CAPEX - OPEX'!$F6,0)</f>
        <v>6000000</v>
      </c>
      <c r="H6" s="33">
        <f>IF(H$2&lt;='CAPEX - OPEX'!$F6,'CAPEX - OPEX'!$E6/'CAPEX - OPEX'!$F6,0)</f>
        <v>6000000</v>
      </c>
      <c r="I6" s="33">
        <f>IF(I$2&lt;='CAPEX - OPEX'!$F6,'CAPEX - OPEX'!$E6/'CAPEX - OPEX'!$F6,0)</f>
        <v>6000000</v>
      </c>
      <c r="J6" s="33">
        <f>IF(J$2&lt;='CAPEX - OPEX'!$F6,'CAPEX - OPEX'!$E6/'CAPEX - OPEX'!$F6,0)</f>
        <v>6000000</v>
      </c>
      <c r="K6" s="33">
        <f>IF(K$2&lt;='CAPEX - OPEX'!$F6,'CAPEX - OPEX'!$E6/'CAPEX - OPEX'!$F6,0)</f>
        <v>6000000</v>
      </c>
      <c r="L6" s="33">
        <f>IF(L$2&lt;='CAPEX - OPEX'!$F6,'CAPEX - OPEX'!$E6/'CAPEX - OPEX'!$F6,0)</f>
        <v>6000000</v>
      </c>
      <c r="M6" s="33">
        <f>IF(M$2&lt;='CAPEX - OPEX'!$F6,'CAPEX - OPEX'!$E6/'CAPEX - OPEX'!$F6,0)</f>
        <v>6000000</v>
      </c>
    </row>
    <row r="7" spans="1:13" x14ac:dyDescent="0.35">
      <c r="A7" t="str">
        <f>'[1]CAPEX - OPEX'!A7</f>
        <v>Infraetructura Administración-cocina</v>
      </c>
      <c r="D7" s="33">
        <f>IF(D$2&lt;='CAPEX - OPEX'!$F7,'CAPEX - OPEX'!$E7/'CAPEX - OPEX'!$F7,0)</f>
        <v>2250000</v>
      </c>
      <c r="E7" s="33">
        <f>IF(E$2&lt;='CAPEX - OPEX'!$F7,'CAPEX - OPEX'!$E7/'CAPEX - OPEX'!$F7,0)</f>
        <v>2250000</v>
      </c>
      <c r="F7" s="33">
        <f>IF(F$2&lt;='CAPEX - OPEX'!$F7,'CAPEX - OPEX'!$E7/'CAPEX - OPEX'!$F7,0)</f>
        <v>2250000</v>
      </c>
      <c r="G7" s="33">
        <f>IF(G$2&lt;='CAPEX - OPEX'!$F7,'CAPEX - OPEX'!$E7/'CAPEX - OPEX'!$F7,0)</f>
        <v>2250000</v>
      </c>
      <c r="H7" s="33">
        <f>IF(H$2&lt;='CAPEX - OPEX'!$F7,'CAPEX - OPEX'!$E7/'CAPEX - OPEX'!$F7,0)</f>
        <v>2250000</v>
      </c>
      <c r="I7" s="33">
        <f>IF(I$2&lt;='CAPEX - OPEX'!$F7,'CAPEX - OPEX'!$E7/'CAPEX - OPEX'!$F7,0)</f>
        <v>2250000</v>
      </c>
      <c r="J7" s="33">
        <f>IF(J$2&lt;='CAPEX - OPEX'!$F7,'CAPEX - OPEX'!$E7/'CAPEX - OPEX'!$F7,0)</f>
        <v>2250000</v>
      </c>
      <c r="K7" s="33">
        <f>IF(K$2&lt;='CAPEX - OPEX'!$F7,'CAPEX - OPEX'!$E7/'CAPEX - OPEX'!$F7,0)</f>
        <v>2250000</v>
      </c>
      <c r="L7" s="33">
        <f>IF(L$2&lt;='CAPEX - OPEX'!$F7,'CAPEX - OPEX'!$E7/'CAPEX - OPEX'!$F7,0)</f>
        <v>2250000</v>
      </c>
      <c r="M7" s="33">
        <f>IF(M$2&lt;='CAPEX - OPEX'!$F7,'CAPEX - OPEX'!$E7/'CAPEX - OPEX'!$F7,0)</f>
        <v>2250000</v>
      </c>
    </row>
    <row r="8" spans="1:13" x14ac:dyDescent="0.35">
      <c r="A8" s="48" t="str">
        <f>'[1]CAPEX - OPEX'!A8</f>
        <v>Paisajismo</v>
      </c>
      <c r="D8" s="54">
        <f>IF(D$2&lt;='CAPEX - OPEX'!$F8,'CAPEX - OPEX'!$E8/'CAPEX - OPEX'!$F8,0)</f>
        <v>525000</v>
      </c>
      <c r="E8" s="54">
        <f>IF(E$2&lt;='CAPEX - OPEX'!$F8,'CAPEX - OPEX'!$E8/'CAPEX - OPEX'!$F8,0)</f>
        <v>525000</v>
      </c>
      <c r="F8" s="54">
        <f>IF(F$2&lt;='CAPEX - OPEX'!$F8,'CAPEX - OPEX'!$E8/'CAPEX - OPEX'!$F8,0)</f>
        <v>525000</v>
      </c>
      <c r="G8" s="54">
        <f>IF(G$2&lt;='CAPEX - OPEX'!$F8,'CAPEX - OPEX'!$E8/'CAPEX - OPEX'!$F8,0)</f>
        <v>525000</v>
      </c>
      <c r="H8" s="54">
        <f>IF(H$2&lt;='CAPEX - OPEX'!$F8,'CAPEX - OPEX'!$E8/'CAPEX - OPEX'!$F8,0)</f>
        <v>525000</v>
      </c>
      <c r="I8" s="54">
        <f>IF(I$2&lt;='CAPEX - OPEX'!$F8,'CAPEX - OPEX'!$E8/'CAPEX - OPEX'!$F8,0)</f>
        <v>525000</v>
      </c>
      <c r="J8" s="54">
        <f>IF(J$2&lt;='CAPEX - OPEX'!$F8,'CAPEX - OPEX'!$E8/'CAPEX - OPEX'!$F8,0)</f>
        <v>525000</v>
      </c>
      <c r="K8" s="54">
        <f>IF(K$2&lt;='CAPEX - OPEX'!$F8,'CAPEX - OPEX'!$E8/'CAPEX - OPEX'!$F8,0)</f>
        <v>525000</v>
      </c>
      <c r="L8" s="54">
        <f>IF(L$2&lt;='CAPEX - OPEX'!$F8,'CAPEX - OPEX'!$E8/'CAPEX - OPEX'!$F8,0)</f>
        <v>525000</v>
      </c>
      <c r="M8" s="54">
        <f>IF(M$2&lt;='CAPEX - OPEX'!$F8,'CAPEX - OPEX'!$E8/'CAPEX - OPEX'!$F8,0)</f>
        <v>525000</v>
      </c>
    </row>
    <row r="9" spans="1:13" x14ac:dyDescent="0.35">
      <c r="A9" s="85" t="str">
        <f>'[1]CAPEX - OPEX'!A9</f>
        <v>TOTAL CAPEX Infraestructura</v>
      </c>
      <c r="B9" s="86"/>
      <c r="C9" s="86"/>
      <c r="D9" s="64">
        <f>SUM(D6:D8)</f>
        <v>8775000</v>
      </c>
      <c r="E9" s="64">
        <f t="shared" ref="E9:M9" si="1">SUM(E6:E8)</f>
        <v>8775000</v>
      </c>
      <c r="F9" s="64">
        <f t="shared" si="1"/>
        <v>8775000</v>
      </c>
      <c r="G9" s="64">
        <f t="shared" si="1"/>
        <v>8775000</v>
      </c>
      <c r="H9" s="64">
        <f t="shared" si="1"/>
        <v>8775000</v>
      </c>
      <c r="I9" s="64">
        <f t="shared" si="1"/>
        <v>8775000</v>
      </c>
      <c r="J9" s="64">
        <f t="shared" si="1"/>
        <v>8775000</v>
      </c>
      <c r="K9" s="64">
        <f t="shared" si="1"/>
        <v>8775000</v>
      </c>
      <c r="L9" s="64">
        <f t="shared" si="1"/>
        <v>8775000</v>
      </c>
      <c r="M9" s="64">
        <f t="shared" si="1"/>
        <v>8775000</v>
      </c>
    </row>
    <row r="11" spans="1:13" x14ac:dyDescent="0.35">
      <c r="A11" s="84" t="str">
        <f>'[1]CAPEX - OPEX'!A11</f>
        <v>CAPEX - Operación</v>
      </c>
    </row>
    <row r="12" spans="1:13" x14ac:dyDescent="0.35">
      <c r="A12" s="57" t="str">
        <f>'[1]CAPEX - OPEX'!A12</f>
        <v>CABAÑA</v>
      </c>
    </row>
    <row r="13" spans="1:13" x14ac:dyDescent="0.35">
      <c r="A13" s="42" t="str">
        <f>'[1]CAPEX - OPEX'!A13</f>
        <v>Detalle</v>
      </c>
    </row>
    <row r="14" spans="1:13" x14ac:dyDescent="0.35">
      <c r="A14" s="55" t="str">
        <f>'[1]CAPEX - OPEX'!A14</f>
        <v>Habitación</v>
      </c>
    </row>
    <row r="15" spans="1:13" x14ac:dyDescent="0.35">
      <c r="A15" t="str">
        <f>'[1]CAPEX - OPEX'!A15</f>
        <v>Colchón Queen</v>
      </c>
      <c r="D15" s="33">
        <f>('CAPEX - OPEX'!$E15*'CAPEX - OPEX'!$C$6)/'CAPEX - OPEX'!$F15</f>
        <v>900000</v>
      </c>
      <c r="E15" s="33">
        <f>('CAPEX - OPEX'!$E15*'CAPEX - OPEX'!$C$6)/'CAPEX - OPEX'!$F15</f>
        <v>900000</v>
      </c>
      <c r="F15" s="33">
        <f>('CAPEX - OPEX'!$E15*'CAPEX - OPEX'!$C$6)/'CAPEX - OPEX'!$F15</f>
        <v>900000</v>
      </c>
      <c r="G15" s="33">
        <f>('CAPEX - OPEX'!$E15*'CAPEX - OPEX'!$C$6)/'CAPEX - OPEX'!$F15</f>
        <v>900000</v>
      </c>
      <c r="H15" s="33">
        <f>('CAPEX - OPEX'!$E15*'CAPEX - OPEX'!$C$6)/'CAPEX - OPEX'!$F15</f>
        <v>900000</v>
      </c>
      <c r="I15" s="33">
        <f>('CAPEX - OPEX'!$E15*'CAPEX - OPEX'!$C$6)/'CAPEX - OPEX'!$F15</f>
        <v>900000</v>
      </c>
      <c r="J15" s="33">
        <f>('CAPEX - OPEX'!$E15*'CAPEX - OPEX'!$C$6)/'CAPEX - OPEX'!$F15</f>
        <v>900000</v>
      </c>
      <c r="K15" s="33">
        <f>('CAPEX - OPEX'!$E15*'CAPEX - OPEX'!$C$6)/'CAPEX - OPEX'!$F15</f>
        <v>900000</v>
      </c>
      <c r="L15" s="33">
        <f>('CAPEX - OPEX'!$E15*'CAPEX - OPEX'!$C$6)/'CAPEX - OPEX'!$F15</f>
        <v>900000</v>
      </c>
      <c r="M15" s="33">
        <f>('CAPEX - OPEX'!$E15*'CAPEX - OPEX'!$C$6)/'CAPEX - OPEX'!$F15</f>
        <v>900000</v>
      </c>
    </row>
    <row r="16" spans="1:13" x14ac:dyDescent="0.35">
      <c r="A16" t="str">
        <f>'[1]CAPEX - OPEX'!A16</f>
        <v>Protector colchón</v>
      </c>
      <c r="D16" s="33">
        <f>('CAPEX - OPEX'!$E16*'CAPEX - OPEX'!$C$6)/'CAPEX - OPEX'!$F16</f>
        <v>120000</v>
      </c>
      <c r="E16" s="33">
        <f>('CAPEX - OPEX'!$E16*'CAPEX - OPEX'!$C$6)/'CAPEX - OPEX'!$F16</f>
        <v>120000</v>
      </c>
      <c r="F16" s="33">
        <f>('CAPEX - OPEX'!$E16*'CAPEX - OPEX'!$C$6)/'CAPEX - OPEX'!$F16</f>
        <v>120000</v>
      </c>
      <c r="G16" s="33">
        <f>('CAPEX - OPEX'!$E16*'CAPEX - OPEX'!$C$6)/'CAPEX - OPEX'!$F16</f>
        <v>120000</v>
      </c>
      <c r="H16" s="33">
        <f>('CAPEX - OPEX'!$E16*'CAPEX - OPEX'!$C$6)/'CAPEX - OPEX'!$F16</f>
        <v>120000</v>
      </c>
      <c r="I16" s="33">
        <f>('CAPEX - OPEX'!$E16*'CAPEX - OPEX'!$C$6)/'CAPEX - OPEX'!$F16</f>
        <v>120000</v>
      </c>
      <c r="J16" s="33">
        <f>('CAPEX - OPEX'!$E16*'CAPEX - OPEX'!$C$6)/'CAPEX - OPEX'!$F16</f>
        <v>120000</v>
      </c>
      <c r="K16" s="33">
        <f>('CAPEX - OPEX'!$E16*'CAPEX - OPEX'!$C$6)/'CAPEX - OPEX'!$F16</f>
        <v>120000</v>
      </c>
      <c r="L16" s="33">
        <f>('CAPEX - OPEX'!$E16*'CAPEX - OPEX'!$C$6)/'CAPEX - OPEX'!$F16</f>
        <v>120000</v>
      </c>
      <c r="M16" s="33">
        <f>('CAPEX - OPEX'!$E16*'CAPEX - OPEX'!$C$6)/'CAPEX - OPEX'!$F16</f>
        <v>120000</v>
      </c>
    </row>
    <row r="17" spans="1:13" x14ac:dyDescent="0.35">
      <c r="A17" t="str">
        <f>'[1]CAPEX - OPEX'!A17</f>
        <v>Almohadas pequeña</v>
      </c>
      <c r="D17" s="33">
        <f>('CAPEX - OPEX'!$E17*'CAPEX - OPEX'!$C$6)/'CAPEX - OPEX'!$F17</f>
        <v>300000</v>
      </c>
      <c r="E17" s="33">
        <f>('CAPEX - OPEX'!$E17*'CAPEX - OPEX'!$C$6)/'CAPEX - OPEX'!$F17</f>
        <v>300000</v>
      </c>
      <c r="F17" s="33">
        <f>('CAPEX - OPEX'!$E17*'CAPEX - OPEX'!$C$6)/'CAPEX - OPEX'!$F17</f>
        <v>300000</v>
      </c>
      <c r="G17" s="33">
        <f>('CAPEX - OPEX'!$E17*'CAPEX - OPEX'!$C$6)/'CAPEX - OPEX'!$F17</f>
        <v>300000</v>
      </c>
      <c r="H17" s="33">
        <f>('CAPEX - OPEX'!$E17*'CAPEX - OPEX'!$C$6)/'CAPEX - OPEX'!$F17</f>
        <v>300000</v>
      </c>
      <c r="I17" s="33">
        <f>('CAPEX - OPEX'!$E17*'CAPEX - OPEX'!$C$6)/'CAPEX - OPEX'!$F17</f>
        <v>300000</v>
      </c>
      <c r="J17" s="33">
        <f>('CAPEX - OPEX'!$E17*'CAPEX - OPEX'!$C$6)/'CAPEX - OPEX'!$F17</f>
        <v>300000</v>
      </c>
      <c r="K17" s="33">
        <f>('CAPEX - OPEX'!$E17*'CAPEX - OPEX'!$C$6)/'CAPEX - OPEX'!$F17</f>
        <v>300000</v>
      </c>
      <c r="L17" s="33">
        <f>('CAPEX - OPEX'!$E17*'CAPEX - OPEX'!$C$6)/'CAPEX - OPEX'!$F17</f>
        <v>300000</v>
      </c>
      <c r="M17" s="33">
        <f>('CAPEX - OPEX'!$E17*'CAPEX - OPEX'!$C$6)/'CAPEX - OPEX'!$F17</f>
        <v>300000</v>
      </c>
    </row>
    <row r="18" spans="1:13" x14ac:dyDescent="0.35">
      <c r="A18" t="str">
        <f>'[1]CAPEX - OPEX'!A18</f>
        <v>Almohadon</v>
      </c>
      <c r="D18" s="33">
        <f>('CAPEX - OPEX'!$E18*'CAPEX - OPEX'!$C$6)/'CAPEX - OPEX'!$F18</f>
        <v>400000</v>
      </c>
      <c r="E18" s="33">
        <f>('CAPEX - OPEX'!$E18*'CAPEX - OPEX'!$C$6)/'CAPEX - OPEX'!$F18</f>
        <v>400000</v>
      </c>
      <c r="F18" s="33">
        <f>('CAPEX - OPEX'!$E18*'CAPEX - OPEX'!$C$6)/'CAPEX - OPEX'!$F18</f>
        <v>400000</v>
      </c>
      <c r="G18" s="33">
        <f>('CAPEX - OPEX'!$E18*'CAPEX - OPEX'!$C$6)/'CAPEX - OPEX'!$F18</f>
        <v>400000</v>
      </c>
      <c r="H18" s="33">
        <f>('CAPEX - OPEX'!$E18*'CAPEX - OPEX'!$C$6)/'CAPEX - OPEX'!$F18</f>
        <v>400000</v>
      </c>
      <c r="I18" s="33">
        <f>('CAPEX - OPEX'!$E18*'CAPEX - OPEX'!$C$6)/'CAPEX - OPEX'!$F18</f>
        <v>400000</v>
      </c>
      <c r="J18" s="33">
        <f>('CAPEX - OPEX'!$E18*'CAPEX - OPEX'!$C$6)/'CAPEX - OPEX'!$F18</f>
        <v>400000</v>
      </c>
      <c r="K18" s="33">
        <f>('CAPEX - OPEX'!$E18*'CAPEX - OPEX'!$C$6)/'CAPEX - OPEX'!$F18</f>
        <v>400000</v>
      </c>
      <c r="L18" s="33">
        <f>('CAPEX - OPEX'!$E18*'CAPEX - OPEX'!$C$6)/'CAPEX - OPEX'!$F18</f>
        <v>400000</v>
      </c>
      <c r="M18" s="33">
        <f>('CAPEX - OPEX'!$E18*'CAPEX - OPEX'!$C$6)/'CAPEX - OPEX'!$F18</f>
        <v>400000</v>
      </c>
    </row>
    <row r="19" spans="1:13" x14ac:dyDescent="0.35">
      <c r="A19" t="str">
        <f>'[1]CAPEX - OPEX'!A19</f>
        <v>Juego de sábanas</v>
      </c>
      <c r="D19" s="33">
        <f>('CAPEX - OPEX'!$E19*'CAPEX - OPEX'!$C$6)/'CAPEX - OPEX'!$F19</f>
        <v>300000</v>
      </c>
      <c r="E19" s="33">
        <f>('CAPEX - OPEX'!$E19*'CAPEX - OPEX'!$C$6)/'CAPEX - OPEX'!$F19</f>
        <v>300000</v>
      </c>
      <c r="F19" s="33">
        <f>('CAPEX - OPEX'!$E19*'CAPEX - OPEX'!$C$6)/'CAPEX - OPEX'!$F19</f>
        <v>300000</v>
      </c>
      <c r="G19" s="33">
        <f>('CAPEX - OPEX'!$E19*'CAPEX - OPEX'!$C$6)/'CAPEX - OPEX'!$F19</f>
        <v>300000</v>
      </c>
      <c r="H19" s="33">
        <f>('CAPEX - OPEX'!$E19*'CAPEX - OPEX'!$C$6)/'CAPEX - OPEX'!$F19</f>
        <v>300000</v>
      </c>
      <c r="I19" s="33">
        <f>('CAPEX - OPEX'!$E19*'CAPEX - OPEX'!$C$6)/'CAPEX - OPEX'!$F19</f>
        <v>300000</v>
      </c>
      <c r="J19" s="33">
        <f>('CAPEX - OPEX'!$E19*'CAPEX - OPEX'!$C$6)/'CAPEX - OPEX'!$F19</f>
        <v>300000</v>
      </c>
      <c r="K19" s="33">
        <f>('CAPEX - OPEX'!$E19*'CAPEX - OPEX'!$C$6)/'CAPEX - OPEX'!$F19</f>
        <v>300000</v>
      </c>
      <c r="L19" s="33">
        <f>('CAPEX - OPEX'!$E19*'CAPEX - OPEX'!$C$6)/'CAPEX - OPEX'!$F19</f>
        <v>300000</v>
      </c>
      <c r="M19" s="33">
        <f>('CAPEX - OPEX'!$E19*'CAPEX - OPEX'!$C$6)/'CAPEX - OPEX'!$F19</f>
        <v>300000</v>
      </c>
    </row>
    <row r="20" spans="1:13" x14ac:dyDescent="0.35">
      <c r="A20" t="str">
        <f>'[1]CAPEX - OPEX'!A20</f>
        <v>Cubrelecho</v>
      </c>
      <c r="D20" s="33">
        <f>('CAPEX - OPEX'!$E20*'CAPEX - OPEX'!$C$6)/'CAPEX - OPEX'!$F20</f>
        <v>600000</v>
      </c>
      <c r="E20" s="33">
        <f>('CAPEX - OPEX'!$E20*'CAPEX - OPEX'!$C$6)/'CAPEX - OPEX'!$F20</f>
        <v>600000</v>
      </c>
      <c r="F20" s="33">
        <f>('CAPEX - OPEX'!$E20*'CAPEX - OPEX'!$C$6)/'CAPEX - OPEX'!$F20</f>
        <v>600000</v>
      </c>
      <c r="G20" s="33">
        <f>('CAPEX - OPEX'!$E20*'CAPEX - OPEX'!$C$6)/'CAPEX - OPEX'!$F20</f>
        <v>600000</v>
      </c>
      <c r="H20" s="33">
        <f>('CAPEX - OPEX'!$E20*'CAPEX - OPEX'!$C$6)/'CAPEX - OPEX'!$F20</f>
        <v>600000</v>
      </c>
      <c r="I20" s="33">
        <f>('CAPEX - OPEX'!$E20*'CAPEX - OPEX'!$C$6)/'CAPEX - OPEX'!$F20</f>
        <v>600000</v>
      </c>
      <c r="J20" s="33">
        <f>('CAPEX - OPEX'!$E20*'CAPEX - OPEX'!$C$6)/'CAPEX - OPEX'!$F20</f>
        <v>600000</v>
      </c>
      <c r="K20" s="33">
        <f>('CAPEX - OPEX'!$E20*'CAPEX - OPEX'!$C$6)/'CAPEX - OPEX'!$F20</f>
        <v>600000</v>
      </c>
      <c r="L20" s="33">
        <f>('CAPEX - OPEX'!$E20*'CAPEX - OPEX'!$C$6)/'CAPEX - OPEX'!$F20</f>
        <v>600000</v>
      </c>
      <c r="M20" s="33">
        <f>('CAPEX - OPEX'!$E20*'CAPEX - OPEX'!$C$6)/'CAPEX - OPEX'!$F20</f>
        <v>600000</v>
      </c>
    </row>
    <row r="21" spans="1:13" x14ac:dyDescent="0.35">
      <c r="A21" t="str">
        <f>'[1]CAPEX - OPEX'!A21</f>
        <v>Mueble pie de cama</v>
      </c>
      <c r="D21" s="33">
        <f>('CAPEX - OPEX'!$E21*'CAPEX - OPEX'!$C$6)/'CAPEX - OPEX'!$F21</f>
        <v>240000</v>
      </c>
      <c r="E21" s="33">
        <f>('CAPEX - OPEX'!$E21*'CAPEX - OPEX'!$C$6)/'CAPEX - OPEX'!$F21</f>
        <v>240000</v>
      </c>
      <c r="F21" s="33">
        <f>('CAPEX - OPEX'!$E21*'CAPEX - OPEX'!$C$6)/'CAPEX - OPEX'!$F21</f>
        <v>240000</v>
      </c>
      <c r="G21" s="33">
        <f>('CAPEX - OPEX'!$E21*'CAPEX - OPEX'!$C$6)/'CAPEX - OPEX'!$F21</f>
        <v>240000</v>
      </c>
      <c r="H21" s="33">
        <f>('CAPEX - OPEX'!$E21*'CAPEX - OPEX'!$C$6)/'CAPEX - OPEX'!$F21</f>
        <v>240000</v>
      </c>
      <c r="I21" s="33">
        <f>('CAPEX - OPEX'!$E21*'CAPEX - OPEX'!$C$6)/'CAPEX - OPEX'!$F21</f>
        <v>240000</v>
      </c>
      <c r="J21" s="33">
        <f>('CAPEX - OPEX'!$E21*'CAPEX - OPEX'!$C$6)/'CAPEX - OPEX'!$F21</f>
        <v>240000</v>
      </c>
      <c r="K21" s="33">
        <f>('CAPEX - OPEX'!$E21*'CAPEX - OPEX'!$C$6)/'CAPEX - OPEX'!$F21</f>
        <v>240000</v>
      </c>
      <c r="L21" s="33">
        <f>('CAPEX - OPEX'!$E21*'CAPEX - OPEX'!$C$6)/'CAPEX - OPEX'!$F21</f>
        <v>240000</v>
      </c>
      <c r="M21" s="33">
        <f>('CAPEX - OPEX'!$E21*'CAPEX - OPEX'!$C$6)/'CAPEX - OPEX'!$F21</f>
        <v>240000</v>
      </c>
    </row>
    <row r="22" spans="1:13" x14ac:dyDescent="0.35">
      <c r="A22" t="str">
        <f>'[1]CAPEX - OPEX'!A22</f>
        <v>Cortinas</v>
      </c>
      <c r="D22" s="33">
        <f>('CAPEX - OPEX'!$E22*'CAPEX - OPEX'!$C$6)/'CAPEX - OPEX'!$F22</f>
        <v>600000</v>
      </c>
      <c r="E22" s="33">
        <f>('CAPEX - OPEX'!$E22*'CAPEX - OPEX'!$C$6)/'CAPEX - OPEX'!$F22</f>
        <v>600000</v>
      </c>
      <c r="F22" s="33">
        <f>('CAPEX - OPEX'!$E22*'CAPEX - OPEX'!$C$6)/'CAPEX - OPEX'!$F22</f>
        <v>600000</v>
      </c>
      <c r="G22" s="33">
        <f>('CAPEX - OPEX'!$E22*'CAPEX - OPEX'!$C$6)/'CAPEX - OPEX'!$F22</f>
        <v>600000</v>
      </c>
      <c r="H22" s="33">
        <f>('CAPEX - OPEX'!$E22*'CAPEX - OPEX'!$C$6)/'CAPEX - OPEX'!$F22</f>
        <v>600000</v>
      </c>
      <c r="I22" s="33">
        <f>('CAPEX - OPEX'!$E22*'CAPEX - OPEX'!$C$6)/'CAPEX - OPEX'!$F22</f>
        <v>600000</v>
      </c>
      <c r="J22" s="33">
        <f>('CAPEX - OPEX'!$E22*'CAPEX - OPEX'!$C$6)/'CAPEX - OPEX'!$F22</f>
        <v>600000</v>
      </c>
      <c r="K22" s="33">
        <f>('CAPEX - OPEX'!$E22*'CAPEX - OPEX'!$C$6)/'CAPEX - OPEX'!$F22</f>
        <v>600000</v>
      </c>
      <c r="L22" s="33">
        <f>('CAPEX - OPEX'!$E22*'CAPEX - OPEX'!$C$6)/'CAPEX - OPEX'!$F22</f>
        <v>600000</v>
      </c>
      <c r="M22" s="33">
        <f>('CAPEX - OPEX'!$E22*'CAPEX - OPEX'!$C$6)/'CAPEX - OPEX'!$F22</f>
        <v>600000</v>
      </c>
    </row>
    <row r="23" spans="1:13" x14ac:dyDescent="0.35">
      <c r="A23" t="str">
        <f>'[1]CAPEX - OPEX'!A23</f>
        <v>Decoración</v>
      </c>
      <c r="D23" s="33">
        <f>('CAPEX - OPEX'!$E23*'CAPEX - OPEX'!$C$6)/'CAPEX - OPEX'!$F23</f>
        <v>600000</v>
      </c>
      <c r="E23" s="33">
        <f>('CAPEX - OPEX'!$E23*'CAPEX - OPEX'!$C$6)/'CAPEX - OPEX'!$F23</f>
        <v>600000</v>
      </c>
      <c r="F23" s="33">
        <f>('CAPEX - OPEX'!$E23*'CAPEX - OPEX'!$C$6)/'CAPEX - OPEX'!$F23</f>
        <v>600000</v>
      </c>
      <c r="G23" s="33">
        <f>('CAPEX - OPEX'!$E23*'CAPEX - OPEX'!$C$6)/'CAPEX - OPEX'!$F23</f>
        <v>600000</v>
      </c>
      <c r="H23" s="33">
        <f>('CAPEX - OPEX'!$E23*'CAPEX - OPEX'!$C$6)/'CAPEX - OPEX'!$F23</f>
        <v>600000</v>
      </c>
      <c r="I23" s="33">
        <f>('CAPEX - OPEX'!$E23*'CAPEX - OPEX'!$C$6)/'CAPEX - OPEX'!$F23</f>
        <v>600000</v>
      </c>
      <c r="J23" s="33">
        <f>('CAPEX - OPEX'!$E23*'CAPEX - OPEX'!$C$6)/'CAPEX - OPEX'!$F23</f>
        <v>600000</v>
      </c>
      <c r="K23" s="33">
        <f>('CAPEX - OPEX'!$E23*'CAPEX - OPEX'!$C$6)/'CAPEX - OPEX'!$F23</f>
        <v>600000</v>
      </c>
      <c r="L23" s="33">
        <f>('CAPEX - OPEX'!$E23*'CAPEX - OPEX'!$C$6)/'CAPEX - OPEX'!$F23</f>
        <v>600000</v>
      </c>
      <c r="M23" s="33">
        <f>('CAPEX - OPEX'!$E23*'CAPEX - OPEX'!$C$6)/'CAPEX - OPEX'!$F23</f>
        <v>600000</v>
      </c>
    </row>
    <row r="24" spans="1:13" x14ac:dyDescent="0.35">
      <c r="A24" s="55" t="str">
        <f>'[1]CAPEX - OPEX'!A24</f>
        <v>Baño</v>
      </c>
    </row>
    <row r="25" spans="1:13" x14ac:dyDescent="0.35">
      <c r="A25" t="str">
        <f>'[1]CAPEX - OPEX'!A25</f>
        <v>Juego de toallas</v>
      </c>
      <c r="D25" s="33">
        <f>('CAPEX - OPEX'!$E25*'CAPEX - OPEX'!$C$6)/'CAPEX - OPEX'!$F25</f>
        <v>150000</v>
      </c>
      <c r="E25" s="33">
        <f>('CAPEX - OPEX'!$E25*'CAPEX - OPEX'!$C$6)/'CAPEX - OPEX'!$F25</f>
        <v>150000</v>
      </c>
      <c r="F25" s="33">
        <f>('CAPEX - OPEX'!$E25*'CAPEX - OPEX'!$C$6)/'CAPEX - OPEX'!$F25</f>
        <v>150000</v>
      </c>
      <c r="G25" s="33">
        <f>('CAPEX - OPEX'!$E25*'CAPEX - OPEX'!$C$6)/'CAPEX - OPEX'!$F25</f>
        <v>150000</v>
      </c>
      <c r="H25" s="33">
        <f>('CAPEX - OPEX'!$E25*'CAPEX - OPEX'!$C$6)/'CAPEX - OPEX'!$F25</f>
        <v>150000</v>
      </c>
      <c r="I25" s="33">
        <f>('CAPEX - OPEX'!$E25*'CAPEX - OPEX'!$C$6)/'CAPEX - OPEX'!$F25</f>
        <v>150000</v>
      </c>
      <c r="J25" s="33">
        <f>('CAPEX - OPEX'!$E25*'CAPEX - OPEX'!$C$6)/'CAPEX - OPEX'!$F25</f>
        <v>150000</v>
      </c>
      <c r="K25" s="33">
        <f>('CAPEX - OPEX'!$E25*'CAPEX - OPEX'!$C$6)/'CAPEX - OPEX'!$F25</f>
        <v>150000</v>
      </c>
      <c r="L25" s="33">
        <f>('CAPEX - OPEX'!$E25*'CAPEX - OPEX'!$C$6)/'CAPEX - OPEX'!$F25</f>
        <v>150000</v>
      </c>
      <c r="M25" s="33">
        <f>('CAPEX - OPEX'!$E25*'CAPEX - OPEX'!$C$6)/'CAPEX - OPEX'!$F25</f>
        <v>150000</v>
      </c>
    </row>
    <row r="26" spans="1:13" x14ac:dyDescent="0.35">
      <c r="A26" t="str">
        <f>'[1]CAPEX - OPEX'!A26</f>
        <v>Secador para cabello</v>
      </c>
      <c r="D26" s="33">
        <f>('CAPEX - OPEX'!$E26*'CAPEX - OPEX'!$C$6)/'CAPEX - OPEX'!$F26</f>
        <v>180000</v>
      </c>
      <c r="E26" s="33">
        <f>('CAPEX - OPEX'!$E26*'CAPEX - OPEX'!$C$6)/'CAPEX - OPEX'!$F26</f>
        <v>180000</v>
      </c>
      <c r="F26" s="33">
        <f>('CAPEX - OPEX'!$E26*'CAPEX - OPEX'!$C$6)/'CAPEX - OPEX'!$F26</f>
        <v>180000</v>
      </c>
      <c r="G26" s="33">
        <f>('CAPEX - OPEX'!$E26*'CAPEX - OPEX'!$C$6)/'CAPEX - OPEX'!$F26</f>
        <v>180000</v>
      </c>
      <c r="H26" s="33">
        <f>('CAPEX - OPEX'!$E26*'CAPEX - OPEX'!$C$6)/'CAPEX - OPEX'!$F26</f>
        <v>180000</v>
      </c>
      <c r="I26" s="33">
        <f>('CAPEX - OPEX'!$E26*'CAPEX - OPEX'!$C$6)/'CAPEX - OPEX'!$F26</f>
        <v>180000</v>
      </c>
      <c r="J26" s="33">
        <f>('CAPEX - OPEX'!$E26*'CAPEX - OPEX'!$C$6)/'CAPEX - OPEX'!$F26</f>
        <v>180000</v>
      </c>
      <c r="K26" s="33">
        <f>('CAPEX - OPEX'!$E26*'CAPEX - OPEX'!$C$6)/'CAPEX - OPEX'!$F26</f>
        <v>180000</v>
      </c>
      <c r="L26" s="33">
        <f>('CAPEX - OPEX'!$E26*'CAPEX - OPEX'!$C$6)/'CAPEX - OPEX'!$F26</f>
        <v>180000</v>
      </c>
      <c r="M26" s="33">
        <f>('CAPEX - OPEX'!$E26*'CAPEX - OPEX'!$C$6)/'CAPEX - OPEX'!$F26</f>
        <v>180000</v>
      </c>
    </row>
    <row r="27" spans="1:13" x14ac:dyDescent="0.35">
      <c r="A27" s="55" t="str">
        <f>'[1]CAPEX - OPEX'!A27</f>
        <v>Exterior</v>
      </c>
    </row>
    <row r="28" spans="1:13" x14ac:dyDescent="0.35">
      <c r="A28" t="str">
        <f>'[1]CAPEX - OPEX'!A28</f>
        <v>Asoleadoras</v>
      </c>
      <c r="D28" s="33">
        <f>('CAPEX - OPEX'!$E28*'CAPEX - OPEX'!$C$6)/'CAPEX - OPEX'!$F28</f>
        <v>480000</v>
      </c>
      <c r="E28" s="33">
        <f>('CAPEX - OPEX'!$E28*'CAPEX - OPEX'!$C$6)/'CAPEX - OPEX'!$F28</f>
        <v>480000</v>
      </c>
      <c r="F28" s="33">
        <f>('CAPEX - OPEX'!$E28*'CAPEX - OPEX'!$C$6)/'CAPEX - OPEX'!$F28</f>
        <v>480000</v>
      </c>
      <c r="G28" s="33">
        <f>('CAPEX - OPEX'!$E28*'CAPEX - OPEX'!$C$6)/'CAPEX - OPEX'!$F28</f>
        <v>480000</v>
      </c>
      <c r="H28" s="33">
        <f>('CAPEX - OPEX'!$E28*'CAPEX - OPEX'!$C$6)/'CAPEX - OPEX'!$F28</f>
        <v>480000</v>
      </c>
      <c r="I28" s="33">
        <f>('CAPEX - OPEX'!$E28*'CAPEX - OPEX'!$C$6)/'CAPEX - OPEX'!$F28</f>
        <v>480000</v>
      </c>
      <c r="J28" s="33">
        <f>('CAPEX - OPEX'!$E28*'CAPEX - OPEX'!$C$6)/'CAPEX - OPEX'!$F28</f>
        <v>480000</v>
      </c>
      <c r="K28" s="33">
        <f>('CAPEX - OPEX'!$E28*'CAPEX - OPEX'!$C$6)/'CAPEX - OPEX'!$F28</f>
        <v>480000</v>
      </c>
      <c r="L28" s="33">
        <f>('CAPEX - OPEX'!$E28*'CAPEX - OPEX'!$C$6)/'CAPEX - OPEX'!$F28</f>
        <v>480000</v>
      </c>
      <c r="M28" s="33">
        <f>('CAPEX - OPEX'!$E28*'CAPEX - OPEX'!$C$6)/'CAPEX - OPEX'!$F28</f>
        <v>480000</v>
      </c>
    </row>
    <row r="29" spans="1:13" x14ac:dyDescent="0.35">
      <c r="A29" t="str">
        <f>'[1]CAPEX - OPEX'!A29</f>
        <v>Sillas reclinables</v>
      </c>
      <c r="D29" s="33">
        <f>('CAPEX - OPEX'!$E29*'CAPEX - OPEX'!$C$6)/'CAPEX - OPEX'!$F29</f>
        <v>240000</v>
      </c>
      <c r="E29" s="33">
        <f>('CAPEX - OPEX'!$E29*'CAPEX - OPEX'!$C$6)/'CAPEX - OPEX'!$F29</f>
        <v>240000</v>
      </c>
      <c r="F29" s="33">
        <f>('CAPEX - OPEX'!$E29*'CAPEX - OPEX'!$C$6)/'CAPEX - OPEX'!$F29</f>
        <v>240000</v>
      </c>
      <c r="G29" s="33">
        <f>('CAPEX - OPEX'!$E29*'CAPEX - OPEX'!$C$6)/'CAPEX - OPEX'!$F29</f>
        <v>240000</v>
      </c>
      <c r="H29" s="33">
        <f>('CAPEX - OPEX'!$E29*'CAPEX - OPEX'!$C$6)/'CAPEX - OPEX'!$F29</f>
        <v>240000</v>
      </c>
      <c r="I29" s="33">
        <f>('CAPEX - OPEX'!$E29*'CAPEX - OPEX'!$C$6)/'CAPEX - OPEX'!$F29</f>
        <v>240000</v>
      </c>
      <c r="J29" s="33">
        <f>('CAPEX - OPEX'!$E29*'CAPEX - OPEX'!$C$6)/'CAPEX - OPEX'!$F29</f>
        <v>240000</v>
      </c>
      <c r="K29" s="33">
        <f>('CAPEX - OPEX'!$E29*'CAPEX - OPEX'!$C$6)/'CAPEX - OPEX'!$F29</f>
        <v>240000</v>
      </c>
      <c r="L29" s="33">
        <f>('CAPEX - OPEX'!$E29*'CAPEX - OPEX'!$C$6)/'CAPEX - OPEX'!$F29</f>
        <v>240000</v>
      </c>
      <c r="M29" s="33">
        <f>('CAPEX - OPEX'!$E29*'CAPEX - OPEX'!$C$6)/'CAPEX - OPEX'!$F29</f>
        <v>240000</v>
      </c>
    </row>
    <row r="30" spans="1:13" x14ac:dyDescent="0.35">
      <c r="A30" t="str">
        <f>'[1]CAPEX - OPEX'!A30</f>
        <v>Mesa comedor + 2 sillas</v>
      </c>
      <c r="D30" s="33">
        <f>('CAPEX - OPEX'!$E30*'CAPEX - OPEX'!$C$6)/'CAPEX - OPEX'!$F30</f>
        <v>240000</v>
      </c>
      <c r="E30" s="33">
        <f>('CAPEX - OPEX'!$E30*'CAPEX - OPEX'!$C$6)/'CAPEX - OPEX'!$F30</f>
        <v>240000</v>
      </c>
      <c r="F30" s="33">
        <f>('CAPEX - OPEX'!$E30*'CAPEX - OPEX'!$C$6)/'CAPEX - OPEX'!$F30</f>
        <v>240000</v>
      </c>
      <c r="G30" s="33">
        <f>('CAPEX - OPEX'!$E30*'CAPEX - OPEX'!$C$6)/'CAPEX - OPEX'!$F30</f>
        <v>240000</v>
      </c>
      <c r="H30" s="33">
        <f>('CAPEX - OPEX'!$E30*'CAPEX - OPEX'!$C$6)/'CAPEX - OPEX'!$F30</f>
        <v>240000</v>
      </c>
      <c r="I30" s="33">
        <f>('CAPEX - OPEX'!$E30*'CAPEX - OPEX'!$C$6)/'CAPEX - OPEX'!$F30</f>
        <v>240000</v>
      </c>
      <c r="J30" s="33">
        <f>('CAPEX - OPEX'!$E30*'CAPEX - OPEX'!$C$6)/'CAPEX - OPEX'!$F30</f>
        <v>240000</v>
      </c>
      <c r="K30" s="33">
        <f>('CAPEX - OPEX'!$E30*'CAPEX - OPEX'!$C$6)/'CAPEX - OPEX'!$F30</f>
        <v>240000</v>
      </c>
      <c r="L30" s="33">
        <f>('CAPEX - OPEX'!$E30*'CAPEX - OPEX'!$C$6)/'CAPEX - OPEX'!$F30</f>
        <v>240000</v>
      </c>
      <c r="M30" s="33">
        <f>('CAPEX - OPEX'!$E30*'CAPEX - OPEX'!$C$6)/'CAPEX - OPEX'!$F30</f>
        <v>240000</v>
      </c>
    </row>
    <row r="31" spans="1:13" x14ac:dyDescent="0.35">
      <c r="A31" s="48" t="str">
        <f>'[1]CAPEX - OPEX'!A31</f>
        <v>Telescopio</v>
      </c>
      <c r="D31" s="54">
        <f>('CAPEX - OPEX'!$E31*'CAPEX - OPEX'!$C$6)/'CAPEX - OPEX'!$F31</f>
        <v>240000</v>
      </c>
      <c r="E31" s="54">
        <f>('CAPEX - OPEX'!$E31*'CAPEX - OPEX'!$C$6)/'CAPEX - OPEX'!$F31</f>
        <v>240000</v>
      </c>
      <c r="F31" s="54">
        <f>('CAPEX - OPEX'!$E31*'CAPEX - OPEX'!$C$6)/'CAPEX - OPEX'!$F31</f>
        <v>240000</v>
      </c>
      <c r="G31" s="54">
        <f>('CAPEX - OPEX'!$E31*'CAPEX - OPEX'!$C$6)/'CAPEX - OPEX'!$F31</f>
        <v>240000</v>
      </c>
      <c r="H31" s="54">
        <f>('CAPEX - OPEX'!$E31*'CAPEX - OPEX'!$C$6)/'CAPEX - OPEX'!$F31</f>
        <v>240000</v>
      </c>
      <c r="I31" s="54">
        <f>('CAPEX - OPEX'!$E31*'CAPEX - OPEX'!$C$6)/'CAPEX - OPEX'!$F31</f>
        <v>240000</v>
      </c>
      <c r="J31" s="54">
        <f>('CAPEX - OPEX'!$E31*'CAPEX - OPEX'!$C$6)/'CAPEX - OPEX'!$F31</f>
        <v>240000</v>
      </c>
      <c r="K31" s="54">
        <f>('CAPEX - OPEX'!$E31*'CAPEX - OPEX'!$C$6)/'CAPEX - OPEX'!$F31</f>
        <v>240000</v>
      </c>
      <c r="L31" s="54">
        <f>('CAPEX - OPEX'!$E31*'CAPEX - OPEX'!$C$6)/'CAPEX - OPEX'!$F31</f>
        <v>240000</v>
      </c>
      <c r="M31" s="54">
        <f>('CAPEX - OPEX'!$E31*'CAPEX - OPEX'!$C$6)/'CAPEX - OPEX'!$F31</f>
        <v>240000</v>
      </c>
    </row>
    <row r="32" spans="1:13" x14ac:dyDescent="0.35">
      <c r="A32" s="55" t="str">
        <f>'[1]CAPEX - OPEX'!A32</f>
        <v>Total/cabaña</v>
      </c>
      <c r="D32" s="77">
        <f>SUM(D15:D31)</f>
        <v>5590000</v>
      </c>
      <c r="E32" s="77">
        <f t="shared" ref="E32:M32" si="2">SUM(E15:E31)</f>
        <v>5590000</v>
      </c>
      <c r="F32" s="77">
        <f t="shared" si="2"/>
        <v>5590000</v>
      </c>
      <c r="G32" s="77">
        <f t="shared" si="2"/>
        <v>5590000</v>
      </c>
      <c r="H32" s="77">
        <f t="shared" si="2"/>
        <v>5590000</v>
      </c>
      <c r="I32" s="77">
        <f t="shared" si="2"/>
        <v>5590000</v>
      </c>
      <c r="J32" s="77">
        <f t="shared" si="2"/>
        <v>5590000</v>
      </c>
      <c r="K32" s="77">
        <f t="shared" si="2"/>
        <v>5590000</v>
      </c>
      <c r="L32" s="77">
        <f t="shared" si="2"/>
        <v>5590000</v>
      </c>
      <c r="M32" s="77">
        <f t="shared" si="2"/>
        <v>5590000</v>
      </c>
    </row>
    <row r="34" spans="1:13" x14ac:dyDescent="0.35">
      <c r="A34" s="57" t="str">
        <f>'[1]CAPEX - OPEX'!A34</f>
        <v>ADMINISTRACIÓN</v>
      </c>
    </row>
    <row r="35" spans="1:13" x14ac:dyDescent="0.35">
      <c r="A35" s="42" t="str">
        <f>'[1]CAPEX - OPEX'!A35</f>
        <v>Detalle</v>
      </c>
    </row>
    <row r="36" spans="1:13" x14ac:dyDescent="0.35">
      <c r="A36" s="55" t="str">
        <f>'[1]CAPEX - OPEX'!A36</f>
        <v>Habitación personal administración</v>
      </c>
    </row>
    <row r="37" spans="1:13" x14ac:dyDescent="0.35">
      <c r="A37" t="str">
        <f>'[1]CAPEX - OPEX'!A37</f>
        <v>Colchón doble</v>
      </c>
      <c r="D37" s="33">
        <f>'CAPEX - OPEX'!$E37/'CAPEX - OPEX'!$F37</f>
        <v>200000</v>
      </c>
      <c r="E37" s="33">
        <f>'CAPEX - OPEX'!$E37/'CAPEX - OPEX'!$F37</f>
        <v>200000</v>
      </c>
      <c r="F37" s="33">
        <f>'CAPEX - OPEX'!$E37/'CAPEX - OPEX'!$F37</f>
        <v>200000</v>
      </c>
      <c r="G37" s="33">
        <f>'CAPEX - OPEX'!$E37/'CAPEX - OPEX'!$F37</f>
        <v>200000</v>
      </c>
      <c r="H37" s="33">
        <f>'CAPEX - OPEX'!$E37/'CAPEX - OPEX'!$F37</f>
        <v>200000</v>
      </c>
      <c r="I37" s="33">
        <f>'CAPEX - OPEX'!$E37/'CAPEX - OPEX'!$F37</f>
        <v>200000</v>
      </c>
      <c r="J37" s="33">
        <f>'CAPEX - OPEX'!$E37/'CAPEX - OPEX'!$F37</f>
        <v>200000</v>
      </c>
      <c r="K37" s="33">
        <f>'CAPEX - OPEX'!$E37/'CAPEX - OPEX'!$F37</f>
        <v>200000</v>
      </c>
      <c r="L37" s="33">
        <f>'CAPEX - OPEX'!$E37/'CAPEX - OPEX'!$F37</f>
        <v>200000</v>
      </c>
      <c r="M37" s="33">
        <f>'CAPEX - OPEX'!$E37/'CAPEX - OPEX'!$F37</f>
        <v>200000</v>
      </c>
    </row>
    <row r="38" spans="1:13" x14ac:dyDescent="0.35">
      <c r="A38" t="str">
        <f>'[1]CAPEX - OPEX'!A38</f>
        <v>Protector colchón</v>
      </c>
      <c r="D38" s="33">
        <f>'CAPEX - OPEX'!$E38/'CAPEX - OPEX'!$F38</f>
        <v>40000</v>
      </c>
      <c r="E38" s="33">
        <f>'CAPEX - OPEX'!$E38/'CAPEX - OPEX'!$F38</f>
        <v>40000</v>
      </c>
      <c r="F38" s="33">
        <f>'CAPEX - OPEX'!$E38/'CAPEX - OPEX'!$F38</f>
        <v>40000</v>
      </c>
      <c r="G38" s="33">
        <f>'CAPEX - OPEX'!$E38/'CAPEX - OPEX'!$F38</f>
        <v>40000</v>
      </c>
      <c r="H38" s="33">
        <f>'CAPEX - OPEX'!$E38/'CAPEX - OPEX'!$F38</f>
        <v>40000</v>
      </c>
      <c r="I38" s="33">
        <f>'CAPEX - OPEX'!$E38/'CAPEX - OPEX'!$F38</f>
        <v>40000</v>
      </c>
      <c r="J38" s="33">
        <f>'CAPEX - OPEX'!$E38/'CAPEX - OPEX'!$F38</f>
        <v>40000</v>
      </c>
      <c r="K38" s="33">
        <f>'CAPEX - OPEX'!$E38/'CAPEX - OPEX'!$F38</f>
        <v>40000</v>
      </c>
      <c r="L38" s="33">
        <f>'CAPEX - OPEX'!$E38/'CAPEX - OPEX'!$F38</f>
        <v>40000</v>
      </c>
      <c r="M38" s="33">
        <f>'CAPEX - OPEX'!$E38/'CAPEX - OPEX'!$F38</f>
        <v>40000</v>
      </c>
    </row>
    <row r="39" spans="1:13" x14ac:dyDescent="0.35">
      <c r="A39" t="str">
        <f>'[1]CAPEX - OPEX'!A39</f>
        <v>Almohadas pequeña</v>
      </c>
      <c r="D39" s="33">
        <f>'CAPEX - OPEX'!$E39/'CAPEX - OPEX'!$F39</f>
        <v>100000</v>
      </c>
      <c r="E39" s="33">
        <f>'CAPEX - OPEX'!$E39/'CAPEX - OPEX'!$F39</f>
        <v>100000</v>
      </c>
      <c r="F39" s="33">
        <f>'CAPEX - OPEX'!$E39/'CAPEX - OPEX'!$F39</f>
        <v>100000</v>
      </c>
      <c r="G39" s="33">
        <f>'CAPEX - OPEX'!$E39/'CAPEX - OPEX'!$F39</f>
        <v>100000</v>
      </c>
      <c r="H39" s="33">
        <f>'CAPEX - OPEX'!$E39/'CAPEX - OPEX'!$F39</f>
        <v>100000</v>
      </c>
      <c r="I39" s="33">
        <f>'CAPEX - OPEX'!$E39/'CAPEX - OPEX'!$F39</f>
        <v>100000</v>
      </c>
      <c r="J39" s="33">
        <f>'CAPEX - OPEX'!$E39/'CAPEX - OPEX'!$F39</f>
        <v>100000</v>
      </c>
      <c r="K39" s="33">
        <f>'CAPEX - OPEX'!$E39/'CAPEX - OPEX'!$F39</f>
        <v>100000</v>
      </c>
      <c r="L39" s="33">
        <f>'CAPEX - OPEX'!$E39/'CAPEX - OPEX'!$F39</f>
        <v>100000</v>
      </c>
      <c r="M39" s="33">
        <f>'CAPEX - OPEX'!$E39/'CAPEX - OPEX'!$F39</f>
        <v>100000</v>
      </c>
    </row>
    <row r="40" spans="1:13" x14ac:dyDescent="0.35">
      <c r="A40" t="str">
        <f>'[1]CAPEX - OPEX'!A40</f>
        <v>Juego de sábanas</v>
      </c>
      <c r="D40" s="33">
        <f>'CAPEX - OPEX'!$E40/'CAPEX - OPEX'!$F40</f>
        <v>100000</v>
      </c>
      <c r="E40" s="33">
        <f>'CAPEX - OPEX'!$E40/'CAPEX - OPEX'!$F40</f>
        <v>100000</v>
      </c>
      <c r="F40" s="33">
        <f>'CAPEX - OPEX'!$E40/'CAPEX - OPEX'!$F40</f>
        <v>100000</v>
      </c>
      <c r="G40" s="33">
        <f>'CAPEX - OPEX'!$E40/'CAPEX - OPEX'!$F40</f>
        <v>100000</v>
      </c>
      <c r="H40" s="33">
        <f>'CAPEX - OPEX'!$E40/'CAPEX - OPEX'!$F40</f>
        <v>100000</v>
      </c>
      <c r="I40" s="33">
        <f>'CAPEX - OPEX'!$E40/'CAPEX - OPEX'!$F40</f>
        <v>100000</v>
      </c>
      <c r="J40" s="33">
        <f>'CAPEX - OPEX'!$E40/'CAPEX - OPEX'!$F40</f>
        <v>100000</v>
      </c>
      <c r="K40" s="33">
        <f>'CAPEX - OPEX'!$E40/'CAPEX - OPEX'!$F40</f>
        <v>100000</v>
      </c>
      <c r="L40" s="33">
        <f>'CAPEX - OPEX'!$E40/'CAPEX - OPEX'!$F40</f>
        <v>100000</v>
      </c>
      <c r="M40" s="33">
        <f>'CAPEX - OPEX'!$E40/'CAPEX - OPEX'!$F40</f>
        <v>100000</v>
      </c>
    </row>
    <row r="41" spans="1:13" x14ac:dyDescent="0.35">
      <c r="A41" t="str">
        <f>'[1]CAPEX - OPEX'!A41</f>
        <v>Cubrelecho</v>
      </c>
      <c r="D41" s="33">
        <f>'CAPEX - OPEX'!$E41/'CAPEX - OPEX'!$F41</f>
        <v>200000</v>
      </c>
      <c r="E41" s="33">
        <f>'CAPEX - OPEX'!$E41/'CAPEX - OPEX'!$F41</f>
        <v>200000</v>
      </c>
      <c r="F41" s="33">
        <f>'CAPEX - OPEX'!$E41/'CAPEX - OPEX'!$F41</f>
        <v>200000</v>
      </c>
      <c r="G41" s="33">
        <f>'CAPEX - OPEX'!$E41/'CAPEX - OPEX'!$F41</f>
        <v>200000</v>
      </c>
      <c r="H41" s="33">
        <f>'CAPEX - OPEX'!$E41/'CAPEX - OPEX'!$F41</f>
        <v>200000</v>
      </c>
      <c r="I41" s="33">
        <f>'CAPEX - OPEX'!$E41/'CAPEX - OPEX'!$F41</f>
        <v>200000</v>
      </c>
      <c r="J41" s="33">
        <f>'CAPEX - OPEX'!$E41/'CAPEX - OPEX'!$F41</f>
        <v>200000</v>
      </c>
      <c r="K41" s="33">
        <f>'CAPEX - OPEX'!$E41/'CAPEX - OPEX'!$F41</f>
        <v>200000</v>
      </c>
      <c r="L41" s="33">
        <f>'CAPEX - OPEX'!$E41/'CAPEX - OPEX'!$F41</f>
        <v>200000</v>
      </c>
      <c r="M41" s="33">
        <f>'CAPEX - OPEX'!$E41/'CAPEX - OPEX'!$F41</f>
        <v>200000</v>
      </c>
    </row>
    <row r="42" spans="1:13" x14ac:dyDescent="0.35">
      <c r="A42" t="str">
        <f>'[1]CAPEX - OPEX'!A42</f>
        <v>Cortinas</v>
      </c>
      <c r="D42" s="33">
        <f>'CAPEX - OPEX'!$E42/'CAPEX - OPEX'!$F42</f>
        <v>100000</v>
      </c>
      <c r="E42" s="33">
        <f>'CAPEX - OPEX'!$E42/'CAPEX - OPEX'!$F42</f>
        <v>100000</v>
      </c>
      <c r="F42" s="33">
        <f>'CAPEX - OPEX'!$E42/'CAPEX - OPEX'!$F42</f>
        <v>100000</v>
      </c>
      <c r="G42" s="33">
        <f>'CAPEX - OPEX'!$E42/'CAPEX - OPEX'!$F42</f>
        <v>100000</v>
      </c>
      <c r="H42" s="33">
        <f>'CAPEX - OPEX'!$E42/'CAPEX - OPEX'!$F42</f>
        <v>100000</v>
      </c>
      <c r="I42" s="33">
        <f>'CAPEX - OPEX'!$E42/'CAPEX - OPEX'!$F42</f>
        <v>100000</v>
      </c>
      <c r="J42" s="33">
        <f>'CAPEX - OPEX'!$E42/'CAPEX - OPEX'!$F42</f>
        <v>100000</v>
      </c>
      <c r="K42" s="33">
        <f>'CAPEX - OPEX'!$E42/'CAPEX - OPEX'!$F42</f>
        <v>100000</v>
      </c>
      <c r="L42" s="33">
        <f>'CAPEX - OPEX'!$E42/'CAPEX - OPEX'!$F42</f>
        <v>100000</v>
      </c>
      <c r="M42" s="33">
        <f>'CAPEX - OPEX'!$E42/'CAPEX - OPEX'!$F42</f>
        <v>100000</v>
      </c>
    </row>
    <row r="43" spans="1:13" x14ac:dyDescent="0.35">
      <c r="A43" s="55" t="str">
        <f>'[1]CAPEX - OPEX'!A43</f>
        <v>Baño</v>
      </c>
      <c r="D43" s="33"/>
      <c r="E43" s="33"/>
      <c r="F43" s="33"/>
      <c r="G43" s="33"/>
      <c r="H43" s="33"/>
      <c r="I43" s="33"/>
      <c r="J43" s="33"/>
      <c r="K43" s="33"/>
      <c r="L43" s="33"/>
      <c r="M43" s="33"/>
    </row>
    <row r="44" spans="1:13" x14ac:dyDescent="0.35">
      <c r="A44" t="str">
        <f>'[1]CAPEX - OPEX'!A44</f>
        <v>Juego de toallas</v>
      </c>
      <c r="D44" s="33">
        <f>'CAPEX - OPEX'!$E44/'CAPEX - OPEX'!$F44</f>
        <v>50000</v>
      </c>
      <c r="E44" s="33">
        <f>'CAPEX - OPEX'!$E44/'CAPEX - OPEX'!$F44</f>
        <v>50000</v>
      </c>
      <c r="F44" s="33">
        <f>'CAPEX - OPEX'!$E44/'CAPEX - OPEX'!$F44</f>
        <v>50000</v>
      </c>
      <c r="G44" s="33">
        <f>'CAPEX - OPEX'!$E44/'CAPEX - OPEX'!$F44</f>
        <v>50000</v>
      </c>
      <c r="H44" s="33">
        <f>'CAPEX - OPEX'!$E44/'CAPEX - OPEX'!$F44</f>
        <v>50000</v>
      </c>
      <c r="I44" s="33">
        <f>'CAPEX - OPEX'!$E44/'CAPEX - OPEX'!$F44</f>
        <v>50000</v>
      </c>
      <c r="J44" s="33">
        <f>'CAPEX - OPEX'!$E44/'CAPEX - OPEX'!$F44</f>
        <v>50000</v>
      </c>
      <c r="K44" s="33">
        <f>'CAPEX - OPEX'!$E44/'CAPEX - OPEX'!$F44</f>
        <v>50000</v>
      </c>
      <c r="L44" s="33">
        <f>'CAPEX - OPEX'!$E44/'CAPEX - OPEX'!$F44</f>
        <v>50000</v>
      </c>
      <c r="M44" s="33">
        <f>'CAPEX - OPEX'!$E44/'CAPEX - OPEX'!$F44</f>
        <v>50000</v>
      </c>
    </row>
    <row r="45" spans="1:13" x14ac:dyDescent="0.35">
      <c r="A45" s="55" t="str">
        <f>'[1]CAPEX - OPEX'!A45</f>
        <v>Exterior</v>
      </c>
      <c r="D45" s="33"/>
      <c r="E45" s="33"/>
      <c r="F45" s="33"/>
      <c r="G45" s="33"/>
      <c r="H45" s="33"/>
      <c r="I45" s="33"/>
      <c r="J45" s="33"/>
      <c r="K45" s="33"/>
      <c r="L45" s="33"/>
      <c r="M45" s="33"/>
    </row>
    <row r="46" spans="1:13" x14ac:dyDescent="0.35">
      <c r="A46" t="str">
        <f>'[1]CAPEX - OPEX'!A46</f>
        <v>Mesa comedor + 4 sillas</v>
      </c>
      <c r="D46" s="33">
        <f>'CAPEX - OPEX'!$E46/'CAPEX - OPEX'!$F46</f>
        <v>100000</v>
      </c>
      <c r="E46" s="33">
        <f>'CAPEX - OPEX'!$E46/'CAPEX - OPEX'!$F46</f>
        <v>100000</v>
      </c>
      <c r="F46" s="33">
        <f>'CAPEX - OPEX'!$E46/'CAPEX - OPEX'!$F46</f>
        <v>100000</v>
      </c>
      <c r="G46" s="33">
        <f>'CAPEX - OPEX'!$E46/'CAPEX - OPEX'!$F46</f>
        <v>100000</v>
      </c>
      <c r="H46" s="33">
        <f>'CAPEX - OPEX'!$E46/'CAPEX - OPEX'!$F46</f>
        <v>100000</v>
      </c>
      <c r="I46" s="33">
        <f>'CAPEX - OPEX'!$E46/'CAPEX - OPEX'!$F46</f>
        <v>100000</v>
      </c>
      <c r="J46" s="33">
        <f>'CAPEX - OPEX'!$E46/'CAPEX - OPEX'!$F46</f>
        <v>100000</v>
      </c>
      <c r="K46" s="33">
        <f>'CAPEX - OPEX'!$E46/'CAPEX - OPEX'!$F46</f>
        <v>100000</v>
      </c>
      <c r="L46" s="33">
        <f>'CAPEX - OPEX'!$E46/'CAPEX - OPEX'!$F46</f>
        <v>100000</v>
      </c>
      <c r="M46" s="33">
        <f>'CAPEX - OPEX'!$E46/'CAPEX - OPEX'!$F46</f>
        <v>100000</v>
      </c>
    </row>
    <row r="47" spans="1:13" x14ac:dyDescent="0.35">
      <c r="A47" s="55" t="str">
        <f>'[1]CAPEX - OPEX'!A47</f>
        <v>Cocina</v>
      </c>
      <c r="D47" s="33"/>
      <c r="E47" s="33"/>
      <c r="F47" s="33"/>
      <c r="G47" s="33"/>
      <c r="H47" s="33"/>
      <c r="I47" s="33"/>
      <c r="J47" s="33"/>
      <c r="K47" s="33"/>
      <c r="L47" s="33"/>
      <c r="M47" s="33"/>
    </row>
    <row r="48" spans="1:13" x14ac:dyDescent="0.35">
      <c r="A48" t="str">
        <f>'[1]CAPEX - OPEX'!A48</f>
        <v>Juego de Ollas</v>
      </c>
      <c r="D48" s="33">
        <f>'CAPEX - OPEX'!$E48/'CAPEX - OPEX'!$F48</f>
        <v>100000</v>
      </c>
      <c r="E48" s="33">
        <f>'CAPEX - OPEX'!$E48/'CAPEX - OPEX'!$F48</f>
        <v>100000</v>
      </c>
      <c r="F48" s="33">
        <f>'CAPEX - OPEX'!$E48/'CAPEX - OPEX'!$F48</f>
        <v>100000</v>
      </c>
      <c r="G48" s="33">
        <f>'CAPEX - OPEX'!$E48/'CAPEX - OPEX'!$F48</f>
        <v>100000</v>
      </c>
      <c r="H48" s="33">
        <f>'CAPEX - OPEX'!$E48/'CAPEX - OPEX'!$F48</f>
        <v>100000</v>
      </c>
      <c r="I48" s="33">
        <f>'CAPEX - OPEX'!$E48/'CAPEX - OPEX'!$F48</f>
        <v>100000</v>
      </c>
      <c r="J48" s="33">
        <f>'CAPEX - OPEX'!$E48/'CAPEX - OPEX'!$F48</f>
        <v>100000</v>
      </c>
      <c r="K48" s="33">
        <f>'CAPEX - OPEX'!$E48/'CAPEX - OPEX'!$F48</f>
        <v>100000</v>
      </c>
      <c r="L48" s="33">
        <f>'CAPEX - OPEX'!$E48/'CAPEX - OPEX'!$F48</f>
        <v>100000</v>
      </c>
      <c r="M48" s="33">
        <f>'CAPEX - OPEX'!$E48/'CAPEX - OPEX'!$F48</f>
        <v>100000</v>
      </c>
    </row>
    <row r="49" spans="1:13" x14ac:dyDescent="0.35">
      <c r="A49" t="str">
        <f>'[1]CAPEX - OPEX'!A49</f>
        <v>Vajilla 6 puestos</v>
      </c>
      <c r="D49" s="33">
        <f>'CAPEX - OPEX'!$E49/'CAPEX - OPEX'!$F49</f>
        <v>150000</v>
      </c>
      <c r="E49" s="33">
        <f>'CAPEX - OPEX'!$E49/'CAPEX - OPEX'!$F49</f>
        <v>150000</v>
      </c>
      <c r="F49" s="33">
        <f>'CAPEX - OPEX'!$E49/'CAPEX - OPEX'!$F49</f>
        <v>150000</v>
      </c>
      <c r="G49" s="33">
        <f>'CAPEX - OPEX'!$E49/'CAPEX - OPEX'!$F49</f>
        <v>150000</v>
      </c>
      <c r="H49" s="33">
        <f>'CAPEX - OPEX'!$E49/'CAPEX - OPEX'!$F49</f>
        <v>150000</v>
      </c>
      <c r="I49" s="33">
        <f>'CAPEX - OPEX'!$E49/'CAPEX - OPEX'!$F49</f>
        <v>150000</v>
      </c>
      <c r="J49" s="33">
        <f>'CAPEX - OPEX'!$E49/'CAPEX - OPEX'!$F49</f>
        <v>150000</v>
      </c>
      <c r="K49" s="33">
        <f>'CAPEX - OPEX'!$E49/'CAPEX - OPEX'!$F49</f>
        <v>150000</v>
      </c>
      <c r="L49" s="33">
        <f>'CAPEX - OPEX'!$E49/'CAPEX - OPEX'!$F49</f>
        <v>150000</v>
      </c>
      <c r="M49" s="33">
        <f>'CAPEX - OPEX'!$E49/'CAPEX - OPEX'!$F49</f>
        <v>150000</v>
      </c>
    </row>
    <row r="50" spans="1:13" x14ac:dyDescent="0.35">
      <c r="A50" t="str">
        <f>'[1]CAPEX - OPEX'!A50</f>
        <v>Juego cubiertos de mesa</v>
      </c>
      <c r="D50" s="33">
        <f>'CAPEX - OPEX'!$E50/'CAPEX - OPEX'!$F50</f>
        <v>70000</v>
      </c>
      <c r="E50" s="33">
        <f>'CAPEX - OPEX'!$E50/'CAPEX - OPEX'!$F50</f>
        <v>70000</v>
      </c>
      <c r="F50" s="33">
        <f>'CAPEX - OPEX'!$E50/'CAPEX - OPEX'!$F50</f>
        <v>70000</v>
      </c>
      <c r="G50" s="33">
        <f>'CAPEX - OPEX'!$E50/'CAPEX - OPEX'!$F50</f>
        <v>70000</v>
      </c>
      <c r="H50" s="33">
        <f>'CAPEX - OPEX'!$E50/'CAPEX - OPEX'!$F50</f>
        <v>70000</v>
      </c>
      <c r="I50" s="33">
        <f>'CAPEX - OPEX'!$E50/'CAPEX - OPEX'!$F50</f>
        <v>70000</v>
      </c>
      <c r="J50" s="33">
        <f>'CAPEX - OPEX'!$E50/'CAPEX - OPEX'!$F50</f>
        <v>70000</v>
      </c>
      <c r="K50" s="33">
        <f>'CAPEX - OPEX'!$E50/'CAPEX - OPEX'!$F50</f>
        <v>70000</v>
      </c>
      <c r="L50" s="33">
        <f>'CAPEX - OPEX'!$E50/'CAPEX - OPEX'!$F50</f>
        <v>70000</v>
      </c>
      <c r="M50" s="33">
        <f>'CAPEX - OPEX'!$E50/'CAPEX - OPEX'!$F50</f>
        <v>70000</v>
      </c>
    </row>
    <row r="51" spans="1:13" x14ac:dyDescent="0.35">
      <c r="A51" t="str">
        <f>'[1]CAPEX - OPEX'!A51</f>
        <v>Juego cubiertos de cocina</v>
      </c>
      <c r="D51" s="33">
        <f>'CAPEX - OPEX'!$E51/'CAPEX - OPEX'!$F51</f>
        <v>50000</v>
      </c>
      <c r="E51" s="33">
        <f>'CAPEX - OPEX'!$E51/'CAPEX - OPEX'!$F51</f>
        <v>50000</v>
      </c>
      <c r="F51" s="33">
        <f>'CAPEX - OPEX'!$E51/'CAPEX - OPEX'!$F51</f>
        <v>50000</v>
      </c>
      <c r="G51" s="33">
        <f>'CAPEX - OPEX'!$E51/'CAPEX - OPEX'!$F51</f>
        <v>50000</v>
      </c>
      <c r="H51" s="33">
        <f>'CAPEX - OPEX'!$E51/'CAPEX - OPEX'!$F51</f>
        <v>50000</v>
      </c>
      <c r="I51" s="33">
        <f>'CAPEX - OPEX'!$E51/'CAPEX - OPEX'!$F51</f>
        <v>50000</v>
      </c>
      <c r="J51" s="33">
        <f>'CAPEX - OPEX'!$E51/'CAPEX - OPEX'!$F51</f>
        <v>50000</v>
      </c>
      <c r="K51" s="33">
        <f>'CAPEX - OPEX'!$E51/'CAPEX - OPEX'!$F51</f>
        <v>50000</v>
      </c>
      <c r="L51" s="33">
        <f>'CAPEX - OPEX'!$E51/'CAPEX - OPEX'!$F51</f>
        <v>50000</v>
      </c>
      <c r="M51" s="33">
        <f>'CAPEX - OPEX'!$E51/'CAPEX - OPEX'!$F51</f>
        <v>50000</v>
      </c>
    </row>
    <row r="52" spans="1:13" x14ac:dyDescent="0.35">
      <c r="A52" t="str">
        <f>'[1]CAPEX - OPEX'!A52</f>
        <v>Bandejas</v>
      </c>
      <c r="D52" s="33">
        <f>'CAPEX - OPEX'!$E52/'CAPEX - OPEX'!$F52</f>
        <v>150000</v>
      </c>
      <c r="E52" s="33">
        <f>'CAPEX - OPEX'!$E52/'CAPEX - OPEX'!$F52</f>
        <v>150000</v>
      </c>
      <c r="F52" s="33">
        <f>'CAPEX - OPEX'!$E52/'CAPEX - OPEX'!$F52</f>
        <v>150000</v>
      </c>
      <c r="G52" s="33">
        <f>'CAPEX - OPEX'!$E52/'CAPEX - OPEX'!$F52</f>
        <v>150000</v>
      </c>
      <c r="H52" s="33">
        <f>'CAPEX - OPEX'!$E52/'CAPEX - OPEX'!$F52</f>
        <v>150000</v>
      </c>
      <c r="I52" s="33">
        <f>'CAPEX - OPEX'!$E52/'CAPEX - OPEX'!$F52</f>
        <v>150000</v>
      </c>
      <c r="J52" s="33">
        <f>'CAPEX - OPEX'!$E52/'CAPEX - OPEX'!$F52</f>
        <v>150000</v>
      </c>
      <c r="K52" s="33">
        <f>'CAPEX - OPEX'!$E52/'CAPEX - OPEX'!$F52</f>
        <v>150000</v>
      </c>
      <c r="L52" s="33">
        <f>'CAPEX - OPEX'!$E52/'CAPEX - OPEX'!$F52</f>
        <v>150000</v>
      </c>
      <c r="M52" s="33">
        <f>'CAPEX - OPEX'!$E52/'CAPEX - OPEX'!$F52</f>
        <v>150000</v>
      </c>
    </row>
    <row r="53" spans="1:13" x14ac:dyDescent="0.35">
      <c r="A53" t="str">
        <f>'[1]CAPEX - OPEX'!A53</f>
        <v>Delantales</v>
      </c>
      <c r="D53" s="33">
        <f>'CAPEX - OPEX'!$E53/'CAPEX - OPEX'!$F53</f>
        <v>100000</v>
      </c>
      <c r="E53" s="33">
        <f>'CAPEX - OPEX'!$E53/'CAPEX - OPEX'!$F53</f>
        <v>100000</v>
      </c>
      <c r="F53" s="33">
        <f>'CAPEX - OPEX'!$E53/'CAPEX - OPEX'!$F53</f>
        <v>100000</v>
      </c>
      <c r="G53" s="33">
        <f>'CAPEX - OPEX'!$E53/'CAPEX - OPEX'!$F53</f>
        <v>100000</v>
      </c>
      <c r="H53" s="33">
        <f>'CAPEX - OPEX'!$E53/'CAPEX - OPEX'!$F53</f>
        <v>100000</v>
      </c>
      <c r="I53" s="33">
        <f>'CAPEX - OPEX'!$E53/'CAPEX - OPEX'!$F53</f>
        <v>100000</v>
      </c>
      <c r="J53" s="33">
        <f>'CAPEX - OPEX'!$E53/'CAPEX - OPEX'!$F53</f>
        <v>100000</v>
      </c>
      <c r="K53" s="33">
        <f>'CAPEX - OPEX'!$E53/'CAPEX - OPEX'!$F53</f>
        <v>100000</v>
      </c>
      <c r="L53" s="33">
        <f>'CAPEX - OPEX'!$E53/'CAPEX - OPEX'!$F53</f>
        <v>100000</v>
      </c>
      <c r="M53" s="33">
        <f>'CAPEX - OPEX'!$E53/'CAPEX - OPEX'!$F53</f>
        <v>100000</v>
      </c>
    </row>
    <row r="54" spans="1:13" x14ac:dyDescent="0.35">
      <c r="A54" t="str">
        <f>'[1]CAPEX - OPEX'!A54</f>
        <v>Nevera</v>
      </c>
      <c r="D54" s="33">
        <f>'CAPEX - OPEX'!$E54/'CAPEX - OPEX'!$F54</f>
        <v>150000</v>
      </c>
      <c r="E54" s="33">
        <f>'CAPEX - OPEX'!$E54/'CAPEX - OPEX'!$F54</f>
        <v>150000</v>
      </c>
      <c r="F54" s="33">
        <f>'CAPEX - OPEX'!$E54/'CAPEX - OPEX'!$F54</f>
        <v>150000</v>
      </c>
      <c r="G54" s="33">
        <f>'CAPEX - OPEX'!$E54/'CAPEX - OPEX'!$F54</f>
        <v>150000</v>
      </c>
      <c r="H54" s="33">
        <f>'CAPEX - OPEX'!$E54/'CAPEX - OPEX'!$F54</f>
        <v>150000</v>
      </c>
      <c r="I54" s="33">
        <f>'CAPEX - OPEX'!$E54/'CAPEX - OPEX'!$F54</f>
        <v>150000</v>
      </c>
      <c r="J54" s="33">
        <f>'CAPEX - OPEX'!$E54/'CAPEX - OPEX'!$F54</f>
        <v>150000</v>
      </c>
      <c r="K54" s="33">
        <f>'CAPEX - OPEX'!$E54/'CAPEX - OPEX'!$F54</f>
        <v>150000</v>
      </c>
      <c r="L54" s="33">
        <f>'CAPEX - OPEX'!$E54/'CAPEX - OPEX'!$F54</f>
        <v>150000</v>
      </c>
      <c r="M54" s="33">
        <f>'CAPEX - OPEX'!$E54/'CAPEX - OPEX'!$F54</f>
        <v>150000</v>
      </c>
    </row>
    <row r="55" spans="1:13" x14ac:dyDescent="0.35">
      <c r="A55" t="str">
        <f>'[1]CAPEX - OPEX'!A55</f>
        <v>Licuadora</v>
      </c>
      <c r="D55" s="33">
        <f>'CAPEX - OPEX'!$E55/'CAPEX - OPEX'!$F55</f>
        <v>60000</v>
      </c>
      <c r="E55" s="33">
        <f>'CAPEX - OPEX'!$E55/'CAPEX - OPEX'!$F55</f>
        <v>60000</v>
      </c>
      <c r="F55" s="33">
        <f>'CAPEX - OPEX'!$E55/'CAPEX - OPEX'!$F55</f>
        <v>60000</v>
      </c>
      <c r="G55" s="33">
        <f>'CAPEX - OPEX'!$E55/'CAPEX - OPEX'!$F55</f>
        <v>60000</v>
      </c>
      <c r="H55" s="33">
        <f>'CAPEX - OPEX'!$E55/'CAPEX - OPEX'!$F55</f>
        <v>60000</v>
      </c>
      <c r="I55" s="33">
        <f>'CAPEX - OPEX'!$E55/'CAPEX - OPEX'!$F55</f>
        <v>60000</v>
      </c>
      <c r="J55" s="33">
        <f>'CAPEX - OPEX'!$E55/'CAPEX - OPEX'!$F55</f>
        <v>60000</v>
      </c>
      <c r="K55" s="33">
        <f>'CAPEX - OPEX'!$E55/'CAPEX - OPEX'!$F55</f>
        <v>60000</v>
      </c>
      <c r="L55" s="33">
        <f>'CAPEX - OPEX'!$E55/'CAPEX - OPEX'!$F55</f>
        <v>60000</v>
      </c>
      <c r="M55" s="33">
        <f>'CAPEX - OPEX'!$E55/'CAPEX - OPEX'!$F55</f>
        <v>60000</v>
      </c>
    </row>
    <row r="56" spans="1:13" x14ac:dyDescent="0.35">
      <c r="A56" t="str">
        <f>'[1]CAPEX - OPEX'!A56</f>
        <v>Exprimidor de naranja</v>
      </c>
      <c r="D56" s="33">
        <f>'CAPEX - OPEX'!$E56/'CAPEX - OPEX'!$F56</f>
        <v>33333.333333333336</v>
      </c>
      <c r="E56" s="33">
        <f>'CAPEX - OPEX'!$E56/'CAPEX - OPEX'!$F56</f>
        <v>33333.333333333336</v>
      </c>
      <c r="F56" s="33">
        <f>'CAPEX - OPEX'!$E56/'CAPEX - OPEX'!$F56</f>
        <v>33333.333333333336</v>
      </c>
      <c r="G56" s="33">
        <f>'CAPEX - OPEX'!$E56/'CAPEX - OPEX'!$F56</f>
        <v>33333.333333333336</v>
      </c>
      <c r="H56" s="33">
        <f>'CAPEX - OPEX'!$E56/'CAPEX - OPEX'!$F56</f>
        <v>33333.333333333336</v>
      </c>
      <c r="I56" s="33">
        <f>'CAPEX - OPEX'!$E56/'CAPEX - OPEX'!$F56</f>
        <v>33333.333333333336</v>
      </c>
      <c r="J56" s="33">
        <f>'CAPEX - OPEX'!$E56/'CAPEX - OPEX'!$F56</f>
        <v>33333.333333333336</v>
      </c>
      <c r="K56" s="33">
        <f>'CAPEX - OPEX'!$E56/'CAPEX - OPEX'!$F56</f>
        <v>33333.333333333336</v>
      </c>
      <c r="L56" s="33">
        <f>'CAPEX - OPEX'!$E56/'CAPEX - OPEX'!$F56</f>
        <v>33333.333333333336</v>
      </c>
      <c r="M56" s="33">
        <f>'CAPEX - OPEX'!$E56/'CAPEX - OPEX'!$F56</f>
        <v>33333.333333333336</v>
      </c>
    </row>
    <row r="57" spans="1:13" x14ac:dyDescent="0.35">
      <c r="A57" s="55" t="str">
        <f>'[1]CAPEX - OPEX'!A57</f>
        <v>ADMINISTRACIÓN</v>
      </c>
      <c r="D57" s="33"/>
      <c r="E57" s="33"/>
      <c r="F57" s="33"/>
      <c r="G57" s="33"/>
      <c r="H57" s="33"/>
      <c r="I57" s="33"/>
      <c r="J57" s="33"/>
      <c r="K57" s="33"/>
      <c r="L57" s="33"/>
      <c r="M57" s="33"/>
    </row>
    <row r="58" spans="1:13" x14ac:dyDescent="0.35">
      <c r="A58" t="str">
        <f>'[1]CAPEX - OPEX'!A58</f>
        <v>Escritorio</v>
      </c>
      <c r="D58" s="33">
        <f>'CAPEX - OPEX'!$E58/'CAPEX - OPEX'!$F58</f>
        <v>60000</v>
      </c>
      <c r="E58" s="33">
        <f>'CAPEX - OPEX'!$E58/'CAPEX - OPEX'!$F58</f>
        <v>60000</v>
      </c>
      <c r="F58" s="33">
        <f>'CAPEX - OPEX'!$E58/'CAPEX - OPEX'!$F58</f>
        <v>60000</v>
      </c>
      <c r="G58" s="33">
        <f>'CAPEX - OPEX'!$E58/'CAPEX - OPEX'!$F58</f>
        <v>60000</v>
      </c>
      <c r="H58" s="33">
        <f>'CAPEX - OPEX'!$E58/'CAPEX - OPEX'!$F58</f>
        <v>60000</v>
      </c>
      <c r="I58" s="33">
        <f>'CAPEX - OPEX'!$E58/'CAPEX - OPEX'!$F58</f>
        <v>60000</v>
      </c>
      <c r="J58" s="33">
        <f>'CAPEX - OPEX'!$E58/'CAPEX - OPEX'!$F58</f>
        <v>60000</v>
      </c>
      <c r="K58" s="33">
        <f>'CAPEX - OPEX'!$E58/'CAPEX - OPEX'!$F58</f>
        <v>60000</v>
      </c>
      <c r="L58" s="33">
        <f>'CAPEX - OPEX'!$E58/'CAPEX - OPEX'!$F58</f>
        <v>60000</v>
      </c>
      <c r="M58" s="33">
        <f>'CAPEX - OPEX'!$E58/'CAPEX - OPEX'!$F58</f>
        <v>60000</v>
      </c>
    </row>
    <row r="59" spans="1:13" x14ac:dyDescent="0.35">
      <c r="A59" t="str">
        <f>'[1]CAPEX - OPEX'!A59</f>
        <v>Computador</v>
      </c>
      <c r="D59" s="33">
        <f>'CAPEX - OPEX'!$E59/'CAPEX - OPEX'!$F59</f>
        <v>500000</v>
      </c>
      <c r="E59" s="33">
        <f>'CAPEX - OPEX'!$E59/'CAPEX - OPEX'!$F59</f>
        <v>500000</v>
      </c>
      <c r="F59" s="33">
        <f>'CAPEX - OPEX'!$E59/'CAPEX - OPEX'!$F59</f>
        <v>500000</v>
      </c>
      <c r="G59" s="33">
        <f>'CAPEX - OPEX'!$E59/'CAPEX - OPEX'!$F59</f>
        <v>500000</v>
      </c>
      <c r="H59" s="33">
        <f>'CAPEX - OPEX'!$E59/'CAPEX - OPEX'!$F59</f>
        <v>500000</v>
      </c>
      <c r="I59" s="33">
        <f>'CAPEX - OPEX'!$E59/'CAPEX - OPEX'!$F59</f>
        <v>500000</v>
      </c>
      <c r="J59" s="33">
        <f>'CAPEX - OPEX'!$E59/'CAPEX - OPEX'!$F59</f>
        <v>500000</v>
      </c>
      <c r="K59" s="33">
        <f>'CAPEX - OPEX'!$E59/'CAPEX - OPEX'!$F59</f>
        <v>500000</v>
      </c>
      <c r="L59" s="33">
        <f>'CAPEX - OPEX'!$E59/'CAPEX - OPEX'!$F59</f>
        <v>500000</v>
      </c>
      <c r="M59" s="33">
        <f>'CAPEX - OPEX'!$E59/'CAPEX - OPEX'!$F59</f>
        <v>500000</v>
      </c>
    </row>
    <row r="60" spans="1:13" x14ac:dyDescent="0.35">
      <c r="A60" s="48" t="str">
        <f>'[1]CAPEX - OPEX'!A60</f>
        <v>Organizador</v>
      </c>
      <c r="D60" s="54">
        <f>'CAPEX - OPEX'!$E60/'CAPEX - OPEX'!$F60</f>
        <v>60000</v>
      </c>
      <c r="E60" s="54">
        <f>'CAPEX - OPEX'!$E60/'CAPEX - OPEX'!$F60</f>
        <v>60000</v>
      </c>
      <c r="F60" s="54">
        <f>'CAPEX - OPEX'!$E60/'CAPEX - OPEX'!$F60</f>
        <v>60000</v>
      </c>
      <c r="G60" s="54">
        <f>'CAPEX - OPEX'!$E60/'CAPEX - OPEX'!$F60</f>
        <v>60000</v>
      </c>
      <c r="H60" s="54">
        <f>'CAPEX - OPEX'!$E60/'CAPEX - OPEX'!$F60</f>
        <v>60000</v>
      </c>
      <c r="I60" s="54">
        <f>'CAPEX - OPEX'!$E60/'CAPEX - OPEX'!$F60</f>
        <v>60000</v>
      </c>
      <c r="J60" s="54">
        <f>'CAPEX - OPEX'!$E60/'CAPEX - OPEX'!$F60</f>
        <v>60000</v>
      </c>
      <c r="K60" s="54">
        <f>'CAPEX - OPEX'!$E60/'CAPEX - OPEX'!$F60</f>
        <v>60000</v>
      </c>
      <c r="L60" s="54">
        <f>'CAPEX - OPEX'!$E60/'CAPEX - OPEX'!$F60</f>
        <v>60000</v>
      </c>
      <c r="M60" s="54">
        <f>'CAPEX - OPEX'!$E60/'CAPEX - OPEX'!$F60</f>
        <v>60000</v>
      </c>
    </row>
    <row r="61" spans="1:13" x14ac:dyDescent="0.35">
      <c r="A61" s="55" t="str">
        <f>'[1]CAPEX - OPEX'!A61</f>
        <v>Total Administración</v>
      </c>
      <c r="D61" s="77">
        <f>SUM(D37:D60)</f>
        <v>2373333.333333333</v>
      </c>
      <c r="E61" s="77">
        <f t="shared" ref="E61:M61" si="3">SUM(E37:E60)</f>
        <v>2373333.333333333</v>
      </c>
      <c r="F61" s="77">
        <f t="shared" si="3"/>
        <v>2373333.333333333</v>
      </c>
      <c r="G61" s="77">
        <f t="shared" si="3"/>
        <v>2373333.333333333</v>
      </c>
      <c r="H61" s="77">
        <f t="shared" si="3"/>
        <v>2373333.333333333</v>
      </c>
      <c r="I61" s="77">
        <f t="shared" si="3"/>
        <v>2373333.333333333</v>
      </c>
      <c r="J61" s="77">
        <f t="shared" si="3"/>
        <v>2373333.333333333</v>
      </c>
      <c r="K61" s="77">
        <f t="shared" si="3"/>
        <v>2373333.333333333</v>
      </c>
      <c r="L61" s="77">
        <f t="shared" si="3"/>
        <v>2373333.333333333</v>
      </c>
      <c r="M61" s="77">
        <f t="shared" si="3"/>
        <v>2373333.333333333</v>
      </c>
    </row>
    <row r="65" spans="1:13" ht="15.5" x14ac:dyDescent="0.35">
      <c r="A65" s="87" t="s">
        <v>129</v>
      </c>
    </row>
    <row r="66" spans="1:13" x14ac:dyDescent="0.35">
      <c r="A66" t="s">
        <v>130</v>
      </c>
      <c r="C66" s="33">
        <f>'CAPEX - OPEX'!C90</f>
        <v>175500000</v>
      </c>
      <c r="D66" s="33">
        <f>C66</f>
        <v>175500000</v>
      </c>
      <c r="E66" s="33">
        <f t="shared" ref="E66:M66" si="4">D66</f>
        <v>175500000</v>
      </c>
      <c r="F66" s="33">
        <f t="shared" si="4"/>
        <v>175500000</v>
      </c>
      <c r="G66" s="33">
        <f t="shared" si="4"/>
        <v>175500000</v>
      </c>
      <c r="H66" s="33">
        <f t="shared" si="4"/>
        <v>175500000</v>
      </c>
      <c r="I66" s="33">
        <f t="shared" si="4"/>
        <v>175500000</v>
      </c>
      <c r="J66" s="33">
        <f t="shared" si="4"/>
        <v>175500000</v>
      </c>
      <c r="K66" s="33">
        <f t="shared" si="4"/>
        <v>175500000</v>
      </c>
      <c r="L66" s="33">
        <f t="shared" si="4"/>
        <v>175500000</v>
      </c>
      <c r="M66" s="33">
        <f t="shared" si="4"/>
        <v>175500000</v>
      </c>
    </row>
    <row r="67" spans="1:13" x14ac:dyDescent="0.35">
      <c r="A67" t="s">
        <v>131</v>
      </c>
      <c r="C67" s="33"/>
      <c r="D67" s="33">
        <f>D9</f>
        <v>8775000</v>
      </c>
      <c r="E67" s="33">
        <f t="shared" ref="E67:M67" si="5">E9</f>
        <v>8775000</v>
      </c>
      <c r="F67" s="33">
        <f t="shared" si="5"/>
        <v>8775000</v>
      </c>
      <c r="G67" s="33">
        <f t="shared" si="5"/>
        <v>8775000</v>
      </c>
      <c r="H67" s="33">
        <f t="shared" si="5"/>
        <v>8775000</v>
      </c>
      <c r="I67" s="33">
        <f t="shared" si="5"/>
        <v>8775000</v>
      </c>
      <c r="J67" s="33">
        <f t="shared" si="5"/>
        <v>8775000</v>
      </c>
      <c r="K67" s="33">
        <f t="shared" si="5"/>
        <v>8775000</v>
      </c>
      <c r="L67" s="33">
        <f t="shared" si="5"/>
        <v>8775000</v>
      </c>
      <c r="M67" s="33">
        <f t="shared" si="5"/>
        <v>8775000</v>
      </c>
    </row>
    <row r="68" spans="1:13" x14ac:dyDescent="0.35">
      <c r="A68" t="s">
        <v>132</v>
      </c>
      <c r="C68" s="33"/>
      <c r="D68" s="33">
        <f>C68-D67</f>
        <v>-8775000</v>
      </c>
      <c r="E68" s="33">
        <f t="shared" ref="E68:M68" si="6">D68-E67</f>
        <v>-17550000</v>
      </c>
      <c r="F68" s="33">
        <f t="shared" si="6"/>
        <v>-26325000</v>
      </c>
      <c r="G68" s="33">
        <f t="shared" si="6"/>
        <v>-35100000</v>
      </c>
      <c r="H68" s="33">
        <f t="shared" si="6"/>
        <v>-43875000</v>
      </c>
      <c r="I68" s="33">
        <f t="shared" si="6"/>
        <v>-52650000</v>
      </c>
      <c r="J68" s="33">
        <f t="shared" si="6"/>
        <v>-61425000</v>
      </c>
      <c r="K68" s="33">
        <f t="shared" si="6"/>
        <v>-70200000</v>
      </c>
      <c r="L68" s="33">
        <f t="shared" si="6"/>
        <v>-78975000</v>
      </c>
      <c r="M68" s="33">
        <f t="shared" si="6"/>
        <v>-87750000</v>
      </c>
    </row>
    <row r="69" spans="1:13" x14ac:dyDescent="0.35">
      <c r="A69" t="s">
        <v>133</v>
      </c>
      <c r="C69" s="33">
        <f>C66+C68</f>
        <v>175500000</v>
      </c>
      <c r="D69" s="33">
        <f t="shared" ref="D69:M69" si="7">D66+D68</f>
        <v>166725000</v>
      </c>
      <c r="E69" s="33">
        <f t="shared" si="7"/>
        <v>157950000</v>
      </c>
      <c r="F69" s="33">
        <f t="shared" si="7"/>
        <v>149175000</v>
      </c>
      <c r="G69" s="33">
        <f t="shared" si="7"/>
        <v>140400000</v>
      </c>
      <c r="H69" s="33">
        <f t="shared" si="7"/>
        <v>131625000</v>
      </c>
      <c r="I69" s="33">
        <f t="shared" si="7"/>
        <v>122850000</v>
      </c>
      <c r="J69" s="33">
        <f t="shared" si="7"/>
        <v>114075000</v>
      </c>
      <c r="K69" s="33">
        <f t="shared" si="7"/>
        <v>105300000</v>
      </c>
      <c r="L69" s="33">
        <f t="shared" si="7"/>
        <v>96525000</v>
      </c>
      <c r="M69" s="33">
        <f t="shared" si="7"/>
        <v>87750000</v>
      </c>
    </row>
    <row r="70" spans="1:13" x14ac:dyDescent="0.35">
      <c r="C70" s="33"/>
      <c r="D70" s="33"/>
      <c r="E70" s="33"/>
      <c r="F70" s="33"/>
      <c r="G70" s="33"/>
      <c r="H70" s="33"/>
      <c r="I70" s="33"/>
      <c r="J70" s="33"/>
      <c r="K70" s="33"/>
      <c r="L70" s="33"/>
      <c r="M70" s="33"/>
    </row>
    <row r="71" spans="1:13" x14ac:dyDescent="0.35">
      <c r="A71" t="s">
        <v>134</v>
      </c>
      <c r="C71" s="33">
        <f>'CAPEX - OPEX'!C91</f>
        <v>32470000</v>
      </c>
      <c r="D71" s="33">
        <f>SUM('CAPEX - OPEX'!D112:D113)</f>
        <v>0</v>
      </c>
      <c r="E71" s="33">
        <f>SUM('CAPEX - OPEX'!E112:E113)</f>
        <v>0</v>
      </c>
      <c r="F71" s="33">
        <f>SUM('CAPEX - OPEX'!F112:F113)</f>
        <v>7277525.1108000008</v>
      </c>
      <c r="G71" s="33">
        <f>SUM('CAPEX - OPEX'!G112:G113)</f>
        <v>2298171.9090960003</v>
      </c>
      <c r="H71" s="33">
        <f>SUM('CAPEX - OPEX'!H112:H113)</f>
        <v>7720726.3900477216</v>
      </c>
      <c r="I71" s="33">
        <f>SUM('CAPEX - OPEX'!I112:I113)</f>
        <v>30950362.264154766</v>
      </c>
      <c r="J71" s="33">
        <f>SUM('CAPEX - OPEX'!J112:J113)</f>
        <v>10702193.122912373</v>
      </c>
      <c r="K71" s="33">
        <f>SUM('CAPEX - OPEX'!K112:K113)</f>
        <v>0</v>
      </c>
      <c r="L71" s="33">
        <f>SUM('CAPEX - OPEX'!L112:L113)</f>
        <v>8689745.5715982094</v>
      </c>
      <c r="M71" s="33">
        <f>SUM('CAPEX - OPEX'!M112:M113)</f>
        <v>2744137.4458745164</v>
      </c>
    </row>
    <row r="72" spans="1:13" x14ac:dyDescent="0.35">
      <c r="A72" t="s">
        <v>135</v>
      </c>
      <c r="C72" s="33">
        <f>B72+C71</f>
        <v>32470000</v>
      </c>
      <c r="D72" s="33">
        <f>C72+D71</f>
        <v>32470000</v>
      </c>
      <c r="E72" s="33">
        <f t="shared" ref="E72:M72" si="8">D72+E71</f>
        <v>32470000</v>
      </c>
      <c r="F72" s="33">
        <f t="shared" si="8"/>
        <v>39747525.110799998</v>
      </c>
      <c r="G72" s="33">
        <f t="shared" si="8"/>
        <v>42045697.019896001</v>
      </c>
      <c r="H72" s="33">
        <f t="shared" si="8"/>
        <v>49766423.409943722</v>
      </c>
      <c r="I72" s="33">
        <f t="shared" si="8"/>
        <v>80716785.674098492</v>
      </c>
      <c r="J72" s="33">
        <f t="shared" si="8"/>
        <v>91418978.797010869</v>
      </c>
      <c r="K72" s="33">
        <f t="shared" si="8"/>
        <v>91418978.797010869</v>
      </c>
      <c r="L72" s="33">
        <f t="shared" si="8"/>
        <v>100108724.36860907</v>
      </c>
      <c r="M72" s="33">
        <f t="shared" si="8"/>
        <v>102852861.81448358</v>
      </c>
    </row>
    <row r="73" spans="1:13" x14ac:dyDescent="0.35">
      <c r="A73" t="s">
        <v>136</v>
      </c>
      <c r="C73" s="33">
        <f>C32+C61</f>
        <v>0</v>
      </c>
      <c r="D73" s="33">
        <f>D32+D61</f>
        <v>7963333.333333333</v>
      </c>
      <c r="E73" s="33">
        <f t="shared" ref="E73:M73" si="9">E32+E61</f>
        <v>7963333.333333333</v>
      </c>
      <c r="F73" s="33">
        <f t="shared" si="9"/>
        <v>7963333.333333333</v>
      </c>
      <c r="G73" s="33">
        <f t="shared" si="9"/>
        <v>7963333.333333333</v>
      </c>
      <c r="H73" s="33">
        <f t="shared" si="9"/>
        <v>7963333.333333333</v>
      </c>
      <c r="I73" s="33">
        <f t="shared" si="9"/>
        <v>7963333.333333333</v>
      </c>
      <c r="J73" s="33">
        <f t="shared" si="9"/>
        <v>7963333.333333333</v>
      </c>
      <c r="K73" s="33">
        <f t="shared" si="9"/>
        <v>7963333.333333333</v>
      </c>
      <c r="L73" s="33">
        <f t="shared" si="9"/>
        <v>7963333.333333333</v>
      </c>
      <c r="M73" s="33">
        <f t="shared" si="9"/>
        <v>7963333.333333333</v>
      </c>
    </row>
    <row r="74" spans="1:13" x14ac:dyDescent="0.35">
      <c r="A74" t="s">
        <v>132</v>
      </c>
      <c r="C74" s="33">
        <f>B74-C73</f>
        <v>0</v>
      </c>
      <c r="D74" s="33">
        <f>C74-D73</f>
        <v>-7963333.333333333</v>
      </c>
      <c r="E74" s="33">
        <f t="shared" ref="E74:M74" si="10">D74-E73</f>
        <v>-15926666.666666666</v>
      </c>
      <c r="F74" s="33">
        <f t="shared" si="10"/>
        <v>-23890000</v>
      </c>
      <c r="G74" s="33">
        <f t="shared" si="10"/>
        <v>-31853333.333333332</v>
      </c>
      <c r="H74" s="33">
        <f t="shared" si="10"/>
        <v>-39816666.666666664</v>
      </c>
      <c r="I74" s="33">
        <f t="shared" si="10"/>
        <v>-47780000</v>
      </c>
      <c r="J74" s="33">
        <f t="shared" si="10"/>
        <v>-55743333.333333336</v>
      </c>
      <c r="K74" s="33">
        <f t="shared" si="10"/>
        <v>-63706666.666666672</v>
      </c>
      <c r="L74" s="33">
        <f t="shared" si="10"/>
        <v>-71670000</v>
      </c>
      <c r="M74" s="33">
        <f t="shared" si="10"/>
        <v>-79633333.333333328</v>
      </c>
    </row>
    <row r="75" spans="1:13" x14ac:dyDescent="0.35">
      <c r="A75" t="s">
        <v>137</v>
      </c>
      <c r="C75" s="33">
        <f>C72+C74</f>
        <v>32470000</v>
      </c>
      <c r="D75" s="33">
        <f>D72+D74</f>
        <v>24506666.666666668</v>
      </c>
      <c r="E75" s="33">
        <f t="shared" ref="E75:M75" si="11">E72+E74</f>
        <v>16543333.333333334</v>
      </c>
      <c r="F75" s="33">
        <f t="shared" si="11"/>
        <v>15857525.110799998</v>
      </c>
      <c r="G75" s="33">
        <f t="shared" si="11"/>
        <v>10192363.686562669</v>
      </c>
      <c r="H75" s="33">
        <f t="shared" si="11"/>
        <v>9949756.743277058</v>
      </c>
      <c r="I75" s="33">
        <f t="shared" si="11"/>
        <v>32936785.674098492</v>
      </c>
      <c r="J75" s="33">
        <f t="shared" si="11"/>
        <v>35675645.463677533</v>
      </c>
      <c r="K75" s="33">
        <f t="shared" si="11"/>
        <v>27712312.130344197</v>
      </c>
      <c r="L75" s="33">
        <f t="shared" si="11"/>
        <v>28438724.368609071</v>
      </c>
      <c r="M75" s="33">
        <f t="shared" si="11"/>
        <v>23219528.481150255</v>
      </c>
    </row>
    <row r="76" spans="1:13" x14ac:dyDescent="0.35">
      <c r="C76" s="33"/>
      <c r="D76" s="33"/>
      <c r="E76" s="33"/>
      <c r="F76" s="33"/>
      <c r="G76" s="33"/>
      <c r="H76" s="33"/>
      <c r="I76" s="33"/>
      <c r="J76" s="33"/>
      <c r="K76" s="33"/>
      <c r="L76" s="33"/>
      <c r="M76" s="3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E036-9D0C-42BD-AAFD-C0063405F064}">
  <dimension ref="A1:DY24"/>
  <sheetViews>
    <sheetView workbookViewId="0">
      <pane xSplit="2" ySplit="3" topLeftCell="C5" activePane="bottomRight" state="frozen"/>
      <selection pane="topRight" activeCell="C1" sqref="C1"/>
      <selection pane="bottomLeft" activeCell="A4" sqref="A4"/>
      <selection pane="bottomRight" activeCell="B5" sqref="B5"/>
    </sheetView>
  </sheetViews>
  <sheetFormatPr baseColWidth="10" defaultRowHeight="14.5" x14ac:dyDescent="0.35"/>
  <cols>
    <col min="1" max="1" width="23.26953125" bestFit="1" customWidth="1"/>
    <col min="2" max="2" width="15.1796875" style="8" customWidth="1"/>
    <col min="3" max="4" width="14.1796875" bestFit="1" customWidth="1"/>
    <col min="5" max="36" width="15.1796875" bestFit="1" customWidth="1"/>
    <col min="37" max="61" width="14.1796875" bestFit="1" customWidth="1"/>
    <col min="62" max="64" width="13.1796875" bestFit="1" customWidth="1"/>
    <col min="65" max="114" width="11.7265625" bestFit="1" customWidth="1"/>
    <col min="115" max="122" width="11.54296875" bestFit="1" customWidth="1"/>
    <col min="123" max="123" width="10.54296875" bestFit="1" customWidth="1"/>
    <col min="124" max="124" width="14.1796875" bestFit="1" customWidth="1"/>
  </cols>
  <sheetData>
    <row r="1" spans="1:129" x14ac:dyDescent="0.35">
      <c r="C1">
        <f>YEAR(C3)</f>
        <v>2022</v>
      </c>
      <c r="D1">
        <f t="shared" ref="D1:BO1" si="0">YEAR(D3)</f>
        <v>2023</v>
      </c>
      <c r="E1">
        <f t="shared" si="0"/>
        <v>2023</v>
      </c>
      <c r="F1">
        <f t="shared" si="0"/>
        <v>2023</v>
      </c>
      <c r="G1">
        <f t="shared" si="0"/>
        <v>2023</v>
      </c>
      <c r="H1">
        <f t="shared" si="0"/>
        <v>2023</v>
      </c>
      <c r="I1">
        <f t="shared" si="0"/>
        <v>2023</v>
      </c>
      <c r="J1">
        <f t="shared" si="0"/>
        <v>2023</v>
      </c>
      <c r="K1">
        <f t="shared" si="0"/>
        <v>2023</v>
      </c>
      <c r="L1">
        <f t="shared" si="0"/>
        <v>2023</v>
      </c>
      <c r="M1">
        <f t="shared" si="0"/>
        <v>2023</v>
      </c>
      <c r="N1">
        <f t="shared" si="0"/>
        <v>2023</v>
      </c>
      <c r="O1">
        <f t="shared" si="0"/>
        <v>2023</v>
      </c>
      <c r="P1">
        <f t="shared" si="0"/>
        <v>2024</v>
      </c>
      <c r="Q1">
        <f t="shared" si="0"/>
        <v>2024</v>
      </c>
      <c r="R1">
        <f t="shared" si="0"/>
        <v>2024</v>
      </c>
      <c r="S1">
        <f t="shared" si="0"/>
        <v>2024</v>
      </c>
      <c r="T1">
        <f t="shared" si="0"/>
        <v>2024</v>
      </c>
      <c r="U1">
        <f t="shared" si="0"/>
        <v>2024</v>
      </c>
      <c r="V1">
        <f t="shared" si="0"/>
        <v>2024</v>
      </c>
      <c r="W1">
        <f t="shared" si="0"/>
        <v>2024</v>
      </c>
      <c r="X1">
        <f t="shared" si="0"/>
        <v>2024</v>
      </c>
      <c r="Y1">
        <f t="shared" si="0"/>
        <v>2024</v>
      </c>
      <c r="Z1">
        <f t="shared" si="0"/>
        <v>2024</v>
      </c>
      <c r="AA1">
        <f t="shared" si="0"/>
        <v>2024</v>
      </c>
      <c r="AB1">
        <f t="shared" si="0"/>
        <v>2025</v>
      </c>
      <c r="AC1">
        <f t="shared" si="0"/>
        <v>2025</v>
      </c>
      <c r="AD1">
        <f t="shared" si="0"/>
        <v>2025</v>
      </c>
      <c r="AE1">
        <f t="shared" si="0"/>
        <v>2025</v>
      </c>
      <c r="AF1">
        <f t="shared" si="0"/>
        <v>2025</v>
      </c>
      <c r="AG1">
        <f t="shared" si="0"/>
        <v>2025</v>
      </c>
      <c r="AH1">
        <f t="shared" si="0"/>
        <v>2025</v>
      </c>
      <c r="AI1">
        <f t="shared" si="0"/>
        <v>2025</v>
      </c>
      <c r="AJ1">
        <f t="shared" si="0"/>
        <v>2025</v>
      </c>
      <c r="AK1">
        <f t="shared" si="0"/>
        <v>2025</v>
      </c>
      <c r="AL1">
        <f t="shared" si="0"/>
        <v>2025</v>
      </c>
      <c r="AM1">
        <f t="shared" si="0"/>
        <v>2025</v>
      </c>
      <c r="AN1">
        <f t="shared" si="0"/>
        <v>2026</v>
      </c>
      <c r="AO1">
        <f t="shared" si="0"/>
        <v>2026</v>
      </c>
      <c r="AP1">
        <f t="shared" si="0"/>
        <v>2026</v>
      </c>
      <c r="AQ1">
        <f t="shared" si="0"/>
        <v>2026</v>
      </c>
      <c r="AR1">
        <f t="shared" si="0"/>
        <v>2026</v>
      </c>
      <c r="AS1">
        <f t="shared" si="0"/>
        <v>2026</v>
      </c>
      <c r="AT1">
        <f t="shared" si="0"/>
        <v>2026</v>
      </c>
      <c r="AU1">
        <f t="shared" si="0"/>
        <v>2026</v>
      </c>
      <c r="AV1">
        <f t="shared" si="0"/>
        <v>2026</v>
      </c>
      <c r="AW1">
        <f t="shared" si="0"/>
        <v>2026</v>
      </c>
      <c r="AX1">
        <f t="shared" si="0"/>
        <v>2026</v>
      </c>
      <c r="AY1">
        <f t="shared" si="0"/>
        <v>2026</v>
      </c>
      <c r="AZ1">
        <f t="shared" si="0"/>
        <v>2027</v>
      </c>
      <c r="BA1">
        <f t="shared" si="0"/>
        <v>2027</v>
      </c>
      <c r="BB1">
        <f t="shared" si="0"/>
        <v>2027</v>
      </c>
      <c r="BC1">
        <f t="shared" si="0"/>
        <v>2027</v>
      </c>
      <c r="BD1">
        <f t="shared" si="0"/>
        <v>2027</v>
      </c>
      <c r="BE1">
        <f t="shared" si="0"/>
        <v>2027</v>
      </c>
      <c r="BF1">
        <f t="shared" si="0"/>
        <v>2027</v>
      </c>
      <c r="BG1">
        <f t="shared" si="0"/>
        <v>2027</v>
      </c>
      <c r="BH1">
        <f t="shared" si="0"/>
        <v>2027</v>
      </c>
      <c r="BI1">
        <f t="shared" si="0"/>
        <v>2027</v>
      </c>
      <c r="BJ1">
        <f t="shared" si="0"/>
        <v>2027</v>
      </c>
      <c r="BK1">
        <f t="shared" si="0"/>
        <v>2027</v>
      </c>
      <c r="BL1">
        <f t="shared" si="0"/>
        <v>2028</v>
      </c>
      <c r="BM1">
        <f t="shared" si="0"/>
        <v>2028</v>
      </c>
      <c r="BN1">
        <f t="shared" si="0"/>
        <v>2028</v>
      </c>
      <c r="BO1">
        <f t="shared" si="0"/>
        <v>2028</v>
      </c>
      <c r="BP1">
        <f t="shared" ref="BP1:DY1" si="1">YEAR(BP3)</f>
        <v>2028</v>
      </c>
      <c r="BQ1">
        <f t="shared" si="1"/>
        <v>2028</v>
      </c>
      <c r="BR1">
        <f t="shared" si="1"/>
        <v>2028</v>
      </c>
      <c r="BS1">
        <f t="shared" si="1"/>
        <v>2028</v>
      </c>
      <c r="BT1">
        <f t="shared" si="1"/>
        <v>2028</v>
      </c>
      <c r="BU1">
        <f t="shared" si="1"/>
        <v>2028</v>
      </c>
      <c r="BV1">
        <f t="shared" si="1"/>
        <v>2028</v>
      </c>
      <c r="BW1">
        <f t="shared" si="1"/>
        <v>2028</v>
      </c>
      <c r="BX1">
        <f t="shared" si="1"/>
        <v>2029</v>
      </c>
      <c r="BY1">
        <f t="shared" si="1"/>
        <v>2029</v>
      </c>
      <c r="BZ1">
        <f t="shared" si="1"/>
        <v>2029</v>
      </c>
      <c r="CA1">
        <f t="shared" si="1"/>
        <v>2029</v>
      </c>
      <c r="CB1">
        <f t="shared" si="1"/>
        <v>2029</v>
      </c>
      <c r="CC1">
        <f t="shared" si="1"/>
        <v>2029</v>
      </c>
      <c r="CD1">
        <f t="shared" si="1"/>
        <v>2029</v>
      </c>
      <c r="CE1">
        <f t="shared" si="1"/>
        <v>2029</v>
      </c>
      <c r="CF1">
        <f t="shared" si="1"/>
        <v>2029</v>
      </c>
      <c r="CG1">
        <f t="shared" si="1"/>
        <v>2029</v>
      </c>
      <c r="CH1">
        <f t="shared" si="1"/>
        <v>2029</v>
      </c>
      <c r="CI1">
        <f t="shared" si="1"/>
        <v>2029</v>
      </c>
      <c r="CJ1">
        <f t="shared" si="1"/>
        <v>2030</v>
      </c>
      <c r="CK1">
        <f t="shared" si="1"/>
        <v>2030</v>
      </c>
      <c r="CL1">
        <f t="shared" si="1"/>
        <v>2030</v>
      </c>
      <c r="CM1">
        <f t="shared" si="1"/>
        <v>2030</v>
      </c>
      <c r="CN1">
        <f t="shared" si="1"/>
        <v>2030</v>
      </c>
      <c r="CO1">
        <f t="shared" si="1"/>
        <v>2030</v>
      </c>
      <c r="CP1">
        <f t="shared" si="1"/>
        <v>2030</v>
      </c>
      <c r="CQ1">
        <f t="shared" si="1"/>
        <v>2030</v>
      </c>
      <c r="CR1">
        <f t="shared" si="1"/>
        <v>2030</v>
      </c>
      <c r="CS1">
        <f t="shared" si="1"/>
        <v>2030</v>
      </c>
      <c r="CT1">
        <f t="shared" si="1"/>
        <v>2030</v>
      </c>
      <c r="CU1">
        <f t="shared" si="1"/>
        <v>2030</v>
      </c>
      <c r="CV1">
        <f t="shared" si="1"/>
        <v>2031</v>
      </c>
      <c r="CW1">
        <f t="shared" si="1"/>
        <v>2031</v>
      </c>
      <c r="CX1">
        <f t="shared" si="1"/>
        <v>2031</v>
      </c>
      <c r="CY1">
        <f t="shared" si="1"/>
        <v>2031</v>
      </c>
      <c r="CZ1">
        <f t="shared" si="1"/>
        <v>2031</v>
      </c>
      <c r="DA1">
        <f t="shared" si="1"/>
        <v>2031</v>
      </c>
      <c r="DB1">
        <f t="shared" si="1"/>
        <v>2031</v>
      </c>
      <c r="DC1">
        <f t="shared" si="1"/>
        <v>2031</v>
      </c>
      <c r="DD1">
        <f t="shared" si="1"/>
        <v>2031</v>
      </c>
      <c r="DE1">
        <f t="shared" si="1"/>
        <v>2031</v>
      </c>
      <c r="DF1">
        <f t="shared" si="1"/>
        <v>2031</v>
      </c>
      <c r="DG1">
        <f t="shared" si="1"/>
        <v>2031</v>
      </c>
      <c r="DH1">
        <f t="shared" si="1"/>
        <v>2032</v>
      </c>
      <c r="DI1">
        <f t="shared" si="1"/>
        <v>2032</v>
      </c>
      <c r="DJ1">
        <f t="shared" si="1"/>
        <v>2032</v>
      </c>
      <c r="DK1">
        <f t="shared" si="1"/>
        <v>2032</v>
      </c>
      <c r="DL1">
        <f t="shared" si="1"/>
        <v>2032</v>
      </c>
      <c r="DM1">
        <f t="shared" si="1"/>
        <v>2032</v>
      </c>
      <c r="DN1">
        <f t="shared" si="1"/>
        <v>2032</v>
      </c>
      <c r="DO1">
        <f t="shared" si="1"/>
        <v>2032</v>
      </c>
      <c r="DP1">
        <f t="shared" si="1"/>
        <v>2032</v>
      </c>
      <c r="DQ1">
        <f t="shared" si="1"/>
        <v>2032</v>
      </c>
      <c r="DR1">
        <f t="shared" si="1"/>
        <v>2032</v>
      </c>
      <c r="DS1">
        <f t="shared" si="1"/>
        <v>2032</v>
      </c>
      <c r="DT1">
        <f t="shared" si="1"/>
        <v>2033</v>
      </c>
      <c r="DU1">
        <f t="shared" si="1"/>
        <v>2033</v>
      </c>
      <c r="DV1">
        <f t="shared" si="1"/>
        <v>2033</v>
      </c>
      <c r="DW1">
        <f t="shared" si="1"/>
        <v>2033</v>
      </c>
      <c r="DX1">
        <f t="shared" si="1"/>
        <v>2033</v>
      </c>
      <c r="DY1">
        <f t="shared" si="1"/>
        <v>2033</v>
      </c>
    </row>
    <row r="2" spans="1:129" x14ac:dyDescent="0.35">
      <c r="A2" t="s">
        <v>21</v>
      </c>
      <c r="C2" s="37">
        <v>0</v>
      </c>
      <c r="D2" s="37">
        <f>+C2+1</f>
        <v>1</v>
      </c>
      <c r="E2" s="37">
        <f t="shared" ref="E2:BP2" si="2">+D2+1</f>
        <v>2</v>
      </c>
      <c r="F2" s="37">
        <f t="shared" si="2"/>
        <v>3</v>
      </c>
      <c r="G2" s="37">
        <f t="shared" si="2"/>
        <v>4</v>
      </c>
      <c r="H2" s="37">
        <f t="shared" si="2"/>
        <v>5</v>
      </c>
      <c r="I2" s="37">
        <f t="shared" si="2"/>
        <v>6</v>
      </c>
      <c r="J2" s="37">
        <f t="shared" si="2"/>
        <v>7</v>
      </c>
      <c r="K2" s="37">
        <f t="shared" si="2"/>
        <v>8</v>
      </c>
      <c r="L2" s="37">
        <f t="shared" si="2"/>
        <v>9</v>
      </c>
      <c r="M2" s="37">
        <f t="shared" si="2"/>
        <v>10</v>
      </c>
      <c r="N2" s="37">
        <f t="shared" si="2"/>
        <v>11</v>
      </c>
      <c r="O2" s="37">
        <f t="shared" si="2"/>
        <v>12</v>
      </c>
      <c r="P2" s="37">
        <f t="shared" si="2"/>
        <v>13</v>
      </c>
      <c r="Q2" s="37">
        <f t="shared" si="2"/>
        <v>14</v>
      </c>
      <c r="R2" s="37">
        <f t="shared" si="2"/>
        <v>15</v>
      </c>
      <c r="S2" s="37">
        <f t="shared" si="2"/>
        <v>16</v>
      </c>
      <c r="T2" s="37">
        <f t="shared" si="2"/>
        <v>17</v>
      </c>
      <c r="U2" s="37">
        <f t="shared" si="2"/>
        <v>18</v>
      </c>
      <c r="V2" s="37">
        <f t="shared" si="2"/>
        <v>19</v>
      </c>
      <c r="W2" s="37">
        <f t="shared" si="2"/>
        <v>20</v>
      </c>
      <c r="X2" s="37">
        <f t="shared" si="2"/>
        <v>21</v>
      </c>
      <c r="Y2" s="37">
        <f t="shared" si="2"/>
        <v>22</v>
      </c>
      <c r="Z2" s="37">
        <f t="shared" si="2"/>
        <v>23</v>
      </c>
      <c r="AA2" s="37">
        <f t="shared" si="2"/>
        <v>24</v>
      </c>
      <c r="AB2" s="37">
        <f t="shared" si="2"/>
        <v>25</v>
      </c>
      <c r="AC2" s="37">
        <f t="shared" si="2"/>
        <v>26</v>
      </c>
      <c r="AD2" s="37">
        <f t="shared" si="2"/>
        <v>27</v>
      </c>
      <c r="AE2" s="37">
        <f t="shared" si="2"/>
        <v>28</v>
      </c>
      <c r="AF2" s="37">
        <f t="shared" si="2"/>
        <v>29</v>
      </c>
      <c r="AG2" s="37">
        <f t="shared" si="2"/>
        <v>30</v>
      </c>
      <c r="AH2" s="37">
        <f t="shared" si="2"/>
        <v>31</v>
      </c>
      <c r="AI2" s="37">
        <f t="shared" si="2"/>
        <v>32</v>
      </c>
      <c r="AJ2" s="37">
        <f t="shared" si="2"/>
        <v>33</v>
      </c>
      <c r="AK2" s="37">
        <f t="shared" si="2"/>
        <v>34</v>
      </c>
      <c r="AL2" s="37">
        <f t="shared" si="2"/>
        <v>35</v>
      </c>
      <c r="AM2" s="37">
        <f t="shared" si="2"/>
        <v>36</v>
      </c>
      <c r="AN2" s="37">
        <f t="shared" si="2"/>
        <v>37</v>
      </c>
      <c r="AO2" s="37">
        <f t="shared" si="2"/>
        <v>38</v>
      </c>
      <c r="AP2" s="37">
        <f t="shared" si="2"/>
        <v>39</v>
      </c>
      <c r="AQ2" s="37">
        <f t="shared" si="2"/>
        <v>40</v>
      </c>
      <c r="AR2" s="37">
        <f t="shared" si="2"/>
        <v>41</v>
      </c>
      <c r="AS2" s="37">
        <f t="shared" si="2"/>
        <v>42</v>
      </c>
      <c r="AT2" s="37">
        <f t="shared" si="2"/>
        <v>43</v>
      </c>
      <c r="AU2" s="37">
        <f t="shared" si="2"/>
        <v>44</v>
      </c>
      <c r="AV2" s="37">
        <f t="shared" si="2"/>
        <v>45</v>
      </c>
      <c r="AW2" s="37">
        <f t="shared" si="2"/>
        <v>46</v>
      </c>
      <c r="AX2" s="37">
        <f t="shared" si="2"/>
        <v>47</v>
      </c>
      <c r="AY2" s="37">
        <f t="shared" si="2"/>
        <v>48</v>
      </c>
      <c r="AZ2" s="37">
        <f t="shared" si="2"/>
        <v>49</v>
      </c>
      <c r="BA2" s="37">
        <f t="shared" si="2"/>
        <v>50</v>
      </c>
      <c r="BB2" s="37">
        <f t="shared" si="2"/>
        <v>51</v>
      </c>
      <c r="BC2" s="37">
        <f t="shared" si="2"/>
        <v>52</v>
      </c>
      <c r="BD2" s="37">
        <f t="shared" si="2"/>
        <v>53</v>
      </c>
      <c r="BE2" s="37">
        <f t="shared" si="2"/>
        <v>54</v>
      </c>
      <c r="BF2" s="37">
        <f t="shared" si="2"/>
        <v>55</v>
      </c>
      <c r="BG2" s="37">
        <f t="shared" si="2"/>
        <v>56</v>
      </c>
      <c r="BH2" s="37">
        <f t="shared" si="2"/>
        <v>57</v>
      </c>
      <c r="BI2" s="37">
        <f t="shared" si="2"/>
        <v>58</v>
      </c>
      <c r="BJ2" s="37">
        <f t="shared" si="2"/>
        <v>59</v>
      </c>
      <c r="BK2" s="37">
        <f t="shared" si="2"/>
        <v>60</v>
      </c>
      <c r="BL2" s="37">
        <f t="shared" si="2"/>
        <v>61</v>
      </c>
      <c r="BM2" s="37">
        <f t="shared" si="2"/>
        <v>62</v>
      </c>
      <c r="BN2" s="37">
        <f t="shared" si="2"/>
        <v>63</v>
      </c>
      <c r="BO2" s="37">
        <f t="shared" si="2"/>
        <v>64</v>
      </c>
      <c r="BP2" s="37">
        <f t="shared" si="2"/>
        <v>65</v>
      </c>
      <c r="BQ2" s="37">
        <f t="shared" ref="BQ2:DY2" si="3">+BP2+1</f>
        <v>66</v>
      </c>
      <c r="BR2" s="37">
        <f t="shared" si="3"/>
        <v>67</v>
      </c>
      <c r="BS2" s="37">
        <f t="shared" si="3"/>
        <v>68</v>
      </c>
      <c r="BT2" s="37">
        <f t="shared" si="3"/>
        <v>69</v>
      </c>
      <c r="BU2" s="37">
        <f t="shared" si="3"/>
        <v>70</v>
      </c>
      <c r="BV2" s="37">
        <f t="shared" si="3"/>
        <v>71</v>
      </c>
      <c r="BW2" s="37">
        <f t="shared" si="3"/>
        <v>72</v>
      </c>
      <c r="BX2" s="37">
        <f t="shared" si="3"/>
        <v>73</v>
      </c>
      <c r="BY2" s="37">
        <f t="shared" si="3"/>
        <v>74</v>
      </c>
      <c r="BZ2" s="37">
        <f t="shared" si="3"/>
        <v>75</v>
      </c>
      <c r="CA2" s="37">
        <f t="shared" si="3"/>
        <v>76</v>
      </c>
      <c r="CB2" s="37">
        <f t="shared" si="3"/>
        <v>77</v>
      </c>
      <c r="CC2" s="37">
        <f t="shared" si="3"/>
        <v>78</v>
      </c>
      <c r="CD2" s="37">
        <f t="shared" si="3"/>
        <v>79</v>
      </c>
      <c r="CE2" s="37">
        <f t="shared" si="3"/>
        <v>80</v>
      </c>
      <c r="CF2" s="37">
        <f t="shared" si="3"/>
        <v>81</v>
      </c>
      <c r="CG2" s="37">
        <f t="shared" si="3"/>
        <v>82</v>
      </c>
      <c r="CH2" s="37">
        <f t="shared" si="3"/>
        <v>83</v>
      </c>
      <c r="CI2" s="37">
        <f t="shared" si="3"/>
        <v>84</v>
      </c>
      <c r="CJ2" s="37">
        <f t="shared" si="3"/>
        <v>85</v>
      </c>
      <c r="CK2" s="37">
        <f t="shared" si="3"/>
        <v>86</v>
      </c>
      <c r="CL2" s="37">
        <f t="shared" si="3"/>
        <v>87</v>
      </c>
      <c r="CM2" s="37">
        <f t="shared" si="3"/>
        <v>88</v>
      </c>
      <c r="CN2" s="37">
        <f t="shared" si="3"/>
        <v>89</v>
      </c>
      <c r="CO2" s="37">
        <f t="shared" si="3"/>
        <v>90</v>
      </c>
      <c r="CP2" s="37">
        <f t="shared" si="3"/>
        <v>91</v>
      </c>
      <c r="CQ2" s="37">
        <f t="shared" si="3"/>
        <v>92</v>
      </c>
      <c r="CR2" s="37">
        <f t="shared" si="3"/>
        <v>93</v>
      </c>
      <c r="CS2" s="37">
        <f t="shared" si="3"/>
        <v>94</v>
      </c>
      <c r="CT2" s="37">
        <f t="shared" si="3"/>
        <v>95</v>
      </c>
      <c r="CU2" s="37">
        <f t="shared" si="3"/>
        <v>96</v>
      </c>
      <c r="CV2" s="37">
        <f t="shared" si="3"/>
        <v>97</v>
      </c>
      <c r="CW2" s="37">
        <f t="shared" si="3"/>
        <v>98</v>
      </c>
      <c r="CX2" s="37">
        <f t="shared" si="3"/>
        <v>99</v>
      </c>
      <c r="CY2" s="37">
        <f t="shared" si="3"/>
        <v>100</v>
      </c>
      <c r="CZ2" s="37">
        <f t="shared" si="3"/>
        <v>101</v>
      </c>
      <c r="DA2" s="37">
        <f t="shared" si="3"/>
        <v>102</v>
      </c>
      <c r="DB2" s="37">
        <f t="shared" si="3"/>
        <v>103</v>
      </c>
      <c r="DC2" s="37">
        <f t="shared" si="3"/>
        <v>104</v>
      </c>
      <c r="DD2" s="37">
        <f t="shared" si="3"/>
        <v>105</v>
      </c>
      <c r="DE2" s="37">
        <f t="shared" si="3"/>
        <v>106</v>
      </c>
      <c r="DF2" s="37">
        <f t="shared" si="3"/>
        <v>107</v>
      </c>
      <c r="DG2" s="37">
        <f t="shared" si="3"/>
        <v>108</v>
      </c>
      <c r="DH2" s="37">
        <f t="shared" si="3"/>
        <v>109</v>
      </c>
      <c r="DI2" s="37">
        <f t="shared" si="3"/>
        <v>110</v>
      </c>
      <c r="DJ2" s="37">
        <f t="shared" si="3"/>
        <v>111</v>
      </c>
      <c r="DK2" s="37">
        <f t="shared" si="3"/>
        <v>112</v>
      </c>
      <c r="DL2" s="37">
        <f t="shared" si="3"/>
        <v>113</v>
      </c>
      <c r="DM2" s="37">
        <f t="shared" si="3"/>
        <v>114</v>
      </c>
      <c r="DN2" s="37">
        <f t="shared" si="3"/>
        <v>115</v>
      </c>
      <c r="DO2" s="37">
        <f t="shared" si="3"/>
        <v>116</v>
      </c>
      <c r="DP2" s="37">
        <f t="shared" si="3"/>
        <v>117</v>
      </c>
      <c r="DQ2" s="37">
        <f t="shared" si="3"/>
        <v>118</v>
      </c>
      <c r="DR2" s="37">
        <f t="shared" si="3"/>
        <v>119</v>
      </c>
      <c r="DS2" s="37">
        <f t="shared" si="3"/>
        <v>120</v>
      </c>
      <c r="DT2" s="37">
        <f t="shared" si="3"/>
        <v>121</v>
      </c>
      <c r="DU2" s="37">
        <f t="shared" si="3"/>
        <v>122</v>
      </c>
      <c r="DV2" s="37">
        <f t="shared" si="3"/>
        <v>123</v>
      </c>
      <c r="DW2" s="37">
        <f t="shared" si="3"/>
        <v>124</v>
      </c>
      <c r="DX2" s="37">
        <f t="shared" si="3"/>
        <v>125</v>
      </c>
      <c r="DY2" s="37">
        <f t="shared" si="3"/>
        <v>126</v>
      </c>
    </row>
    <row r="3" spans="1:129" x14ac:dyDescent="0.35">
      <c r="A3" t="s">
        <v>22</v>
      </c>
      <c r="C3" s="32">
        <f>INPUTS!G28</f>
        <v>44896</v>
      </c>
      <c r="D3" s="32">
        <f>EDATE(C3,1)</f>
        <v>44927</v>
      </c>
      <c r="E3" s="32">
        <f t="shared" ref="E3:BP3" si="4">EDATE(D3,1)</f>
        <v>44958</v>
      </c>
      <c r="F3" s="32">
        <f t="shared" si="4"/>
        <v>44986</v>
      </c>
      <c r="G3" s="32">
        <f t="shared" si="4"/>
        <v>45017</v>
      </c>
      <c r="H3" s="32">
        <f t="shared" si="4"/>
        <v>45047</v>
      </c>
      <c r="I3" s="32">
        <f t="shared" si="4"/>
        <v>45078</v>
      </c>
      <c r="J3" s="32">
        <f t="shared" si="4"/>
        <v>45108</v>
      </c>
      <c r="K3" s="32">
        <f t="shared" si="4"/>
        <v>45139</v>
      </c>
      <c r="L3" s="32">
        <f t="shared" si="4"/>
        <v>45170</v>
      </c>
      <c r="M3" s="32">
        <f t="shared" si="4"/>
        <v>45200</v>
      </c>
      <c r="N3" s="32">
        <f t="shared" si="4"/>
        <v>45231</v>
      </c>
      <c r="O3" s="32">
        <f t="shared" si="4"/>
        <v>45261</v>
      </c>
      <c r="P3" s="32">
        <f t="shared" si="4"/>
        <v>45292</v>
      </c>
      <c r="Q3" s="32">
        <f t="shared" si="4"/>
        <v>45323</v>
      </c>
      <c r="R3" s="32">
        <f t="shared" si="4"/>
        <v>45352</v>
      </c>
      <c r="S3" s="32">
        <f t="shared" si="4"/>
        <v>45383</v>
      </c>
      <c r="T3" s="32">
        <f t="shared" si="4"/>
        <v>45413</v>
      </c>
      <c r="U3" s="32">
        <f t="shared" si="4"/>
        <v>45444</v>
      </c>
      <c r="V3" s="32">
        <f t="shared" si="4"/>
        <v>45474</v>
      </c>
      <c r="W3" s="32">
        <f t="shared" si="4"/>
        <v>45505</v>
      </c>
      <c r="X3" s="32">
        <f t="shared" si="4"/>
        <v>45536</v>
      </c>
      <c r="Y3" s="32">
        <f t="shared" si="4"/>
        <v>45566</v>
      </c>
      <c r="Z3" s="32">
        <f t="shared" si="4"/>
        <v>45597</v>
      </c>
      <c r="AA3" s="32">
        <f t="shared" si="4"/>
        <v>45627</v>
      </c>
      <c r="AB3" s="32">
        <f t="shared" si="4"/>
        <v>45658</v>
      </c>
      <c r="AC3" s="32">
        <f t="shared" si="4"/>
        <v>45689</v>
      </c>
      <c r="AD3" s="32">
        <f t="shared" si="4"/>
        <v>45717</v>
      </c>
      <c r="AE3" s="32">
        <f t="shared" si="4"/>
        <v>45748</v>
      </c>
      <c r="AF3" s="32">
        <f t="shared" si="4"/>
        <v>45778</v>
      </c>
      <c r="AG3" s="32">
        <f t="shared" si="4"/>
        <v>45809</v>
      </c>
      <c r="AH3" s="32">
        <f t="shared" si="4"/>
        <v>45839</v>
      </c>
      <c r="AI3" s="32">
        <f t="shared" si="4"/>
        <v>45870</v>
      </c>
      <c r="AJ3" s="32">
        <f t="shared" si="4"/>
        <v>45901</v>
      </c>
      <c r="AK3" s="32">
        <f t="shared" si="4"/>
        <v>45931</v>
      </c>
      <c r="AL3" s="32">
        <f t="shared" si="4"/>
        <v>45962</v>
      </c>
      <c r="AM3" s="32">
        <f t="shared" si="4"/>
        <v>45992</v>
      </c>
      <c r="AN3" s="32">
        <f t="shared" si="4"/>
        <v>46023</v>
      </c>
      <c r="AO3" s="32">
        <f t="shared" si="4"/>
        <v>46054</v>
      </c>
      <c r="AP3" s="32">
        <f t="shared" si="4"/>
        <v>46082</v>
      </c>
      <c r="AQ3" s="32">
        <f t="shared" si="4"/>
        <v>46113</v>
      </c>
      <c r="AR3" s="32">
        <f t="shared" si="4"/>
        <v>46143</v>
      </c>
      <c r="AS3" s="32">
        <f t="shared" si="4"/>
        <v>46174</v>
      </c>
      <c r="AT3" s="32">
        <f t="shared" si="4"/>
        <v>46204</v>
      </c>
      <c r="AU3" s="32">
        <f t="shared" si="4"/>
        <v>46235</v>
      </c>
      <c r="AV3" s="32">
        <f t="shared" si="4"/>
        <v>46266</v>
      </c>
      <c r="AW3" s="32">
        <f t="shared" si="4"/>
        <v>46296</v>
      </c>
      <c r="AX3" s="32">
        <f t="shared" si="4"/>
        <v>46327</v>
      </c>
      <c r="AY3" s="32">
        <f t="shared" si="4"/>
        <v>46357</v>
      </c>
      <c r="AZ3" s="32">
        <f t="shared" si="4"/>
        <v>46388</v>
      </c>
      <c r="BA3" s="32">
        <f t="shared" si="4"/>
        <v>46419</v>
      </c>
      <c r="BB3" s="32">
        <f t="shared" si="4"/>
        <v>46447</v>
      </c>
      <c r="BC3" s="32">
        <f t="shared" si="4"/>
        <v>46478</v>
      </c>
      <c r="BD3" s="32">
        <f t="shared" si="4"/>
        <v>46508</v>
      </c>
      <c r="BE3" s="32">
        <f t="shared" si="4"/>
        <v>46539</v>
      </c>
      <c r="BF3" s="32">
        <f t="shared" si="4"/>
        <v>46569</v>
      </c>
      <c r="BG3" s="32">
        <f t="shared" si="4"/>
        <v>46600</v>
      </c>
      <c r="BH3" s="32">
        <f t="shared" si="4"/>
        <v>46631</v>
      </c>
      <c r="BI3" s="32">
        <f t="shared" si="4"/>
        <v>46661</v>
      </c>
      <c r="BJ3" s="32">
        <f t="shared" si="4"/>
        <v>46692</v>
      </c>
      <c r="BK3" s="32">
        <f t="shared" si="4"/>
        <v>46722</v>
      </c>
      <c r="BL3" s="32">
        <f t="shared" si="4"/>
        <v>46753</v>
      </c>
      <c r="BM3" s="32">
        <f t="shared" si="4"/>
        <v>46784</v>
      </c>
      <c r="BN3" s="32">
        <f t="shared" si="4"/>
        <v>46813</v>
      </c>
      <c r="BO3" s="32">
        <f t="shared" si="4"/>
        <v>46844</v>
      </c>
      <c r="BP3" s="32">
        <f t="shared" si="4"/>
        <v>46874</v>
      </c>
      <c r="BQ3" s="32">
        <f t="shared" ref="BQ3:DY3" si="5">EDATE(BP3,1)</f>
        <v>46905</v>
      </c>
      <c r="BR3" s="32">
        <f t="shared" si="5"/>
        <v>46935</v>
      </c>
      <c r="BS3" s="32">
        <f t="shared" si="5"/>
        <v>46966</v>
      </c>
      <c r="BT3" s="32">
        <f t="shared" si="5"/>
        <v>46997</v>
      </c>
      <c r="BU3" s="32">
        <f t="shared" si="5"/>
        <v>47027</v>
      </c>
      <c r="BV3" s="32">
        <f t="shared" si="5"/>
        <v>47058</v>
      </c>
      <c r="BW3" s="32">
        <f t="shared" si="5"/>
        <v>47088</v>
      </c>
      <c r="BX3" s="32">
        <f t="shared" si="5"/>
        <v>47119</v>
      </c>
      <c r="BY3" s="32">
        <f t="shared" si="5"/>
        <v>47150</v>
      </c>
      <c r="BZ3" s="32">
        <f t="shared" si="5"/>
        <v>47178</v>
      </c>
      <c r="CA3" s="32">
        <f t="shared" si="5"/>
        <v>47209</v>
      </c>
      <c r="CB3" s="32">
        <f t="shared" si="5"/>
        <v>47239</v>
      </c>
      <c r="CC3" s="32">
        <f t="shared" si="5"/>
        <v>47270</v>
      </c>
      <c r="CD3" s="32">
        <f t="shared" si="5"/>
        <v>47300</v>
      </c>
      <c r="CE3" s="32">
        <f t="shared" si="5"/>
        <v>47331</v>
      </c>
      <c r="CF3" s="32">
        <f t="shared" si="5"/>
        <v>47362</v>
      </c>
      <c r="CG3" s="32">
        <f t="shared" si="5"/>
        <v>47392</v>
      </c>
      <c r="CH3" s="32">
        <f t="shared" si="5"/>
        <v>47423</v>
      </c>
      <c r="CI3" s="32">
        <f t="shared" si="5"/>
        <v>47453</v>
      </c>
      <c r="CJ3" s="32">
        <f t="shared" si="5"/>
        <v>47484</v>
      </c>
      <c r="CK3" s="32">
        <f t="shared" si="5"/>
        <v>47515</v>
      </c>
      <c r="CL3" s="32">
        <f t="shared" si="5"/>
        <v>47543</v>
      </c>
      <c r="CM3" s="32">
        <f t="shared" si="5"/>
        <v>47574</v>
      </c>
      <c r="CN3" s="32">
        <f t="shared" si="5"/>
        <v>47604</v>
      </c>
      <c r="CO3" s="32">
        <f t="shared" si="5"/>
        <v>47635</v>
      </c>
      <c r="CP3" s="32">
        <f t="shared" si="5"/>
        <v>47665</v>
      </c>
      <c r="CQ3" s="32">
        <f t="shared" si="5"/>
        <v>47696</v>
      </c>
      <c r="CR3" s="32">
        <f t="shared" si="5"/>
        <v>47727</v>
      </c>
      <c r="CS3" s="32">
        <f t="shared" si="5"/>
        <v>47757</v>
      </c>
      <c r="CT3" s="32">
        <f t="shared" si="5"/>
        <v>47788</v>
      </c>
      <c r="CU3" s="32">
        <f t="shared" si="5"/>
        <v>47818</v>
      </c>
      <c r="CV3" s="32">
        <f t="shared" si="5"/>
        <v>47849</v>
      </c>
      <c r="CW3" s="32">
        <f t="shared" si="5"/>
        <v>47880</v>
      </c>
      <c r="CX3" s="32">
        <f t="shared" si="5"/>
        <v>47908</v>
      </c>
      <c r="CY3" s="32">
        <f t="shared" si="5"/>
        <v>47939</v>
      </c>
      <c r="CZ3" s="32">
        <f t="shared" si="5"/>
        <v>47969</v>
      </c>
      <c r="DA3" s="32">
        <f t="shared" si="5"/>
        <v>48000</v>
      </c>
      <c r="DB3" s="32">
        <f t="shared" si="5"/>
        <v>48030</v>
      </c>
      <c r="DC3" s="32">
        <f t="shared" si="5"/>
        <v>48061</v>
      </c>
      <c r="DD3" s="32">
        <f t="shared" si="5"/>
        <v>48092</v>
      </c>
      <c r="DE3" s="32">
        <f t="shared" si="5"/>
        <v>48122</v>
      </c>
      <c r="DF3" s="32">
        <f t="shared" si="5"/>
        <v>48153</v>
      </c>
      <c r="DG3" s="32">
        <f t="shared" si="5"/>
        <v>48183</v>
      </c>
      <c r="DH3" s="32">
        <f t="shared" si="5"/>
        <v>48214</v>
      </c>
      <c r="DI3" s="32">
        <f t="shared" si="5"/>
        <v>48245</v>
      </c>
      <c r="DJ3" s="32">
        <f t="shared" si="5"/>
        <v>48274</v>
      </c>
      <c r="DK3" s="32">
        <f t="shared" si="5"/>
        <v>48305</v>
      </c>
      <c r="DL3" s="32">
        <f t="shared" si="5"/>
        <v>48335</v>
      </c>
      <c r="DM3" s="32">
        <f t="shared" si="5"/>
        <v>48366</v>
      </c>
      <c r="DN3" s="32">
        <f t="shared" si="5"/>
        <v>48396</v>
      </c>
      <c r="DO3" s="32">
        <f t="shared" si="5"/>
        <v>48427</v>
      </c>
      <c r="DP3" s="32">
        <f t="shared" si="5"/>
        <v>48458</v>
      </c>
      <c r="DQ3" s="32">
        <f t="shared" si="5"/>
        <v>48488</v>
      </c>
      <c r="DR3" s="32">
        <f t="shared" si="5"/>
        <v>48519</v>
      </c>
      <c r="DS3" s="32">
        <f t="shared" si="5"/>
        <v>48549</v>
      </c>
      <c r="DT3" s="32">
        <f t="shared" si="5"/>
        <v>48580</v>
      </c>
      <c r="DU3" s="32">
        <f t="shared" si="5"/>
        <v>48611</v>
      </c>
      <c r="DV3" s="32">
        <f t="shared" si="5"/>
        <v>48639</v>
      </c>
      <c r="DW3" s="32">
        <f t="shared" si="5"/>
        <v>48670</v>
      </c>
      <c r="DX3" s="32">
        <f t="shared" si="5"/>
        <v>48700</v>
      </c>
      <c r="DY3" s="32">
        <f t="shared" si="5"/>
        <v>48731</v>
      </c>
    </row>
    <row r="5" spans="1:129" s="91" customFormat="1" x14ac:dyDescent="0.35">
      <c r="A5" s="88" t="s">
        <v>138</v>
      </c>
      <c r="B5" s="88"/>
      <c r="C5" s="89"/>
      <c r="D5" s="89"/>
      <c r="E5" s="89"/>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row>
    <row r="6" spans="1:129" x14ac:dyDescent="0.35">
      <c r="A6" s="92" t="s">
        <v>139</v>
      </c>
      <c r="B6" s="77">
        <f>SUM(C6:DR6)</f>
        <v>145579000</v>
      </c>
      <c r="D6" s="35">
        <f>INPUTS!H23</f>
        <v>145579000</v>
      </c>
    </row>
    <row r="7" spans="1:129" s="8" customFormat="1" x14ac:dyDescent="0.35">
      <c r="A7" s="93" t="s">
        <v>140</v>
      </c>
      <c r="B7" s="94">
        <f t="shared" ref="B7:AG7" si="6">SUM(B6:B6)</f>
        <v>145579000</v>
      </c>
      <c r="C7" s="94">
        <f t="shared" si="6"/>
        <v>0</v>
      </c>
      <c r="D7" s="94">
        <f t="shared" si="6"/>
        <v>145579000</v>
      </c>
      <c r="E7" s="94">
        <f t="shared" si="6"/>
        <v>0</v>
      </c>
      <c r="F7" s="94">
        <f t="shared" si="6"/>
        <v>0</v>
      </c>
      <c r="G7" s="94">
        <f t="shared" si="6"/>
        <v>0</v>
      </c>
      <c r="H7" s="94">
        <f t="shared" si="6"/>
        <v>0</v>
      </c>
      <c r="I7" s="94">
        <f t="shared" si="6"/>
        <v>0</v>
      </c>
      <c r="J7" s="94">
        <f t="shared" si="6"/>
        <v>0</v>
      </c>
      <c r="K7" s="94">
        <f t="shared" si="6"/>
        <v>0</v>
      </c>
      <c r="L7" s="94">
        <f t="shared" si="6"/>
        <v>0</v>
      </c>
      <c r="M7" s="94">
        <f t="shared" si="6"/>
        <v>0</v>
      </c>
      <c r="N7" s="94">
        <f t="shared" si="6"/>
        <v>0</v>
      </c>
      <c r="O7" s="94">
        <f t="shared" si="6"/>
        <v>0</v>
      </c>
      <c r="P7" s="94">
        <f t="shared" si="6"/>
        <v>0</v>
      </c>
      <c r="Q7" s="94">
        <f t="shared" si="6"/>
        <v>0</v>
      </c>
      <c r="R7" s="94">
        <f t="shared" si="6"/>
        <v>0</v>
      </c>
      <c r="S7" s="94">
        <f t="shared" si="6"/>
        <v>0</v>
      </c>
      <c r="T7" s="94">
        <f t="shared" si="6"/>
        <v>0</v>
      </c>
      <c r="U7" s="94">
        <f t="shared" si="6"/>
        <v>0</v>
      </c>
      <c r="V7" s="94">
        <f t="shared" si="6"/>
        <v>0</v>
      </c>
      <c r="W7" s="94">
        <f t="shared" si="6"/>
        <v>0</v>
      </c>
      <c r="X7" s="94">
        <f t="shared" si="6"/>
        <v>0</v>
      </c>
      <c r="Y7" s="94">
        <f t="shared" si="6"/>
        <v>0</v>
      </c>
      <c r="Z7" s="94">
        <f t="shared" si="6"/>
        <v>0</v>
      </c>
      <c r="AA7" s="94">
        <f t="shared" si="6"/>
        <v>0</v>
      </c>
      <c r="AB7" s="94">
        <f t="shared" si="6"/>
        <v>0</v>
      </c>
      <c r="AC7" s="94">
        <f t="shared" si="6"/>
        <v>0</v>
      </c>
      <c r="AD7" s="94">
        <f t="shared" si="6"/>
        <v>0</v>
      </c>
      <c r="AE7" s="94">
        <f t="shared" si="6"/>
        <v>0</v>
      </c>
      <c r="AF7" s="94">
        <f t="shared" si="6"/>
        <v>0</v>
      </c>
      <c r="AG7" s="94">
        <f t="shared" si="6"/>
        <v>0</v>
      </c>
      <c r="AH7" s="94">
        <f t="shared" ref="AH7:BM7" si="7">SUM(AH6:AH6)</f>
        <v>0</v>
      </c>
      <c r="AI7" s="94">
        <f t="shared" si="7"/>
        <v>0</v>
      </c>
      <c r="AJ7" s="94">
        <f t="shared" si="7"/>
        <v>0</v>
      </c>
      <c r="AK7" s="94">
        <f t="shared" si="7"/>
        <v>0</v>
      </c>
      <c r="AL7" s="94">
        <f t="shared" si="7"/>
        <v>0</v>
      </c>
      <c r="AM7" s="94">
        <f t="shared" si="7"/>
        <v>0</v>
      </c>
      <c r="AN7" s="94">
        <f t="shared" si="7"/>
        <v>0</v>
      </c>
      <c r="AO7" s="94">
        <f t="shared" si="7"/>
        <v>0</v>
      </c>
      <c r="AP7" s="94">
        <f t="shared" si="7"/>
        <v>0</v>
      </c>
      <c r="AQ7" s="94">
        <f t="shared" si="7"/>
        <v>0</v>
      </c>
      <c r="AR7" s="94">
        <f t="shared" si="7"/>
        <v>0</v>
      </c>
      <c r="AS7" s="94">
        <f t="shared" si="7"/>
        <v>0</v>
      </c>
      <c r="AT7" s="94">
        <f t="shared" si="7"/>
        <v>0</v>
      </c>
      <c r="AU7" s="94">
        <f t="shared" si="7"/>
        <v>0</v>
      </c>
      <c r="AV7" s="94">
        <f t="shared" si="7"/>
        <v>0</v>
      </c>
      <c r="AW7" s="94">
        <f t="shared" si="7"/>
        <v>0</v>
      </c>
      <c r="AX7" s="94">
        <f t="shared" si="7"/>
        <v>0</v>
      </c>
      <c r="AY7" s="94">
        <f t="shared" si="7"/>
        <v>0</v>
      </c>
      <c r="AZ7" s="94">
        <f t="shared" si="7"/>
        <v>0</v>
      </c>
      <c r="BA7" s="94">
        <f t="shared" si="7"/>
        <v>0</v>
      </c>
      <c r="BB7" s="94">
        <f t="shared" si="7"/>
        <v>0</v>
      </c>
      <c r="BC7" s="94">
        <f t="shared" si="7"/>
        <v>0</v>
      </c>
      <c r="BD7" s="94">
        <f t="shared" si="7"/>
        <v>0</v>
      </c>
      <c r="BE7" s="94">
        <f t="shared" si="7"/>
        <v>0</v>
      </c>
      <c r="BF7" s="94">
        <f t="shared" si="7"/>
        <v>0</v>
      </c>
      <c r="BG7" s="94">
        <f t="shared" si="7"/>
        <v>0</v>
      </c>
      <c r="BH7" s="94">
        <f t="shared" si="7"/>
        <v>0</v>
      </c>
      <c r="BI7" s="94">
        <f t="shared" si="7"/>
        <v>0</v>
      </c>
      <c r="BJ7" s="94">
        <f t="shared" si="7"/>
        <v>0</v>
      </c>
      <c r="BK7" s="94">
        <f t="shared" si="7"/>
        <v>0</v>
      </c>
      <c r="BL7" s="94">
        <f t="shared" si="7"/>
        <v>0</v>
      </c>
      <c r="BM7" s="94">
        <f t="shared" si="7"/>
        <v>0</v>
      </c>
      <c r="BN7" s="94">
        <f t="shared" ref="BN7:CS7" si="8">SUM(BN6:BN6)</f>
        <v>0</v>
      </c>
      <c r="BO7" s="94">
        <f t="shared" si="8"/>
        <v>0</v>
      </c>
      <c r="BP7" s="94">
        <f t="shared" si="8"/>
        <v>0</v>
      </c>
      <c r="BQ7" s="94">
        <f t="shared" si="8"/>
        <v>0</v>
      </c>
      <c r="BR7" s="94">
        <f t="shared" si="8"/>
        <v>0</v>
      </c>
      <c r="BS7" s="94">
        <f t="shared" si="8"/>
        <v>0</v>
      </c>
      <c r="BT7" s="94">
        <f t="shared" si="8"/>
        <v>0</v>
      </c>
      <c r="BU7" s="94">
        <f t="shared" si="8"/>
        <v>0</v>
      </c>
      <c r="BV7" s="94">
        <f t="shared" si="8"/>
        <v>0</v>
      </c>
      <c r="BW7" s="94">
        <f t="shared" si="8"/>
        <v>0</v>
      </c>
      <c r="BX7" s="94">
        <f t="shared" si="8"/>
        <v>0</v>
      </c>
      <c r="BY7" s="94">
        <f t="shared" si="8"/>
        <v>0</v>
      </c>
      <c r="BZ7" s="94">
        <f t="shared" si="8"/>
        <v>0</v>
      </c>
      <c r="CA7" s="94">
        <f t="shared" si="8"/>
        <v>0</v>
      </c>
      <c r="CB7" s="94">
        <f t="shared" si="8"/>
        <v>0</v>
      </c>
      <c r="CC7" s="94">
        <f t="shared" si="8"/>
        <v>0</v>
      </c>
      <c r="CD7" s="94">
        <f t="shared" si="8"/>
        <v>0</v>
      </c>
      <c r="CE7" s="94">
        <f t="shared" si="8"/>
        <v>0</v>
      </c>
      <c r="CF7" s="94">
        <f t="shared" si="8"/>
        <v>0</v>
      </c>
      <c r="CG7" s="94">
        <f t="shared" si="8"/>
        <v>0</v>
      </c>
      <c r="CH7" s="94">
        <f t="shared" si="8"/>
        <v>0</v>
      </c>
      <c r="CI7" s="94">
        <f t="shared" si="8"/>
        <v>0</v>
      </c>
      <c r="CJ7" s="94">
        <f t="shared" si="8"/>
        <v>0</v>
      </c>
      <c r="CK7" s="94">
        <f t="shared" si="8"/>
        <v>0</v>
      </c>
      <c r="CL7" s="94">
        <f t="shared" si="8"/>
        <v>0</v>
      </c>
      <c r="CM7" s="94">
        <f t="shared" si="8"/>
        <v>0</v>
      </c>
      <c r="CN7" s="94">
        <f t="shared" si="8"/>
        <v>0</v>
      </c>
      <c r="CO7" s="94">
        <f t="shared" si="8"/>
        <v>0</v>
      </c>
      <c r="CP7" s="94">
        <f t="shared" si="8"/>
        <v>0</v>
      </c>
      <c r="CQ7" s="94">
        <f t="shared" si="8"/>
        <v>0</v>
      </c>
      <c r="CR7" s="94">
        <f t="shared" si="8"/>
        <v>0</v>
      </c>
      <c r="CS7" s="94">
        <f t="shared" si="8"/>
        <v>0</v>
      </c>
      <c r="CT7" s="94">
        <f t="shared" ref="CT7:DS7" si="9">SUM(CT6:CT6)</f>
        <v>0</v>
      </c>
      <c r="CU7" s="94">
        <f t="shared" si="9"/>
        <v>0</v>
      </c>
      <c r="CV7" s="94">
        <f t="shared" si="9"/>
        <v>0</v>
      </c>
      <c r="CW7" s="94">
        <f t="shared" si="9"/>
        <v>0</v>
      </c>
      <c r="CX7" s="94">
        <f t="shared" si="9"/>
        <v>0</v>
      </c>
      <c r="CY7" s="94">
        <f t="shared" si="9"/>
        <v>0</v>
      </c>
      <c r="CZ7" s="94">
        <f t="shared" si="9"/>
        <v>0</v>
      </c>
      <c r="DA7" s="94">
        <f t="shared" si="9"/>
        <v>0</v>
      </c>
      <c r="DB7" s="94">
        <f t="shared" si="9"/>
        <v>0</v>
      </c>
      <c r="DC7" s="94">
        <f t="shared" si="9"/>
        <v>0</v>
      </c>
      <c r="DD7" s="94">
        <f t="shared" si="9"/>
        <v>0</v>
      </c>
      <c r="DE7" s="94">
        <f t="shared" si="9"/>
        <v>0</v>
      </c>
      <c r="DF7" s="94">
        <f t="shared" si="9"/>
        <v>0</v>
      </c>
      <c r="DG7" s="94">
        <f t="shared" si="9"/>
        <v>0</v>
      </c>
      <c r="DH7" s="94">
        <f t="shared" si="9"/>
        <v>0</v>
      </c>
      <c r="DI7" s="94">
        <f t="shared" si="9"/>
        <v>0</v>
      </c>
      <c r="DJ7" s="94">
        <f t="shared" si="9"/>
        <v>0</v>
      </c>
      <c r="DK7" s="94">
        <f t="shared" si="9"/>
        <v>0</v>
      </c>
      <c r="DL7" s="94">
        <f t="shared" si="9"/>
        <v>0</v>
      </c>
      <c r="DM7" s="94">
        <f t="shared" si="9"/>
        <v>0</v>
      </c>
      <c r="DN7" s="94">
        <f t="shared" si="9"/>
        <v>0</v>
      </c>
      <c r="DO7" s="94">
        <f t="shared" si="9"/>
        <v>0</v>
      </c>
      <c r="DP7" s="94">
        <f t="shared" si="9"/>
        <v>0</v>
      </c>
      <c r="DQ7" s="94">
        <f t="shared" si="9"/>
        <v>0</v>
      </c>
      <c r="DR7" s="94">
        <f t="shared" si="9"/>
        <v>0</v>
      </c>
      <c r="DS7" s="94">
        <f t="shared" si="9"/>
        <v>0</v>
      </c>
    </row>
    <row r="8" spans="1:129" ht="15" thickBot="1" x14ac:dyDescent="0.4">
      <c r="A8" s="73"/>
    </row>
    <row r="9" spans="1:129" x14ac:dyDescent="0.35">
      <c r="A9" s="95" t="s">
        <v>141</v>
      </c>
      <c r="B9" s="96" t="s">
        <v>142</v>
      </c>
      <c r="C9" s="96" t="s">
        <v>143</v>
      </c>
      <c r="D9" s="96" t="s">
        <v>144</v>
      </c>
      <c r="E9" s="97" t="s">
        <v>144</v>
      </c>
    </row>
    <row r="10" spans="1:129" ht="15" thickBot="1" x14ac:dyDescent="0.4">
      <c r="A10" s="98" t="s">
        <v>139</v>
      </c>
      <c r="B10" s="152">
        <f>INPUTS!G26</f>
        <v>5</v>
      </c>
      <c r="C10" s="165">
        <f>INPUTS!G28</f>
        <v>44896</v>
      </c>
      <c r="D10" s="153">
        <f>INPUTS!G27</f>
        <v>0.02</v>
      </c>
      <c r="E10" s="99">
        <f>(1+D10)^12-1</f>
        <v>0.26824179456254527</v>
      </c>
    </row>
    <row r="11" spans="1:129" x14ac:dyDescent="0.35">
      <c r="A11" s="73"/>
    </row>
    <row r="12" spans="1:129" s="91" customFormat="1" x14ac:dyDescent="0.35">
      <c r="A12" s="88" t="s">
        <v>302</v>
      </c>
      <c r="B12" s="88"/>
      <c r="C12" s="89"/>
      <c r="D12" s="89"/>
      <c r="E12" s="89"/>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row>
    <row r="13" spans="1:129" x14ac:dyDescent="0.35">
      <c r="A13" s="92" t="s">
        <v>145</v>
      </c>
      <c r="D13" s="60">
        <f>IF(D2&lt;=$B$10*12,PMT($D$10,$B$10*12,-$D$6),0)</f>
        <v>4188011.6969550606</v>
      </c>
      <c r="E13" s="60">
        <f t="shared" ref="E13:BP13" si="10">IF(E2&lt;=$B$10*12,PMT($D$10,$B$10*12,-$D$6),0)</f>
        <v>4188011.6969550606</v>
      </c>
      <c r="F13" s="60">
        <f t="shared" si="10"/>
        <v>4188011.6969550606</v>
      </c>
      <c r="G13" s="60">
        <f t="shared" si="10"/>
        <v>4188011.6969550606</v>
      </c>
      <c r="H13" s="60">
        <f t="shared" si="10"/>
        <v>4188011.6969550606</v>
      </c>
      <c r="I13" s="60">
        <f t="shared" si="10"/>
        <v>4188011.6969550606</v>
      </c>
      <c r="J13" s="60">
        <f t="shared" si="10"/>
        <v>4188011.6969550606</v>
      </c>
      <c r="K13" s="60">
        <f t="shared" si="10"/>
        <v>4188011.6969550606</v>
      </c>
      <c r="L13" s="60">
        <f t="shared" si="10"/>
        <v>4188011.6969550606</v>
      </c>
      <c r="M13" s="60">
        <f t="shared" si="10"/>
        <v>4188011.6969550606</v>
      </c>
      <c r="N13" s="60">
        <f t="shared" si="10"/>
        <v>4188011.6969550606</v>
      </c>
      <c r="O13" s="60">
        <f t="shared" si="10"/>
        <v>4188011.6969550606</v>
      </c>
      <c r="P13" s="60">
        <f t="shared" si="10"/>
        <v>4188011.6969550606</v>
      </c>
      <c r="Q13" s="60">
        <f t="shared" si="10"/>
        <v>4188011.6969550606</v>
      </c>
      <c r="R13" s="60">
        <f t="shared" si="10"/>
        <v>4188011.6969550606</v>
      </c>
      <c r="S13" s="60">
        <f t="shared" si="10"/>
        <v>4188011.6969550606</v>
      </c>
      <c r="T13" s="60">
        <f t="shared" si="10"/>
        <v>4188011.6969550606</v>
      </c>
      <c r="U13" s="60">
        <f t="shared" si="10"/>
        <v>4188011.6969550606</v>
      </c>
      <c r="V13" s="60">
        <f t="shared" si="10"/>
        <v>4188011.6969550606</v>
      </c>
      <c r="W13" s="60">
        <f t="shared" si="10"/>
        <v>4188011.6969550606</v>
      </c>
      <c r="X13" s="60">
        <f t="shared" si="10"/>
        <v>4188011.6969550606</v>
      </c>
      <c r="Y13" s="60">
        <f t="shared" si="10"/>
        <v>4188011.6969550606</v>
      </c>
      <c r="Z13" s="60">
        <f t="shared" si="10"/>
        <v>4188011.6969550606</v>
      </c>
      <c r="AA13" s="60">
        <f t="shared" si="10"/>
        <v>4188011.6969550606</v>
      </c>
      <c r="AB13" s="60">
        <f t="shared" si="10"/>
        <v>4188011.6969550606</v>
      </c>
      <c r="AC13" s="60">
        <f t="shared" si="10"/>
        <v>4188011.6969550606</v>
      </c>
      <c r="AD13" s="60">
        <f t="shared" si="10"/>
        <v>4188011.6969550606</v>
      </c>
      <c r="AE13" s="60">
        <f t="shared" si="10"/>
        <v>4188011.6969550606</v>
      </c>
      <c r="AF13" s="60">
        <f t="shared" si="10"/>
        <v>4188011.6969550606</v>
      </c>
      <c r="AG13" s="60">
        <f t="shared" si="10"/>
        <v>4188011.6969550606</v>
      </c>
      <c r="AH13" s="60">
        <f t="shared" si="10"/>
        <v>4188011.6969550606</v>
      </c>
      <c r="AI13" s="60">
        <f t="shared" si="10"/>
        <v>4188011.6969550606</v>
      </c>
      <c r="AJ13" s="60">
        <f t="shared" si="10"/>
        <v>4188011.6969550606</v>
      </c>
      <c r="AK13" s="60">
        <f t="shared" si="10"/>
        <v>4188011.6969550606</v>
      </c>
      <c r="AL13" s="60">
        <f t="shared" si="10"/>
        <v>4188011.6969550606</v>
      </c>
      <c r="AM13" s="60">
        <f t="shared" si="10"/>
        <v>4188011.6969550606</v>
      </c>
      <c r="AN13" s="60">
        <f t="shared" si="10"/>
        <v>4188011.6969550606</v>
      </c>
      <c r="AO13" s="60">
        <f t="shared" si="10"/>
        <v>4188011.6969550606</v>
      </c>
      <c r="AP13" s="60">
        <f t="shared" si="10"/>
        <v>4188011.6969550606</v>
      </c>
      <c r="AQ13" s="60">
        <f t="shared" si="10"/>
        <v>4188011.6969550606</v>
      </c>
      <c r="AR13" s="60">
        <f t="shared" si="10"/>
        <v>4188011.6969550606</v>
      </c>
      <c r="AS13" s="60">
        <f t="shared" si="10"/>
        <v>4188011.6969550606</v>
      </c>
      <c r="AT13" s="60">
        <f t="shared" si="10"/>
        <v>4188011.6969550606</v>
      </c>
      <c r="AU13" s="60">
        <f t="shared" si="10"/>
        <v>4188011.6969550606</v>
      </c>
      <c r="AV13" s="60">
        <f t="shared" si="10"/>
        <v>4188011.6969550606</v>
      </c>
      <c r="AW13" s="60">
        <f t="shared" si="10"/>
        <v>4188011.6969550606</v>
      </c>
      <c r="AX13" s="60">
        <f t="shared" si="10"/>
        <v>4188011.6969550606</v>
      </c>
      <c r="AY13" s="60">
        <f t="shared" si="10"/>
        <v>4188011.6969550606</v>
      </c>
      <c r="AZ13" s="60">
        <f t="shared" si="10"/>
        <v>4188011.6969550606</v>
      </c>
      <c r="BA13" s="60">
        <f t="shared" si="10"/>
        <v>4188011.6969550606</v>
      </c>
      <c r="BB13" s="60">
        <f t="shared" si="10"/>
        <v>4188011.6969550606</v>
      </c>
      <c r="BC13" s="60">
        <f t="shared" si="10"/>
        <v>4188011.6969550606</v>
      </c>
      <c r="BD13" s="60">
        <f t="shared" si="10"/>
        <v>4188011.6969550606</v>
      </c>
      <c r="BE13" s="60">
        <f t="shared" si="10"/>
        <v>4188011.6969550606</v>
      </c>
      <c r="BF13" s="60">
        <f t="shared" si="10"/>
        <v>4188011.6969550606</v>
      </c>
      <c r="BG13" s="60">
        <f t="shared" si="10"/>
        <v>4188011.6969550606</v>
      </c>
      <c r="BH13" s="60">
        <f t="shared" si="10"/>
        <v>4188011.6969550606</v>
      </c>
      <c r="BI13" s="60">
        <f t="shared" si="10"/>
        <v>4188011.6969550606</v>
      </c>
      <c r="BJ13" s="60">
        <f t="shared" si="10"/>
        <v>4188011.6969550606</v>
      </c>
      <c r="BK13" s="60">
        <f t="shared" si="10"/>
        <v>4188011.6969550606</v>
      </c>
      <c r="BL13" s="60">
        <f t="shared" si="10"/>
        <v>0</v>
      </c>
      <c r="BM13" s="60">
        <f t="shared" si="10"/>
        <v>0</v>
      </c>
      <c r="BN13" s="60">
        <f t="shared" si="10"/>
        <v>0</v>
      </c>
      <c r="BO13" s="60">
        <f t="shared" si="10"/>
        <v>0</v>
      </c>
      <c r="BP13" s="60">
        <f t="shared" si="10"/>
        <v>0</v>
      </c>
      <c r="BQ13" s="60">
        <f t="shared" ref="BQ13:DY13" si="11">IF(BQ2&lt;=$B$10*12,PMT($D$10,$B$10*12,-$D$6),0)</f>
        <v>0</v>
      </c>
      <c r="BR13" s="60">
        <f t="shared" si="11"/>
        <v>0</v>
      </c>
      <c r="BS13" s="60">
        <f t="shared" si="11"/>
        <v>0</v>
      </c>
      <c r="BT13" s="60">
        <f t="shared" si="11"/>
        <v>0</v>
      </c>
      <c r="BU13" s="60">
        <f t="shared" si="11"/>
        <v>0</v>
      </c>
      <c r="BV13" s="60">
        <f t="shared" si="11"/>
        <v>0</v>
      </c>
      <c r="BW13" s="60">
        <f t="shared" si="11"/>
        <v>0</v>
      </c>
      <c r="BX13" s="60">
        <f t="shared" si="11"/>
        <v>0</v>
      </c>
      <c r="BY13" s="60">
        <f t="shared" si="11"/>
        <v>0</v>
      </c>
      <c r="BZ13" s="60">
        <f t="shared" si="11"/>
        <v>0</v>
      </c>
      <c r="CA13" s="60">
        <f t="shared" si="11"/>
        <v>0</v>
      </c>
      <c r="CB13" s="60">
        <f t="shared" si="11"/>
        <v>0</v>
      </c>
      <c r="CC13" s="60">
        <f t="shared" si="11"/>
        <v>0</v>
      </c>
      <c r="CD13" s="60">
        <f t="shared" si="11"/>
        <v>0</v>
      </c>
      <c r="CE13" s="60">
        <f t="shared" si="11"/>
        <v>0</v>
      </c>
      <c r="CF13" s="60">
        <f t="shared" si="11"/>
        <v>0</v>
      </c>
      <c r="CG13" s="60">
        <f t="shared" si="11"/>
        <v>0</v>
      </c>
      <c r="CH13" s="60">
        <f t="shared" si="11"/>
        <v>0</v>
      </c>
      <c r="CI13" s="60">
        <f t="shared" si="11"/>
        <v>0</v>
      </c>
      <c r="CJ13" s="60">
        <f t="shared" si="11"/>
        <v>0</v>
      </c>
      <c r="CK13" s="60">
        <f t="shared" si="11"/>
        <v>0</v>
      </c>
      <c r="CL13" s="60">
        <f t="shared" si="11"/>
        <v>0</v>
      </c>
      <c r="CM13" s="60">
        <f t="shared" si="11"/>
        <v>0</v>
      </c>
      <c r="CN13" s="60">
        <f t="shared" si="11"/>
        <v>0</v>
      </c>
      <c r="CO13" s="60">
        <f t="shared" si="11"/>
        <v>0</v>
      </c>
      <c r="CP13" s="60">
        <f t="shared" si="11"/>
        <v>0</v>
      </c>
      <c r="CQ13" s="60">
        <f t="shared" si="11"/>
        <v>0</v>
      </c>
      <c r="CR13" s="60">
        <f t="shared" si="11"/>
        <v>0</v>
      </c>
      <c r="CS13" s="60">
        <f t="shared" si="11"/>
        <v>0</v>
      </c>
      <c r="CT13" s="60">
        <f t="shared" si="11"/>
        <v>0</v>
      </c>
      <c r="CU13" s="60">
        <f t="shared" si="11"/>
        <v>0</v>
      </c>
      <c r="CV13" s="60">
        <f t="shared" si="11"/>
        <v>0</v>
      </c>
      <c r="CW13" s="60">
        <f t="shared" si="11"/>
        <v>0</v>
      </c>
      <c r="CX13" s="60">
        <f t="shared" si="11"/>
        <v>0</v>
      </c>
      <c r="CY13" s="60">
        <f t="shared" si="11"/>
        <v>0</v>
      </c>
      <c r="CZ13" s="60">
        <f t="shared" si="11"/>
        <v>0</v>
      </c>
      <c r="DA13" s="60">
        <f t="shared" si="11"/>
        <v>0</v>
      </c>
      <c r="DB13" s="60">
        <f t="shared" si="11"/>
        <v>0</v>
      </c>
      <c r="DC13" s="60">
        <f t="shared" si="11"/>
        <v>0</v>
      </c>
      <c r="DD13" s="60">
        <f t="shared" si="11"/>
        <v>0</v>
      </c>
      <c r="DE13" s="60">
        <f t="shared" si="11"/>
        <v>0</v>
      </c>
      <c r="DF13" s="60">
        <f t="shared" si="11"/>
        <v>0</v>
      </c>
      <c r="DG13" s="60">
        <f t="shared" si="11"/>
        <v>0</v>
      </c>
      <c r="DH13" s="60">
        <f t="shared" si="11"/>
        <v>0</v>
      </c>
      <c r="DI13" s="60">
        <f t="shared" si="11"/>
        <v>0</v>
      </c>
      <c r="DJ13" s="60">
        <f t="shared" si="11"/>
        <v>0</v>
      </c>
      <c r="DK13" s="60">
        <f t="shared" si="11"/>
        <v>0</v>
      </c>
      <c r="DL13" s="60">
        <f t="shared" si="11"/>
        <v>0</v>
      </c>
      <c r="DM13" s="60">
        <f t="shared" si="11"/>
        <v>0</v>
      </c>
      <c r="DN13" s="60">
        <f t="shared" si="11"/>
        <v>0</v>
      </c>
      <c r="DO13" s="60">
        <f t="shared" si="11"/>
        <v>0</v>
      </c>
      <c r="DP13" s="60">
        <f t="shared" si="11"/>
        <v>0</v>
      </c>
      <c r="DQ13" s="60">
        <f t="shared" si="11"/>
        <v>0</v>
      </c>
      <c r="DR13" s="60">
        <f t="shared" si="11"/>
        <v>0</v>
      </c>
      <c r="DS13" s="60">
        <f t="shared" si="11"/>
        <v>0</v>
      </c>
      <c r="DT13" s="60">
        <f t="shared" si="11"/>
        <v>0</v>
      </c>
      <c r="DU13" s="60">
        <f t="shared" si="11"/>
        <v>0</v>
      </c>
      <c r="DV13" s="60">
        <f t="shared" si="11"/>
        <v>0</v>
      </c>
      <c r="DW13" s="60">
        <f t="shared" si="11"/>
        <v>0</v>
      </c>
      <c r="DX13" s="60">
        <f t="shared" si="11"/>
        <v>0</v>
      </c>
      <c r="DY13" s="60">
        <f t="shared" si="11"/>
        <v>0</v>
      </c>
    </row>
    <row r="14" spans="1:129" x14ac:dyDescent="0.35">
      <c r="A14" s="92" t="s">
        <v>144</v>
      </c>
      <c r="D14" s="60">
        <f>+D6*D10</f>
        <v>2911580</v>
      </c>
      <c r="E14" s="35">
        <f>+$D$10*D16</f>
        <v>2886051.3660608991</v>
      </c>
      <c r="F14" s="35">
        <f>+$D$10*E16</f>
        <v>2860012.1594430157</v>
      </c>
      <c r="G14" s="35">
        <f>+$D$10*F16</f>
        <v>2833452.1686927746</v>
      </c>
      <c r="H14" s="35">
        <f>+$D$10*G16</f>
        <v>2806360.9781275289</v>
      </c>
      <c r="I14" s="35">
        <f>+$D$10*H16</f>
        <v>2778727.963750978</v>
      </c>
      <c r="J14" s="35">
        <f t="shared" ref="J14:BU14" si="12">+$D$10*I16</f>
        <v>2750542.2890868965</v>
      </c>
      <c r="K14" s="35">
        <f t="shared" si="12"/>
        <v>2721792.9009295325</v>
      </c>
      <c r="L14" s="35">
        <f t="shared" si="12"/>
        <v>2692468.5250090226</v>
      </c>
      <c r="M14" s="35">
        <f t="shared" si="12"/>
        <v>2662557.6615701015</v>
      </c>
      <c r="N14" s="35">
        <f t="shared" si="12"/>
        <v>2632048.5808624025</v>
      </c>
      <c r="O14" s="35">
        <f t="shared" si="12"/>
        <v>2600929.3185405498</v>
      </c>
      <c r="P14" s="35">
        <f t="shared" si="12"/>
        <v>2569187.6709722592</v>
      </c>
      <c r="Q14" s="35">
        <f t="shared" si="12"/>
        <v>2536811.1904526036</v>
      </c>
      <c r="R14" s="35">
        <f t="shared" si="12"/>
        <v>2503787.180322554</v>
      </c>
      <c r="S14" s="35">
        <f t="shared" si="12"/>
        <v>2470102.6899899039</v>
      </c>
      <c r="T14" s="35">
        <f t="shared" si="12"/>
        <v>2435744.5098506007</v>
      </c>
      <c r="U14" s="35">
        <f t="shared" si="12"/>
        <v>2400699.1661085114</v>
      </c>
      <c r="V14" s="35">
        <f t="shared" si="12"/>
        <v>2364952.9154915805</v>
      </c>
      <c r="W14" s="35">
        <f t="shared" si="12"/>
        <v>2328491.7398623112</v>
      </c>
      <c r="X14" s="35">
        <f t="shared" si="12"/>
        <v>2291301.3407204561</v>
      </c>
      <c r="Y14" s="35">
        <f t="shared" si="12"/>
        <v>2253367.1335957637</v>
      </c>
      <c r="Z14" s="35">
        <f t="shared" si="12"/>
        <v>2214674.2423285781</v>
      </c>
      <c r="AA14" s="35">
        <f t="shared" si="12"/>
        <v>2175207.4932360481</v>
      </c>
      <c r="AB14" s="35">
        <f t="shared" si="12"/>
        <v>2134951.4091616678</v>
      </c>
      <c r="AC14" s="35">
        <f t="shared" si="12"/>
        <v>2093890.2034057998</v>
      </c>
      <c r="AD14" s="35">
        <f t="shared" si="12"/>
        <v>2052007.7735348148</v>
      </c>
      <c r="AE14" s="35">
        <f t="shared" si="12"/>
        <v>2009287.6950664097</v>
      </c>
      <c r="AF14" s="35">
        <f t="shared" si="12"/>
        <v>1965713.2150286369</v>
      </c>
      <c r="AG14" s="35">
        <f t="shared" si="12"/>
        <v>1921267.2453901083</v>
      </c>
      <c r="AH14" s="35">
        <f t="shared" si="12"/>
        <v>1875932.3563588092</v>
      </c>
      <c r="AI14" s="35">
        <f t="shared" si="12"/>
        <v>1829690.7695468843</v>
      </c>
      <c r="AJ14" s="35">
        <f t="shared" si="12"/>
        <v>1782524.3509987209</v>
      </c>
      <c r="AK14" s="35">
        <f t="shared" si="12"/>
        <v>1734414.6040795941</v>
      </c>
      <c r="AL14" s="35">
        <f t="shared" si="12"/>
        <v>1685342.6622220848</v>
      </c>
      <c r="AM14" s="35">
        <f t="shared" si="12"/>
        <v>1635289.2815274252</v>
      </c>
      <c r="AN14" s="35">
        <f t="shared" si="12"/>
        <v>1584234.8332188723</v>
      </c>
      <c r="AO14" s="35">
        <f t="shared" si="12"/>
        <v>1532159.2959441487</v>
      </c>
      <c r="AP14" s="35">
        <f t="shared" si="12"/>
        <v>1479042.2479239304</v>
      </c>
      <c r="AQ14" s="35">
        <f t="shared" si="12"/>
        <v>1424862.8589433078</v>
      </c>
      <c r="AR14" s="35">
        <f t="shared" si="12"/>
        <v>1369599.8821830726</v>
      </c>
      <c r="AS14" s="35">
        <f t="shared" si="12"/>
        <v>1313231.6458876329</v>
      </c>
      <c r="AT14" s="35">
        <f t="shared" si="12"/>
        <v>1255736.0448662844</v>
      </c>
      <c r="AU14" s="35">
        <f t="shared" si="12"/>
        <v>1197090.5318245087</v>
      </c>
      <c r="AV14" s="35">
        <f t="shared" si="12"/>
        <v>1137272.1085218978</v>
      </c>
      <c r="AW14" s="35">
        <f t="shared" si="12"/>
        <v>1076257.3167532345</v>
      </c>
      <c r="AX14" s="35">
        <f t="shared" si="12"/>
        <v>1014022.2291491982</v>
      </c>
      <c r="AY14" s="35">
        <f t="shared" si="12"/>
        <v>950542.43979308091</v>
      </c>
      <c r="AZ14" s="35">
        <f t="shared" si="12"/>
        <v>885793.05464984116</v>
      </c>
      <c r="BA14" s="35">
        <f t="shared" si="12"/>
        <v>819748.68180373684</v>
      </c>
      <c r="BB14" s="35">
        <f t="shared" si="12"/>
        <v>752383.42150071042</v>
      </c>
      <c r="BC14" s="35">
        <f t="shared" si="12"/>
        <v>683670.85599162336</v>
      </c>
      <c r="BD14" s="35">
        <f t="shared" si="12"/>
        <v>613584.03917235462</v>
      </c>
      <c r="BE14" s="35">
        <f t="shared" si="12"/>
        <v>542095.48601670051</v>
      </c>
      <c r="BF14" s="35">
        <f t="shared" si="12"/>
        <v>469177.16179793328</v>
      </c>
      <c r="BG14" s="35">
        <f t="shared" si="12"/>
        <v>394800.47109479073</v>
      </c>
      <c r="BH14" s="35">
        <f t="shared" si="12"/>
        <v>318936.24657758529</v>
      </c>
      <c r="BI14" s="35">
        <f t="shared" si="12"/>
        <v>241554.7375700358</v>
      </c>
      <c r="BJ14" s="35">
        <f t="shared" si="12"/>
        <v>162625.5983823353</v>
      </c>
      <c r="BK14" s="35">
        <f t="shared" si="12"/>
        <v>82117.876410880795</v>
      </c>
      <c r="BL14" s="35">
        <f t="shared" si="12"/>
        <v>-2.8032809495925905E-9</v>
      </c>
      <c r="BM14" s="35">
        <f t="shared" si="12"/>
        <v>-2.859346568584442E-9</v>
      </c>
      <c r="BN14" s="35">
        <f t="shared" si="12"/>
        <v>-2.9165334999561308E-9</v>
      </c>
      <c r="BO14" s="35">
        <f t="shared" si="12"/>
        <v>-2.9748641699552536E-9</v>
      </c>
      <c r="BP14" s="35">
        <f t="shared" si="12"/>
        <v>-3.0343614533543587E-9</v>
      </c>
      <c r="BQ14" s="35">
        <f t="shared" si="12"/>
        <v>-3.0950486824214458E-9</v>
      </c>
      <c r="BR14" s="35">
        <f t="shared" si="12"/>
        <v>-3.1569496560698747E-9</v>
      </c>
      <c r="BS14" s="35">
        <f t="shared" si="12"/>
        <v>-3.2200886491912723E-9</v>
      </c>
      <c r="BT14" s="35">
        <f t="shared" si="12"/>
        <v>-3.2844904221750978E-9</v>
      </c>
      <c r="BU14" s="35">
        <f t="shared" si="12"/>
        <v>-3.3501802306185997E-9</v>
      </c>
      <c r="BV14" s="35">
        <f t="shared" ref="BV14:DY14" si="13">+$D$10*BU16</f>
        <v>-3.4171838352309714E-9</v>
      </c>
      <c r="BW14" s="35">
        <f t="shared" si="13"/>
        <v>-3.4855275119355906E-9</v>
      </c>
      <c r="BX14" s="35">
        <f t="shared" si="13"/>
        <v>-3.5552380621743024E-9</v>
      </c>
      <c r="BY14" s="35">
        <f t="shared" si="13"/>
        <v>-3.6263428234177886E-9</v>
      </c>
      <c r="BZ14" s="35">
        <f t="shared" si="13"/>
        <v>-3.6988696798861439E-9</v>
      </c>
      <c r="CA14" s="35">
        <f t="shared" si="13"/>
        <v>-3.772847073483867E-9</v>
      </c>
      <c r="CB14" s="35">
        <f t="shared" si="13"/>
        <v>-3.8483040149535445E-9</v>
      </c>
      <c r="CC14" s="35">
        <f t="shared" si="13"/>
        <v>-3.9252700952526149E-9</v>
      </c>
      <c r="CD14" s="35">
        <f t="shared" si="13"/>
        <v>-4.003775497157667E-9</v>
      </c>
      <c r="CE14" s="35">
        <f t="shared" si="13"/>
        <v>-4.0838510071008203E-9</v>
      </c>
      <c r="CF14" s="35">
        <f t="shared" si="13"/>
        <v>-4.1655280272428369E-9</v>
      </c>
      <c r="CG14" s="35">
        <f t="shared" si="13"/>
        <v>-4.2488385877876936E-9</v>
      </c>
      <c r="CH14" s="35">
        <f t="shared" si="13"/>
        <v>-4.3338153595434474E-9</v>
      </c>
      <c r="CI14" s="35">
        <f t="shared" si="13"/>
        <v>-4.4204916667343159E-9</v>
      </c>
      <c r="CJ14" s="35">
        <f t="shared" si="13"/>
        <v>-4.5089015000690027E-9</v>
      </c>
      <c r="CK14" s="35">
        <f t="shared" si="13"/>
        <v>-4.5990795300703827E-9</v>
      </c>
      <c r="CL14" s="35">
        <f t="shared" si="13"/>
        <v>-4.6910611206717903E-9</v>
      </c>
      <c r="CM14" s="35">
        <f t="shared" si="13"/>
        <v>-4.7848823430852259E-9</v>
      </c>
      <c r="CN14" s="35">
        <f t="shared" si="13"/>
        <v>-4.8805799899469309E-9</v>
      </c>
      <c r="CO14" s="35">
        <f t="shared" si="13"/>
        <v>-4.9781915897458694E-9</v>
      </c>
      <c r="CP14" s="35">
        <f t="shared" si="13"/>
        <v>-5.0777554215407872E-9</v>
      </c>
      <c r="CQ14" s="35">
        <f t="shared" si="13"/>
        <v>-5.1793105299716025E-9</v>
      </c>
      <c r="CR14" s="35">
        <f t="shared" si="13"/>
        <v>-5.2828967405710346E-9</v>
      </c>
      <c r="CS14" s="35">
        <f t="shared" si="13"/>
        <v>-5.3885546753824554E-9</v>
      </c>
      <c r="CT14" s="35">
        <f t="shared" si="13"/>
        <v>-5.4963257688901058E-9</v>
      </c>
      <c r="CU14" s="35">
        <f t="shared" si="13"/>
        <v>-5.6062522842679074E-9</v>
      </c>
      <c r="CV14" s="35">
        <f t="shared" si="13"/>
        <v>-5.7183773299532653E-9</v>
      </c>
      <c r="CW14" s="35">
        <f t="shared" si="13"/>
        <v>-5.8327448765523311E-9</v>
      </c>
      <c r="CX14" s="35">
        <f t="shared" si="13"/>
        <v>-5.9493997740833777E-9</v>
      </c>
      <c r="CY14" s="35">
        <f t="shared" si="13"/>
        <v>-6.0683877695650446E-9</v>
      </c>
      <c r="CZ14" s="35">
        <f t="shared" si="13"/>
        <v>-6.1897555249563453E-9</v>
      </c>
      <c r="DA14" s="35">
        <f t="shared" si="13"/>
        <v>-6.3135506354554717E-9</v>
      </c>
      <c r="DB14" s="35">
        <f t="shared" si="13"/>
        <v>-6.4398216481645817E-9</v>
      </c>
      <c r="DC14" s="35">
        <f t="shared" si="13"/>
        <v>-6.5686180811278725E-9</v>
      </c>
      <c r="DD14" s="35">
        <f t="shared" si="13"/>
        <v>-6.6999904427504302E-9</v>
      </c>
      <c r="DE14" s="35">
        <f t="shared" si="13"/>
        <v>-6.833990251605438E-9</v>
      </c>
      <c r="DF14" s="35">
        <f t="shared" si="13"/>
        <v>-6.9706700566375478E-9</v>
      </c>
      <c r="DG14" s="35">
        <f t="shared" si="13"/>
        <v>-7.1100834577702987E-9</v>
      </c>
      <c r="DH14" s="35">
        <f t="shared" si="13"/>
        <v>-7.2522851269257043E-9</v>
      </c>
      <c r="DI14" s="35">
        <f t="shared" si="13"/>
        <v>-7.3973308294642185E-9</v>
      </c>
      <c r="DJ14" s="35">
        <f t="shared" si="13"/>
        <v>-7.5452774460535038E-9</v>
      </c>
      <c r="DK14" s="35">
        <f t="shared" si="13"/>
        <v>-7.696182994974572E-9</v>
      </c>
      <c r="DL14" s="35">
        <f t="shared" si="13"/>
        <v>-7.850106654874065E-9</v>
      </c>
      <c r="DM14" s="35">
        <f t="shared" si="13"/>
        <v>-8.007108787971545E-9</v>
      </c>
      <c r="DN14" s="35">
        <f t="shared" si="13"/>
        <v>-8.1672509637309759E-9</v>
      </c>
      <c r="DO14" s="35">
        <f t="shared" si="13"/>
        <v>-8.3305959830055964E-9</v>
      </c>
      <c r="DP14" s="35">
        <f t="shared" si="13"/>
        <v>-8.4972079026657087E-9</v>
      </c>
      <c r="DQ14" s="35">
        <f t="shared" si="13"/>
        <v>-8.6671520607190221E-9</v>
      </c>
      <c r="DR14" s="35">
        <f t="shared" si="13"/>
        <v>-8.8404951019334014E-9</v>
      </c>
      <c r="DS14" s="35">
        <f t="shared" si="13"/>
        <v>-9.0173050039720702E-9</v>
      </c>
      <c r="DT14" s="35">
        <f t="shared" si="13"/>
        <v>-9.1976511040515111E-9</v>
      </c>
      <c r="DU14" s="35">
        <f t="shared" si="13"/>
        <v>-9.3816041261325418E-9</v>
      </c>
      <c r="DV14" s="35">
        <f t="shared" si="13"/>
        <v>-9.5692362086551931E-9</v>
      </c>
      <c r="DW14" s="35">
        <f t="shared" si="13"/>
        <v>-9.7606209328282976E-9</v>
      </c>
      <c r="DX14" s="35">
        <f t="shared" si="13"/>
        <v>-9.9558333514848626E-9</v>
      </c>
      <c r="DY14" s="35">
        <f t="shared" si="13"/>
        <v>-1.015495001851456E-8</v>
      </c>
    </row>
    <row r="15" spans="1:129" x14ac:dyDescent="0.35">
      <c r="A15" s="92" t="s">
        <v>146</v>
      </c>
      <c r="D15" s="60">
        <f>+D13-D14</f>
        <v>1276431.6969550606</v>
      </c>
      <c r="E15" s="60">
        <f>+E13-E14</f>
        <v>1301960.3308941615</v>
      </c>
      <c r="F15" s="60">
        <f>+F13-F14</f>
        <v>1327999.5375120449</v>
      </c>
      <c r="G15" s="60">
        <f t="shared" ref="G15:BM15" si="14">+G13-G14</f>
        <v>1354559.528262286</v>
      </c>
      <c r="H15" s="60">
        <f t="shared" si="14"/>
        <v>1381650.7188275317</v>
      </c>
      <c r="I15" s="60">
        <f t="shared" si="14"/>
        <v>1409283.7332040826</v>
      </c>
      <c r="J15" s="60">
        <f t="shared" si="14"/>
        <v>1437469.4078681641</v>
      </c>
      <c r="K15" s="60">
        <f t="shared" si="14"/>
        <v>1466218.7960255281</v>
      </c>
      <c r="L15" s="60">
        <f t="shared" si="14"/>
        <v>1495543.171946038</v>
      </c>
      <c r="M15" s="60">
        <f t="shared" si="14"/>
        <v>1525454.0353849591</v>
      </c>
      <c r="N15" s="60">
        <f t="shared" si="14"/>
        <v>1555963.1160926581</v>
      </c>
      <c r="O15" s="60">
        <f t="shared" si="14"/>
        <v>1587082.3784145107</v>
      </c>
      <c r="P15" s="60">
        <f t="shared" si="14"/>
        <v>1618824.0259828013</v>
      </c>
      <c r="Q15" s="60">
        <f t="shared" si="14"/>
        <v>1651200.506502457</v>
      </c>
      <c r="R15" s="60">
        <f t="shared" si="14"/>
        <v>1684224.5166325066</v>
      </c>
      <c r="S15" s="60">
        <f t="shared" si="14"/>
        <v>1717909.0069651566</v>
      </c>
      <c r="T15" s="60">
        <f t="shared" si="14"/>
        <v>1752267.1871044599</v>
      </c>
      <c r="U15" s="60">
        <f t="shared" si="14"/>
        <v>1787312.5308465492</v>
      </c>
      <c r="V15" s="60">
        <f t="shared" si="14"/>
        <v>1823058.7814634801</v>
      </c>
      <c r="W15" s="60">
        <f t="shared" si="14"/>
        <v>1859519.9570927494</v>
      </c>
      <c r="X15" s="60">
        <f t="shared" si="14"/>
        <v>1896710.3562346045</v>
      </c>
      <c r="Y15" s="60">
        <f t="shared" si="14"/>
        <v>1934644.5633592969</v>
      </c>
      <c r="Z15" s="60">
        <f t="shared" si="14"/>
        <v>1973337.4546264824</v>
      </c>
      <c r="AA15" s="60">
        <f t="shared" si="14"/>
        <v>2012804.2037190124</v>
      </c>
      <c r="AB15" s="60">
        <f t="shared" si="14"/>
        <v>2053060.2877933928</v>
      </c>
      <c r="AC15" s="60">
        <f t="shared" si="14"/>
        <v>2094121.4935492608</v>
      </c>
      <c r="AD15" s="60">
        <f t="shared" si="14"/>
        <v>2136003.9234202458</v>
      </c>
      <c r="AE15" s="60">
        <f t="shared" si="14"/>
        <v>2178724.0018886509</v>
      </c>
      <c r="AF15" s="60">
        <f t="shared" si="14"/>
        <v>2222298.4819264235</v>
      </c>
      <c r="AG15" s="60">
        <f t="shared" si="14"/>
        <v>2266744.4515649523</v>
      </c>
      <c r="AH15" s="60">
        <f t="shared" si="14"/>
        <v>2312079.3405962512</v>
      </c>
      <c r="AI15" s="60">
        <f t="shared" si="14"/>
        <v>2358320.9274081765</v>
      </c>
      <c r="AJ15" s="60">
        <f t="shared" si="14"/>
        <v>2405487.3459563395</v>
      </c>
      <c r="AK15" s="60">
        <f t="shared" si="14"/>
        <v>2453597.0928754667</v>
      </c>
      <c r="AL15" s="60">
        <f t="shared" si="14"/>
        <v>2502669.034732976</v>
      </c>
      <c r="AM15" s="60">
        <f t="shared" si="14"/>
        <v>2552722.4154276354</v>
      </c>
      <c r="AN15" s="60">
        <f t="shared" si="14"/>
        <v>2603776.863736188</v>
      </c>
      <c r="AO15" s="60">
        <f t="shared" si="14"/>
        <v>2655852.4010109119</v>
      </c>
      <c r="AP15" s="60">
        <f t="shared" si="14"/>
        <v>2708969.4490311304</v>
      </c>
      <c r="AQ15" s="60">
        <f t="shared" si="14"/>
        <v>2763148.8380117528</v>
      </c>
      <c r="AR15" s="60">
        <f t="shared" si="14"/>
        <v>2818411.814771988</v>
      </c>
      <c r="AS15" s="60">
        <f t="shared" si="14"/>
        <v>2874780.0510674277</v>
      </c>
      <c r="AT15" s="60">
        <f t="shared" si="14"/>
        <v>2932275.6520887762</v>
      </c>
      <c r="AU15" s="60">
        <f t="shared" si="14"/>
        <v>2990921.1651305519</v>
      </c>
      <c r="AV15" s="60">
        <f t="shared" si="14"/>
        <v>3050739.5884331628</v>
      </c>
      <c r="AW15" s="60">
        <f t="shared" si="14"/>
        <v>3111754.3802018259</v>
      </c>
      <c r="AX15" s="60">
        <f t="shared" si="14"/>
        <v>3173989.4678058624</v>
      </c>
      <c r="AY15" s="60">
        <f t="shared" si="14"/>
        <v>3237469.2571619796</v>
      </c>
      <c r="AZ15" s="60">
        <f t="shared" si="14"/>
        <v>3302218.6423052195</v>
      </c>
      <c r="BA15" s="60">
        <f t="shared" si="14"/>
        <v>3368263.0151513238</v>
      </c>
      <c r="BB15" s="60">
        <f t="shared" si="14"/>
        <v>3435628.2754543503</v>
      </c>
      <c r="BC15" s="60">
        <f t="shared" si="14"/>
        <v>3504340.8409634372</v>
      </c>
      <c r="BD15" s="60">
        <f t="shared" si="14"/>
        <v>3574427.657782706</v>
      </c>
      <c r="BE15" s="60">
        <f t="shared" si="14"/>
        <v>3645916.2109383601</v>
      </c>
      <c r="BF15" s="60">
        <f t="shared" si="14"/>
        <v>3718834.5351571273</v>
      </c>
      <c r="BG15" s="60">
        <f t="shared" si="14"/>
        <v>3793211.2258602697</v>
      </c>
      <c r="BH15" s="60">
        <f t="shared" si="14"/>
        <v>3869075.4503774755</v>
      </c>
      <c r="BI15" s="60">
        <f t="shared" si="14"/>
        <v>3946456.9593850248</v>
      </c>
      <c r="BJ15" s="60">
        <f t="shared" si="14"/>
        <v>4025386.0985727254</v>
      </c>
      <c r="BK15" s="60">
        <f t="shared" si="14"/>
        <v>4105893.82054418</v>
      </c>
      <c r="BL15" s="60">
        <f t="shared" si="14"/>
        <v>2.8032809495925905E-9</v>
      </c>
      <c r="BM15" s="60">
        <f t="shared" si="14"/>
        <v>2.859346568584442E-9</v>
      </c>
      <c r="BN15" s="60">
        <f t="shared" ref="BN15" si="15">+BN13-BN14</f>
        <v>2.9165334999561308E-9</v>
      </c>
      <c r="BO15" s="60">
        <f t="shared" ref="BO15" si="16">+BO13-BO14</f>
        <v>2.9748641699552536E-9</v>
      </c>
      <c r="BP15" s="60">
        <f t="shared" ref="BP15" si="17">+BP13-BP14</f>
        <v>3.0343614533543587E-9</v>
      </c>
      <c r="BQ15" s="60">
        <f t="shared" ref="BQ15" si="18">+BQ13-BQ14</f>
        <v>3.0950486824214458E-9</v>
      </c>
      <c r="BR15" s="60">
        <f t="shared" ref="BR15" si="19">+BR13-BR14</f>
        <v>3.1569496560698747E-9</v>
      </c>
      <c r="BS15" s="60">
        <f t="shared" ref="BS15" si="20">+BS13-BS14</f>
        <v>3.2200886491912723E-9</v>
      </c>
      <c r="BT15" s="60">
        <f t="shared" ref="BT15" si="21">+BT13-BT14</f>
        <v>3.2844904221750978E-9</v>
      </c>
      <c r="BU15" s="60">
        <f t="shared" ref="BU15" si="22">+BU13-BU14</f>
        <v>3.3501802306185997E-9</v>
      </c>
      <c r="BV15" s="60">
        <f t="shared" ref="BV15" si="23">+BV13-BV14</f>
        <v>3.4171838352309714E-9</v>
      </c>
      <c r="BW15" s="60">
        <f t="shared" ref="BW15" si="24">+BW13-BW14</f>
        <v>3.4855275119355906E-9</v>
      </c>
      <c r="BX15" s="60">
        <f t="shared" ref="BX15" si="25">+BX13-BX14</f>
        <v>3.5552380621743024E-9</v>
      </c>
      <c r="BY15" s="60">
        <f t="shared" ref="BY15" si="26">+BY13-BY14</f>
        <v>3.6263428234177886E-9</v>
      </c>
      <c r="BZ15" s="60">
        <f t="shared" ref="BZ15" si="27">+BZ13-BZ14</f>
        <v>3.6988696798861439E-9</v>
      </c>
      <c r="CA15" s="60">
        <f t="shared" ref="CA15" si="28">+CA13-CA14</f>
        <v>3.772847073483867E-9</v>
      </c>
      <c r="CB15" s="60">
        <f t="shared" ref="CB15" si="29">+CB13-CB14</f>
        <v>3.8483040149535445E-9</v>
      </c>
      <c r="CC15" s="60">
        <f t="shared" ref="CC15" si="30">+CC13-CC14</f>
        <v>3.9252700952526149E-9</v>
      </c>
      <c r="CD15" s="60">
        <f t="shared" ref="CD15" si="31">+CD13-CD14</f>
        <v>4.003775497157667E-9</v>
      </c>
      <c r="CE15" s="60">
        <f t="shared" ref="CE15" si="32">+CE13-CE14</f>
        <v>4.0838510071008203E-9</v>
      </c>
      <c r="CF15" s="60">
        <f t="shared" ref="CF15" si="33">+CF13-CF14</f>
        <v>4.1655280272428369E-9</v>
      </c>
      <c r="CG15" s="60">
        <f t="shared" ref="CG15" si="34">+CG13-CG14</f>
        <v>4.2488385877876936E-9</v>
      </c>
      <c r="CH15" s="60">
        <f t="shared" ref="CH15" si="35">+CH13-CH14</f>
        <v>4.3338153595434474E-9</v>
      </c>
      <c r="CI15" s="60">
        <f t="shared" ref="CI15" si="36">+CI13-CI14</f>
        <v>4.4204916667343159E-9</v>
      </c>
      <c r="CJ15" s="60">
        <f t="shared" ref="CJ15" si="37">+CJ13-CJ14</f>
        <v>4.5089015000690027E-9</v>
      </c>
      <c r="CK15" s="60">
        <f t="shared" ref="CK15" si="38">+CK13-CK14</f>
        <v>4.5990795300703827E-9</v>
      </c>
      <c r="CL15" s="60">
        <f t="shared" ref="CL15" si="39">+CL13-CL14</f>
        <v>4.6910611206717903E-9</v>
      </c>
      <c r="CM15" s="60">
        <f t="shared" ref="CM15" si="40">+CM13-CM14</f>
        <v>4.7848823430852259E-9</v>
      </c>
      <c r="CN15" s="60">
        <f t="shared" ref="CN15" si="41">+CN13-CN14</f>
        <v>4.8805799899469309E-9</v>
      </c>
      <c r="CO15" s="60">
        <f t="shared" ref="CO15" si="42">+CO13-CO14</f>
        <v>4.9781915897458694E-9</v>
      </c>
      <c r="CP15" s="60">
        <f t="shared" ref="CP15" si="43">+CP13-CP14</f>
        <v>5.0777554215407872E-9</v>
      </c>
      <c r="CQ15" s="60">
        <f t="shared" ref="CQ15" si="44">+CQ13-CQ14</f>
        <v>5.1793105299716025E-9</v>
      </c>
      <c r="CR15" s="60">
        <f t="shared" ref="CR15" si="45">+CR13-CR14</f>
        <v>5.2828967405710346E-9</v>
      </c>
      <c r="CS15" s="60">
        <f t="shared" ref="CS15" si="46">+CS13-CS14</f>
        <v>5.3885546753824554E-9</v>
      </c>
      <c r="CT15" s="60">
        <f t="shared" ref="CT15" si="47">+CT13-CT14</f>
        <v>5.4963257688901058E-9</v>
      </c>
      <c r="CU15" s="60">
        <f t="shared" ref="CU15" si="48">+CU13-CU14</f>
        <v>5.6062522842679074E-9</v>
      </c>
      <c r="CV15" s="60">
        <f t="shared" ref="CV15" si="49">+CV13-CV14</f>
        <v>5.7183773299532653E-9</v>
      </c>
      <c r="CW15" s="60">
        <f t="shared" ref="CW15" si="50">+CW13-CW14</f>
        <v>5.8327448765523311E-9</v>
      </c>
      <c r="CX15" s="60">
        <f t="shared" ref="CX15" si="51">+CX13-CX14</f>
        <v>5.9493997740833777E-9</v>
      </c>
      <c r="CY15" s="60">
        <f t="shared" ref="CY15" si="52">+CY13-CY14</f>
        <v>6.0683877695650446E-9</v>
      </c>
      <c r="CZ15" s="60">
        <f t="shared" ref="CZ15" si="53">+CZ13-CZ14</f>
        <v>6.1897555249563453E-9</v>
      </c>
      <c r="DA15" s="60">
        <f t="shared" ref="DA15" si="54">+DA13-DA14</f>
        <v>6.3135506354554717E-9</v>
      </c>
      <c r="DB15" s="60">
        <f t="shared" ref="DB15" si="55">+DB13-DB14</f>
        <v>6.4398216481645817E-9</v>
      </c>
      <c r="DC15" s="60">
        <f t="shared" ref="DC15" si="56">+DC13-DC14</f>
        <v>6.5686180811278725E-9</v>
      </c>
      <c r="DD15" s="60">
        <f t="shared" ref="DD15" si="57">+DD13-DD14</f>
        <v>6.6999904427504302E-9</v>
      </c>
      <c r="DE15" s="60">
        <f t="shared" ref="DE15" si="58">+DE13-DE14</f>
        <v>6.833990251605438E-9</v>
      </c>
      <c r="DF15" s="60">
        <f t="shared" ref="DF15" si="59">+DF13-DF14</f>
        <v>6.9706700566375478E-9</v>
      </c>
      <c r="DG15" s="60">
        <f t="shared" ref="DG15" si="60">+DG13-DG14</f>
        <v>7.1100834577702987E-9</v>
      </c>
      <c r="DH15" s="60">
        <f t="shared" ref="DH15" si="61">+DH13-DH14</f>
        <v>7.2522851269257043E-9</v>
      </c>
      <c r="DI15" s="60">
        <f t="shared" ref="DI15" si="62">+DI13-DI14</f>
        <v>7.3973308294642185E-9</v>
      </c>
      <c r="DJ15" s="60">
        <f t="shared" ref="DJ15" si="63">+DJ13-DJ14</f>
        <v>7.5452774460535038E-9</v>
      </c>
      <c r="DK15" s="60">
        <f t="shared" ref="DK15" si="64">+DK13-DK14</f>
        <v>7.696182994974572E-9</v>
      </c>
      <c r="DL15" s="60">
        <f t="shared" ref="DL15" si="65">+DL13-DL14</f>
        <v>7.850106654874065E-9</v>
      </c>
      <c r="DM15" s="60">
        <f t="shared" ref="DM15" si="66">+DM13-DM14</f>
        <v>8.007108787971545E-9</v>
      </c>
      <c r="DN15" s="60">
        <f t="shared" ref="DN15" si="67">+DN13-DN14</f>
        <v>8.1672509637309759E-9</v>
      </c>
      <c r="DO15" s="60">
        <f t="shared" ref="DO15" si="68">+DO13-DO14</f>
        <v>8.3305959830055964E-9</v>
      </c>
      <c r="DP15" s="60">
        <f t="shared" ref="DP15" si="69">+DP13-DP14</f>
        <v>8.4972079026657087E-9</v>
      </c>
      <c r="DQ15" s="60">
        <f t="shared" ref="DQ15" si="70">+DQ13-DQ14</f>
        <v>8.6671520607190221E-9</v>
      </c>
      <c r="DR15" s="60">
        <f t="shared" ref="DR15" si="71">+DR13-DR14</f>
        <v>8.8404951019334014E-9</v>
      </c>
      <c r="DS15" s="60">
        <f t="shared" ref="DS15" si="72">+DS13-DS14</f>
        <v>9.0173050039720702E-9</v>
      </c>
      <c r="DT15" s="60">
        <f t="shared" ref="DT15" si="73">+DT13-DT14</f>
        <v>9.1976511040515111E-9</v>
      </c>
      <c r="DU15" s="60">
        <f t="shared" ref="DU15" si="74">+DU13-DU14</f>
        <v>9.3816041261325418E-9</v>
      </c>
      <c r="DV15" s="60">
        <f t="shared" ref="DV15" si="75">+DV13-DV14</f>
        <v>9.5692362086551931E-9</v>
      </c>
      <c r="DW15" s="60">
        <f t="shared" ref="DW15" si="76">+DW13-DW14</f>
        <v>9.7606209328282976E-9</v>
      </c>
      <c r="DX15" s="60">
        <f t="shared" ref="DX15" si="77">+DX13-DX14</f>
        <v>9.9558333514848626E-9</v>
      </c>
      <c r="DY15" s="60">
        <f t="shared" ref="DY15" si="78">+DY13-DY14</f>
        <v>1.015495001851456E-8</v>
      </c>
    </row>
    <row r="16" spans="1:129" x14ac:dyDescent="0.35">
      <c r="A16" s="93" t="s">
        <v>147</v>
      </c>
      <c r="D16" s="60">
        <f>+D6-D15</f>
        <v>144302568.30304495</v>
      </c>
      <c r="E16" s="60">
        <f>+D16-E15</f>
        <v>143000607.97215077</v>
      </c>
      <c r="F16" s="35">
        <f t="shared" ref="F16" si="79">+E16-F15</f>
        <v>141672608.43463874</v>
      </c>
      <c r="G16" s="35">
        <f t="shared" ref="G16" si="80">+F16-G15</f>
        <v>140318048.90637645</v>
      </c>
      <c r="H16" s="35">
        <f t="shared" ref="H16" si="81">+G16-H15</f>
        <v>138936398.18754891</v>
      </c>
      <c r="I16" s="35">
        <f t="shared" ref="I16" si="82">+H16-I15</f>
        <v>137527114.45434481</v>
      </c>
      <c r="J16" s="35">
        <f t="shared" ref="J16" si="83">+I16-J15</f>
        <v>136089645.04647663</v>
      </c>
      <c r="K16" s="35">
        <f t="shared" ref="K16" si="84">+J16-K15</f>
        <v>134623426.25045112</v>
      </c>
      <c r="L16" s="35">
        <f t="shared" ref="L16" si="85">+K16-L15</f>
        <v>133127883.07850508</v>
      </c>
      <c r="M16" s="35">
        <f t="shared" ref="M16" si="86">+L16-M15</f>
        <v>131602429.04312013</v>
      </c>
      <c r="N16" s="35">
        <f t="shared" ref="N16" si="87">+M16-N15</f>
        <v>130046465.92702748</v>
      </c>
      <c r="O16" s="35">
        <f t="shared" ref="O16" si="88">+N16-O15</f>
        <v>128459383.54861297</v>
      </c>
      <c r="P16" s="35">
        <f t="shared" ref="P16" si="89">+O16-P15</f>
        <v>126840559.52263017</v>
      </c>
      <c r="Q16" s="35">
        <f t="shared" ref="Q16" si="90">+P16-Q15</f>
        <v>125189359.01612771</v>
      </c>
      <c r="R16" s="35">
        <f t="shared" ref="R16" si="91">+Q16-R15</f>
        <v>123505134.49949519</v>
      </c>
      <c r="S16" s="35">
        <f t="shared" ref="S16" si="92">+R16-S15</f>
        <v>121787225.49253003</v>
      </c>
      <c r="T16" s="35">
        <f t="shared" ref="T16" si="93">+S16-T15</f>
        <v>120034958.30542557</v>
      </c>
      <c r="U16" s="35">
        <f t="shared" ref="U16" si="94">+T16-U15</f>
        <v>118247645.77457902</v>
      </c>
      <c r="V16" s="35">
        <f t="shared" ref="V16" si="95">+U16-V15</f>
        <v>116424586.99311554</v>
      </c>
      <c r="W16" s="35">
        <f t="shared" ref="W16" si="96">+V16-W15</f>
        <v>114565067.0360228</v>
      </c>
      <c r="X16" s="35">
        <f t="shared" ref="X16" si="97">+W16-X15</f>
        <v>112668356.67978819</v>
      </c>
      <c r="Y16" s="35">
        <f t="shared" ref="Y16" si="98">+X16-Y15</f>
        <v>110733712.1164289</v>
      </c>
      <c r="Z16" s="35">
        <f t="shared" ref="Z16" si="99">+Y16-Z15</f>
        <v>108760374.66180241</v>
      </c>
      <c r="AA16" s="35">
        <f t="shared" ref="AA16" si="100">+Z16-AA15</f>
        <v>106747570.45808339</v>
      </c>
      <c r="AB16" s="35">
        <f t="shared" ref="AB16" si="101">+AA16-AB15</f>
        <v>104694510.17028999</v>
      </c>
      <c r="AC16" s="35">
        <f t="shared" ref="AC16" si="102">+AB16-AC15</f>
        <v>102600388.67674074</v>
      </c>
      <c r="AD16" s="35">
        <f t="shared" ref="AD16" si="103">+AC16-AD15</f>
        <v>100464384.75332049</v>
      </c>
      <c r="AE16" s="35">
        <f t="shared" ref="AE16" si="104">+AD16-AE15</f>
        <v>98285660.751431838</v>
      </c>
      <c r="AF16" s="35">
        <f t="shared" ref="AF16" si="105">+AE16-AF15</f>
        <v>96063362.269505411</v>
      </c>
      <c r="AG16" s="35">
        <f t="shared" ref="AG16" si="106">+AF16-AG15</f>
        <v>93796617.817940459</v>
      </c>
      <c r="AH16" s="35">
        <f t="shared" ref="AH16" si="107">+AG16-AH15</f>
        <v>91484538.477344215</v>
      </c>
      <c r="AI16" s="35">
        <f t="shared" ref="AI16" si="108">+AH16-AI15</f>
        <v>89126217.549936041</v>
      </c>
      <c r="AJ16" s="35">
        <f t="shared" ref="AJ16" si="109">+AI16-AJ15</f>
        <v>86720730.203979701</v>
      </c>
      <c r="AK16" s="35">
        <f t="shared" ref="AK16" si="110">+AJ16-AK15</f>
        <v>84267133.111104235</v>
      </c>
      <c r="AL16" s="35">
        <f t="shared" ref="AL16" si="111">+AK16-AL15</f>
        <v>81764464.076371253</v>
      </c>
      <c r="AM16" s="35">
        <f t="shared" ref="AM16" si="112">+AL16-AM15</f>
        <v>79211741.660943612</v>
      </c>
      <c r="AN16" s="35">
        <f t="shared" ref="AN16" si="113">+AM16-AN15</f>
        <v>76607964.79720743</v>
      </c>
      <c r="AO16" s="35">
        <f t="shared" ref="AO16" si="114">+AN16-AO15</f>
        <v>73952112.396196514</v>
      </c>
      <c r="AP16" s="35">
        <f t="shared" ref="AP16" si="115">+AO16-AP15</f>
        <v>71243142.947165385</v>
      </c>
      <c r="AQ16" s="35">
        <f t="shared" ref="AQ16" si="116">+AP16-AQ15</f>
        <v>68479994.109153628</v>
      </c>
      <c r="AR16" s="35">
        <f t="shared" ref="AR16" si="117">+AQ16-AR15</f>
        <v>65661582.294381641</v>
      </c>
      <c r="AS16" s="35">
        <f t="shared" ref="AS16" si="118">+AR16-AS15</f>
        <v>62786802.243314214</v>
      </c>
      <c r="AT16" s="35">
        <f t="shared" ref="AT16" si="119">+AS16-AT15</f>
        <v>59854526.591225438</v>
      </c>
      <c r="AU16" s="35">
        <f t="shared" ref="AU16" si="120">+AT16-AU15</f>
        <v>56863605.42609489</v>
      </c>
      <c r="AV16" s="35">
        <f t="shared" ref="AV16" si="121">+AU16-AV15</f>
        <v>53812865.837661728</v>
      </c>
      <c r="AW16" s="35">
        <f t="shared" ref="AW16" si="122">+AV16-AW15</f>
        <v>50701111.457459904</v>
      </c>
      <c r="AX16" s="35">
        <f t="shared" ref="AX16" si="123">+AW16-AX15</f>
        <v>47527121.989654042</v>
      </c>
      <c r="AY16" s="35">
        <f t="shared" ref="AY16" si="124">+AX16-AY15</f>
        <v>44289652.732492059</v>
      </c>
      <c r="AZ16" s="35">
        <f t="shared" ref="AZ16" si="125">+AY16-AZ15</f>
        <v>40987434.090186842</v>
      </c>
      <c r="BA16" s="35">
        <f t="shared" ref="BA16" si="126">+AZ16-BA15</f>
        <v>37619171.07503552</v>
      </c>
      <c r="BB16" s="35">
        <f t="shared" ref="BB16" si="127">+BA16-BB15</f>
        <v>34183542.79958117</v>
      </c>
      <c r="BC16" s="35">
        <f t="shared" ref="BC16" si="128">+BB16-BC15</f>
        <v>30679201.958617732</v>
      </c>
      <c r="BD16" s="35">
        <f t="shared" ref="BD16" si="129">+BC16-BD15</f>
        <v>27104774.300835025</v>
      </c>
      <c r="BE16" s="35">
        <f t="shared" ref="BE16" si="130">+BD16-BE15</f>
        <v>23458858.089896664</v>
      </c>
      <c r="BF16" s="35">
        <f t="shared" ref="BF16" si="131">+BE16-BF15</f>
        <v>19740023.554739535</v>
      </c>
      <c r="BG16" s="35">
        <f t="shared" ref="BG16" si="132">+BF16-BG15</f>
        <v>15946812.328879265</v>
      </c>
      <c r="BH16" s="35">
        <f t="shared" ref="BH16" si="133">+BG16-BH15</f>
        <v>12077736.87850179</v>
      </c>
      <c r="BI16" s="35">
        <f t="shared" ref="BI16" si="134">+BH16-BI15</f>
        <v>8131279.9191167653</v>
      </c>
      <c r="BJ16" s="35">
        <f t="shared" ref="BJ16" si="135">+BI16-BJ15</f>
        <v>4105893.8205440398</v>
      </c>
      <c r="BK16" s="35">
        <f t="shared" ref="BK16" si="136">+BJ16-BK15</f>
        <v>-1.4016404747962952E-7</v>
      </c>
      <c r="BL16" s="35">
        <f t="shared" ref="BL16" si="137">+BK16-BL15</f>
        <v>-1.429673284292221E-7</v>
      </c>
      <c r="BM16" s="35">
        <f t="shared" ref="BM16" si="138">+BL16-BM15</f>
        <v>-1.4582667499780654E-7</v>
      </c>
      <c r="BN16" s="35">
        <f t="shared" ref="BN16" si="139">+BM16-BN15</f>
        <v>-1.4874320849776268E-7</v>
      </c>
      <c r="BO16" s="35">
        <f t="shared" ref="BO16" si="140">+BN16-BO15</f>
        <v>-1.5171807266771793E-7</v>
      </c>
      <c r="BP16" s="35">
        <f t="shared" ref="BP16" si="141">+BO16-BP15</f>
        <v>-1.5475243412107229E-7</v>
      </c>
      <c r="BQ16" s="35">
        <f t="shared" ref="BQ16" si="142">+BP16-BQ15</f>
        <v>-1.5784748280349373E-7</v>
      </c>
      <c r="BR16" s="35">
        <f t="shared" ref="BR16" si="143">+BQ16-BR15</f>
        <v>-1.6100443245956361E-7</v>
      </c>
      <c r="BS16" s="35">
        <f t="shared" ref="BS16" si="144">+BR16-BS15</f>
        <v>-1.6422452110875489E-7</v>
      </c>
      <c r="BT16" s="35">
        <f t="shared" ref="BT16" si="145">+BS16-BT15</f>
        <v>-1.6750901153092997E-7</v>
      </c>
      <c r="BU16" s="35">
        <f t="shared" ref="BU16" si="146">+BT16-BU15</f>
        <v>-1.7085919176154857E-7</v>
      </c>
      <c r="BV16" s="35">
        <f t="shared" ref="BV16" si="147">+BU16-BV15</f>
        <v>-1.7427637559677953E-7</v>
      </c>
      <c r="BW16" s="35">
        <f t="shared" ref="BW16" si="148">+BV16-BW15</f>
        <v>-1.7776190310871511E-7</v>
      </c>
      <c r="BX16" s="35">
        <f t="shared" ref="BX16" si="149">+BW16-BX15</f>
        <v>-1.8131714117088942E-7</v>
      </c>
      <c r="BY16" s="35">
        <f t="shared" ref="BY16" si="150">+BX16-BY15</f>
        <v>-1.849434839943072E-7</v>
      </c>
      <c r="BZ16" s="35">
        <f t="shared" ref="BZ16" si="151">+BY16-BZ15</f>
        <v>-1.8864235367419335E-7</v>
      </c>
      <c r="CA16" s="35">
        <f t="shared" ref="CA16" si="152">+BZ16-CA15</f>
        <v>-1.924152007476772E-7</v>
      </c>
      <c r="CB16" s="35">
        <f t="shared" ref="CB16" si="153">+CA16-CB15</f>
        <v>-1.9626350476263074E-7</v>
      </c>
      <c r="CC16" s="35">
        <f t="shared" ref="CC16" si="154">+CB16-CC15</f>
        <v>-2.0018877485788335E-7</v>
      </c>
      <c r="CD16" s="35">
        <f t="shared" ref="CD16" si="155">+CC16-CD15</f>
        <v>-2.0419255035504102E-7</v>
      </c>
      <c r="CE16" s="35">
        <f t="shared" ref="CE16" si="156">+CD16-CE15</f>
        <v>-2.0827640136214185E-7</v>
      </c>
      <c r="CF16" s="35">
        <f t="shared" ref="CF16" si="157">+CE16-CF15</f>
        <v>-2.1244192938938467E-7</v>
      </c>
      <c r="CG16" s="35">
        <f t="shared" ref="CG16" si="158">+CF16-CG15</f>
        <v>-2.1669076797717235E-7</v>
      </c>
      <c r="CH16" s="35">
        <f t="shared" ref="CH16" si="159">+CG16-CH15</f>
        <v>-2.210245833367158E-7</v>
      </c>
      <c r="CI16" s="35">
        <f t="shared" ref="CI16" si="160">+CH16-CI15</f>
        <v>-2.2544507500345012E-7</v>
      </c>
      <c r="CJ16" s="35">
        <f t="shared" ref="CJ16" si="161">+CI16-CJ15</f>
        <v>-2.2995397650351912E-7</v>
      </c>
      <c r="CK16" s="35">
        <f t="shared" ref="CK16" si="162">+CJ16-CK15</f>
        <v>-2.345530560335895E-7</v>
      </c>
      <c r="CL16" s="35">
        <f t="shared" ref="CL16" si="163">+CK16-CL15</f>
        <v>-2.3924411715426129E-7</v>
      </c>
      <c r="CM16" s="35">
        <f t="shared" ref="CM16" si="164">+CL16-CM15</f>
        <v>-2.4402899949734653E-7</v>
      </c>
      <c r="CN16" s="35">
        <f t="shared" ref="CN16" si="165">+CM16-CN15</f>
        <v>-2.4890957948729348E-7</v>
      </c>
      <c r="CO16" s="35">
        <f t="shared" ref="CO16" si="166">+CN16-CO15</f>
        <v>-2.5388777107703936E-7</v>
      </c>
      <c r="CP16" s="35">
        <f t="shared" ref="CP16" si="167">+CO16-CP15</f>
        <v>-2.5896552649858013E-7</v>
      </c>
      <c r="CQ16" s="35">
        <f t="shared" ref="CQ16" si="168">+CP16-CQ15</f>
        <v>-2.6414483702855174E-7</v>
      </c>
      <c r="CR16" s="35">
        <f t="shared" ref="CR16" si="169">+CQ16-CR15</f>
        <v>-2.6942773376912278E-7</v>
      </c>
      <c r="CS16" s="35">
        <f t="shared" ref="CS16" si="170">+CR16-CS15</f>
        <v>-2.7481628844450526E-7</v>
      </c>
      <c r="CT16" s="35">
        <f t="shared" ref="CT16" si="171">+CS16-CT15</f>
        <v>-2.8031261421339535E-7</v>
      </c>
      <c r="CU16" s="35">
        <f t="shared" ref="CU16" si="172">+CT16-CU15</f>
        <v>-2.8591886649766327E-7</v>
      </c>
      <c r="CV16" s="35">
        <f t="shared" ref="CV16" si="173">+CU16-CV15</f>
        <v>-2.9163724382761656E-7</v>
      </c>
      <c r="CW16" s="35">
        <f t="shared" ref="CW16" si="174">+CV16-CW15</f>
        <v>-2.9746998870416886E-7</v>
      </c>
      <c r="CX16" s="35">
        <f t="shared" ref="CX16" si="175">+CW16-CX15</f>
        <v>-3.0341938847825222E-7</v>
      </c>
      <c r="CY16" s="35">
        <f t="shared" ref="CY16" si="176">+CX16-CY15</f>
        <v>-3.0948777624781726E-7</v>
      </c>
      <c r="CZ16" s="35">
        <f t="shared" ref="CZ16" si="177">+CY16-CZ15</f>
        <v>-3.1567753177277359E-7</v>
      </c>
      <c r="DA16" s="35">
        <f t="shared" ref="DA16" si="178">+CZ16-DA15</f>
        <v>-3.2199108240822906E-7</v>
      </c>
      <c r="DB16" s="35">
        <f t="shared" ref="DB16" si="179">+DA16-DB15</f>
        <v>-3.2843090405639363E-7</v>
      </c>
      <c r="DC16" s="35">
        <f t="shared" ref="DC16" si="180">+DB16-DC15</f>
        <v>-3.349995221375215E-7</v>
      </c>
      <c r="DD16" s="35">
        <f t="shared" ref="DD16" si="181">+DC16-DD15</f>
        <v>-3.4169951258027191E-7</v>
      </c>
      <c r="DE16" s="35">
        <f t="shared" ref="DE16" si="182">+DD16-DE15</f>
        <v>-3.4853350283187737E-7</v>
      </c>
      <c r="DF16" s="35">
        <f t="shared" ref="DF16" si="183">+DE16-DF15</f>
        <v>-3.5550417288851492E-7</v>
      </c>
      <c r="DG16" s="35">
        <f t="shared" ref="DG16" si="184">+DF16-DG15</f>
        <v>-3.626142563462852E-7</v>
      </c>
      <c r="DH16" s="35">
        <f t="shared" ref="DH16" si="185">+DG16-DH15</f>
        <v>-3.6986654147321091E-7</v>
      </c>
      <c r="DI16" s="35">
        <f t="shared" ref="DI16" si="186">+DH16-DI15</f>
        <v>-3.7726387230267515E-7</v>
      </c>
      <c r="DJ16" s="35">
        <f t="shared" ref="DJ16" si="187">+DI16-DJ15</f>
        <v>-3.8480914974872863E-7</v>
      </c>
      <c r="DK16" s="35">
        <f t="shared" ref="DK16" si="188">+DJ16-DK15</f>
        <v>-3.9250533274370321E-7</v>
      </c>
      <c r="DL16" s="35">
        <f t="shared" ref="DL16" si="189">+DK16-DL15</f>
        <v>-4.0035543939857727E-7</v>
      </c>
      <c r="DM16" s="35">
        <f t="shared" ref="DM16" si="190">+DL16-DM15</f>
        <v>-4.0836254818654881E-7</v>
      </c>
      <c r="DN16" s="35">
        <f t="shared" ref="DN16" si="191">+DM16-DN15</f>
        <v>-4.1652979915027979E-7</v>
      </c>
      <c r="DO16" s="35">
        <f t="shared" ref="DO16" si="192">+DN16-DO15</f>
        <v>-4.2486039513328541E-7</v>
      </c>
      <c r="DP16" s="35">
        <f t="shared" ref="DP16" si="193">+DO16-DP15</f>
        <v>-4.3335760303595109E-7</v>
      </c>
      <c r="DQ16" s="35">
        <f t="shared" ref="DQ16" si="194">+DP16-DQ15</f>
        <v>-4.420247550966701E-7</v>
      </c>
      <c r="DR16" s="35">
        <f t="shared" ref="DR16" si="195">+DQ16-DR15</f>
        <v>-4.5086525019860349E-7</v>
      </c>
      <c r="DS16" s="35">
        <f t="shared" ref="DS16" si="196">+DR16-DS15</f>
        <v>-4.5988255520257557E-7</v>
      </c>
      <c r="DT16" s="35">
        <f t="shared" ref="DT16" si="197">+DS16-DT15</f>
        <v>-4.6908020630662706E-7</v>
      </c>
      <c r="DU16" s="35">
        <f t="shared" ref="DU16" si="198">+DT16-DU15</f>
        <v>-4.7846181043275963E-7</v>
      </c>
      <c r="DV16" s="35">
        <f t="shared" ref="DV16" si="199">+DU16-DV15</f>
        <v>-4.8803104664141484E-7</v>
      </c>
      <c r="DW16" s="35">
        <f t="shared" ref="DW16" si="200">+DV16-DW15</f>
        <v>-4.977916675742431E-7</v>
      </c>
      <c r="DX16" s="35">
        <f t="shared" ref="DX16" si="201">+DW16-DX15</f>
        <v>-5.0774750092572799E-7</v>
      </c>
      <c r="DY16" s="35">
        <f t="shared" ref="DY16" si="202">+DX16-DY15</f>
        <v>-5.1790245094424252E-7</v>
      </c>
    </row>
    <row r="18" spans="1:13" x14ac:dyDescent="0.35">
      <c r="A18" s="100" t="s">
        <v>148</v>
      </c>
      <c r="C18" s="34">
        <v>0</v>
      </c>
      <c r="D18" s="34">
        <f>C18+1</f>
        <v>1</v>
      </c>
      <c r="E18" s="34">
        <f>D18+1</f>
        <v>2</v>
      </c>
      <c r="F18" s="34">
        <f t="shared" ref="F18:M18" si="203">E18+1</f>
        <v>3</v>
      </c>
      <c r="G18" s="34">
        <f t="shared" si="203"/>
        <v>4</v>
      </c>
      <c r="H18" s="34">
        <f t="shared" si="203"/>
        <v>5</v>
      </c>
      <c r="I18" s="34">
        <f t="shared" si="203"/>
        <v>6</v>
      </c>
      <c r="J18" s="34">
        <f t="shared" si="203"/>
        <v>7</v>
      </c>
      <c r="K18" s="34">
        <f t="shared" si="203"/>
        <v>8</v>
      </c>
      <c r="L18" s="34">
        <f t="shared" si="203"/>
        <v>9</v>
      </c>
      <c r="M18" s="34">
        <f t="shared" si="203"/>
        <v>10</v>
      </c>
    </row>
    <row r="19" spans="1:13" x14ac:dyDescent="0.35">
      <c r="A19" s="73" t="s">
        <v>145</v>
      </c>
      <c r="B19" s="77">
        <f ca="1">SUM(C19:M19)</f>
        <v>251280700</v>
      </c>
      <c r="C19" s="35">
        <f ca="1">ROUND(SUMIF($C$1:$DY$1,C$18+2022,$C13:$DS13),0)</f>
        <v>0</v>
      </c>
      <c r="D19" s="35">
        <f t="shared" ref="D19:M19" ca="1" si="204">ROUND(SUMIF($C$1:$DY$1,D$18+2022,$C13:$DS13),0)</f>
        <v>50256140</v>
      </c>
      <c r="E19" s="35">
        <f t="shared" ca="1" si="204"/>
        <v>50256140</v>
      </c>
      <c r="F19" s="35">
        <f t="shared" ca="1" si="204"/>
        <v>50256140</v>
      </c>
      <c r="G19" s="35">
        <f t="shared" ca="1" si="204"/>
        <v>50256140</v>
      </c>
      <c r="H19" s="35">
        <f t="shared" ca="1" si="204"/>
        <v>50256140</v>
      </c>
      <c r="I19" s="35">
        <f t="shared" ca="1" si="204"/>
        <v>0</v>
      </c>
      <c r="J19" s="35">
        <f t="shared" ca="1" si="204"/>
        <v>0</v>
      </c>
      <c r="K19" s="35">
        <f t="shared" ca="1" si="204"/>
        <v>0</v>
      </c>
      <c r="L19" s="35">
        <f t="shared" ca="1" si="204"/>
        <v>0</v>
      </c>
      <c r="M19" s="35">
        <f t="shared" ca="1" si="204"/>
        <v>0</v>
      </c>
    </row>
    <row r="20" spans="1:13" x14ac:dyDescent="0.35">
      <c r="A20" s="73" t="s">
        <v>144</v>
      </c>
      <c r="B20" s="77">
        <f t="shared" ref="B20:B21" ca="1" si="205">SUM(C20:M20)</f>
        <v>105701702</v>
      </c>
      <c r="C20" s="35">
        <f ca="1">ROUND(SUMIF($C$1:$DY$1,C$18+2022,$C14:$DS14),0)</f>
        <v>0</v>
      </c>
      <c r="D20" s="35">
        <f t="shared" ref="D20:M20" ca="1" si="206">ROUND(SUMIF($C$1:$DY$1,D$18+2022,$C14:$DS14),0)</f>
        <v>33136524</v>
      </c>
      <c r="E20" s="35">
        <f t="shared" ca="1" si="206"/>
        <v>28544327</v>
      </c>
      <c r="F20" s="35">
        <f t="shared" ca="1" si="206"/>
        <v>22720312</v>
      </c>
      <c r="G20" s="35">
        <f t="shared" ca="1" si="206"/>
        <v>15334051</v>
      </c>
      <c r="H20" s="35">
        <f t="shared" ca="1" si="206"/>
        <v>5966488</v>
      </c>
      <c r="I20" s="35">
        <f t="shared" ca="1" si="206"/>
        <v>0</v>
      </c>
      <c r="J20" s="35">
        <f t="shared" ca="1" si="206"/>
        <v>0</v>
      </c>
      <c r="K20" s="35">
        <f t="shared" ca="1" si="206"/>
        <v>0</v>
      </c>
      <c r="L20" s="35">
        <f t="shared" ca="1" si="206"/>
        <v>0</v>
      </c>
      <c r="M20" s="35">
        <f t="shared" ca="1" si="206"/>
        <v>0</v>
      </c>
    </row>
    <row r="21" spans="1:13" x14ac:dyDescent="0.35">
      <c r="A21" s="73" t="s">
        <v>146</v>
      </c>
      <c r="B21" s="136">
        <f t="shared" ca="1" si="205"/>
        <v>145579000</v>
      </c>
      <c r="C21" s="35">
        <f ca="1">ROUND(SUMIF($C$1:$DY$1,C$18+2022,$C15:$DS15),0)</f>
        <v>0</v>
      </c>
      <c r="D21" s="35">
        <f t="shared" ref="D21:M21" ca="1" si="207">ROUND(SUMIF($C$1:$DY$1,D$18+2022,$C15:$DS15),0)</f>
        <v>17119616</v>
      </c>
      <c r="E21" s="35">
        <f t="shared" ca="1" si="207"/>
        <v>21711813</v>
      </c>
      <c r="F21" s="35">
        <f t="shared" ca="1" si="207"/>
        <v>27535829</v>
      </c>
      <c r="G21" s="35">
        <f t="shared" ca="1" si="207"/>
        <v>34922089</v>
      </c>
      <c r="H21" s="35">
        <f t="shared" ca="1" si="207"/>
        <v>44289653</v>
      </c>
      <c r="I21" s="35">
        <f t="shared" ca="1" si="207"/>
        <v>0</v>
      </c>
      <c r="J21" s="35">
        <f t="shared" ca="1" si="207"/>
        <v>0</v>
      </c>
      <c r="K21" s="35">
        <f t="shared" ca="1" si="207"/>
        <v>0</v>
      </c>
      <c r="L21" s="35">
        <f t="shared" ca="1" si="207"/>
        <v>0</v>
      </c>
      <c r="M21" s="35">
        <f t="shared" ca="1" si="207"/>
        <v>0</v>
      </c>
    </row>
    <row r="22" spans="1:13" x14ac:dyDescent="0.35">
      <c r="A22" s="101" t="s">
        <v>147</v>
      </c>
      <c r="B22" s="77"/>
      <c r="C22" s="35">
        <f>D6</f>
        <v>145579000</v>
      </c>
      <c r="D22" s="35">
        <f ca="1">ROUND(C22-D21,0)</f>
        <v>128459384</v>
      </c>
      <c r="E22" s="35">
        <f t="shared" ref="E22:M22" ca="1" si="208">ROUND(D22-E21,0)</f>
        <v>106747571</v>
      </c>
      <c r="F22" s="35">
        <f t="shared" ca="1" si="208"/>
        <v>79211742</v>
      </c>
      <c r="G22" s="35">
        <f t="shared" ca="1" si="208"/>
        <v>44289653</v>
      </c>
      <c r="H22" s="35">
        <f t="shared" ca="1" si="208"/>
        <v>0</v>
      </c>
      <c r="I22" s="35">
        <f t="shared" ca="1" si="208"/>
        <v>0</v>
      </c>
      <c r="J22" s="35">
        <f t="shared" ca="1" si="208"/>
        <v>0</v>
      </c>
      <c r="K22" s="35">
        <f t="shared" ca="1" si="208"/>
        <v>0</v>
      </c>
      <c r="L22" s="35">
        <f t="shared" ca="1" si="208"/>
        <v>0</v>
      </c>
      <c r="M22" s="35">
        <f t="shared" ca="1" si="208"/>
        <v>0</v>
      </c>
    </row>
    <row r="24" spans="1:13" x14ac:dyDescent="0.35">
      <c r="A24" s="73" t="s">
        <v>258</v>
      </c>
      <c r="D24" s="128">
        <f ca="1">IFERROR(D20/C22,0)</f>
        <v>0.22761884612478447</v>
      </c>
      <c r="E24" s="128">
        <f ca="1">IFERROR(E20/D22,0)</f>
        <v>0.2222050745627116</v>
      </c>
      <c r="F24" s="128">
        <f ca="1">IFERROR(F20/E22,0)</f>
        <v>0.21284148938620814</v>
      </c>
      <c r="G24" s="128">
        <f ca="1">IFERROR(G20/F22,0)</f>
        <v>0.19358305489607841</v>
      </c>
      <c r="H24" s="128">
        <f ca="1">IFERROR(H20/G22,0)</f>
        <v>0.13471516699397035</v>
      </c>
      <c r="I24" s="128">
        <f t="shared" ref="I24:M24" ca="1" si="209">IFERROR(I20/H22,0)</f>
        <v>0</v>
      </c>
      <c r="J24" s="128">
        <f t="shared" ca="1" si="209"/>
        <v>0</v>
      </c>
      <c r="K24" s="128">
        <f t="shared" ca="1" si="209"/>
        <v>0</v>
      </c>
      <c r="L24" s="128">
        <f t="shared" ca="1" si="209"/>
        <v>0</v>
      </c>
      <c r="M24" s="128">
        <f t="shared" ca="1" si="209"/>
        <v>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4B012-111F-4F72-BB37-5FB9A271D6F6}">
  <dimension ref="A3:U331"/>
  <sheetViews>
    <sheetView zoomScaleNormal="100" workbookViewId="0">
      <pane ySplit="3" topLeftCell="A4" activePane="bottomLeft" state="frozen"/>
      <selection pane="bottomLeft" activeCell="B256" sqref="B256"/>
    </sheetView>
  </sheetViews>
  <sheetFormatPr baseColWidth="10" defaultRowHeight="14.5" x14ac:dyDescent="0.35"/>
  <cols>
    <col min="1" max="1" width="4.54296875" customWidth="1"/>
    <col min="2" max="2" width="41.81640625" style="79" bestFit="1" customWidth="1"/>
    <col min="3" max="13" width="15.7265625" customWidth="1"/>
  </cols>
  <sheetData>
    <row r="3" spans="2:13" x14ac:dyDescent="0.35">
      <c r="C3" s="39">
        <f>INPUTS!C11</f>
        <v>2022</v>
      </c>
      <c r="D3" s="39">
        <f>INPUTS!D11</f>
        <v>2023</v>
      </c>
      <c r="E3" s="39">
        <f>INPUTS!E11</f>
        <v>2024</v>
      </c>
      <c r="F3" s="39">
        <f>INPUTS!F11</f>
        <v>2025</v>
      </c>
      <c r="G3" s="39">
        <f>INPUTS!G11</f>
        <v>2026</v>
      </c>
      <c r="H3" s="39">
        <f>INPUTS!H11</f>
        <v>2027</v>
      </c>
      <c r="I3" s="39">
        <f>INPUTS!I11</f>
        <v>2028</v>
      </c>
      <c r="J3" s="39">
        <f>INPUTS!J11</f>
        <v>2029</v>
      </c>
      <c r="K3" s="39">
        <f>INPUTS!K11</f>
        <v>2030</v>
      </c>
      <c r="L3" s="39">
        <f>INPUTS!L11</f>
        <v>2031</v>
      </c>
      <c r="M3" s="39">
        <f>INPUTS!M11</f>
        <v>2032</v>
      </c>
    </row>
    <row r="4" spans="2:13" x14ac:dyDescent="0.35">
      <c r="C4" s="39"/>
      <c r="D4" s="39"/>
      <c r="E4" s="39"/>
      <c r="F4" s="39"/>
      <c r="G4" s="39"/>
      <c r="H4" s="39"/>
      <c r="I4" s="39"/>
      <c r="J4" s="39"/>
      <c r="K4" s="39"/>
      <c r="L4" s="39"/>
      <c r="M4" s="39"/>
    </row>
    <row r="5" spans="2:13" ht="20.149999999999999" customHeight="1" x14ac:dyDescent="0.45">
      <c r="B5" s="170" t="s">
        <v>306</v>
      </c>
      <c r="C5" s="168"/>
      <c r="D5" s="168"/>
      <c r="E5" s="168"/>
      <c r="F5" s="39"/>
      <c r="G5" s="39"/>
      <c r="H5" s="39"/>
      <c r="I5" s="39"/>
      <c r="J5" s="39"/>
      <c r="K5" s="39"/>
      <c r="L5" s="39"/>
      <c r="M5" s="39"/>
    </row>
    <row r="6" spans="2:13" ht="20.149999999999999" customHeight="1" x14ac:dyDescent="0.35">
      <c r="B6" s="169"/>
      <c r="C6" s="168"/>
      <c r="D6" s="168"/>
      <c r="E6" s="168"/>
      <c r="F6" s="39"/>
      <c r="G6" s="39"/>
      <c r="H6" s="39"/>
      <c r="I6" s="39"/>
      <c r="J6" s="39"/>
      <c r="K6" s="39"/>
      <c r="L6" s="39"/>
      <c r="M6" s="39"/>
    </row>
    <row r="7" spans="2:13" ht="20.149999999999999" customHeight="1" x14ac:dyDescent="0.35">
      <c r="B7" s="169"/>
      <c r="C7" s="168"/>
      <c r="D7" s="168"/>
      <c r="E7" s="168"/>
      <c r="F7" s="39"/>
      <c r="G7" s="39"/>
      <c r="H7" s="39"/>
      <c r="I7" s="39"/>
      <c r="J7" s="39"/>
      <c r="K7" s="39"/>
      <c r="L7" s="39"/>
      <c r="M7" s="39"/>
    </row>
    <row r="9" spans="2:13" x14ac:dyDescent="0.35">
      <c r="B9" s="70" t="s">
        <v>151</v>
      </c>
    </row>
    <row r="10" spans="2:13" x14ac:dyDescent="0.35">
      <c r="B10" s="105" t="s">
        <v>152</v>
      </c>
      <c r="C10" s="35">
        <f>Deuda!B7</f>
        <v>145579000</v>
      </c>
      <c r="D10" s="35">
        <f ca="1">C14</f>
        <v>145579000</v>
      </c>
      <c r="E10" s="35">
        <f t="shared" ref="E10:M10" ca="1" si="0">D14</f>
        <v>128459384</v>
      </c>
      <c r="F10" s="35">
        <f t="shared" ca="1" si="0"/>
        <v>106747571</v>
      </c>
      <c r="G10" s="35">
        <f t="shared" ca="1" si="0"/>
        <v>79211742</v>
      </c>
      <c r="H10" s="35">
        <f t="shared" ca="1" si="0"/>
        <v>44289653</v>
      </c>
      <c r="I10" s="35">
        <f t="shared" ca="1" si="0"/>
        <v>0</v>
      </c>
      <c r="J10" s="35">
        <f t="shared" ca="1" si="0"/>
        <v>0</v>
      </c>
      <c r="K10" s="35">
        <f t="shared" ca="1" si="0"/>
        <v>0</v>
      </c>
      <c r="L10" s="35">
        <f t="shared" ca="1" si="0"/>
        <v>0</v>
      </c>
      <c r="M10" s="35">
        <f t="shared" ca="1" si="0"/>
        <v>0</v>
      </c>
    </row>
    <row r="11" spans="2:13" x14ac:dyDescent="0.35">
      <c r="B11" s="105" t="s">
        <v>145</v>
      </c>
      <c r="C11" s="35">
        <f ca="1">Deuda!C19</f>
        <v>0</v>
      </c>
      <c r="D11" s="35">
        <f ca="1">Deuda!D19</f>
        <v>50256140</v>
      </c>
      <c r="E11" s="35">
        <f ca="1">Deuda!E19</f>
        <v>50256140</v>
      </c>
      <c r="F11" s="35">
        <f ca="1">Deuda!F19</f>
        <v>50256140</v>
      </c>
      <c r="G11" s="35">
        <f ca="1">Deuda!G19</f>
        <v>50256140</v>
      </c>
      <c r="H11" s="35">
        <f ca="1">Deuda!H19</f>
        <v>50256140</v>
      </c>
      <c r="I11" s="35">
        <f ca="1">Deuda!I19</f>
        <v>0</v>
      </c>
      <c r="J11" s="35">
        <f ca="1">Deuda!J19</f>
        <v>0</v>
      </c>
      <c r="K11" s="35">
        <f ca="1">Deuda!K19</f>
        <v>0</v>
      </c>
      <c r="L11" s="35">
        <f ca="1">Deuda!L19</f>
        <v>0</v>
      </c>
      <c r="M11" s="35">
        <f ca="1">Deuda!M19</f>
        <v>0</v>
      </c>
    </row>
    <row r="12" spans="2:13" x14ac:dyDescent="0.35">
      <c r="B12" s="105" t="s">
        <v>153</v>
      </c>
      <c r="C12" s="35">
        <f ca="1">Deuda!C20</f>
        <v>0</v>
      </c>
      <c r="D12" s="35">
        <f ca="1">Deuda!D20</f>
        <v>33136524</v>
      </c>
      <c r="E12" s="35">
        <f ca="1">Deuda!E20</f>
        <v>28544327</v>
      </c>
      <c r="F12" s="35">
        <f ca="1">Deuda!F20</f>
        <v>22720312</v>
      </c>
      <c r="G12" s="35">
        <f ca="1">Deuda!G20</f>
        <v>15334051</v>
      </c>
      <c r="H12" s="35">
        <f ca="1">Deuda!H20</f>
        <v>5966488</v>
      </c>
      <c r="I12" s="35">
        <f ca="1">Deuda!I20</f>
        <v>0</v>
      </c>
      <c r="J12" s="35">
        <f ca="1">Deuda!J20</f>
        <v>0</v>
      </c>
      <c r="K12" s="35">
        <f ca="1">Deuda!K20</f>
        <v>0</v>
      </c>
      <c r="L12" s="35">
        <f ca="1">Deuda!L20</f>
        <v>0</v>
      </c>
      <c r="M12" s="35">
        <f ca="1">Deuda!M20</f>
        <v>0</v>
      </c>
    </row>
    <row r="13" spans="2:13" x14ac:dyDescent="0.35">
      <c r="B13" s="105" t="s">
        <v>154</v>
      </c>
      <c r="C13" s="35">
        <f ca="1">Deuda!C21</f>
        <v>0</v>
      </c>
      <c r="D13" s="35">
        <f ca="1">Deuda!D21</f>
        <v>17119616</v>
      </c>
      <c r="E13" s="35">
        <f ca="1">Deuda!E21</f>
        <v>21711813</v>
      </c>
      <c r="F13" s="35">
        <f ca="1">Deuda!F21</f>
        <v>27535829</v>
      </c>
      <c r="G13" s="35">
        <f ca="1">Deuda!G21</f>
        <v>34922089</v>
      </c>
      <c r="H13" s="35">
        <f ca="1">Deuda!H21</f>
        <v>44289653</v>
      </c>
      <c r="I13" s="35">
        <f t="shared" ref="I13:M13" ca="1" si="1">I11-I12</f>
        <v>0</v>
      </c>
      <c r="J13" s="35">
        <f t="shared" ca="1" si="1"/>
        <v>0</v>
      </c>
      <c r="K13" s="35">
        <f t="shared" ca="1" si="1"/>
        <v>0</v>
      </c>
      <c r="L13" s="35">
        <f t="shared" ca="1" si="1"/>
        <v>0</v>
      </c>
      <c r="M13" s="35">
        <f t="shared" ca="1" si="1"/>
        <v>0</v>
      </c>
    </row>
    <row r="14" spans="2:13" x14ac:dyDescent="0.35">
      <c r="B14" s="105" t="s">
        <v>155</v>
      </c>
      <c r="C14" s="35">
        <f ca="1">C10-C13</f>
        <v>145579000</v>
      </c>
      <c r="D14" s="35">
        <f ca="1">D10-D13</f>
        <v>128459384</v>
      </c>
      <c r="E14" s="35">
        <f t="shared" ref="E14:M14" ca="1" si="2">E10-E13</f>
        <v>106747571</v>
      </c>
      <c r="F14" s="35">
        <f t="shared" ca="1" si="2"/>
        <v>79211742</v>
      </c>
      <c r="G14" s="35">
        <f t="shared" ca="1" si="2"/>
        <v>44289653</v>
      </c>
      <c r="H14" s="35">
        <f t="shared" ca="1" si="2"/>
        <v>0</v>
      </c>
      <c r="I14" s="35">
        <f t="shared" ca="1" si="2"/>
        <v>0</v>
      </c>
      <c r="J14" s="35">
        <f t="shared" ca="1" si="2"/>
        <v>0</v>
      </c>
      <c r="K14" s="35">
        <f t="shared" ca="1" si="2"/>
        <v>0</v>
      </c>
      <c r="L14" s="35">
        <f t="shared" ca="1" si="2"/>
        <v>0</v>
      </c>
      <c r="M14" s="35">
        <f t="shared" ca="1" si="2"/>
        <v>0</v>
      </c>
    </row>
    <row r="15" spans="2:13" x14ac:dyDescent="0.35">
      <c r="B15" s="105"/>
    </row>
    <row r="16" spans="2:13" x14ac:dyDescent="0.35">
      <c r="B16" s="70" t="s">
        <v>129</v>
      </c>
    </row>
    <row r="17" spans="2:13" s="125" customFormat="1" x14ac:dyDescent="0.35">
      <c r="B17" s="123" t="s">
        <v>255</v>
      </c>
      <c r="C17" s="124">
        <f>'CAPEX - OPEX'!B89</f>
        <v>200000000</v>
      </c>
      <c r="D17" s="124">
        <f>C17</f>
        <v>200000000</v>
      </c>
      <c r="E17" s="124">
        <f t="shared" ref="E17:M17" si="3">D17</f>
        <v>200000000</v>
      </c>
      <c r="F17" s="124">
        <f t="shared" si="3"/>
        <v>200000000</v>
      </c>
      <c r="G17" s="124">
        <f t="shared" si="3"/>
        <v>200000000</v>
      </c>
      <c r="H17" s="124">
        <f t="shared" si="3"/>
        <v>200000000</v>
      </c>
      <c r="I17" s="124">
        <f t="shared" si="3"/>
        <v>200000000</v>
      </c>
      <c r="J17" s="124">
        <f t="shared" si="3"/>
        <v>200000000</v>
      </c>
      <c r="K17" s="124">
        <f t="shared" si="3"/>
        <v>200000000</v>
      </c>
      <c r="L17" s="124">
        <f t="shared" si="3"/>
        <v>200000000</v>
      </c>
      <c r="M17" s="124">
        <f t="shared" si="3"/>
        <v>200000000</v>
      </c>
    </row>
    <row r="18" spans="2:13" x14ac:dyDescent="0.35">
      <c r="B18" s="70"/>
    </row>
    <row r="19" spans="2:13" x14ac:dyDescent="0.35">
      <c r="B19" s="105" t="s">
        <v>305</v>
      </c>
      <c r="C19" s="35">
        <f>Depreciación!C66</f>
        <v>175500000</v>
      </c>
      <c r="D19" s="35">
        <f>Depreciación!D66</f>
        <v>175500000</v>
      </c>
      <c r="E19" s="35">
        <f>Depreciación!E66</f>
        <v>175500000</v>
      </c>
      <c r="F19" s="35">
        <f>Depreciación!F66</f>
        <v>175500000</v>
      </c>
      <c r="G19" s="35">
        <f>Depreciación!G66</f>
        <v>175500000</v>
      </c>
      <c r="H19" s="35">
        <f>Depreciación!H66</f>
        <v>175500000</v>
      </c>
      <c r="I19" s="35">
        <f>Depreciación!I66</f>
        <v>175500000</v>
      </c>
      <c r="J19" s="35">
        <f>Depreciación!J66</f>
        <v>175500000</v>
      </c>
      <c r="K19" s="35">
        <f>Depreciación!K66</f>
        <v>175500000</v>
      </c>
      <c r="L19" s="35">
        <f>Depreciación!L66</f>
        <v>175500000</v>
      </c>
      <c r="M19" s="35">
        <f>Depreciación!M66</f>
        <v>175500000</v>
      </c>
    </row>
    <row r="20" spans="2:13" x14ac:dyDescent="0.35">
      <c r="B20" s="106" t="s">
        <v>131</v>
      </c>
      <c r="C20" s="154"/>
      <c r="D20" s="35">
        <f>Depreciación!D67</f>
        <v>8775000</v>
      </c>
      <c r="E20" s="35">
        <f>Depreciación!E67</f>
        <v>8775000</v>
      </c>
      <c r="F20" s="35">
        <f>Depreciación!F67</f>
        <v>8775000</v>
      </c>
      <c r="G20" s="35">
        <f>Depreciación!G67</f>
        <v>8775000</v>
      </c>
      <c r="H20" s="35">
        <f>Depreciación!H67</f>
        <v>8775000</v>
      </c>
      <c r="I20" s="35">
        <f>Depreciación!I67</f>
        <v>8775000</v>
      </c>
      <c r="J20" s="35">
        <f>Depreciación!J67</f>
        <v>8775000</v>
      </c>
      <c r="K20" s="35">
        <f>Depreciación!K67</f>
        <v>8775000</v>
      </c>
      <c r="L20" s="35">
        <f>Depreciación!L67</f>
        <v>8775000</v>
      </c>
      <c r="M20" s="35">
        <f>Depreciación!M67</f>
        <v>8775000</v>
      </c>
    </row>
    <row r="21" spans="2:13" x14ac:dyDescent="0.35">
      <c r="B21" s="105" t="s">
        <v>132</v>
      </c>
      <c r="C21" s="154"/>
      <c r="D21" s="35">
        <f>Depreciación!D68</f>
        <v>-8775000</v>
      </c>
      <c r="E21" s="35">
        <f>Depreciación!E68</f>
        <v>-17550000</v>
      </c>
      <c r="F21" s="35">
        <f>Depreciación!F68</f>
        <v>-26325000</v>
      </c>
      <c r="G21" s="35">
        <f>Depreciación!G68</f>
        <v>-35100000</v>
      </c>
      <c r="H21" s="35">
        <f>Depreciación!H68</f>
        <v>-43875000</v>
      </c>
      <c r="I21" s="35">
        <f>Depreciación!I68</f>
        <v>-52650000</v>
      </c>
      <c r="J21" s="35">
        <f>Depreciación!J68</f>
        <v>-61425000</v>
      </c>
      <c r="K21" s="35">
        <f>Depreciación!K68</f>
        <v>-70200000</v>
      </c>
      <c r="L21" s="35">
        <f>Depreciación!L68</f>
        <v>-78975000</v>
      </c>
      <c r="M21" s="35">
        <f>Depreciación!M68</f>
        <v>-87750000</v>
      </c>
    </row>
    <row r="22" spans="2:13" x14ac:dyDescent="0.35">
      <c r="B22" s="106" t="s">
        <v>133</v>
      </c>
      <c r="C22" s="35">
        <f>Depreciación!C69</f>
        <v>175500000</v>
      </c>
      <c r="D22" s="35">
        <f>Depreciación!D69</f>
        <v>166725000</v>
      </c>
      <c r="E22" s="35">
        <f>Depreciación!E69</f>
        <v>157950000</v>
      </c>
      <c r="F22" s="35">
        <f>Depreciación!F69</f>
        <v>149175000</v>
      </c>
      <c r="G22" s="35">
        <f>Depreciación!G69</f>
        <v>140400000</v>
      </c>
      <c r="H22" s="35">
        <f>Depreciación!H69</f>
        <v>131625000</v>
      </c>
      <c r="I22" s="35">
        <f>Depreciación!I69</f>
        <v>122850000</v>
      </c>
      <c r="J22" s="35">
        <f>Depreciación!J69</f>
        <v>114075000</v>
      </c>
      <c r="K22" s="35">
        <f>Depreciación!K69</f>
        <v>105300000</v>
      </c>
      <c r="L22" s="35">
        <f>Depreciación!L69</f>
        <v>96525000</v>
      </c>
      <c r="M22" s="35">
        <f>Depreciación!M69</f>
        <v>87750000</v>
      </c>
    </row>
    <row r="23" spans="2:13" x14ac:dyDescent="0.35">
      <c r="B23" s="105"/>
      <c r="C23" s="35"/>
      <c r="D23" s="35"/>
      <c r="E23" s="35"/>
      <c r="F23" s="35"/>
      <c r="G23" s="35"/>
      <c r="H23" s="35"/>
      <c r="I23" s="35"/>
      <c r="J23" s="35"/>
      <c r="K23" s="35"/>
      <c r="L23" s="35"/>
      <c r="M23" s="35"/>
    </row>
    <row r="24" spans="2:13" x14ac:dyDescent="0.35">
      <c r="B24" s="105" t="s">
        <v>134</v>
      </c>
      <c r="C24" s="35">
        <f>Depreciación!C71</f>
        <v>32470000</v>
      </c>
      <c r="D24" s="35">
        <f>Depreciación!D71</f>
        <v>0</v>
      </c>
      <c r="E24" s="35">
        <f>Depreciación!E71</f>
        <v>0</v>
      </c>
      <c r="F24" s="35">
        <f>Depreciación!F71</f>
        <v>7277525.1108000008</v>
      </c>
      <c r="G24" s="35">
        <f>Depreciación!G71</f>
        <v>2298171.9090960003</v>
      </c>
      <c r="H24" s="35">
        <f>Depreciación!H71</f>
        <v>7720726.3900477216</v>
      </c>
      <c r="I24" s="35">
        <f>Depreciación!I71</f>
        <v>30950362.264154766</v>
      </c>
      <c r="J24" s="35">
        <f>Depreciación!J71</f>
        <v>10702193.122912373</v>
      </c>
      <c r="K24" s="35">
        <f>Depreciación!K71</f>
        <v>0</v>
      </c>
      <c r="L24" s="35">
        <f>Depreciación!L71</f>
        <v>8689745.5715982094</v>
      </c>
      <c r="M24" s="35">
        <f>Depreciación!M71</f>
        <v>2744137.4458745164</v>
      </c>
    </row>
    <row r="25" spans="2:13" x14ac:dyDescent="0.35">
      <c r="B25" s="105" t="s">
        <v>135</v>
      </c>
      <c r="C25" s="35">
        <f>Depreciación!C72</f>
        <v>32470000</v>
      </c>
      <c r="D25" s="35">
        <f>Depreciación!D72</f>
        <v>32470000</v>
      </c>
      <c r="E25" s="35">
        <f>Depreciación!E72</f>
        <v>32470000</v>
      </c>
      <c r="F25" s="35">
        <f>Depreciación!F72</f>
        <v>39747525.110799998</v>
      </c>
      <c r="G25" s="35">
        <f>Depreciación!G72</f>
        <v>42045697.019896001</v>
      </c>
      <c r="H25" s="35">
        <f>Depreciación!H72</f>
        <v>49766423.409943722</v>
      </c>
      <c r="I25" s="35">
        <f>Depreciación!I72</f>
        <v>80716785.674098492</v>
      </c>
      <c r="J25" s="35">
        <f>Depreciación!J72</f>
        <v>91418978.797010869</v>
      </c>
      <c r="K25" s="35">
        <f>Depreciación!K72</f>
        <v>91418978.797010869</v>
      </c>
      <c r="L25" s="35">
        <f>Depreciación!L72</f>
        <v>100108724.36860907</v>
      </c>
      <c r="M25" s="35">
        <f>Depreciación!M72</f>
        <v>102852861.81448358</v>
      </c>
    </row>
    <row r="26" spans="2:13" x14ac:dyDescent="0.35">
      <c r="B26" s="106" t="s">
        <v>136</v>
      </c>
      <c r="C26" s="154"/>
      <c r="D26" s="35">
        <f>Depreciación!D73</f>
        <v>7963333.333333333</v>
      </c>
      <c r="E26" s="35">
        <f>Depreciación!E73</f>
        <v>7963333.333333333</v>
      </c>
      <c r="F26" s="35">
        <f>Depreciación!F73</f>
        <v>7963333.333333333</v>
      </c>
      <c r="G26" s="35">
        <f>Depreciación!G73</f>
        <v>7963333.333333333</v>
      </c>
      <c r="H26" s="35">
        <f>Depreciación!H73</f>
        <v>7963333.333333333</v>
      </c>
      <c r="I26" s="35">
        <f>Depreciación!I73</f>
        <v>7963333.333333333</v>
      </c>
      <c r="J26" s="35">
        <f>Depreciación!J73</f>
        <v>7963333.333333333</v>
      </c>
      <c r="K26" s="35">
        <f>Depreciación!K73</f>
        <v>7963333.333333333</v>
      </c>
      <c r="L26" s="35">
        <f>Depreciación!L73</f>
        <v>7963333.333333333</v>
      </c>
      <c r="M26" s="35">
        <f>Depreciación!M73</f>
        <v>7963333.333333333</v>
      </c>
    </row>
    <row r="27" spans="2:13" x14ac:dyDescent="0.35">
      <c r="B27" s="105" t="s">
        <v>132</v>
      </c>
      <c r="C27" s="154"/>
      <c r="D27" s="35">
        <f>Depreciación!D74</f>
        <v>-7963333.333333333</v>
      </c>
      <c r="E27" s="35">
        <f>Depreciación!E74</f>
        <v>-15926666.666666666</v>
      </c>
      <c r="F27" s="35">
        <f>Depreciación!F74</f>
        <v>-23890000</v>
      </c>
      <c r="G27" s="35">
        <f>Depreciación!G74</f>
        <v>-31853333.333333332</v>
      </c>
      <c r="H27" s="35">
        <f>Depreciación!H74</f>
        <v>-39816666.666666664</v>
      </c>
      <c r="I27" s="35">
        <f>Depreciación!I74</f>
        <v>-47780000</v>
      </c>
      <c r="J27" s="35">
        <f>Depreciación!J74</f>
        <v>-55743333.333333336</v>
      </c>
      <c r="K27" s="35">
        <f>Depreciación!K74</f>
        <v>-63706666.666666672</v>
      </c>
      <c r="L27" s="35">
        <f>Depreciación!L74</f>
        <v>-71670000</v>
      </c>
      <c r="M27" s="35">
        <f>Depreciación!M74</f>
        <v>-79633333.333333328</v>
      </c>
    </row>
    <row r="28" spans="2:13" x14ac:dyDescent="0.35">
      <c r="B28" s="106" t="s">
        <v>137</v>
      </c>
      <c r="C28" s="35">
        <f>Depreciación!C75</f>
        <v>32470000</v>
      </c>
      <c r="D28" s="35">
        <f>Depreciación!D75</f>
        <v>24506666.666666668</v>
      </c>
      <c r="E28" s="35">
        <f>Depreciación!E75</f>
        <v>16543333.333333334</v>
      </c>
      <c r="F28" s="35">
        <f>Depreciación!F75</f>
        <v>15857525.110799998</v>
      </c>
      <c r="G28" s="35">
        <f>Depreciación!G75</f>
        <v>10192363.686562669</v>
      </c>
      <c r="H28" s="35">
        <f>Depreciación!H75</f>
        <v>9949756.743277058</v>
      </c>
      <c r="I28" s="35">
        <f>Depreciación!I75</f>
        <v>32936785.674098492</v>
      </c>
      <c r="J28" s="35">
        <f>Depreciación!J75</f>
        <v>35675645.463677533</v>
      </c>
      <c r="K28" s="35">
        <f>Depreciación!K75</f>
        <v>27712312.130344197</v>
      </c>
      <c r="L28" s="35">
        <f>Depreciación!L75</f>
        <v>28438724.368609071</v>
      </c>
      <c r="M28" s="35">
        <f>Depreciación!M75</f>
        <v>23219528.481150255</v>
      </c>
    </row>
    <row r="29" spans="2:13" x14ac:dyDescent="0.35">
      <c r="B29" s="105"/>
    </row>
    <row r="30" spans="2:13" x14ac:dyDescent="0.35">
      <c r="B30" s="70" t="s">
        <v>156</v>
      </c>
    </row>
    <row r="31" spans="2:13" x14ac:dyDescent="0.35">
      <c r="B31" s="106" t="s">
        <v>157</v>
      </c>
      <c r="C31" s="35"/>
      <c r="D31" s="124"/>
      <c r="E31" s="35">
        <f t="shared" ref="E31:M31" ca="1" si="4">D78</f>
        <v>-3650283.1333333291</v>
      </c>
      <c r="F31" s="35">
        <f t="shared" ca="1" si="4"/>
        <v>70893991.472078681</v>
      </c>
      <c r="G31" s="35">
        <f t="shared" ca="1" si="4"/>
        <v>77851318.780778676</v>
      </c>
      <c r="H31" s="35">
        <f t="shared" ca="1" si="4"/>
        <v>85928771.985402033</v>
      </c>
      <c r="I31" s="35">
        <f t="shared" ca="1" si="4"/>
        <v>95427557.280064136</v>
      </c>
      <c r="J31" s="35">
        <f t="shared" ca="1" si="4"/>
        <v>102651446.89729187</v>
      </c>
      <c r="K31" s="35">
        <f t="shared" ca="1" si="4"/>
        <v>106107057.30706012</v>
      </c>
      <c r="L31" s="35">
        <f t="shared" ca="1" si="4"/>
        <v>109684399.82238252</v>
      </c>
      <c r="M31" s="35">
        <f t="shared" ca="1" si="4"/>
        <v>113311372.31705402</v>
      </c>
    </row>
    <row r="32" spans="2:13" x14ac:dyDescent="0.35">
      <c r="B32" s="106" t="s">
        <v>158</v>
      </c>
      <c r="C32" s="35"/>
      <c r="D32" s="124"/>
      <c r="E32" s="35">
        <f t="shared" ref="E32:M32" si="5">D79</f>
        <v>0</v>
      </c>
      <c r="F32" s="35">
        <f t="shared" ca="1" si="5"/>
        <v>-3650283.1333333291</v>
      </c>
      <c r="G32" s="35">
        <f t="shared" ca="1" si="5"/>
        <v>12030861.838307492</v>
      </c>
      <c r="H32" s="35">
        <f t="shared" ca="1" si="5"/>
        <v>16419409.748201661</v>
      </c>
      <c r="I32" s="35">
        <f t="shared" ca="1" si="5"/>
        <v>18751060.907012686</v>
      </c>
      <c r="J32" s="35">
        <f t="shared" ca="1" si="5"/>
        <v>20927172.491814077</v>
      </c>
      <c r="K32" s="35">
        <f t="shared" ca="1" si="5"/>
        <v>22662694.939875349</v>
      </c>
      <c r="L32" s="35">
        <f t="shared" ca="1" si="5"/>
        <v>23631809.303245887</v>
      </c>
      <c r="M32" s="35">
        <f t="shared" ca="1" si="5"/>
        <v>24469553.828678027</v>
      </c>
    </row>
    <row r="33" spans="2:13" x14ac:dyDescent="0.35">
      <c r="B33" s="105" t="s">
        <v>159</v>
      </c>
      <c r="C33" s="35"/>
      <c r="D33" s="124"/>
      <c r="E33" s="35">
        <f ca="1">IF(E31&gt;0,E31*INPUTS!$C$35,0)</f>
        <v>0</v>
      </c>
      <c r="F33" s="35">
        <f ca="1">IF(F31&gt;0,F31*INPUTS!$C$35,0)</f>
        <v>7089399.1472078683</v>
      </c>
      <c r="G33" s="35">
        <f ca="1">IF(G31&gt;0,G31*INPUTS!$C$35,0)</f>
        <v>7785131.8780778684</v>
      </c>
      <c r="H33" s="35">
        <f ca="1">IF(H31&gt;0,H31*INPUTS!$C$35,0)</f>
        <v>8592877.1985402033</v>
      </c>
      <c r="I33" s="35">
        <f ca="1">IF(I31&gt;0,I31*INPUTS!$C$35,0)</f>
        <v>9542755.7280064132</v>
      </c>
      <c r="J33" s="35">
        <f ca="1">IF(J31&gt;0,J31*INPUTS!$C$35,0)</f>
        <v>10265144.689729188</v>
      </c>
      <c r="K33" s="35">
        <f ca="1">IF(K31&gt;0,K31*INPUTS!$C$35,0)</f>
        <v>10610705.730706014</v>
      </c>
      <c r="L33" s="35">
        <f ca="1">IF(L31&gt;0,L31*INPUTS!$C$35,0)</f>
        <v>10968439.982238254</v>
      </c>
      <c r="M33" s="35">
        <f ca="1">IF(M31&gt;0,M31*INPUTS!$C$35,0)</f>
        <v>11331137.231705403</v>
      </c>
    </row>
    <row r="34" spans="2:13" x14ac:dyDescent="0.35">
      <c r="B34" s="106" t="s">
        <v>160</v>
      </c>
      <c r="C34" s="35"/>
      <c r="D34" s="124"/>
      <c r="E34" s="35">
        <f t="shared" ref="E34:M34" ca="1" si="6">E31+E32-E33</f>
        <v>-3650283.1333333291</v>
      </c>
      <c r="F34" s="35">
        <f t="shared" ca="1" si="6"/>
        <v>60154309.191537485</v>
      </c>
      <c r="G34" s="35">
        <f t="shared" ca="1" si="6"/>
        <v>82097048.741008312</v>
      </c>
      <c r="H34" s="35">
        <f t="shared" ca="1" si="6"/>
        <v>93755304.535063475</v>
      </c>
      <c r="I34" s="35">
        <f t="shared" ca="1" si="6"/>
        <v>104635862.45907041</v>
      </c>
      <c r="J34" s="35">
        <f t="shared" ca="1" si="6"/>
        <v>113313474.69937676</v>
      </c>
      <c r="K34" s="35">
        <f t="shared" ca="1" si="6"/>
        <v>118159046.51622945</v>
      </c>
      <c r="L34" s="35">
        <f t="shared" ca="1" si="6"/>
        <v>122347769.14339016</v>
      </c>
      <c r="M34" s="35">
        <f t="shared" ca="1" si="6"/>
        <v>126449788.91402665</v>
      </c>
    </row>
    <row r="35" spans="2:13" x14ac:dyDescent="0.35">
      <c r="B35" s="105" t="s">
        <v>161</v>
      </c>
      <c r="C35" s="35"/>
      <c r="D35" s="124"/>
      <c r="E35" s="35">
        <f ca="1">IF(E34&gt;0,E34*INPUTS!E17,0)</f>
        <v>0</v>
      </c>
      <c r="F35" s="35">
        <f ca="1">IF(F34&gt;0,F34*INPUTS!F17,0)</f>
        <v>48123447.353229992</v>
      </c>
      <c r="G35" s="35">
        <f ca="1">IF(G34&gt;0,G34*INPUTS!G17,0)</f>
        <v>65677638.992806651</v>
      </c>
      <c r="H35" s="35">
        <f ca="1">IF(H34&gt;0,H34*INPUTS!H17,0)</f>
        <v>75004243.628050789</v>
      </c>
      <c r="I35" s="35">
        <f ca="1">IF(I34&gt;0,I34*INPUTS!I17,0)</f>
        <v>83708689.967256337</v>
      </c>
      <c r="J35" s="35">
        <f ca="1">IF(J34&gt;0,J34*INPUTS!J17,0)</f>
        <v>90650779.759501413</v>
      </c>
      <c r="K35" s="35">
        <f ca="1">IF(K34&gt;0,K34*INPUTS!K17,0)</f>
        <v>94527237.212983564</v>
      </c>
      <c r="L35" s="35">
        <f ca="1">IF(L34&gt;0,L34*INPUTS!L17,0)</f>
        <v>97878215.314712137</v>
      </c>
      <c r="M35" s="35">
        <f ca="1">IF(M34&gt;0,M34*INPUTS!M17,0)</f>
        <v>101159831.13122132</v>
      </c>
    </row>
    <row r="36" spans="2:13" x14ac:dyDescent="0.35">
      <c r="B36" s="106" t="s">
        <v>162</v>
      </c>
      <c r="C36" s="35"/>
      <c r="D36" s="124"/>
      <c r="E36" s="35">
        <f ca="1">E34-E35</f>
        <v>-3650283.1333333291</v>
      </c>
      <c r="F36" s="35">
        <f t="shared" ref="F36:M36" ca="1" si="7">F34-F35</f>
        <v>12030861.838307492</v>
      </c>
      <c r="G36" s="35">
        <f t="shared" ca="1" si="7"/>
        <v>16419409.748201661</v>
      </c>
      <c r="H36" s="35">
        <f t="shared" ca="1" si="7"/>
        <v>18751060.907012686</v>
      </c>
      <c r="I36" s="35">
        <f t="shared" ca="1" si="7"/>
        <v>20927172.491814077</v>
      </c>
      <c r="J36" s="35">
        <f t="shared" ca="1" si="7"/>
        <v>22662694.939875349</v>
      </c>
      <c r="K36" s="35">
        <f t="shared" ca="1" si="7"/>
        <v>23631809.303245887</v>
      </c>
      <c r="L36" s="35">
        <f t="shared" ca="1" si="7"/>
        <v>24469553.828678027</v>
      </c>
      <c r="M36" s="35">
        <f t="shared" ca="1" si="7"/>
        <v>25289957.782805324</v>
      </c>
    </row>
    <row r="37" spans="2:13" x14ac:dyDescent="0.35">
      <c r="B37" s="105"/>
      <c r="C37" s="35"/>
      <c r="D37" s="35"/>
      <c r="E37" s="35"/>
      <c r="F37" s="35"/>
      <c r="G37" s="35"/>
      <c r="H37" s="35"/>
      <c r="I37" s="35"/>
      <c r="J37" s="35"/>
      <c r="K37" s="35"/>
      <c r="L37" s="35"/>
      <c r="M37" s="35"/>
    </row>
    <row r="38" spans="2:13" x14ac:dyDescent="0.35">
      <c r="B38" s="108" t="s">
        <v>163</v>
      </c>
      <c r="C38" s="35"/>
      <c r="D38" s="35"/>
      <c r="E38" s="35"/>
      <c r="F38" s="35"/>
      <c r="G38" s="35"/>
      <c r="H38" s="35"/>
      <c r="I38" s="35"/>
      <c r="J38" s="35"/>
      <c r="K38" s="35"/>
      <c r="L38" s="35"/>
      <c r="M38" s="35"/>
    </row>
    <row r="39" spans="2:13" x14ac:dyDescent="0.35">
      <c r="B39" s="105" t="s">
        <v>164</v>
      </c>
      <c r="C39" s="154"/>
      <c r="D39" s="35">
        <f ca="1">INGRESOS!D46</f>
        <v>148922550</v>
      </c>
      <c r="E39" s="35">
        <f ca="1">INGRESOS!E46</f>
        <v>258602803.20000002</v>
      </c>
      <c r="F39" s="35">
        <f ca="1">INGRESOS!F46</f>
        <v>266360887.29600003</v>
      </c>
      <c r="G39" s="35">
        <f ca="1">INGRESOS!G46</f>
        <v>274351713.91488004</v>
      </c>
      <c r="H39" s="35">
        <f ca="1">INGRESOS!H46</f>
        <v>282582265.33232647</v>
      </c>
      <c r="I39" s="35">
        <f ca="1">INGRESOS!I46</f>
        <v>291059733.29229623</v>
      </c>
      <c r="J39" s="35">
        <f ca="1">INGRESOS!J46</f>
        <v>299791525.29106516</v>
      </c>
      <c r="K39" s="35">
        <f ca="1">INGRESOS!K46</f>
        <v>308785271.04979712</v>
      </c>
      <c r="L39" s="35">
        <f ca="1">INGRESOS!L46</f>
        <v>318048829.18129104</v>
      </c>
      <c r="M39" s="35">
        <f ca="1">INGRESOS!M46</f>
        <v>327590294.05672979</v>
      </c>
    </row>
    <row r="40" spans="2:13" x14ac:dyDescent="0.35">
      <c r="B40" s="105" t="s">
        <v>165</v>
      </c>
      <c r="C40" s="154"/>
      <c r="D40" s="124">
        <f>'CAPEX - OPEX'!D114</f>
        <v>6811560</v>
      </c>
      <c r="E40" s="124">
        <f>'CAPEX - OPEX'!E114</f>
        <v>7138514.8800000008</v>
      </c>
      <c r="F40" s="124">
        <f>'CAPEX - OPEX'!F114</f>
        <v>7352670.3264000006</v>
      </c>
      <c r="G40" s="124">
        <f>'CAPEX - OPEX'!G114</f>
        <v>7573250.4361920012</v>
      </c>
      <c r="H40" s="124">
        <f>'CAPEX - OPEX'!H114</f>
        <v>7800447.9492777614</v>
      </c>
      <c r="I40" s="124">
        <f>'CAPEX - OPEX'!I114</f>
        <v>8034461.3877560943</v>
      </c>
      <c r="J40" s="124">
        <f>'CAPEX - OPEX'!J114</f>
        <v>8275495.2293887781</v>
      </c>
      <c r="K40" s="124">
        <f>'CAPEX - OPEX'!K114</f>
        <v>8523760.0862704422</v>
      </c>
      <c r="L40" s="124">
        <f>'CAPEX - OPEX'!L114</f>
        <v>8779472.8888585549</v>
      </c>
      <c r="M40" s="124">
        <f>'CAPEX - OPEX'!M114</f>
        <v>9042857.0755243115</v>
      </c>
    </row>
    <row r="41" spans="2:13" x14ac:dyDescent="0.35">
      <c r="B41" s="109" t="s">
        <v>166</v>
      </c>
      <c r="C41" s="167"/>
      <c r="D41" s="115">
        <f t="shared" ref="D41:M41" ca="1" si="8">D39-D40</f>
        <v>142110990</v>
      </c>
      <c r="E41" s="115">
        <f t="shared" ca="1" si="8"/>
        <v>251464288.32000002</v>
      </c>
      <c r="F41" s="115">
        <f t="shared" ca="1" si="8"/>
        <v>259008216.96960002</v>
      </c>
      <c r="G41" s="115">
        <f t="shared" ca="1" si="8"/>
        <v>266778463.47868803</v>
      </c>
      <c r="H41" s="115">
        <f t="shared" ca="1" si="8"/>
        <v>274781817.38304871</v>
      </c>
      <c r="I41" s="115">
        <f t="shared" ca="1" si="8"/>
        <v>283025271.90454012</v>
      </c>
      <c r="J41" s="115">
        <f t="shared" ca="1" si="8"/>
        <v>291516030.06167638</v>
      </c>
      <c r="K41" s="115">
        <f t="shared" ca="1" si="8"/>
        <v>300261510.96352667</v>
      </c>
      <c r="L41" s="115">
        <f t="shared" ca="1" si="8"/>
        <v>309269356.29243249</v>
      </c>
      <c r="M41" s="115">
        <f t="shared" ca="1" si="8"/>
        <v>318547436.98120546</v>
      </c>
    </row>
    <row r="42" spans="2:13" ht="6" customHeight="1" x14ac:dyDescent="0.35">
      <c r="B42" s="105"/>
      <c r="C42" s="154"/>
      <c r="D42" s="35"/>
      <c r="E42" s="35"/>
      <c r="F42" s="35"/>
      <c r="G42" s="35"/>
      <c r="H42" s="35"/>
      <c r="I42" s="35"/>
      <c r="J42" s="35"/>
      <c r="K42" s="35"/>
      <c r="L42" s="35"/>
      <c r="M42" s="35"/>
    </row>
    <row r="43" spans="2:13" x14ac:dyDescent="0.35">
      <c r="B43" s="105" t="s">
        <v>167</v>
      </c>
      <c r="C43" s="154"/>
      <c r="D43" s="35">
        <f>'CAPEX - OPEX'!D115</f>
        <v>95747400</v>
      </c>
      <c r="E43" s="35">
        <f>'CAPEX - OPEX'!E115</f>
        <v>100343275.2</v>
      </c>
      <c r="F43" s="35">
        <f>'CAPEX - OPEX'!F115</f>
        <v>103353573.45600002</v>
      </c>
      <c r="G43" s="35">
        <f>'CAPEX - OPEX'!G115</f>
        <v>106454180.65968001</v>
      </c>
      <c r="H43" s="35">
        <f>'CAPEX - OPEX'!H115</f>
        <v>109647806.07947041</v>
      </c>
      <c r="I43" s="35">
        <f>'CAPEX - OPEX'!I115</f>
        <v>112937240.26185453</v>
      </c>
      <c r="J43" s="35">
        <f>'CAPEX - OPEX'!J115</f>
        <v>116325357.46971019</v>
      </c>
      <c r="K43" s="35">
        <f>'CAPEX - OPEX'!K115</f>
        <v>119815118.19380149</v>
      </c>
      <c r="L43" s="35">
        <f>'CAPEX - OPEX'!L115</f>
        <v>123409571.73961554</v>
      </c>
      <c r="M43" s="35">
        <f>'CAPEX - OPEX'!M115</f>
        <v>127111858.89180401</v>
      </c>
    </row>
    <row r="44" spans="2:13" x14ac:dyDescent="0.35">
      <c r="B44" s="105" t="s">
        <v>168</v>
      </c>
      <c r="C44" s="154"/>
      <c r="D44" s="35">
        <f t="shared" ref="D44:M44" si="9">D20+D26</f>
        <v>16738333.333333332</v>
      </c>
      <c r="E44" s="35">
        <f t="shared" si="9"/>
        <v>16738333.333333332</v>
      </c>
      <c r="F44" s="35">
        <f t="shared" si="9"/>
        <v>16738333.333333332</v>
      </c>
      <c r="G44" s="35">
        <f t="shared" si="9"/>
        <v>16738333.333333332</v>
      </c>
      <c r="H44" s="35">
        <f t="shared" si="9"/>
        <v>16738333.333333332</v>
      </c>
      <c r="I44" s="35">
        <f t="shared" si="9"/>
        <v>16738333.333333332</v>
      </c>
      <c r="J44" s="35">
        <f t="shared" si="9"/>
        <v>16738333.333333332</v>
      </c>
      <c r="K44" s="35">
        <f t="shared" si="9"/>
        <v>16738333.333333332</v>
      </c>
      <c r="L44" s="35">
        <f t="shared" si="9"/>
        <v>16738333.333333332</v>
      </c>
      <c r="M44" s="35">
        <f t="shared" si="9"/>
        <v>16738333.333333332</v>
      </c>
    </row>
    <row r="45" spans="2:13" x14ac:dyDescent="0.35">
      <c r="B45" s="70" t="s">
        <v>169</v>
      </c>
      <c r="C45" s="64"/>
      <c r="D45" s="77">
        <f t="shared" ref="D45:M45" si="10">SUM(D43:D44)</f>
        <v>112485733.33333333</v>
      </c>
      <c r="E45" s="77">
        <f t="shared" si="10"/>
        <v>117081608.53333333</v>
      </c>
      <c r="F45" s="77">
        <f t="shared" si="10"/>
        <v>120091906.78933334</v>
      </c>
      <c r="G45" s="77">
        <f t="shared" si="10"/>
        <v>123192513.99301334</v>
      </c>
      <c r="H45" s="77">
        <f t="shared" si="10"/>
        <v>126386139.41280374</v>
      </c>
      <c r="I45" s="77">
        <f t="shared" si="10"/>
        <v>129675573.59518786</v>
      </c>
      <c r="J45" s="77">
        <f t="shared" si="10"/>
        <v>133063690.80304351</v>
      </c>
      <c r="K45" s="77">
        <f t="shared" si="10"/>
        <v>136553451.52713484</v>
      </c>
      <c r="L45" s="77">
        <f t="shared" si="10"/>
        <v>140147905.07294887</v>
      </c>
      <c r="M45" s="77">
        <f t="shared" si="10"/>
        <v>143850192.22513735</v>
      </c>
    </row>
    <row r="46" spans="2:13" x14ac:dyDescent="0.35">
      <c r="B46" s="110" t="s">
        <v>170</v>
      </c>
      <c r="C46" s="167"/>
      <c r="D46" s="115">
        <f t="shared" ref="D46:M46" ca="1" si="11">D41-D45</f>
        <v>29625256.666666672</v>
      </c>
      <c r="E46" s="115">
        <f t="shared" ca="1" si="11"/>
        <v>134382679.78666669</v>
      </c>
      <c r="F46" s="115">
        <f t="shared" ca="1" si="11"/>
        <v>138916310.18026668</v>
      </c>
      <c r="G46" s="115">
        <f t="shared" ca="1" si="11"/>
        <v>143585949.48567468</v>
      </c>
      <c r="H46" s="115">
        <f t="shared" ca="1" si="11"/>
        <v>148395677.97024497</v>
      </c>
      <c r="I46" s="115">
        <f t="shared" ca="1" si="11"/>
        <v>153349698.30935228</v>
      </c>
      <c r="J46" s="115">
        <f t="shared" ca="1" si="11"/>
        <v>158452339.25863287</v>
      </c>
      <c r="K46" s="115">
        <f t="shared" ca="1" si="11"/>
        <v>163708059.43639183</v>
      </c>
      <c r="L46" s="115">
        <f t="shared" ca="1" si="11"/>
        <v>169121451.21948361</v>
      </c>
      <c r="M46" s="115">
        <f t="shared" ca="1" si="11"/>
        <v>174697244.75606811</v>
      </c>
    </row>
    <row r="47" spans="2:13" ht="6" customHeight="1" x14ac:dyDescent="0.35">
      <c r="B47" s="105"/>
      <c r="C47" s="154"/>
      <c r="D47" s="35"/>
      <c r="E47" s="35"/>
      <c r="F47" s="35"/>
      <c r="G47" s="35"/>
      <c r="H47" s="35"/>
      <c r="I47" s="35"/>
      <c r="J47" s="35"/>
      <c r="K47" s="35"/>
      <c r="L47" s="35"/>
      <c r="M47" s="35"/>
    </row>
    <row r="48" spans="2:13" x14ac:dyDescent="0.35">
      <c r="B48" s="106" t="s">
        <v>171</v>
      </c>
      <c r="C48" s="154"/>
      <c r="D48" s="124">
        <v>0</v>
      </c>
      <c r="E48" s="124">
        <v>0</v>
      </c>
      <c r="F48" s="124">
        <v>0</v>
      </c>
      <c r="G48" s="124">
        <v>0</v>
      </c>
      <c r="H48" s="124">
        <v>0</v>
      </c>
      <c r="I48" s="124">
        <v>0</v>
      </c>
      <c r="J48" s="124">
        <v>0</v>
      </c>
      <c r="K48" s="124">
        <v>0</v>
      </c>
      <c r="L48" s="124">
        <v>0</v>
      </c>
      <c r="M48" s="124">
        <v>0</v>
      </c>
    </row>
    <row r="49" spans="2:13" x14ac:dyDescent="0.35">
      <c r="B49" s="106" t="s">
        <v>172</v>
      </c>
      <c r="C49" s="154"/>
      <c r="D49" s="35">
        <f ca="1">C67*INPUTS!$C$36</f>
        <v>139015.79999999999</v>
      </c>
      <c r="E49" s="35">
        <f ca="1">D67*INPUTS!$C$36</f>
        <v>26425.216400000081</v>
      </c>
      <c r="F49" s="35">
        <f ca="1">E67*INPUTS!$C$36</f>
        <v>0</v>
      </c>
      <c r="G49" s="35">
        <f ca="1">F67*INPUTS!$C$36</f>
        <v>0</v>
      </c>
      <c r="H49" s="35">
        <f ca="1">G67*INPUTS!$C$36</f>
        <v>0</v>
      </c>
      <c r="I49" s="35">
        <f ca="1">H67*INPUTS!$C$36</f>
        <v>138583.53727485315</v>
      </c>
      <c r="J49" s="35">
        <f ca="1">I67*INPUTS!$C$36</f>
        <v>83597.009289391601</v>
      </c>
      <c r="K49" s="35">
        <f ca="1">J67*INPUTS!$C$36</f>
        <v>0</v>
      </c>
      <c r="L49" s="35">
        <f ca="1">K67*INPUTS!$C$36</f>
        <v>0</v>
      </c>
      <c r="M49" s="35">
        <f ca="1">L67*INPUTS!$C$36</f>
        <v>0</v>
      </c>
    </row>
    <row r="50" spans="2:13" x14ac:dyDescent="0.35">
      <c r="B50" s="106" t="s">
        <v>173</v>
      </c>
      <c r="C50" s="154"/>
      <c r="D50" s="35">
        <f ca="1">D12</f>
        <v>33136524</v>
      </c>
      <c r="E50" s="35">
        <f t="shared" ref="E50:M50" ca="1" si="12">E12</f>
        <v>28544327</v>
      </c>
      <c r="F50" s="35">
        <f t="shared" ca="1" si="12"/>
        <v>22720312</v>
      </c>
      <c r="G50" s="35">
        <f t="shared" ca="1" si="12"/>
        <v>15334051</v>
      </c>
      <c r="H50" s="35">
        <f t="shared" ca="1" si="12"/>
        <v>5966488</v>
      </c>
      <c r="I50" s="35">
        <f t="shared" ca="1" si="12"/>
        <v>0</v>
      </c>
      <c r="J50" s="35">
        <f t="shared" ca="1" si="12"/>
        <v>0</v>
      </c>
      <c r="K50" s="35">
        <f t="shared" ca="1" si="12"/>
        <v>0</v>
      </c>
      <c r="L50" s="35">
        <f t="shared" ca="1" si="12"/>
        <v>0</v>
      </c>
      <c r="M50" s="35">
        <f t="shared" ca="1" si="12"/>
        <v>0</v>
      </c>
    </row>
    <row r="51" spans="2:13" x14ac:dyDescent="0.35">
      <c r="B51" s="111" t="s">
        <v>174</v>
      </c>
      <c r="C51" s="64"/>
      <c r="D51" s="77">
        <f t="shared" ref="D51:M51" ca="1" si="13">D48-D49-D50</f>
        <v>-33275539.800000001</v>
      </c>
      <c r="E51" s="77">
        <f t="shared" ca="1" si="13"/>
        <v>-28570752.216400001</v>
      </c>
      <c r="F51" s="77">
        <f t="shared" ca="1" si="13"/>
        <v>-22720312</v>
      </c>
      <c r="G51" s="77">
        <f t="shared" ca="1" si="13"/>
        <v>-15334051</v>
      </c>
      <c r="H51" s="77">
        <f t="shared" ca="1" si="13"/>
        <v>-5966488</v>
      </c>
      <c r="I51" s="77">
        <f t="shared" ca="1" si="13"/>
        <v>-138583.53727485315</v>
      </c>
      <c r="J51" s="77">
        <f t="shared" ca="1" si="13"/>
        <v>-83597.009289391601</v>
      </c>
      <c r="K51" s="77">
        <f t="shared" ca="1" si="13"/>
        <v>0</v>
      </c>
      <c r="L51" s="77">
        <f t="shared" ca="1" si="13"/>
        <v>0</v>
      </c>
      <c r="M51" s="77">
        <f t="shared" ca="1" si="13"/>
        <v>0</v>
      </c>
    </row>
    <row r="52" spans="2:13" ht="6" customHeight="1" x14ac:dyDescent="0.35">
      <c r="B52" s="105"/>
      <c r="C52" s="154"/>
      <c r="D52" s="35"/>
      <c r="E52" s="35"/>
      <c r="F52" s="35"/>
      <c r="G52" s="35"/>
      <c r="H52" s="35"/>
      <c r="I52" s="35"/>
      <c r="J52" s="35"/>
      <c r="K52" s="35"/>
      <c r="L52" s="35"/>
      <c r="M52" s="35"/>
    </row>
    <row r="53" spans="2:13" x14ac:dyDescent="0.35">
      <c r="B53" s="110" t="s">
        <v>175</v>
      </c>
      <c r="C53" s="167"/>
      <c r="D53" s="115">
        <f t="shared" ref="D53:M53" ca="1" si="14">D46+D51</f>
        <v>-3650283.1333333291</v>
      </c>
      <c r="E53" s="115">
        <f t="shared" ca="1" si="14"/>
        <v>105811927.57026669</v>
      </c>
      <c r="F53" s="115">
        <f t="shared" ca="1" si="14"/>
        <v>116195998.18026668</v>
      </c>
      <c r="G53" s="115">
        <f t="shared" ca="1" si="14"/>
        <v>128251898.48567468</v>
      </c>
      <c r="H53" s="115">
        <f t="shared" ca="1" si="14"/>
        <v>142429189.97024497</v>
      </c>
      <c r="I53" s="115">
        <f t="shared" ca="1" si="14"/>
        <v>153211114.77207741</v>
      </c>
      <c r="J53" s="115">
        <f t="shared" ca="1" si="14"/>
        <v>158368742.24934348</v>
      </c>
      <c r="K53" s="115">
        <f t="shared" ca="1" si="14"/>
        <v>163708059.43639183</v>
      </c>
      <c r="L53" s="115">
        <f t="shared" ca="1" si="14"/>
        <v>169121451.21948361</v>
      </c>
      <c r="M53" s="115">
        <f t="shared" ca="1" si="14"/>
        <v>174697244.75606811</v>
      </c>
    </row>
    <row r="54" spans="2:13" ht="6" customHeight="1" x14ac:dyDescent="0.35">
      <c r="B54" s="105"/>
      <c r="C54" s="154"/>
      <c r="D54" s="35"/>
      <c r="E54" s="35"/>
      <c r="F54" s="35"/>
      <c r="G54" s="35"/>
      <c r="H54" s="35"/>
      <c r="I54" s="35"/>
      <c r="J54" s="35"/>
      <c r="K54" s="35"/>
      <c r="L54" s="35"/>
      <c r="M54" s="35"/>
    </row>
    <row r="55" spans="2:13" x14ac:dyDescent="0.35">
      <c r="B55" s="106" t="s">
        <v>176</v>
      </c>
      <c r="C55" s="154"/>
      <c r="D55" s="35">
        <f ca="1">IF(D53&gt;0,D53*INPUTS!D16,0)</f>
        <v>0</v>
      </c>
      <c r="E55" s="35">
        <f ca="1">IF(E53&gt;0,E53*INPUTS!E16,0)</f>
        <v>34917936.098188013</v>
      </c>
      <c r="F55" s="35">
        <f ca="1">IF(F53&gt;0,F53*INPUTS!F16,0)</f>
        <v>38344679.399488002</v>
      </c>
      <c r="G55" s="35">
        <f ca="1">IF(G53&gt;0,G53*INPUTS!G16,0)</f>
        <v>42323126.500272647</v>
      </c>
      <c r="H55" s="35">
        <f ca="1">IF(H53&gt;0,H53*INPUTS!H16,0)</f>
        <v>47001632.690180846</v>
      </c>
      <c r="I55" s="35">
        <f ca="1">IF(I53&gt;0,I53*INPUTS!I16,0)</f>
        <v>50559667.87478555</v>
      </c>
      <c r="J55" s="35">
        <f ca="1">IF(J53&gt;0,J53*INPUTS!J16,0)</f>
        <v>52261684.942283355</v>
      </c>
      <c r="K55" s="35">
        <f ca="1">IF(K53&gt;0,K53*INPUTS!K16,0)</f>
        <v>54023659.614009306</v>
      </c>
      <c r="L55" s="35">
        <f ca="1">IF(L53&gt;0,L53*INPUTS!L16,0)</f>
        <v>55810078.902429596</v>
      </c>
      <c r="M55" s="35">
        <f ca="1">IF(M53&gt;0,M53*INPUTS!M16,0)</f>
        <v>57650090.769502476</v>
      </c>
    </row>
    <row r="56" spans="2:13" x14ac:dyDescent="0.35">
      <c r="B56" s="110" t="s">
        <v>177</v>
      </c>
      <c r="C56" s="167"/>
      <c r="D56" s="115">
        <f t="shared" ref="D56:M56" ca="1" si="15">+D53-D55</f>
        <v>-3650283.1333333291</v>
      </c>
      <c r="E56" s="115">
        <f t="shared" ca="1" si="15"/>
        <v>70893991.472078681</v>
      </c>
      <c r="F56" s="115">
        <f t="shared" ca="1" si="15"/>
        <v>77851318.780778676</v>
      </c>
      <c r="G56" s="115">
        <f t="shared" ca="1" si="15"/>
        <v>85928771.985402033</v>
      </c>
      <c r="H56" s="115">
        <f t="shared" ca="1" si="15"/>
        <v>95427557.280064136</v>
      </c>
      <c r="I56" s="115">
        <f t="shared" ca="1" si="15"/>
        <v>102651446.89729187</v>
      </c>
      <c r="J56" s="115">
        <f t="shared" ca="1" si="15"/>
        <v>106107057.30706012</v>
      </c>
      <c r="K56" s="115">
        <f t="shared" ca="1" si="15"/>
        <v>109684399.82238252</v>
      </c>
      <c r="L56" s="115">
        <f t="shared" ca="1" si="15"/>
        <v>113311372.31705402</v>
      </c>
      <c r="M56" s="115">
        <f t="shared" ca="1" si="15"/>
        <v>117047153.98656563</v>
      </c>
    </row>
    <row r="57" spans="2:13" x14ac:dyDescent="0.35">
      <c r="B57" s="105"/>
      <c r="C57" s="35"/>
      <c r="D57" s="35"/>
      <c r="E57" s="35"/>
      <c r="F57" s="35"/>
      <c r="G57" s="35"/>
      <c r="H57" s="35"/>
      <c r="I57" s="35"/>
      <c r="J57" s="35"/>
      <c r="K57" s="35"/>
      <c r="L57" s="35"/>
      <c r="M57" s="35"/>
    </row>
    <row r="58" spans="2:13" x14ac:dyDescent="0.35">
      <c r="B58" s="108" t="s">
        <v>178</v>
      </c>
      <c r="C58" s="35"/>
      <c r="D58" s="35"/>
      <c r="E58" s="35"/>
      <c r="F58" s="35"/>
      <c r="G58" s="35"/>
      <c r="H58" s="35"/>
      <c r="I58" s="35"/>
      <c r="J58" s="35"/>
      <c r="K58" s="35"/>
      <c r="L58" s="35"/>
      <c r="M58" s="35"/>
    </row>
    <row r="59" spans="2:13" x14ac:dyDescent="0.35">
      <c r="B59" s="106" t="s">
        <v>179</v>
      </c>
      <c r="C59" s="35">
        <f ca="1">C110</f>
        <v>13901580</v>
      </c>
      <c r="D59" s="35">
        <f t="shared" ref="D59:M59" ca="1" si="16">D110</f>
        <v>17760435.839999996</v>
      </c>
      <c r="E59" s="35">
        <f t="shared" ca="1" si="16"/>
        <v>18350697.355200008</v>
      </c>
      <c r="F59" s="35">
        <f t="shared" ca="1" si="16"/>
        <v>18901218.275856003</v>
      </c>
      <c r="G59" s="35">
        <f t="shared" ca="1" si="16"/>
        <v>19468254.824131683</v>
      </c>
      <c r="H59" s="35">
        <f t="shared" ca="1" si="16"/>
        <v>20052302.468855634</v>
      </c>
      <c r="I59" s="35">
        <f t="shared" ca="1" si="16"/>
        <v>20653871.542921301</v>
      </c>
      <c r="J59" s="35">
        <f t="shared" ca="1" si="16"/>
        <v>21273487.689208947</v>
      </c>
      <c r="K59" s="35">
        <f t="shared" ca="1" si="16"/>
        <v>21911692.319885213</v>
      </c>
      <c r="L59" s="35">
        <f t="shared" ca="1" si="16"/>
        <v>22569043.089481771</v>
      </c>
      <c r="M59" s="35">
        <f t="shared" ca="1" si="16"/>
        <v>0</v>
      </c>
    </row>
    <row r="60" spans="2:13" x14ac:dyDescent="0.35">
      <c r="B60" s="106" t="s">
        <v>180</v>
      </c>
      <c r="C60" s="35">
        <f ca="1">IF(C113&gt;0,C109,0)</f>
        <v>0</v>
      </c>
      <c r="D60" s="35">
        <f ca="1">C60+D109</f>
        <v>0</v>
      </c>
      <c r="E60" s="35">
        <f t="shared" ref="E60:M60" ca="1" si="17">D60+E109</f>
        <v>70590490.909849599</v>
      </c>
      <c r="F60" s="35">
        <f t="shared" ca="1" si="17"/>
        <v>82980228.950735629</v>
      </c>
      <c r="G60" s="35">
        <f t="shared" ca="1" si="17"/>
        <v>83598208.680185601</v>
      </c>
      <c r="H60" s="35">
        <f t="shared" ca="1" si="17"/>
        <v>83598208.680185601</v>
      </c>
      <c r="I60" s="35">
        <f t="shared" ca="1" si="17"/>
        <v>83598208.680185601</v>
      </c>
      <c r="J60" s="35">
        <f t="shared" ca="1" si="17"/>
        <v>97129336.218009144</v>
      </c>
      <c r="K60" s="35">
        <f t="shared" ca="1" si="17"/>
        <v>129436974.60922863</v>
      </c>
      <c r="L60" s="35">
        <f t="shared" ca="1" si="17"/>
        <v>153337543.17055589</v>
      </c>
      <c r="M60" s="35">
        <f t="shared" ca="1" si="17"/>
        <v>206896564.80669308</v>
      </c>
    </row>
    <row r="61" spans="2:13" x14ac:dyDescent="0.35">
      <c r="B61" s="106" t="s">
        <v>181</v>
      </c>
      <c r="C61" s="154"/>
      <c r="D61" s="124">
        <v>0</v>
      </c>
      <c r="E61" s="124">
        <v>0</v>
      </c>
      <c r="F61" s="124">
        <v>0</v>
      </c>
      <c r="G61" s="124">
        <v>0</v>
      </c>
      <c r="H61" s="124">
        <v>0</v>
      </c>
      <c r="I61" s="124">
        <v>0</v>
      </c>
      <c r="J61" s="124">
        <v>0</v>
      </c>
      <c r="K61" s="124">
        <v>0</v>
      </c>
      <c r="L61" s="124">
        <v>0</v>
      </c>
      <c r="M61" s="124">
        <v>0</v>
      </c>
    </row>
    <row r="62" spans="2:13" x14ac:dyDescent="0.35">
      <c r="B62" s="106" t="s">
        <v>182</v>
      </c>
      <c r="C62" s="154"/>
      <c r="D62" s="124">
        <v>0</v>
      </c>
      <c r="E62" s="124">
        <v>0</v>
      </c>
      <c r="F62" s="124">
        <v>0</v>
      </c>
      <c r="G62" s="124">
        <v>0</v>
      </c>
      <c r="H62" s="124">
        <v>0</v>
      </c>
      <c r="I62" s="124">
        <v>0</v>
      </c>
      <c r="J62" s="124">
        <v>0</v>
      </c>
      <c r="K62" s="124">
        <v>0</v>
      </c>
      <c r="L62" s="124">
        <v>0</v>
      </c>
      <c r="M62" s="124">
        <v>0</v>
      </c>
    </row>
    <row r="63" spans="2:13" x14ac:dyDescent="0.35">
      <c r="B63" s="111" t="s">
        <v>183</v>
      </c>
      <c r="C63" s="77">
        <f ca="1">SUM(C59:C62)</f>
        <v>13901580</v>
      </c>
      <c r="D63" s="77">
        <f t="shared" ref="D63:M63" ca="1" si="18">SUM(D59:D62)</f>
        <v>17760435.839999996</v>
      </c>
      <c r="E63" s="77">
        <f t="shared" ca="1" si="18"/>
        <v>88941188.265049607</v>
      </c>
      <c r="F63" s="77">
        <f t="shared" ca="1" si="18"/>
        <v>101881447.22659163</v>
      </c>
      <c r="G63" s="77">
        <f t="shared" ca="1" si="18"/>
        <v>103066463.50431728</v>
      </c>
      <c r="H63" s="77">
        <f t="shared" ca="1" si="18"/>
        <v>103650511.14904124</v>
      </c>
      <c r="I63" s="77">
        <f t="shared" ca="1" si="18"/>
        <v>104252080.22310691</v>
      </c>
      <c r="J63" s="77">
        <f t="shared" ca="1" si="18"/>
        <v>118402823.9072181</v>
      </c>
      <c r="K63" s="77">
        <f t="shared" ca="1" si="18"/>
        <v>151348666.92911384</v>
      </c>
      <c r="L63" s="77">
        <f t="shared" ca="1" si="18"/>
        <v>175906586.26003766</v>
      </c>
      <c r="M63" s="77">
        <f t="shared" ca="1" si="18"/>
        <v>206896564.80669308</v>
      </c>
    </row>
    <row r="64" spans="2:13" x14ac:dyDescent="0.35">
      <c r="B64" s="106" t="s">
        <v>184</v>
      </c>
      <c r="C64" s="35">
        <f>C17+C22+C28</f>
        <v>407970000</v>
      </c>
      <c r="D64" s="35">
        <f t="shared" ref="D64:M64" si="19">D17+D22+D28</f>
        <v>391231666.66666669</v>
      </c>
      <c r="E64" s="35">
        <f t="shared" si="19"/>
        <v>374493333.33333331</v>
      </c>
      <c r="F64" s="35">
        <f t="shared" si="19"/>
        <v>365032525.11080003</v>
      </c>
      <c r="G64" s="35">
        <f t="shared" si="19"/>
        <v>350592363.68656266</v>
      </c>
      <c r="H64" s="35">
        <f t="shared" si="19"/>
        <v>341574756.74327707</v>
      </c>
      <c r="I64" s="35">
        <f t="shared" si="19"/>
        <v>355786785.67409849</v>
      </c>
      <c r="J64" s="35">
        <f t="shared" si="19"/>
        <v>349750645.46367753</v>
      </c>
      <c r="K64" s="35">
        <f t="shared" si="19"/>
        <v>333012312.13034421</v>
      </c>
      <c r="L64" s="35">
        <f t="shared" si="19"/>
        <v>324963724.36860907</v>
      </c>
      <c r="M64" s="35">
        <f t="shared" si="19"/>
        <v>310969528.48115027</v>
      </c>
    </row>
    <row r="65" spans="2:13" x14ac:dyDescent="0.35">
      <c r="B65" s="109" t="s">
        <v>185</v>
      </c>
      <c r="C65" s="115">
        <f ca="1">+C63+C64</f>
        <v>421871580</v>
      </c>
      <c r="D65" s="115">
        <f t="shared" ref="D65:M65" ca="1" si="20">+D63+D64</f>
        <v>408992102.50666666</v>
      </c>
      <c r="E65" s="115">
        <f t="shared" ca="1" si="20"/>
        <v>463434521.59838295</v>
      </c>
      <c r="F65" s="115">
        <f t="shared" ca="1" si="20"/>
        <v>466913972.33739167</v>
      </c>
      <c r="G65" s="115">
        <f t="shared" ca="1" si="20"/>
        <v>453658827.19087994</v>
      </c>
      <c r="H65" s="115">
        <f t="shared" ca="1" si="20"/>
        <v>445225267.89231831</v>
      </c>
      <c r="I65" s="115">
        <f t="shared" ca="1" si="20"/>
        <v>460038865.89720541</v>
      </c>
      <c r="J65" s="115">
        <f t="shared" ca="1" si="20"/>
        <v>468153469.37089562</v>
      </c>
      <c r="K65" s="115">
        <f t="shared" ca="1" si="20"/>
        <v>484360979.05945802</v>
      </c>
      <c r="L65" s="115">
        <f t="shared" ca="1" si="20"/>
        <v>500870310.62864673</v>
      </c>
      <c r="M65" s="115">
        <f t="shared" ca="1" si="20"/>
        <v>517866093.28784335</v>
      </c>
    </row>
    <row r="66" spans="2:13" x14ac:dyDescent="0.35">
      <c r="B66" s="105"/>
      <c r="C66" s="35"/>
      <c r="D66" s="35"/>
      <c r="E66" s="35"/>
      <c r="F66" s="35"/>
      <c r="G66" s="35"/>
      <c r="H66" s="35"/>
      <c r="I66" s="35"/>
      <c r="J66" s="35"/>
      <c r="K66" s="35"/>
      <c r="L66" s="35"/>
      <c r="M66" s="35"/>
    </row>
    <row r="67" spans="2:13" x14ac:dyDescent="0.35">
      <c r="B67" s="106" t="s">
        <v>186</v>
      </c>
      <c r="C67" s="35">
        <f ca="1">C108</f>
        <v>13901580</v>
      </c>
      <c r="D67" s="35">
        <f t="shared" ref="D67:M67" ca="1" si="21">D108</f>
        <v>2642521.640000008</v>
      </c>
      <c r="E67" s="35">
        <f t="shared" ca="1" si="21"/>
        <v>0</v>
      </c>
      <c r="F67" s="35">
        <f t="shared" ca="1" si="21"/>
        <v>0</v>
      </c>
      <c r="G67" s="35">
        <f t="shared" ca="1" si="21"/>
        <v>0</v>
      </c>
      <c r="H67" s="35">
        <f t="shared" ca="1" si="21"/>
        <v>13858353.727485314</v>
      </c>
      <c r="I67" s="35">
        <f t="shared" ca="1" si="21"/>
        <v>8359700.92893916</v>
      </c>
      <c r="J67" s="35">
        <f t="shared" ca="1" si="21"/>
        <v>0</v>
      </c>
      <c r="K67" s="35">
        <f t="shared" ca="1" si="21"/>
        <v>0</v>
      </c>
      <c r="L67" s="35">
        <f t="shared" ca="1" si="21"/>
        <v>0</v>
      </c>
      <c r="M67" s="35">
        <f t="shared" ca="1" si="21"/>
        <v>0</v>
      </c>
    </row>
    <row r="68" spans="2:13" x14ac:dyDescent="0.35">
      <c r="B68" s="106" t="s">
        <v>187</v>
      </c>
      <c r="C68" s="124">
        <v>0</v>
      </c>
      <c r="D68" s="124">
        <v>0</v>
      </c>
      <c r="E68" s="124">
        <v>0</v>
      </c>
      <c r="F68" s="124">
        <v>0</v>
      </c>
      <c r="G68" s="124">
        <v>0</v>
      </c>
      <c r="H68" s="124">
        <v>0</v>
      </c>
      <c r="I68" s="124">
        <v>0</v>
      </c>
      <c r="J68" s="124">
        <v>0</v>
      </c>
      <c r="K68" s="124">
        <v>0</v>
      </c>
      <c r="L68" s="124">
        <v>0</v>
      </c>
      <c r="M68" s="124">
        <v>0</v>
      </c>
    </row>
    <row r="69" spans="2:13" x14ac:dyDescent="0.35">
      <c r="B69" s="106" t="s">
        <v>188</v>
      </c>
      <c r="C69" s="35">
        <f>C43*INPUTS!$C$37</f>
        <v>0</v>
      </c>
      <c r="D69" s="35">
        <f>D43*INPUTS!$C$37</f>
        <v>19149480</v>
      </c>
      <c r="E69" s="35">
        <f>E43*INPUTS!$C$37</f>
        <v>20068655.040000003</v>
      </c>
      <c r="F69" s="35">
        <f>F43*INPUTS!$C$37</f>
        <v>20670714.691200003</v>
      </c>
      <c r="G69" s="35">
        <f>G43*INPUTS!$C$37</f>
        <v>21290836.131936003</v>
      </c>
      <c r="H69" s="35">
        <f>H43*INPUTS!$C$37</f>
        <v>21929561.215894084</v>
      </c>
      <c r="I69" s="35">
        <f>I43*INPUTS!$C$37</f>
        <v>22587448.052370906</v>
      </c>
      <c r="J69" s="35">
        <f>J43*INPUTS!$C$37</f>
        <v>23265071.493942037</v>
      </c>
      <c r="K69" s="35">
        <f>K43*INPUTS!$C$37</f>
        <v>23963023.638760298</v>
      </c>
      <c r="L69" s="35">
        <f>L43*INPUTS!$C$37</f>
        <v>24681914.347923111</v>
      </c>
      <c r="M69" s="35">
        <f>M43*INPUTS!$C$37</f>
        <v>25422371.778360803</v>
      </c>
    </row>
    <row r="70" spans="2:13" x14ac:dyDescent="0.35">
      <c r="B70" s="106" t="s">
        <v>189</v>
      </c>
      <c r="C70" s="35"/>
      <c r="D70" s="35">
        <f ca="1">D55*(1-INPUTS!$C$38)</f>
        <v>0</v>
      </c>
      <c r="E70" s="35">
        <f ca="1">E55*(1-INPUTS!$C$38)</f>
        <v>6983587.2196376007</v>
      </c>
      <c r="F70" s="35">
        <f ca="1">F55*(1-INPUTS!$C$38)</f>
        <v>7668935.8798975991</v>
      </c>
      <c r="G70" s="35">
        <f ca="1">G55*(1-INPUTS!$C$38)</f>
        <v>8464625.3000545278</v>
      </c>
      <c r="H70" s="35">
        <f ca="1">H55*(1-INPUTS!$C$38)</f>
        <v>9400326.5380361676</v>
      </c>
      <c r="I70" s="35">
        <f ca="1">I55*(1-INPUTS!$C$38)</f>
        <v>10111933.574957108</v>
      </c>
      <c r="J70" s="35">
        <f ca="1">J55*(1-INPUTS!$C$38)</f>
        <v>10452336.988456668</v>
      </c>
      <c r="K70" s="35">
        <f ca="1">K55*(1-INPUTS!$C$38)</f>
        <v>10804731.92280186</v>
      </c>
      <c r="L70" s="35">
        <f ca="1">L55*(1-INPUTS!$C$38)</f>
        <v>11162015.780485917</v>
      </c>
      <c r="M70" s="35">
        <f ca="1">M55*(1-INPUTS!$C$38)</f>
        <v>11530018.153900493</v>
      </c>
    </row>
    <row r="71" spans="2:13" x14ac:dyDescent="0.35">
      <c r="B71" s="106" t="s">
        <v>190</v>
      </c>
      <c r="C71" s="35">
        <f ca="1">D13</f>
        <v>17119616</v>
      </c>
      <c r="D71" s="35">
        <f t="shared" ref="D71:M71" ca="1" si="22">E13</f>
        <v>21711813</v>
      </c>
      <c r="E71" s="35">
        <f t="shared" ca="1" si="22"/>
        <v>27535829</v>
      </c>
      <c r="F71" s="35">
        <f t="shared" ca="1" si="22"/>
        <v>34922089</v>
      </c>
      <c r="G71" s="35">
        <f t="shared" ca="1" si="22"/>
        <v>44289653</v>
      </c>
      <c r="H71" s="35">
        <f t="shared" ca="1" si="22"/>
        <v>0</v>
      </c>
      <c r="I71" s="35">
        <f t="shared" ca="1" si="22"/>
        <v>0</v>
      </c>
      <c r="J71" s="35">
        <f t="shared" ca="1" si="22"/>
        <v>0</v>
      </c>
      <c r="K71" s="35">
        <f t="shared" ca="1" si="22"/>
        <v>0</v>
      </c>
      <c r="L71" s="35">
        <f t="shared" ca="1" si="22"/>
        <v>0</v>
      </c>
      <c r="M71" s="35">
        <f t="shared" si="22"/>
        <v>0</v>
      </c>
    </row>
    <row r="72" spans="2:13" x14ac:dyDescent="0.35">
      <c r="B72" s="111" t="s">
        <v>191</v>
      </c>
      <c r="C72" s="77">
        <f ca="1">SUM(C67:C71)</f>
        <v>31021196</v>
      </c>
      <c r="D72" s="77">
        <f t="shared" ref="D72:M72" ca="1" si="23">SUM(D67:D71)</f>
        <v>43503814.640000008</v>
      </c>
      <c r="E72" s="77">
        <f t="shared" ca="1" si="23"/>
        <v>54588071.259637602</v>
      </c>
      <c r="F72" s="77">
        <f t="shared" ca="1" si="23"/>
        <v>63261739.571097597</v>
      </c>
      <c r="G72" s="77">
        <f ca="1">SUM(G67:G71)</f>
        <v>74045114.431990534</v>
      </c>
      <c r="H72" s="77">
        <f t="shared" ca="1" si="23"/>
        <v>45188241.48141557</v>
      </c>
      <c r="I72" s="77">
        <f t="shared" ca="1" si="23"/>
        <v>41059082.556267172</v>
      </c>
      <c r="J72" s="77">
        <f t="shared" ca="1" si="23"/>
        <v>33717408.482398704</v>
      </c>
      <c r="K72" s="77">
        <f t="shared" ca="1" si="23"/>
        <v>34767755.561562158</v>
      </c>
      <c r="L72" s="77">
        <f t="shared" ca="1" si="23"/>
        <v>35843930.128409028</v>
      </c>
      <c r="M72" s="77">
        <f t="shared" ca="1" si="23"/>
        <v>36952389.932261296</v>
      </c>
    </row>
    <row r="73" spans="2:13" x14ac:dyDescent="0.35">
      <c r="B73" s="106" t="s">
        <v>192</v>
      </c>
      <c r="C73" s="35">
        <f t="shared" ref="C73:M73" ca="1" si="24">C14-C71</f>
        <v>128459384</v>
      </c>
      <c r="D73" s="35">
        <f t="shared" ca="1" si="24"/>
        <v>106747571</v>
      </c>
      <c r="E73" s="35">
        <f t="shared" ca="1" si="24"/>
        <v>79211742</v>
      </c>
      <c r="F73" s="35">
        <f t="shared" ca="1" si="24"/>
        <v>44289653</v>
      </c>
      <c r="G73" s="35">
        <f t="shared" ca="1" si="24"/>
        <v>0</v>
      </c>
      <c r="H73" s="35">
        <f t="shared" ca="1" si="24"/>
        <v>0</v>
      </c>
      <c r="I73" s="35">
        <f t="shared" ca="1" si="24"/>
        <v>0</v>
      </c>
      <c r="J73" s="35">
        <f t="shared" ca="1" si="24"/>
        <v>0</v>
      </c>
      <c r="K73" s="35">
        <f t="shared" ca="1" si="24"/>
        <v>0</v>
      </c>
      <c r="L73" s="35">
        <f t="shared" ca="1" si="24"/>
        <v>0</v>
      </c>
      <c r="M73" s="35">
        <f t="shared" ca="1" si="24"/>
        <v>0</v>
      </c>
    </row>
    <row r="74" spans="2:13" x14ac:dyDescent="0.35">
      <c r="B74" s="109" t="s">
        <v>193</v>
      </c>
      <c r="C74" s="115">
        <f ca="1">+C72+C73</f>
        <v>159480580</v>
      </c>
      <c r="D74" s="115">
        <f t="shared" ref="D74:M74" ca="1" si="25">+D72+D73</f>
        <v>150251385.64000002</v>
      </c>
      <c r="E74" s="115">
        <f t="shared" ca="1" si="25"/>
        <v>133799813.25963759</v>
      </c>
      <c r="F74" s="115">
        <f t="shared" ca="1" si="25"/>
        <v>107551392.5710976</v>
      </c>
      <c r="G74" s="115">
        <f t="shared" ca="1" si="25"/>
        <v>74045114.431990534</v>
      </c>
      <c r="H74" s="115">
        <f t="shared" ca="1" si="25"/>
        <v>45188241.48141557</v>
      </c>
      <c r="I74" s="115">
        <f t="shared" ca="1" si="25"/>
        <v>41059082.556267172</v>
      </c>
      <c r="J74" s="115">
        <f t="shared" ca="1" si="25"/>
        <v>33717408.482398704</v>
      </c>
      <c r="K74" s="115">
        <f t="shared" ca="1" si="25"/>
        <v>34767755.561562158</v>
      </c>
      <c r="L74" s="115">
        <f t="shared" ca="1" si="25"/>
        <v>35843930.128409028</v>
      </c>
      <c r="M74" s="115">
        <f t="shared" ca="1" si="25"/>
        <v>36952389.932261296</v>
      </c>
    </row>
    <row r="75" spans="2:13" x14ac:dyDescent="0.35">
      <c r="B75" s="105"/>
      <c r="C75" s="35"/>
      <c r="D75" s="35"/>
      <c r="E75" s="35"/>
      <c r="F75" s="35"/>
      <c r="G75" s="35"/>
      <c r="H75" s="35"/>
      <c r="I75" s="35"/>
      <c r="J75" s="35"/>
      <c r="K75" s="35"/>
      <c r="L75" s="35"/>
      <c r="M75" s="35"/>
    </row>
    <row r="76" spans="2:13" x14ac:dyDescent="0.35">
      <c r="B76" s="106" t="s">
        <v>194</v>
      </c>
      <c r="C76" s="124">
        <f ca="1">'CAPEX - OPEX'!$C$92-C14</f>
        <v>262391000</v>
      </c>
      <c r="D76" s="124">
        <f ca="1">'CAPEX - OPEX'!$C$92-Modelo!$C$14</f>
        <v>262391000</v>
      </c>
      <c r="E76" s="124">
        <f ca="1">'CAPEX - OPEX'!$C$92-Modelo!$C$14</f>
        <v>262391000</v>
      </c>
      <c r="F76" s="124">
        <f ca="1">'CAPEX - OPEX'!$C$92-Modelo!$C$14</f>
        <v>262391000</v>
      </c>
      <c r="G76" s="124">
        <f ca="1">'CAPEX - OPEX'!$C$92-Modelo!$C$14</f>
        <v>262391000</v>
      </c>
      <c r="H76" s="124">
        <f ca="1">'CAPEX - OPEX'!$C$92-Modelo!$C$14</f>
        <v>262391000</v>
      </c>
      <c r="I76" s="124">
        <f ca="1">'CAPEX - OPEX'!$C$92-Modelo!$C$14</f>
        <v>262391000</v>
      </c>
      <c r="J76" s="124">
        <f ca="1">'CAPEX - OPEX'!$C$92-Modelo!$C$14</f>
        <v>262391000</v>
      </c>
      <c r="K76" s="124">
        <f ca="1">'CAPEX - OPEX'!$C$92-Modelo!$C$14</f>
        <v>262391000</v>
      </c>
      <c r="L76" s="124">
        <f ca="1">'CAPEX - OPEX'!$C$92-Modelo!$C$14</f>
        <v>262391000</v>
      </c>
      <c r="M76" s="124">
        <f ca="1">'CAPEX - OPEX'!$C$92-Modelo!$C$14</f>
        <v>262391000</v>
      </c>
    </row>
    <row r="77" spans="2:13" x14ac:dyDescent="0.35">
      <c r="B77" s="106" t="s">
        <v>195</v>
      </c>
      <c r="C77" s="35"/>
      <c r="D77" s="35">
        <f>+C77+D33</f>
        <v>0</v>
      </c>
      <c r="E77" s="35">
        <f t="shared" ref="E77:F77" ca="1" si="26">+D77+E33</f>
        <v>0</v>
      </c>
      <c r="F77" s="35">
        <f t="shared" ca="1" si="26"/>
        <v>7089399.1472078683</v>
      </c>
      <c r="G77" s="35">
        <f t="shared" ref="G77" ca="1" si="27">+F77+G33</f>
        <v>14874531.025285736</v>
      </c>
      <c r="H77" s="35">
        <f t="shared" ref="H77" ca="1" si="28">+G77+H33</f>
        <v>23467408.223825939</v>
      </c>
      <c r="I77" s="35">
        <f t="shared" ref="I77" ca="1" si="29">+H77+I33</f>
        <v>33010163.951832354</v>
      </c>
      <c r="J77" s="35">
        <f t="shared" ref="J77" ca="1" si="30">+I77+J33</f>
        <v>43275308.641561538</v>
      </c>
      <c r="K77" s="35">
        <f t="shared" ref="K77" ca="1" si="31">+J77+K33</f>
        <v>53886014.372267552</v>
      </c>
      <c r="L77" s="35">
        <f t="shared" ref="L77" ca="1" si="32">+K77+L33</f>
        <v>64854454.354505807</v>
      </c>
      <c r="M77" s="35">
        <f t="shared" ref="M77" ca="1" si="33">+L77+M33</f>
        <v>76185591.586211205</v>
      </c>
    </row>
    <row r="78" spans="2:13" x14ac:dyDescent="0.35">
      <c r="B78" s="106" t="s">
        <v>196</v>
      </c>
      <c r="C78" s="35">
        <f>C56</f>
        <v>0</v>
      </c>
      <c r="D78" s="35">
        <f t="shared" ref="D78:M78" ca="1" si="34">D56</f>
        <v>-3650283.1333333291</v>
      </c>
      <c r="E78" s="35">
        <f t="shared" ca="1" si="34"/>
        <v>70893991.472078681</v>
      </c>
      <c r="F78" s="35">
        <f t="shared" ca="1" si="34"/>
        <v>77851318.780778676</v>
      </c>
      <c r="G78" s="35">
        <f t="shared" ca="1" si="34"/>
        <v>85928771.985402033</v>
      </c>
      <c r="H78" s="35">
        <f t="shared" ca="1" si="34"/>
        <v>95427557.280064136</v>
      </c>
      <c r="I78" s="35">
        <f t="shared" ca="1" si="34"/>
        <v>102651446.89729187</v>
      </c>
      <c r="J78" s="35">
        <f t="shared" ca="1" si="34"/>
        <v>106107057.30706012</v>
      </c>
      <c r="K78" s="35">
        <f t="shared" ca="1" si="34"/>
        <v>109684399.82238252</v>
      </c>
      <c r="L78" s="35">
        <f t="shared" ca="1" si="34"/>
        <v>113311372.31705402</v>
      </c>
      <c r="M78" s="35">
        <f t="shared" ca="1" si="34"/>
        <v>117047153.98656563</v>
      </c>
    </row>
    <row r="79" spans="2:13" x14ac:dyDescent="0.35">
      <c r="B79" s="106" t="s">
        <v>197</v>
      </c>
      <c r="C79" s="35"/>
      <c r="D79" s="35">
        <f>D36</f>
        <v>0</v>
      </c>
      <c r="E79" s="35">
        <f t="shared" ref="E79:M79" ca="1" si="35">E36</f>
        <v>-3650283.1333333291</v>
      </c>
      <c r="F79" s="35">
        <f t="shared" ca="1" si="35"/>
        <v>12030861.838307492</v>
      </c>
      <c r="G79" s="35">
        <f t="shared" ca="1" si="35"/>
        <v>16419409.748201661</v>
      </c>
      <c r="H79" s="35">
        <f t="shared" ca="1" si="35"/>
        <v>18751060.907012686</v>
      </c>
      <c r="I79" s="35">
        <f t="shared" ca="1" si="35"/>
        <v>20927172.491814077</v>
      </c>
      <c r="J79" s="35">
        <f t="shared" ca="1" si="35"/>
        <v>22662694.939875349</v>
      </c>
      <c r="K79" s="35">
        <f t="shared" ca="1" si="35"/>
        <v>23631809.303245887</v>
      </c>
      <c r="L79" s="35">
        <f t="shared" ca="1" si="35"/>
        <v>24469553.828678027</v>
      </c>
      <c r="M79" s="35">
        <f t="shared" ca="1" si="35"/>
        <v>25289957.782805324</v>
      </c>
    </row>
    <row r="80" spans="2:13" x14ac:dyDescent="0.35">
      <c r="B80" s="110" t="s">
        <v>198</v>
      </c>
      <c r="C80" s="115">
        <f ca="1">SUM(C76:C79)</f>
        <v>262391000</v>
      </c>
      <c r="D80" s="115">
        <f t="shared" ref="D80:M80" ca="1" si="36">SUM(D76:D79)</f>
        <v>258740716.86666667</v>
      </c>
      <c r="E80" s="115">
        <f t="shared" ca="1" si="36"/>
        <v>329634708.33874536</v>
      </c>
      <c r="F80" s="115">
        <f t="shared" ca="1" si="36"/>
        <v>359362579.766294</v>
      </c>
      <c r="G80" s="115">
        <f t="shared" ca="1" si="36"/>
        <v>379613712.75888944</v>
      </c>
      <c r="H80" s="115">
        <f t="shared" ca="1" si="36"/>
        <v>400037026.41090274</v>
      </c>
      <c r="I80" s="115">
        <f t="shared" ca="1" si="36"/>
        <v>418979783.34093827</v>
      </c>
      <c r="J80" s="115">
        <f t="shared" ca="1" si="36"/>
        <v>434436060.88849699</v>
      </c>
      <c r="K80" s="115">
        <f t="shared" ca="1" si="36"/>
        <v>449593223.49789596</v>
      </c>
      <c r="L80" s="115">
        <f t="shared" ca="1" si="36"/>
        <v>465026380.50023782</v>
      </c>
      <c r="M80" s="115">
        <f t="shared" ca="1" si="36"/>
        <v>480913703.35558218</v>
      </c>
    </row>
    <row r="81" spans="2:13" x14ac:dyDescent="0.35">
      <c r="B81" s="105"/>
      <c r="C81" s="35"/>
      <c r="D81" s="35"/>
      <c r="E81" s="35"/>
      <c r="F81" s="35"/>
      <c r="G81" s="35"/>
      <c r="H81" s="35"/>
      <c r="I81" s="35"/>
      <c r="J81" s="35"/>
      <c r="K81" s="35"/>
      <c r="L81" s="35"/>
      <c r="M81" s="35"/>
    </row>
    <row r="82" spans="2:13" x14ac:dyDescent="0.35">
      <c r="B82" s="110" t="s">
        <v>199</v>
      </c>
      <c r="C82" s="115">
        <f ca="1">+C74+C80</f>
        <v>421871580</v>
      </c>
      <c r="D82" s="115">
        <f t="shared" ref="D82:M82" ca="1" si="37">+D74+D80</f>
        <v>408992102.50666666</v>
      </c>
      <c r="E82" s="115">
        <f t="shared" ca="1" si="37"/>
        <v>463434521.59838295</v>
      </c>
      <c r="F82" s="115">
        <f t="shared" ca="1" si="37"/>
        <v>466913972.33739161</v>
      </c>
      <c r="G82" s="115">
        <f t="shared" ca="1" si="37"/>
        <v>453658827.19087994</v>
      </c>
      <c r="H82" s="115">
        <f t="shared" ca="1" si="37"/>
        <v>445225267.89231831</v>
      </c>
      <c r="I82" s="115">
        <f t="shared" ca="1" si="37"/>
        <v>460038865.89720547</v>
      </c>
      <c r="J82" s="115">
        <f t="shared" ca="1" si="37"/>
        <v>468153469.37089568</v>
      </c>
      <c r="K82" s="115">
        <f t="shared" ca="1" si="37"/>
        <v>484360979.05945814</v>
      </c>
      <c r="L82" s="115">
        <f t="shared" ca="1" si="37"/>
        <v>500870310.62864685</v>
      </c>
      <c r="M82" s="115">
        <f t="shared" ca="1" si="37"/>
        <v>517866093.28784347</v>
      </c>
    </row>
    <row r="83" spans="2:13" x14ac:dyDescent="0.35">
      <c r="B83" s="105"/>
      <c r="C83" s="35"/>
      <c r="D83" s="35"/>
      <c r="E83" s="35"/>
      <c r="F83" s="35"/>
      <c r="G83" s="35"/>
      <c r="H83" s="35"/>
      <c r="I83" s="35"/>
      <c r="J83" s="35"/>
      <c r="K83" s="35"/>
      <c r="L83" s="35"/>
      <c r="M83" s="35"/>
    </row>
    <row r="84" spans="2:13" x14ac:dyDescent="0.35">
      <c r="B84" s="112" t="s">
        <v>200</v>
      </c>
      <c r="C84" s="117">
        <f ca="1">ROUND(C82-C65,0)</f>
        <v>0</v>
      </c>
      <c r="D84" s="117">
        <f t="shared" ref="D84:M84" ca="1" si="38">ROUND(D82-D65,0)</f>
        <v>0</v>
      </c>
      <c r="E84" s="117">
        <f ca="1">ROUND(E82-E65,0)</f>
        <v>0</v>
      </c>
      <c r="F84" s="117">
        <f t="shared" ca="1" si="38"/>
        <v>0</v>
      </c>
      <c r="G84" s="117">
        <f t="shared" ca="1" si="38"/>
        <v>0</v>
      </c>
      <c r="H84" s="117">
        <f t="shared" ca="1" si="38"/>
        <v>0</v>
      </c>
      <c r="I84" s="117">
        <f t="shared" ca="1" si="38"/>
        <v>0</v>
      </c>
      <c r="J84" s="117">
        <f t="shared" ca="1" si="38"/>
        <v>0</v>
      </c>
      <c r="K84" s="117">
        <f t="shared" ca="1" si="38"/>
        <v>0</v>
      </c>
      <c r="L84" s="117">
        <f t="shared" ca="1" si="38"/>
        <v>0</v>
      </c>
      <c r="M84" s="117">
        <f t="shared" ca="1" si="38"/>
        <v>0</v>
      </c>
    </row>
    <row r="85" spans="2:13" x14ac:dyDescent="0.35">
      <c r="B85" s="105"/>
      <c r="C85" s="35"/>
      <c r="D85" s="35"/>
      <c r="E85" s="35"/>
      <c r="F85" s="35"/>
      <c r="G85" s="35"/>
      <c r="H85" s="35"/>
      <c r="I85" s="35"/>
      <c r="J85" s="35"/>
      <c r="K85" s="35"/>
      <c r="L85" s="35"/>
      <c r="M85" s="35"/>
    </row>
    <row r="86" spans="2:13" x14ac:dyDescent="0.35">
      <c r="B86" s="108" t="s">
        <v>201</v>
      </c>
      <c r="C86" s="35"/>
      <c r="D86" s="35"/>
      <c r="E86" s="35"/>
      <c r="F86" s="35"/>
      <c r="G86" s="35"/>
      <c r="H86" s="35"/>
      <c r="I86" s="35"/>
      <c r="J86" s="35"/>
      <c r="K86" s="35"/>
      <c r="L86" s="35"/>
      <c r="M86" s="35"/>
    </row>
    <row r="87" spans="2:13" x14ac:dyDescent="0.35">
      <c r="B87" s="106" t="s">
        <v>152</v>
      </c>
      <c r="C87" s="35"/>
      <c r="D87" s="35">
        <f ca="1">C110</f>
        <v>13901580</v>
      </c>
      <c r="E87" s="35">
        <f t="shared" ref="E87:M87" ca="1" si="39">D110</f>
        <v>17760435.839999996</v>
      </c>
      <c r="F87" s="35">
        <f t="shared" ca="1" si="39"/>
        <v>18350697.355200008</v>
      </c>
      <c r="G87" s="35">
        <f t="shared" ca="1" si="39"/>
        <v>18901218.275856003</v>
      </c>
      <c r="H87" s="35">
        <f t="shared" ca="1" si="39"/>
        <v>19468254.824131683</v>
      </c>
      <c r="I87" s="35">
        <f t="shared" ca="1" si="39"/>
        <v>20052302.468855634</v>
      </c>
      <c r="J87" s="35">
        <f t="shared" ca="1" si="39"/>
        <v>20653871.542921301</v>
      </c>
      <c r="K87" s="35">
        <f t="shared" ca="1" si="39"/>
        <v>21273487.689208947</v>
      </c>
      <c r="L87" s="35">
        <f t="shared" ca="1" si="39"/>
        <v>21911692.319885213</v>
      </c>
      <c r="M87" s="35">
        <f t="shared" ca="1" si="39"/>
        <v>22569043.089481771</v>
      </c>
    </row>
    <row r="88" spans="2:13" x14ac:dyDescent="0.35">
      <c r="B88" s="105"/>
      <c r="C88" s="35"/>
      <c r="D88" s="35"/>
      <c r="E88" s="35"/>
      <c r="F88" s="35"/>
      <c r="G88" s="35"/>
      <c r="H88" s="35"/>
      <c r="I88" s="35"/>
      <c r="J88" s="35"/>
      <c r="K88" s="35"/>
      <c r="L88" s="35"/>
      <c r="M88" s="35"/>
    </row>
    <row r="89" spans="2:13" x14ac:dyDescent="0.35">
      <c r="B89" s="106" t="s">
        <v>202</v>
      </c>
      <c r="C89" s="35">
        <f>C39-C61</f>
        <v>0</v>
      </c>
      <c r="D89" s="35">
        <f t="shared" ref="D89:M89" ca="1" si="40">C61+D39-D61</f>
        <v>148922550</v>
      </c>
      <c r="E89" s="35">
        <f t="shared" ca="1" si="40"/>
        <v>258602803.20000002</v>
      </c>
      <c r="F89" s="35">
        <f t="shared" ca="1" si="40"/>
        <v>266360887.29600003</v>
      </c>
      <c r="G89" s="35">
        <f t="shared" ca="1" si="40"/>
        <v>274351713.91488004</v>
      </c>
      <c r="H89" s="35">
        <f t="shared" ca="1" si="40"/>
        <v>282582265.33232647</v>
      </c>
      <c r="I89" s="35">
        <f t="shared" ca="1" si="40"/>
        <v>291059733.29229623</v>
      </c>
      <c r="J89" s="35">
        <f t="shared" ca="1" si="40"/>
        <v>299791525.29106516</v>
      </c>
      <c r="K89" s="35">
        <f t="shared" ca="1" si="40"/>
        <v>308785271.04979712</v>
      </c>
      <c r="L89" s="35">
        <f t="shared" ca="1" si="40"/>
        <v>318048829.18129104</v>
      </c>
      <c r="M89" s="35">
        <f t="shared" ca="1" si="40"/>
        <v>327590294.05672979</v>
      </c>
    </row>
    <row r="90" spans="2:13" x14ac:dyDescent="0.35">
      <c r="B90" s="106" t="s">
        <v>203</v>
      </c>
      <c r="C90" s="35"/>
      <c r="D90" s="35">
        <f>D48</f>
        <v>0</v>
      </c>
      <c r="E90" s="35">
        <f t="shared" ref="E90:M90" si="41">E48</f>
        <v>0</v>
      </c>
      <c r="F90" s="35">
        <f t="shared" si="41"/>
        <v>0</v>
      </c>
      <c r="G90" s="35">
        <f t="shared" si="41"/>
        <v>0</v>
      </c>
      <c r="H90" s="35">
        <f t="shared" si="41"/>
        <v>0</v>
      </c>
      <c r="I90" s="35">
        <f t="shared" si="41"/>
        <v>0</v>
      </c>
      <c r="J90" s="35">
        <f t="shared" si="41"/>
        <v>0</v>
      </c>
      <c r="K90" s="35">
        <f t="shared" si="41"/>
        <v>0</v>
      </c>
      <c r="L90" s="35">
        <f t="shared" si="41"/>
        <v>0</v>
      </c>
      <c r="M90" s="35">
        <f t="shared" si="41"/>
        <v>0</v>
      </c>
    </row>
    <row r="91" spans="2:13" x14ac:dyDescent="0.35">
      <c r="B91" s="106" t="s">
        <v>204</v>
      </c>
      <c r="C91" s="35">
        <f>C10</f>
        <v>145579000</v>
      </c>
      <c r="D91" s="35"/>
      <c r="E91" s="35"/>
      <c r="F91" s="35"/>
      <c r="G91" s="35"/>
      <c r="H91" s="35"/>
      <c r="I91" s="35"/>
      <c r="J91" s="35"/>
      <c r="K91" s="35"/>
      <c r="L91" s="35"/>
      <c r="M91" s="35"/>
    </row>
    <row r="92" spans="2:13" x14ac:dyDescent="0.35">
      <c r="B92" s="106" t="s">
        <v>205</v>
      </c>
      <c r="C92" s="35">
        <f ca="1">C76</f>
        <v>262391000</v>
      </c>
      <c r="D92" s="35"/>
      <c r="E92" s="35"/>
      <c r="F92" s="35"/>
      <c r="G92" s="35"/>
      <c r="H92" s="35"/>
      <c r="I92" s="35"/>
      <c r="J92" s="35"/>
      <c r="K92" s="35"/>
      <c r="L92" s="35"/>
      <c r="M92" s="35"/>
    </row>
    <row r="93" spans="2:13" x14ac:dyDescent="0.35">
      <c r="B93" s="111" t="s">
        <v>206</v>
      </c>
      <c r="C93" s="77">
        <f ca="1">SUM(C89:C92)</f>
        <v>407970000</v>
      </c>
      <c r="D93" s="77">
        <f t="shared" ref="D93:M93" ca="1" si="42">SUM(D89:D92)</f>
        <v>148922550</v>
      </c>
      <c r="E93" s="77">
        <f t="shared" ca="1" si="42"/>
        <v>258602803.20000002</v>
      </c>
      <c r="F93" s="77">
        <f t="shared" ca="1" si="42"/>
        <v>266360887.29600003</v>
      </c>
      <c r="G93" s="77">
        <f t="shared" ca="1" si="42"/>
        <v>274351713.91488004</v>
      </c>
      <c r="H93" s="77">
        <f t="shared" ca="1" si="42"/>
        <v>282582265.33232647</v>
      </c>
      <c r="I93" s="77">
        <f t="shared" ca="1" si="42"/>
        <v>291059733.29229623</v>
      </c>
      <c r="J93" s="77">
        <f t="shared" ca="1" si="42"/>
        <v>299791525.29106516</v>
      </c>
      <c r="K93" s="77">
        <f t="shared" ca="1" si="42"/>
        <v>308785271.04979712</v>
      </c>
      <c r="L93" s="77">
        <f t="shared" ca="1" si="42"/>
        <v>318048829.18129104</v>
      </c>
      <c r="M93" s="77">
        <f t="shared" ca="1" si="42"/>
        <v>327590294.05672979</v>
      </c>
    </row>
    <row r="94" spans="2:13" x14ac:dyDescent="0.35">
      <c r="B94" s="106"/>
      <c r="C94" s="35"/>
      <c r="D94" s="35"/>
      <c r="E94" s="35"/>
      <c r="F94" s="35"/>
      <c r="G94" s="35"/>
      <c r="H94" s="35"/>
      <c r="I94" s="35"/>
      <c r="J94" s="35"/>
      <c r="K94" s="35"/>
      <c r="L94" s="35"/>
      <c r="M94" s="35"/>
    </row>
    <row r="95" spans="2:13" x14ac:dyDescent="0.35">
      <c r="B95" s="106" t="s">
        <v>207</v>
      </c>
      <c r="C95" s="35"/>
      <c r="D95" s="35">
        <f ca="1">C67</f>
        <v>13901580</v>
      </c>
      <c r="E95" s="35">
        <f t="shared" ref="E95:M95" ca="1" si="43">D67</f>
        <v>2642521.640000008</v>
      </c>
      <c r="F95" s="35">
        <f t="shared" ca="1" si="43"/>
        <v>0</v>
      </c>
      <c r="G95" s="35">
        <f t="shared" ca="1" si="43"/>
        <v>0</v>
      </c>
      <c r="H95" s="35">
        <f t="shared" ca="1" si="43"/>
        <v>0</v>
      </c>
      <c r="I95" s="35">
        <f t="shared" ca="1" si="43"/>
        <v>13858353.727485314</v>
      </c>
      <c r="J95" s="35">
        <f t="shared" ca="1" si="43"/>
        <v>8359700.92893916</v>
      </c>
      <c r="K95" s="35">
        <f t="shared" ca="1" si="43"/>
        <v>0</v>
      </c>
      <c r="L95" s="35">
        <f t="shared" ca="1" si="43"/>
        <v>0</v>
      </c>
      <c r="M95" s="35">
        <f t="shared" ca="1" si="43"/>
        <v>0</v>
      </c>
    </row>
    <row r="96" spans="2:13" x14ac:dyDescent="0.35">
      <c r="B96" s="106" t="s">
        <v>208</v>
      </c>
      <c r="C96" s="35"/>
      <c r="D96" s="35">
        <f ca="1">D49</f>
        <v>139015.79999999999</v>
      </c>
      <c r="E96" s="35">
        <f t="shared" ref="E96:M96" ca="1" si="44">E49</f>
        <v>26425.216400000081</v>
      </c>
      <c r="F96" s="35">
        <f t="shared" ca="1" si="44"/>
        <v>0</v>
      </c>
      <c r="G96" s="35">
        <f t="shared" ca="1" si="44"/>
        <v>0</v>
      </c>
      <c r="H96" s="35">
        <f t="shared" ca="1" si="44"/>
        <v>0</v>
      </c>
      <c r="I96" s="35">
        <f t="shared" ca="1" si="44"/>
        <v>138583.53727485315</v>
      </c>
      <c r="J96" s="35">
        <f t="shared" ca="1" si="44"/>
        <v>83597.009289391601</v>
      </c>
      <c r="K96" s="35">
        <f t="shared" ca="1" si="44"/>
        <v>0</v>
      </c>
      <c r="L96" s="35">
        <f t="shared" ca="1" si="44"/>
        <v>0</v>
      </c>
      <c r="M96" s="35">
        <f t="shared" ca="1" si="44"/>
        <v>0</v>
      </c>
    </row>
    <row r="97" spans="2:13" x14ac:dyDescent="0.35">
      <c r="B97" s="106" t="s">
        <v>209</v>
      </c>
      <c r="C97" s="35"/>
      <c r="D97" s="35">
        <f>C68+D40-D68+(D62-C62)</f>
        <v>6811560</v>
      </c>
      <c r="E97" s="35">
        <f t="shared" ref="E97:M97" si="45">D68+E40-E68+(E62-D62)</f>
        <v>7138514.8800000008</v>
      </c>
      <c r="F97" s="35">
        <f t="shared" si="45"/>
        <v>7352670.3264000006</v>
      </c>
      <c r="G97" s="35">
        <f t="shared" si="45"/>
        <v>7573250.4361920012</v>
      </c>
      <c r="H97" s="35">
        <f t="shared" si="45"/>
        <v>7800447.9492777614</v>
      </c>
      <c r="I97" s="35">
        <f t="shared" si="45"/>
        <v>8034461.3877560943</v>
      </c>
      <c r="J97" s="35">
        <f t="shared" si="45"/>
        <v>8275495.2293887781</v>
      </c>
      <c r="K97" s="35">
        <f t="shared" si="45"/>
        <v>8523760.0862704422</v>
      </c>
      <c r="L97" s="35">
        <f t="shared" si="45"/>
        <v>8779472.8888585549</v>
      </c>
      <c r="M97" s="35">
        <f t="shared" si="45"/>
        <v>9042857.0755243115</v>
      </c>
    </row>
    <row r="98" spans="2:13" x14ac:dyDescent="0.35">
      <c r="B98" s="106" t="s">
        <v>210</v>
      </c>
      <c r="C98" s="35">
        <f>C43-C69</f>
        <v>0</v>
      </c>
      <c r="D98" s="35">
        <f>C69+D43-D69</f>
        <v>76597920</v>
      </c>
      <c r="E98" s="35">
        <f t="shared" ref="E98:M98" si="46">D69+E43-E69</f>
        <v>99424100.159999996</v>
      </c>
      <c r="F98" s="35">
        <f t="shared" si="46"/>
        <v>102751513.80480002</v>
      </c>
      <c r="G98" s="35">
        <f t="shared" si="46"/>
        <v>105834059.21894401</v>
      </c>
      <c r="H98" s="35">
        <f t="shared" si="46"/>
        <v>109009080.99551232</v>
      </c>
      <c r="I98" s="35">
        <f t="shared" si="46"/>
        <v>112279353.4253777</v>
      </c>
      <c r="J98" s="35">
        <f t="shared" si="46"/>
        <v>115647734.02813904</v>
      </c>
      <c r="K98" s="35">
        <f t="shared" si="46"/>
        <v>119117166.04898325</v>
      </c>
      <c r="L98" s="35">
        <f t="shared" si="46"/>
        <v>122690681.03045271</v>
      </c>
      <c r="M98" s="35">
        <f t="shared" si="46"/>
        <v>126371401.46136631</v>
      </c>
    </row>
    <row r="99" spans="2:13" x14ac:dyDescent="0.35">
      <c r="B99" s="106" t="s">
        <v>134</v>
      </c>
      <c r="C99" s="124">
        <f>'CAPEX - OPEX'!C92</f>
        <v>407970000</v>
      </c>
      <c r="D99" s="35">
        <f>D24</f>
        <v>0</v>
      </c>
      <c r="E99" s="35">
        <f t="shared" ref="E99:M99" si="47">E24</f>
        <v>0</v>
      </c>
      <c r="F99" s="35">
        <f t="shared" si="47"/>
        <v>7277525.1108000008</v>
      </c>
      <c r="G99" s="35">
        <f t="shared" si="47"/>
        <v>2298171.9090960003</v>
      </c>
      <c r="H99" s="35">
        <f t="shared" si="47"/>
        <v>7720726.3900477216</v>
      </c>
      <c r="I99" s="35">
        <f t="shared" si="47"/>
        <v>30950362.264154766</v>
      </c>
      <c r="J99" s="35">
        <f t="shared" si="47"/>
        <v>10702193.122912373</v>
      </c>
      <c r="K99" s="35">
        <f t="shared" si="47"/>
        <v>0</v>
      </c>
      <c r="L99" s="35">
        <f t="shared" si="47"/>
        <v>8689745.5715982094</v>
      </c>
      <c r="M99" s="35">
        <f t="shared" si="47"/>
        <v>2744137.4458745164</v>
      </c>
    </row>
    <row r="100" spans="2:13" x14ac:dyDescent="0.35">
      <c r="B100" s="106" t="s">
        <v>211</v>
      </c>
      <c r="C100" s="35"/>
      <c r="D100" s="35">
        <f ca="1">C70+D55-D70</f>
        <v>0</v>
      </c>
      <c r="E100" s="35">
        <f t="shared" ref="E100:M100" ca="1" si="48">D70+E55-E70</f>
        <v>27934348.87855041</v>
      </c>
      <c r="F100" s="35">
        <f t="shared" ca="1" si="48"/>
        <v>37659330.739228003</v>
      </c>
      <c r="G100" s="35">
        <f t="shared" ca="1" si="48"/>
        <v>41527437.080115721</v>
      </c>
      <c r="H100" s="35">
        <f t="shared" ca="1" si="48"/>
        <v>46065931.452199206</v>
      </c>
      <c r="I100" s="35">
        <f t="shared" ca="1" si="48"/>
        <v>49848060.837864608</v>
      </c>
      <c r="J100" s="35">
        <f t="shared" ca="1" si="48"/>
        <v>51921281.528783798</v>
      </c>
      <c r="K100" s="35">
        <f t="shared" ca="1" si="48"/>
        <v>53671264.679664113</v>
      </c>
      <c r="L100" s="35">
        <f t="shared" ca="1" si="48"/>
        <v>55452795.044745535</v>
      </c>
      <c r="M100" s="35">
        <f t="shared" ca="1" si="48"/>
        <v>57282088.3960879</v>
      </c>
    </row>
    <row r="101" spans="2:13" x14ac:dyDescent="0.35">
      <c r="B101" s="106" t="s">
        <v>212</v>
      </c>
      <c r="C101" s="35">
        <f ca="1">C12</f>
        <v>0</v>
      </c>
      <c r="D101" s="35">
        <f t="shared" ref="D101:M101" ca="1" si="49">D12</f>
        <v>33136524</v>
      </c>
      <c r="E101" s="35">
        <f t="shared" ca="1" si="49"/>
        <v>28544327</v>
      </c>
      <c r="F101" s="35">
        <f t="shared" ca="1" si="49"/>
        <v>22720312</v>
      </c>
      <c r="G101" s="35">
        <f t="shared" ca="1" si="49"/>
        <v>15334051</v>
      </c>
      <c r="H101" s="35">
        <f t="shared" ca="1" si="49"/>
        <v>5966488</v>
      </c>
      <c r="I101" s="35">
        <f t="shared" ca="1" si="49"/>
        <v>0</v>
      </c>
      <c r="J101" s="35">
        <f t="shared" ca="1" si="49"/>
        <v>0</v>
      </c>
      <c r="K101" s="35">
        <f t="shared" ca="1" si="49"/>
        <v>0</v>
      </c>
      <c r="L101" s="35">
        <f t="shared" ca="1" si="49"/>
        <v>0</v>
      </c>
      <c r="M101" s="35">
        <f t="shared" ca="1" si="49"/>
        <v>0</v>
      </c>
    </row>
    <row r="102" spans="2:13" x14ac:dyDescent="0.35">
      <c r="B102" s="106" t="s">
        <v>213</v>
      </c>
      <c r="C102" s="35">
        <f ca="1">C13</f>
        <v>0</v>
      </c>
      <c r="D102" s="35">
        <f t="shared" ref="D102:M102" ca="1" si="50">D13</f>
        <v>17119616</v>
      </c>
      <c r="E102" s="35">
        <f t="shared" ca="1" si="50"/>
        <v>21711813</v>
      </c>
      <c r="F102" s="35">
        <f t="shared" ca="1" si="50"/>
        <v>27535829</v>
      </c>
      <c r="G102" s="35">
        <f t="shared" ca="1" si="50"/>
        <v>34922089</v>
      </c>
      <c r="H102" s="35">
        <f t="shared" ca="1" si="50"/>
        <v>44289653</v>
      </c>
      <c r="I102" s="35">
        <f t="shared" ca="1" si="50"/>
        <v>0</v>
      </c>
      <c r="J102" s="35">
        <f t="shared" ca="1" si="50"/>
        <v>0</v>
      </c>
      <c r="K102" s="35">
        <f t="shared" ca="1" si="50"/>
        <v>0</v>
      </c>
      <c r="L102" s="35">
        <f t="shared" ca="1" si="50"/>
        <v>0</v>
      </c>
      <c r="M102" s="35">
        <f t="shared" ca="1" si="50"/>
        <v>0</v>
      </c>
    </row>
    <row r="103" spans="2:13" x14ac:dyDescent="0.35">
      <c r="B103" s="106" t="s">
        <v>214</v>
      </c>
      <c r="C103" s="35"/>
      <c r="D103" s="35">
        <f>D35</f>
        <v>0</v>
      </c>
      <c r="E103" s="35">
        <f t="shared" ref="E103:M103" ca="1" si="51">E35</f>
        <v>0</v>
      </c>
      <c r="F103" s="35">
        <f t="shared" ca="1" si="51"/>
        <v>48123447.353229992</v>
      </c>
      <c r="G103" s="35">
        <f t="shared" ca="1" si="51"/>
        <v>65677638.992806651</v>
      </c>
      <c r="H103" s="35">
        <f t="shared" ca="1" si="51"/>
        <v>75004243.628050789</v>
      </c>
      <c r="I103" s="35">
        <f t="shared" ca="1" si="51"/>
        <v>83708689.967256337</v>
      </c>
      <c r="J103" s="35">
        <f t="shared" ca="1" si="51"/>
        <v>90650779.759501413</v>
      </c>
      <c r="K103" s="35">
        <f t="shared" ca="1" si="51"/>
        <v>94527237.212983564</v>
      </c>
      <c r="L103" s="35">
        <f t="shared" ca="1" si="51"/>
        <v>97878215.314712137</v>
      </c>
      <c r="M103" s="35">
        <f t="shared" ca="1" si="51"/>
        <v>101159831.13122132</v>
      </c>
    </row>
    <row r="104" spans="2:13" x14ac:dyDescent="0.35">
      <c r="B104" s="111" t="s">
        <v>215</v>
      </c>
      <c r="C104" s="77">
        <f ca="1">SUM(C95:C103)</f>
        <v>407970000</v>
      </c>
      <c r="D104" s="77">
        <f t="shared" ref="D104:M104" ca="1" si="52">SUM(D95:D103)</f>
        <v>147706215.80000001</v>
      </c>
      <c r="E104" s="77">
        <f t="shared" ca="1" si="52"/>
        <v>187422050.77495041</v>
      </c>
      <c r="F104" s="77">
        <f t="shared" ca="1" si="52"/>
        <v>253420628.33445802</v>
      </c>
      <c r="G104" s="77">
        <f t="shared" ca="1" si="52"/>
        <v>273166697.6371544</v>
      </c>
      <c r="H104" s="77">
        <f t="shared" ca="1" si="52"/>
        <v>295856571.41508782</v>
      </c>
      <c r="I104" s="77">
        <f t="shared" ca="1" si="52"/>
        <v>298817865.14716971</v>
      </c>
      <c r="J104" s="77">
        <f t="shared" ca="1" si="52"/>
        <v>285640781.60695398</v>
      </c>
      <c r="K104" s="77">
        <f t="shared" ca="1" si="52"/>
        <v>275839428.02790135</v>
      </c>
      <c r="L104" s="77">
        <f t="shared" ca="1" si="52"/>
        <v>293490909.85036719</v>
      </c>
      <c r="M104" s="77">
        <f t="shared" ca="1" si="52"/>
        <v>296600315.51007438</v>
      </c>
    </row>
    <row r="105" spans="2:13" x14ac:dyDescent="0.35">
      <c r="B105" s="106"/>
      <c r="C105" s="35"/>
      <c r="D105" s="35"/>
      <c r="E105" s="35"/>
      <c r="F105" s="35"/>
      <c r="G105" s="35"/>
      <c r="H105" s="35"/>
      <c r="I105" s="35"/>
      <c r="J105" s="35"/>
      <c r="K105" s="35"/>
      <c r="L105" s="35"/>
      <c r="M105" s="35"/>
    </row>
    <row r="106" spans="2:13" x14ac:dyDescent="0.35">
      <c r="B106" s="111" t="s">
        <v>216</v>
      </c>
      <c r="C106" s="77">
        <f ca="1">C87+C93-C104</f>
        <v>0</v>
      </c>
      <c r="D106" s="77">
        <f t="shared" ref="D106:M106" ca="1" si="53">D87+D93-D104</f>
        <v>15117914.199999988</v>
      </c>
      <c r="E106" s="77">
        <f t="shared" ca="1" si="53"/>
        <v>88941188.265049607</v>
      </c>
      <c r="F106" s="77">
        <f t="shared" ca="1" si="53"/>
        <v>31290956.316742033</v>
      </c>
      <c r="G106" s="77">
        <f t="shared" ca="1" si="53"/>
        <v>20086234.553581655</v>
      </c>
      <c r="H106" s="77">
        <f ca="1">H87+H93-H104</f>
        <v>6193948.7413703203</v>
      </c>
      <c r="I106" s="77">
        <f t="shared" ca="1" si="53"/>
        <v>12294170.613982141</v>
      </c>
      <c r="J106" s="77">
        <f t="shared" ca="1" si="53"/>
        <v>34804615.227032483</v>
      </c>
      <c r="K106" s="77">
        <f t="shared" ca="1" si="53"/>
        <v>54219330.711104691</v>
      </c>
      <c r="L106" s="77">
        <f t="shared" ca="1" si="53"/>
        <v>46469611.65080905</v>
      </c>
      <c r="M106" s="77">
        <f t="shared" ca="1" si="53"/>
        <v>53559021.636137187</v>
      </c>
    </row>
    <row r="107" spans="2:13" x14ac:dyDescent="0.35">
      <c r="B107" s="106"/>
      <c r="C107" s="35"/>
      <c r="D107" s="35"/>
      <c r="E107" s="35"/>
      <c r="F107" s="35"/>
      <c r="G107" s="35"/>
      <c r="H107" s="35"/>
      <c r="I107" s="35"/>
      <c r="J107" s="35"/>
      <c r="K107" s="35"/>
      <c r="L107" s="35"/>
      <c r="M107" s="35"/>
    </row>
    <row r="108" spans="2:13" x14ac:dyDescent="0.35">
      <c r="B108" s="106" t="s">
        <v>217</v>
      </c>
      <c r="C108" s="35">
        <f ca="1">IF(C113&lt;0,-C113,0)</f>
        <v>13901580</v>
      </c>
      <c r="D108" s="35">
        <f t="shared" ref="D108:M108" ca="1" si="54">IF(D113&lt;0,-D113,0)</f>
        <v>2642521.640000008</v>
      </c>
      <c r="E108" s="35">
        <f t="shared" ca="1" si="54"/>
        <v>0</v>
      </c>
      <c r="F108" s="35">
        <f t="shared" ca="1" si="54"/>
        <v>0</v>
      </c>
      <c r="G108" s="35">
        <f t="shared" ca="1" si="54"/>
        <v>0</v>
      </c>
      <c r="H108" s="35">
        <f t="shared" ca="1" si="54"/>
        <v>13858353.727485314</v>
      </c>
      <c r="I108" s="35">
        <f t="shared" ca="1" si="54"/>
        <v>8359700.92893916</v>
      </c>
      <c r="J108" s="35">
        <f t="shared" ca="1" si="54"/>
        <v>0</v>
      </c>
      <c r="K108" s="35">
        <f t="shared" ca="1" si="54"/>
        <v>0</v>
      </c>
      <c r="L108" s="35">
        <f t="shared" ca="1" si="54"/>
        <v>0</v>
      </c>
      <c r="M108" s="35">
        <f t="shared" ca="1" si="54"/>
        <v>0</v>
      </c>
    </row>
    <row r="109" spans="2:13" x14ac:dyDescent="0.35">
      <c r="B109" s="106" t="s">
        <v>218</v>
      </c>
      <c r="C109" s="35">
        <f ca="1">IF(C113&gt;0,C113,0)</f>
        <v>0</v>
      </c>
      <c r="D109" s="35">
        <f t="shared" ref="D109:M109" ca="1" si="55">IF(D113&gt;0,D113,0)</f>
        <v>0</v>
      </c>
      <c r="E109" s="35">
        <f t="shared" ca="1" si="55"/>
        <v>70590490.909849599</v>
      </c>
      <c r="F109" s="35">
        <f t="shared" ca="1" si="55"/>
        <v>12389738.04088603</v>
      </c>
      <c r="G109" s="35">
        <f t="shared" ca="1" si="55"/>
        <v>617979.72944997251</v>
      </c>
      <c r="H109" s="35">
        <f t="shared" ca="1" si="55"/>
        <v>0</v>
      </c>
      <c r="I109" s="35">
        <f t="shared" ca="1" si="55"/>
        <v>0</v>
      </c>
      <c r="J109" s="35">
        <f t="shared" ca="1" si="55"/>
        <v>13531127.537823536</v>
      </c>
      <c r="K109" s="35">
        <f t="shared" ca="1" si="55"/>
        <v>32307638.391219478</v>
      </c>
      <c r="L109" s="35">
        <f t="shared" ca="1" si="55"/>
        <v>23900568.561327279</v>
      </c>
      <c r="M109" s="35">
        <f t="shared" ca="1" si="55"/>
        <v>53559021.636137187</v>
      </c>
    </row>
    <row r="110" spans="2:13" x14ac:dyDescent="0.35">
      <c r="B110" s="111" t="s">
        <v>219</v>
      </c>
      <c r="C110" s="77">
        <f ca="1">+C106+C108-C109</f>
        <v>13901580</v>
      </c>
      <c r="D110" s="77">
        <f t="shared" ref="D110:M110" ca="1" si="56">+D106+D108-D109</f>
        <v>17760435.839999996</v>
      </c>
      <c r="E110" s="77">
        <f t="shared" ca="1" si="56"/>
        <v>18350697.355200008</v>
      </c>
      <c r="F110" s="77">
        <f t="shared" ca="1" si="56"/>
        <v>18901218.275856003</v>
      </c>
      <c r="G110" s="77">
        <f t="shared" ca="1" si="56"/>
        <v>19468254.824131683</v>
      </c>
      <c r="H110" s="77">
        <f t="shared" ca="1" si="56"/>
        <v>20052302.468855634</v>
      </c>
      <c r="I110" s="77">
        <f t="shared" ca="1" si="56"/>
        <v>20653871.542921301</v>
      </c>
      <c r="J110" s="77">
        <f t="shared" ca="1" si="56"/>
        <v>21273487.689208947</v>
      </c>
      <c r="K110" s="77">
        <f t="shared" ca="1" si="56"/>
        <v>21911692.319885213</v>
      </c>
      <c r="L110" s="77">
        <f t="shared" ca="1" si="56"/>
        <v>22569043.089481771</v>
      </c>
      <c r="M110" s="77">
        <f t="shared" ca="1" si="56"/>
        <v>0</v>
      </c>
    </row>
    <row r="111" spans="2:13" x14ac:dyDescent="0.35">
      <c r="B111" s="106"/>
      <c r="C111" s="35"/>
      <c r="D111" s="35"/>
      <c r="E111" s="35"/>
      <c r="F111" s="35"/>
      <c r="G111" s="35"/>
      <c r="H111" s="35"/>
      <c r="I111" s="35"/>
      <c r="J111" s="35"/>
      <c r="K111" s="35"/>
      <c r="L111" s="35"/>
      <c r="M111" s="35"/>
    </row>
    <row r="112" spans="2:13" x14ac:dyDescent="0.35">
      <c r="B112" s="107" t="s">
        <v>220</v>
      </c>
      <c r="C112" s="118">
        <f>((D97+D98)/360)*INPUTS!$C$46</f>
        <v>13901580</v>
      </c>
      <c r="D112" s="118">
        <f>((E97+E98)/360)*INPUTS!$C$46</f>
        <v>17760435.839999996</v>
      </c>
      <c r="E112" s="118">
        <f>((F97+F98)/360)*INPUTS!$C$46</f>
        <v>18350697.355200004</v>
      </c>
      <c r="F112" s="118">
        <f>((G97+G98)/360)*INPUTS!$C$46</f>
        <v>18901218.275856003</v>
      </c>
      <c r="G112" s="118">
        <f>((H97+H98)/360)*INPUTS!$C$46</f>
        <v>19468254.824131683</v>
      </c>
      <c r="H112" s="118">
        <f>((I97+I98)/360)*INPUTS!$C$46</f>
        <v>20052302.468855634</v>
      </c>
      <c r="I112" s="118">
        <f>((J97+J98)/360)*INPUTS!$C$46</f>
        <v>20653871.542921301</v>
      </c>
      <c r="J112" s="118">
        <f>((K97+K98)/360)*INPUTS!$C$46</f>
        <v>21273487.689208947</v>
      </c>
      <c r="K112" s="118">
        <f>((L97+L98)/360)*INPUTS!$C$46</f>
        <v>21911692.319885213</v>
      </c>
      <c r="L112" s="118">
        <f>((M97+M98)/360)*INPUTS!$C$46</f>
        <v>22569043.089481771</v>
      </c>
      <c r="M112" s="118">
        <f>((N97+N98)/360)*INPUTS!$C$46</f>
        <v>0</v>
      </c>
    </row>
    <row r="113" spans="2:13" x14ac:dyDescent="0.35">
      <c r="B113" s="107" t="s">
        <v>221</v>
      </c>
      <c r="C113" s="118">
        <f ca="1">C106-C112</f>
        <v>-13901580</v>
      </c>
      <c r="D113" s="118">
        <f t="shared" ref="D113:M113" ca="1" si="57">D106-D112</f>
        <v>-2642521.640000008</v>
      </c>
      <c r="E113" s="118">
        <f t="shared" ca="1" si="57"/>
        <v>70590490.909849599</v>
      </c>
      <c r="F113" s="118">
        <f t="shared" ca="1" si="57"/>
        <v>12389738.04088603</v>
      </c>
      <c r="G113" s="118">
        <f t="shared" ca="1" si="57"/>
        <v>617979.72944997251</v>
      </c>
      <c r="H113" s="118">
        <f t="shared" ca="1" si="57"/>
        <v>-13858353.727485314</v>
      </c>
      <c r="I113" s="118">
        <f t="shared" ca="1" si="57"/>
        <v>-8359700.92893916</v>
      </c>
      <c r="J113" s="118">
        <f t="shared" ca="1" si="57"/>
        <v>13531127.537823536</v>
      </c>
      <c r="K113" s="118">
        <f t="shared" ca="1" si="57"/>
        <v>32307638.391219478</v>
      </c>
      <c r="L113" s="118">
        <f t="shared" ca="1" si="57"/>
        <v>23900568.561327279</v>
      </c>
      <c r="M113" s="118">
        <f t="shared" ca="1" si="57"/>
        <v>53559021.636137187</v>
      </c>
    </row>
    <row r="114" spans="2:13" s="125" customFormat="1" x14ac:dyDescent="0.35">
      <c r="B114" s="171"/>
      <c r="C114" s="172"/>
      <c r="D114" s="172"/>
      <c r="E114" s="172"/>
      <c r="F114" s="172"/>
      <c r="G114" s="172"/>
      <c r="H114" s="172"/>
      <c r="I114" s="172"/>
      <c r="J114" s="172"/>
      <c r="K114" s="172"/>
      <c r="L114" s="172"/>
      <c r="M114" s="172"/>
    </row>
    <row r="115" spans="2:13" s="125" customFormat="1" x14ac:dyDescent="0.35">
      <c r="B115" s="171"/>
      <c r="C115" s="172"/>
      <c r="D115" s="172"/>
      <c r="E115" s="172"/>
      <c r="F115" s="172"/>
      <c r="G115" s="172"/>
      <c r="H115" s="172"/>
      <c r="I115" s="172"/>
      <c r="J115" s="172"/>
      <c r="K115" s="172"/>
      <c r="L115" s="172"/>
      <c r="M115" s="172"/>
    </row>
    <row r="116" spans="2:13" s="125" customFormat="1" ht="20.149999999999999" customHeight="1" x14ac:dyDescent="0.45">
      <c r="B116" s="170" t="s">
        <v>263</v>
      </c>
      <c r="C116" s="168"/>
      <c r="D116" s="168"/>
      <c r="E116" s="168"/>
      <c r="F116" s="172"/>
      <c r="G116" s="172"/>
      <c r="H116" s="172"/>
      <c r="I116" s="172"/>
      <c r="J116" s="172"/>
      <c r="K116" s="172"/>
      <c r="L116" s="172"/>
      <c r="M116" s="172"/>
    </row>
    <row r="117" spans="2:13" s="125" customFormat="1" ht="20.149999999999999" customHeight="1" x14ac:dyDescent="0.35">
      <c r="B117" s="169"/>
      <c r="C117" s="168"/>
      <c r="D117" s="168"/>
      <c r="E117" s="168"/>
      <c r="F117" s="172"/>
      <c r="G117" s="172"/>
      <c r="H117" s="172"/>
      <c r="I117" s="172"/>
      <c r="J117" s="172"/>
      <c r="K117" s="172"/>
      <c r="L117" s="172"/>
      <c r="M117" s="172"/>
    </row>
    <row r="118" spans="2:13" s="125" customFormat="1" ht="20.149999999999999" customHeight="1" x14ac:dyDescent="0.35">
      <c r="B118" s="169"/>
      <c r="C118" s="168"/>
      <c r="D118" s="168"/>
      <c r="E118" s="168"/>
      <c r="F118" s="172"/>
      <c r="G118" s="172"/>
      <c r="H118" s="172"/>
      <c r="I118" s="172"/>
      <c r="J118" s="172"/>
      <c r="K118" s="172"/>
      <c r="L118" s="172"/>
      <c r="M118" s="172"/>
    </row>
    <row r="119" spans="2:13" s="125" customFormat="1" ht="20.149999999999999" customHeight="1" x14ac:dyDescent="0.35">
      <c r="B119" s="169"/>
      <c r="C119" s="168"/>
      <c r="D119" s="168"/>
      <c r="E119" s="168"/>
      <c r="F119" s="172"/>
      <c r="G119" s="172"/>
      <c r="H119" s="172"/>
      <c r="I119" s="172"/>
      <c r="J119" s="172"/>
      <c r="K119" s="172"/>
      <c r="L119" s="172"/>
      <c r="M119" s="172"/>
    </row>
    <row r="120" spans="2:13" x14ac:dyDescent="0.35">
      <c r="B120" s="106"/>
      <c r="C120" s="35"/>
      <c r="D120" s="35"/>
      <c r="E120" s="35"/>
      <c r="F120" s="35"/>
      <c r="G120" s="35"/>
      <c r="H120" s="35"/>
      <c r="I120" s="35"/>
      <c r="J120" s="35"/>
      <c r="K120" s="35"/>
      <c r="L120" s="35"/>
      <c r="M120" s="35"/>
    </row>
    <row r="121" spans="2:13" x14ac:dyDescent="0.35">
      <c r="B121" s="108" t="s">
        <v>222</v>
      </c>
      <c r="C121" s="35"/>
      <c r="D121" s="35"/>
      <c r="E121" s="35"/>
      <c r="F121" s="35"/>
      <c r="G121" s="35"/>
      <c r="H121" s="35"/>
      <c r="I121" s="35"/>
      <c r="J121" s="35"/>
      <c r="K121" s="35"/>
      <c r="L121" s="35"/>
      <c r="M121" s="35"/>
    </row>
    <row r="122" spans="2:13" s="125" customFormat="1" x14ac:dyDescent="0.35">
      <c r="B122" s="173"/>
      <c r="C122" s="124"/>
      <c r="D122" s="124"/>
      <c r="E122" s="124"/>
      <c r="F122" s="124"/>
      <c r="G122" s="124"/>
      <c r="H122" s="124"/>
      <c r="I122" s="124"/>
      <c r="J122" s="124"/>
      <c r="K122" s="124"/>
      <c r="L122" s="124"/>
      <c r="M122" s="124"/>
    </row>
    <row r="123" spans="2:13" s="125" customFormat="1" x14ac:dyDescent="0.35">
      <c r="B123" s="174" t="s">
        <v>310</v>
      </c>
      <c r="C123" s="124"/>
      <c r="D123" s="124"/>
      <c r="E123" s="124"/>
      <c r="F123" s="124"/>
      <c r="G123" s="124"/>
      <c r="H123" s="124"/>
      <c r="I123" s="124"/>
      <c r="J123" s="124"/>
      <c r="K123" s="124"/>
      <c r="L123" s="124"/>
      <c r="M123" s="124"/>
    </row>
    <row r="124" spans="2:13" x14ac:dyDescent="0.35">
      <c r="B124" s="105" t="s">
        <v>223</v>
      </c>
      <c r="C124" s="35">
        <f>C56</f>
        <v>0</v>
      </c>
      <c r="D124" s="35">
        <f t="shared" ref="D124:M124" ca="1" si="58">D56</f>
        <v>-3650283.1333333291</v>
      </c>
      <c r="E124" s="35">
        <f t="shared" ca="1" si="58"/>
        <v>70893991.472078681</v>
      </c>
      <c r="F124" s="35">
        <f t="shared" ca="1" si="58"/>
        <v>77851318.780778676</v>
      </c>
      <c r="G124" s="35">
        <f t="shared" ca="1" si="58"/>
        <v>85928771.985402033</v>
      </c>
      <c r="H124" s="35">
        <f t="shared" ca="1" si="58"/>
        <v>95427557.280064136</v>
      </c>
      <c r="I124" s="35">
        <f t="shared" ca="1" si="58"/>
        <v>102651446.89729187</v>
      </c>
      <c r="J124" s="35">
        <f t="shared" ca="1" si="58"/>
        <v>106107057.30706012</v>
      </c>
      <c r="K124" s="35">
        <f t="shared" ca="1" si="58"/>
        <v>109684399.82238252</v>
      </c>
      <c r="L124" s="35">
        <f t="shared" ca="1" si="58"/>
        <v>113311372.31705402</v>
      </c>
      <c r="M124" s="35">
        <f t="shared" ca="1" si="58"/>
        <v>117047153.98656563</v>
      </c>
    </row>
    <row r="125" spans="2:13" x14ac:dyDescent="0.35">
      <c r="B125" s="106" t="s">
        <v>224</v>
      </c>
      <c r="C125" s="35">
        <f>C55</f>
        <v>0</v>
      </c>
      <c r="D125" s="35">
        <f t="shared" ref="D125:M125" ca="1" si="59">D55</f>
        <v>0</v>
      </c>
      <c r="E125" s="35">
        <f t="shared" ca="1" si="59"/>
        <v>34917936.098188013</v>
      </c>
      <c r="F125" s="35">
        <f t="shared" ca="1" si="59"/>
        <v>38344679.399488002</v>
      </c>
      <c r="G125" s="35">
        <f t="shared" ca="1" si="59"/>
        <v>42323126.500272647</v>
      </c>
      <c r="H125" s="35">
        <f t="shared" ca="1" si="59"/>
        <v>47001632.690180846</v>
      </c>
      <c r="I125" s="35">
        <f t="shared" ca="1" si="59"/>
        <v>50559667.87478555</v>
      </c>
      <c r="J125" s="35">
        <f t="shared" ca="1" si="59"/>
        <v>52261684.942283355</v>
      </c>
      <c r="K125" s="35">
        <f t="shared" ca="1" si="59"/>
        <v>54023659.614009306</v>
      </c>
      <c r="L125" s="35">
        <f t="shared" ca="1" si="59"/>
        <v>55810078.902429596</v>
      </c>
      <c r="M125" s="35">
        <f t="shared" ca="1" si="59"/>
        <v>57650090.769502476</v>
      </c>
    </row>
    <row r="126" spans="2:13" x14ac:dyDescent="0.35">
      <c r="B126" s="106" t="s">
        <v>225</v>
      </c>
      <c r="C126" s="35">
        <f>C50</f>
        <v>0</v>
      </c>
      <c r="D126" s="35">
        <f t="shared" ref="D126:M126" ca="1" si="60">D50</f>
        <v>33136524</v>
      </c>
      <c r="E126" s="35">
        <f t="shared" ca="1" si="60"/>
        <v>28544327</v>
      </c>
      <c r="F126" s="35">
        <f t="shared" ca="1" si="60"/>
        <v>22720312</v>
      </c>
      <c r="G126" s="35">
        <f t="shared" ca="1" si="60"/>
        <v>15334051</v>
      </c>
      <c r="H126" s="35">
        <f t="shared" ca="1" si="60"/>
        <v>5966488</v>
      </c>
      <c r="I126" s="35">
        <f t="shared" ca="1" si="60"/>
        <v>0</v>
      </c>
      <c r="J126" s="35">
        <f t="shared" ca="1" si="60"/>
        <v>0</v>
      </c>
      <c r="K126" s="35">
        <f t="shared" ca="1" si="60"/>
        <v>0</v>
      </c>
      <c r="L126" s="35">
        <f t="shared" ca="1" si="60"/>
        <v>0</v>
      </c>
      <c r="M126" s="35">
        <f t="shared" ca="1" si="60"/>
        <v>0</v>
      </c>
    </row>
    <row r="127" spans="2:13" x14ac:dyDescent="0.35">
      <c r="B127" s="70" t="s">
        <v>226</v>
      </c>
      <c r="C127" s="77">
        <f>SUM(C124:C126)</f>
        <v>0</v>
      </c>
      <c r="D127" s="77">
        <f t="shared" ref="D127:M127" ca="1" si="61">SUM(D124:D126)</f>
        <v>29486240.866666671</v>
      </c>
      <c r="E127" s="77">
        <f t="shared" ca="1" si="61"/>
        <v>134356254.57026669</v>
      </c>
      <c r="F127" s="77">
        <f t="shared" ca="1" si="61"/>
        <v>138916310.18026668</v>
      </c>
      <c r="G127" s="77">
        <f t="shared" ca="1" si="61"/>
        <v>143585949.48567468</v>
      </c>
      <c r="H127" s="77">
        <f t="shared" ca="1" si="61"/>
        <v>148395677.97024497</v>
      </c>
      <c r="I127" s="77">
        <f t="shared" ca="1" si="61"/>
        <v>153211114.77207741</v>
      </c>
      <c r="J127" s="77">
        <f t="shared" ca="1" si="61"/>
        <v>158368742.24934348</v>
      </c>
      <c r="K127" s="77">
        <f t="shared" ca="1" si="61"/>
        <v>163708059.43639183</v>
      </c>
      <c r="L127" s="77">
        <f t="shared" ca="1" si="61"/>
        <v>169121451.21948361</v>
      </c>
      <c r="M127" s="77">
        <f t="shared" ca="1" si="61"/>
        <v>174697244.75606811</v>
      </c>
    </row>
    <row r="128" spans="2:13" x14ac:dyDescent="0.35">
      <c r="B128" s="106" t="s">
        <v>227</v>
      </c>
      <c r="C128" s="35">
        <f>IF(C127&gt;0,C127*INPUTS!C16,0)</f>
        <v>0</v>
      </c>
      <c r="D128" s="35">
        <f ca="1">IF(D127&gt;0,D127*INPUTS!D16,0)</f>
        <v>10025321.894666668</v>
      </c>
      <c r="E128" s="35">
        <f ca="1">IF(E127&gt;0,E127*INPUTS!E16,0)</f>
        <v>44337564.008188009</v>
      </c>
      <c r="F128" s="35">
        <f ca="1">IF(F127&gt;0,F127*INPUTS!F16,0)</f>
        <v>45842382.359488003</v>
      </c>
      <c r="G128" s="35">
        <f ca="1">IF(G127&gt;0,G127*INPUTS!G16,0)</f>
        <v>47383363.330272645</v>
      </c>
      <c r="H128" s="35">
        <f ca="1">IF(H127&gt;0,H127*INPUTS!H16,0)</f>
        <v>48970573.730180845</v>
      </c>
      <c r="I128" s="35">
        <f ca="1">IF(I127&gt;0,I127*INPUTS!I16,0)</f>
        <v>50559667.87478555</v>
      </c>
      <c r="J128" s="35">
        <f ca="1">IF(J127&gt;0,J127*INPUTS!J16,0)</f>
        <v>52261684.942283355</v>
      </c>
      <c r="K128" s="35">
        <f ca="1">IF(K127&gt;0,K127*INPUTS!K16,0)</f>
        <v>54023659.614009306</v>
      </c>
      <c r="L128" s="35">
        <f ca="1">IF(L127&gt;0,L127*INPUTS!L16,0)</f>
        <v>55810078.902429596</v>
      </c>
      <c r="M128" s="35">
        <f ca="1">IF(M127&gt;0,M127*INPUTS!M16,0)</f>
        <v>57650090.769502476</v>
      </c>
    </row>
    <row r="129" spans="2:13" x14ac:dyDescent="0.35">
      <c r="B129" s="111" t="s">
        <v>309</v>
      </c>
      <c r="C129" s="77">
        <f>+C127-C128</f>
        <v>0</v>
      </c>
      <c r="D129" s="77">
        <f t="shared" ref="D129:M129" ca="1" si="62">+D127-D128</f>
        <v>19460918.972000003</v>
      </c>
      <c r="E129" s="77">
        <f t="shared" ca="1" si="62"/>
        <v>90018690.562078685</v>
      </c>
      <c r="F129" s="77">
        <f t="shared" ca="1" si="62"/>
        <v>93073927.820778668</v>
      </c>
      <c r="G129" s="77">
        <f t="shared" ca="1" si="62"/>
        <v>96202586.155402035</v>
      </c>
      <c r="H129" s="77">
        <f t="shared" ca="1" si="62"/>
        <v>99425104.240064129</v>
      </c>
      <c r="I129" s="77">
        <f t="shared" ca="1" si="62"/>
        <v>102651446.89729187</v>
      </c>
      <c r="J129" s="77">
        <f t="shared" ca="1" si="62"/>
        <v>106107057.30706012</v>
      </c>
      <c r="K129" s="77">
        <f t="shared" ca="1" si="62"/>
        <v>109684399.82238252</v>
      </c>
      <c r="L129" s="77">
        <f t="shared" ca="1" si="62"/>
        <v>113311372.31705402</v>
      </c>
      <c r="M129" s="77">
        <f t="shared" ca="1" si="62"/>
        <v>117047153.98656563</v>
      </c>
    </row>
    <row r="130" spans="2:13" x14ac:dyDescent="0.35">
      <c r="B130" s="105" t="s">
        <v>228</v>
      </c>
      <c r="C130" s="35">
        <f>C44</f>
        <v>0</v>
      </c>
      <c r="D130" s="35">
        <f t="shared" ref="D130:M130" si="63">D44</f>
        <v>16738333.333333332</v>
      </c>
      <c r="E130" s="35">
        <f t="shared" si="63"/>
        <v>16738333.333333332</v>
      </c>
      <c r="F130" s="35">
        <f t="shared" si="63"/>
        <v>16738333.333333332</v>
      </c>
      <c r="G130" s="35">
        <f t="shared" si="63"/>
        <v>16738333.333333332</v>
      </c>
      <c r="H130" s="35">
        <f t="shared" si="63"/>
        <v>16738333.333333332</v>
      </c>
      <c r="I130" s="35">
        <f t="shared" si="63"/>
        <v>16738333.333333332</v>
      </c>
      <c r="J130" s="35">
        <f t="shared" si="63"/>
        <v>16738333.333333332</v>
      </c>
      <c r="K130" s="35">
        <f t="shared" si="63"/>
        <v>16738333.333333332</v>
      </c>
      <c r="L130" s="35">
        <f t="shared" si="63"/>
        <v>16738333.333333332</v>
      </c>
      <c r="M130" s="35">
        <f t="shared" si="63"/>
        <v>16738333.333333332</v>
      </c>
    </row>
    <row r="131" spans="2:13" x14ac:dyDescent="0.35">
      <c r="B131" s="111" t="s">
        <v>312</v>
      </c>
      <c r="C131" s="77">
        <f>C129+C130</f>
        <v>0</v>
      </c>
      <c r="D131" s="77">
        <f t="shared" ref="D131:M131" ca="1" si="64">D129+D130</f>
        <v>36199252.305333331</v>
      </c>
      <c r="E131" s="77">
        <f t="shared" ca="1" si="64"/>
        <v>106757023.89541201</v>
      </c>
      <c r="F131" s="77">
        <f t="shared" ca="1" si="64"/>
        <v>109812261.154112</v>
      </c>
      <c r="G131" s="77">
        <f t="shared" ca="1" si="64"/>
        <v>112940919.48873536</v>
      </c>
      <c r="H131" s="77">
        <f t="shared" ca="1" si="64"/>
        <v>116163437.57339746</v>
      </c>
      <c r="I131" s="77">
        <f t="shared" ca="1" si="64"/>
        <v>119389780.2306252</v>
      </c>
      <c r="J131" s="77">
        <f t="shared" ca="1" si="64"/>
        <v>122845390.64039345</v>
      </c>
      <c r="K131" s="77">
        <f t="shared" ca="1" si="64"/>
        <v>126422733.15571585</v>
      </c>
      <c r="L131" s="77">
        <f t="shared" ca="1" si="64"/>
        <v>130049705.65038735</v>
      </c>
      <c r="M131" s="77">
        <f t="shared" ca="1" si="64"/>
        <v>133785487.31989896</v>
      </c>
    </row>
    <row r="132" spans="2:13" x14ac:dyDescent="0.35">
      <c r="B132" s="106" t="s">
        <v>229</v>
      </c>
      <c r="C132" s="35">
        <f t="shared" ref="C132:M132" si="65">C99</f>
        <v>407970000</v>
      </c>
      <c r="D132" s="35">
        <f t="shared" si="65"/>
        <v>0</v>
      </c>
      <c r="E132" s="35">
        <f t="shared" si="65"/>
        <v>0</v>
      </c>
      <c r="F132" s="35">
        <f t="shared" si="65"/>
        <v>7277525.1108000008</v>
      </c>
      <c r="G132" s="35">
        <f t="shared" si="65"/>
        <v>2298171.9090960003</v>
      </c>
      <c r="H132" s="35">
        <f t="shared" si="65"/>
        <v>7720726.3900477216</v>
      </c>
      <c r="I132" s="35">
        <f t="shared" si="65"/>
        <v>30950362.264154766</v>
      </c>
      <c r="J132" s="35">
        <f t="shared" si="65"/>
        <v>10702193.122912373</v>
      </c>
      <c r="K132" s="35">
        <f t="shared" si="65"/>
        <v>0</v>
      </c>
      <c r="L132" s="35">
        <f t="shared" si="65"/>
        <v>8689745.5715982094</v>
      </c>
      <c r="M132" s="35">
        <f t="shared" si="65"/>
        <v>2744137.4458745164</v>
      </c>
    </row>
    <row r="133" spans="2:13" x14ac:dyDescent="0.35">
      <c r="B133" s="105" t="s">
        <v>230</v>
      </c>
      <c r="C133" s="35">
        <f t="shared" ref="C133:M133" ca="1" si="66">C145</f>
        <v>0</v>
      </c>
      <c r="D133" s="35">
        <f t="shared" ca="1" si="66"/>
        <v>-4031565.8000000119</v>
      </c>
      <c r="E133" s="35">
        <f t="shared" ca="1" si="66"/>
        <v>65920511.805412017</v>
      </c>
      <c r="F133" s="35">
        <f t="shared" ca="1" si="66"/>
        <v>11652850.650082029</v>
      </c>
      <c r="G133" s="35">
        <f t="shared" ca="1" si="66"/>
        <v>-230794.58316728473</v>
      </c>
      <c r="H133" s="35">
        <f t="shared" ca="1" si="66"/>
        <v>-14848732.404701084</v>
      </c>
      <c r="I133" s="35">
        <f t="shared" ca="1" si="66"/>
        <v>4730727.9992140681</v>
      </c>
      <c r="J133" s="35">
        <f t="shared" ca="1" si="66"/>
        <v>21492417.757979661</v>
      </c>
      <c r="K133" s="35">
        <f t="shared" ca="1" si="66"/>
        <v>31895495.942732289</v>
      </c>
      <c r="L133" s="35">
        <f t="shared" ca="1" si="66"/>
        <v>23481744.764076948</v>
      </c>
      <c r="M133" s="35">
        <f t="shared" ca="1" si="66"/>
        <v>29881518.742803156</v>
      </c>
    </row>
    <row r="134" spans="2:13" x14ac:dyDescent="0.35">
      <c r="B134" s="70" t="s">
        <v>311</v>
      </c>
      <c r="C134" s="35">
        <f ca="1">SUM(C132:C133)</f>
        <v>407970000</v>
      </c>
      <c r="D134" s="35">
        <f ca="1">SUM(D132:D133)</f>
        <v>-4031565.8000000119</v>
      </c>
      <c r="E134" s="35">
        <f t="shared" ref="E134:M134" ca="1" si="67">SUM(E132:E133)</f>
        <v>65920511.805412017</v>
      </c>
      <c r="F134" s="35">
        <f t="shared" ca="1" si="67"/>
        <v>18930375.760882031</v>
      </c>
      <c r="G134" s="35">
        <f t="shared" ca="1" si="67"/>
        <v>2067377.3259287155</v>
      </c>
      <c r="H134" s="35">
        <f t="shared" ca="1" si="67"/>
        <v>-7128006.0146533623</v>
      </c>
      <c r="I134" s="35">
        <f t="shared" ca="1" si="67"/>
        <v>35681090.26336883</v>
      </c>
      <c r="J134" s="35">
        <f t="shared" ca="1" si="67"/>
        <v>32194610.880892035</v>
      </c>
      <c r="K134" s="35">
        <f t="shared" ca="1" si="67"/>
        <v>31895495.942732289</v>
      </c>
      <c r="L134" s="35">
        <f t="shared" ca="1" si="67"/>
        <v>32171490.335675158</v>
      </c>
      <c r="M134" s="35">
        <f t="shared" ca="1" si="67"/>
        <v>32625656.188677672</v>
      </c>
    </row>
    <row r="135" spans="2:13" x14ac:dyDescent="0.35">
      <c r="B135" s="110" t="s">
        <v>313</v>
      </c>
      <c r="C135" s="35">
        <f t="shared" ref="C135:I135" ca="1" si="68">C131-C134</f>
        <v>-407970000</v>
      </c>
      <c r="D135" s="35">
        <f t="shared" ca="1" si="68"/>
        <v>40230818.105333343</v>
      </c>
      <c r="E135" s="35">
        <f t="shared" ca="1" si="68"/>
        <v>40836512.089999996</v>
      </c>
      <c r="F135" s="35">
        <f t="shared" ca="1" si="68"/>
        <v>90881885.393229961</v>
      </c>
      <c r="G135" s="35">
        <f t="shared" ca="1" si="68"/>
        <v>110873542.16280665</v>
      </c>
      <c r="H135" s="35">
        <f t="shared" ca="1" si="68"/>
        <v>123291443.58805081</v>
      </c>
      <c r="I135" s="35">
        <f t="shared" ca="1" si="68"/>
        <v>83708689.967256367</v>
      </c>
      <c r="J135" s="35">
        <f t="shared" ref="J135:M135" ca="1" si="69">J131-J134</f>
        <v>90650779.759501413</v>
      </c>
      <c r="K135" s="35">
        <f t="shared" ca="1" si="69"/>
        <v>94527237.212983564</v>
      </c>
      <c r="L135" s="35">
        <f t="shared" ca="1" si="69"/>
        <v>97878215.314712197</v>
      </c>
      <c r="M135" s="35">
        <f t="shared" ca="1" si="69"/>
        <v>101159831.13122129</v>
      </c>
    </row>
    <row r="136" spans="2:13" x14ac:dyDescent="0.35">
      <c r="B136" s="105"/>
      <c r="C136" s="35"/>
      <c r="D136" s="35"/>
      <c r="E136" s="35"/>
      <c r="F136" s="35"/>
      <c r="G136" s="35"/>
      <c r="H136" s="35"/>
      <c r="I136" s="35"/>
      <c r="J136" s="35"/>
      <c r="K136" s="35"/>
      <c r="L136" s="35"/>
      <c r="M136" s="35"/>
    </row>
    <row r="137" spans="2:13" x14ac:dyDescent="0.35">
      <c r="B137" s="70" t="s">
        <v>231</v>
      </c>
      <c r="C137" s="35"/>
      <c r="D137" s="35"/>
      <c r="E137" s="35"/>
      <c r="F137" s="35"/>
      <c r="G137" s="35"/>
      <c r="H137" s="35"/>
      <c r="I137" s="35"/>
      <c r="J137" s="35"/>
      <c r="K137" s="35"/>
      <c r="L137" s="35"/>
      <c r="M137" s="35"/>
    </row>
    <row r="138" spans="2:13" x14ac:dyDescent="0.35">
      <c r="B138" s="111" t="s">
        <v>232</v>
      </c>
      <c r="C138" s="35">
        <f t="shared" ref="C138:M138" ca="1" si="70">C63</f>
        <v>13901580</v>
      </c>
      <c r="D138" s="35">
        <f t="shared" ca="1" si="70"/>
        <v>17760435.839999996</v>
      </c>
      <c r="E138" s="35">
        <f t="shared" ca="1" si="70"/>
        <v>88941188.265049607</v>
      </c>
      <c r="F138" s="35">
        <f t="shared" ca="1" si="70"/>
        <v>101881447.22659163</v>
      </c>
      <c r="G138" s="35">
        <f t="shared" ca="1" si="70"/>
        <v>103066463.50431728</v>
      </c>
      <c r="H138" s="35">
        <f t="shared" ca="1" si="70"/>
        <v>103650511.14904124</v>
      </c>
      <c r="I138" s="35">
        <f t="shared" ca="1" si="70"/>
        <v>104252080.22310691</v>
      </c>
      <c r="J138" s="35">
        <f t="shared" ca="1" si="70"/>
        <v>118402823.9072181</v>
      </c>
      <c r="K138" s="35">
        <f t="shared" ca="1" si="70"/>
        <v>151348666.92911384</v>
      </c>
      <c r="L138" s="35">
        <f t="shared" ca="1" si="70"/>
        <v>175906586.26003766</v>
      </c>
      <c r="M138" s="35">
        <f t="shared" ca="1" si="70"/>
        <v>206896564.80669308</v>
      </c>
    </row>
    <row r="139" spans="2:13" x14ac:dyDescent="0.35">
      <c r="B139" s="106"/>
      <c r="C139" s="35"/>
      <c r="D139" s="35"/>
      <c r="E139" s="35"/>
      <c r="F139" s="35"/>
      <c r="G139" s="35"/>
      <c r="H139" s="35"/>
      <c r="I139" s="35"/>
      <c r="J139" s="35"/>
      <c r="K139" s="35"/>
      <c r="L139" s="35"/>
      <c r="M139" s="35"/>
    </row>
    <row r="140" spans="2:13" x14ac:dyDescent="0.35">
      <c r="B140" s="106" t="s">
        <v>191</v>
      </c>
      <c r="C140" s="35">
        <f t="shared" ref="C140:M140" ca="1" si="71">C72</f>
        <v>31021196</v>
      </c>
      <c r="D140" s="35">
        <f t="shared" ca="1" si="71"/>
        <v>43503814.640000008</v>
      </c>
      <c r="E140" s="35">
        <f t="shared" ca="1" si="71"/>
        <v>54588071.259637602</v>
      </c>
      <c r="F140" s="35">
        <f t="shared" ca="1" si="71"/>
        <v>63261739.571097597</v>
      </c>
      <c r="G140" s="35">
        <f t="shared" ca="1" si="71"/>
        <v>74045114.431990534</v>
      </c>
      <c r="H140" s="35">
        <f t="shared" ca="1" si="71"/>
        <v>45188241.48141557</v>
      </c>
      <c r="I140" s="35">
        <f t="shared" ca="1" si="71"/>
        <v>41059082.556267172</v>
      </c>
      <c r="J140" s="35">
        <f t="shared" ca="1" si="71"/>
        <v>33717408.482398704</v>
      </c>
      <c r="K140" s="35">
        <f t="shared" ca="1" si="71"/>
        <v>34767755.561562158</v>
      </c>
      <c r="L140" s="35">
        <f t="shared" ca="1" si="71"/>
        <v>35843930.128409028</v>
      </c>
      <c r="M140" s="35">
        <f t="shared" ca="1" si="71"/>
        <v>36952389.932261296</v>
      </c>
    </row>
    <row r="141" spans="2:13" x14ac:dyDescent="0.35">
      <c r="B141" s="106" t="s">
        <v>233</v>
      </c>
      <c r="C141" s="35">
        <f t="shared" ref="C141:M141" ca="1" si="72">C71</f>
        <v>17119616</v>
      </c>
      <c r="D141" s="35">
        <f t="shared" ca="1" si="72"/>
        <v>21711813</v>
      </c>
      <c r="E141" s="35">
        <f t="shared" ca="1" si="72"/>
        <v>27535829</v>
      </c>
      <c r="F141" s="35">
        <f t="shared" ca="1" si="72"/>
        <v>34922089</v>
      </c>
      <c r="G141" s="35">
        <f t="shared" ca="1" si="72"/>
        <v>44289653</v>
      </c>
      <c r="H141" s="35">
        <f t="shared" ca="1" si="72"/>
        <v>0</v>
      </c>
      <c r="I141" s="35">
        <f t="shared" ca="1" si="72"/>
        <v>0</v>
      </c>
      <c r="J141" s="35">
        <f t="shared" ca="1" si="72"/>
        <v>0</v>
      </c>
      <c r="K141" s="35">
        <f t="shared" ca="1" si="72"/>
        <v>0</v>
      </c>
      <c r="L141" s="35">
        <f t="shared" ca="1" si="72"/>
        <v>0</v>
      </c>
      <c r="M141" s="35">
        <f t="shared" si="72"/>
        <v>0</v>
      </c>
    </row>
    <row r="142" spans="2:13" x14ac:dyDescent="0.35">
      <c r="B142" s="111" t="s">
        <v>234</v>
      </c>
      <c r="C142" s="77">
        <f ca="1">C140-C141</f>
        <v>13901580</v>
      </c>
      <c r="D142" s="77">
        <f t="shared" ref="D142:M142" ca="1" si="73">D140-D141</f>
        <v>21792001.640000008</v>
      </c>
      <c r="E142" s="77">
        <f t="shared" ca="1" si="73"/>
        <v>27052242.259637602</v>
      </c>
      <c r="F142" s="77">
        <f t="shared" ca="1" si="73"/>
        <v>28339650.571097597</v>
      </c>
      <c r="G142" s="77">
        <f t="shared" ca="1" si="73"/>
        <v>29755461.431990534</v>
      </c>
      <c r="H142" s="77">
        <f t="shared" ca="1" si="73"/>
        <v>45188241.48141557</v>
      </c>
      <c r="I142" s="77">
        <f t="shared" ca="1" si="73"/>
        <v>41059082.556267172</v>
      </c>
      <c r="J142" s="77">
        <f t="shared" ca="1" si="73"/>
        <v>33717408.482398704</v>
      </c>
      <c r="K142" s="77">
        <f t="shared" ca="1" si="73"/>
        <v>34767755.561562158</v>
      </c>
      <c r="L142" s="77">
        <f t="shared" ca="1" si="73"/>
        <v>35843930.128409028</v>
      </c>
      <c r="M142" s="77">
        <f t="shared" ca="1" si="73"/>
        <v>36952389.932261296</v>
      </c>
    </row>
    <row r="143" spans="2:13" x14ac:dyDescent="0.35">
      <c r="B143" s="106"/>
      <c r="C143" s="35"/>
      <c r="D143" s="35"/>
      <c r="E143" s="35"/>
      <c r="F143" s="35"/>
      <c r="G143" s="35"/>
      <c r="H143" s="35"/>
      <c r="I143" s="35"/>
      <c r="J143" s="35"/>
      <c r="K143" s="35"/>
      <c r="L143" s="35"/>
      <c r="M143" s="35"/>
    </row>
    <row r="144" spans="2:13" x14ac:dyDescent="0.35">
      <c r="B144" s="111" t="s">
        <v>235</v>
      </c>
      <c r="C144" s="77">
        <f ca="1">C138-C142</f>
        <v>0</v>
      </c>
      <c r="D144" s="77">
        <f ca="1">D138-D142</f>
        <v>-4031565.8000000119</v>
      </c>
      <c r="E144" s="77">
        <f t="shared" ref="E144:M144" ca="1" si="74">E138-E142</f>
        <v>61888946.005412005</v>
      </c>
      <c r="F144" s="77">
        <f t="shared" ca="1" si="74"/>
        <v>73541796.655494034</v>
      </c>
      <c r="G144" s="77">
        <f t="shared" ca="1" si="74"/>
        <v>73311002.07232675</v>
      </c>
      <c r="H144" s="77">
        <f t="shared" ca="1" si="74"/>
        <v>58462269.667625666</v>
      </c>
      <c r="I144" s="77">
        <f t="shared" ca="1" si="74"/>
        <v>63192997.666839734</v>
      </c>
      <c r="J144" s="77">
        <f t="shared" ca="1" si="74"/>
        <v>84685415.424819395</v>
      </c>
      <c r="K144" s="77">
        <f t="shared" ca="1" si="74"/>
        <v>116580911.36755168</v>
      </c>
      <c r="L144" s="77">
        <f t="shared" ca="1" si="74"/>
        <v>140062656.13162863</v>
      </c>
      <c r="M144" s="77">
        <f t="shared" ca="1" si="74"/>
        <v>169944174.87443179</v>
      </c>
    </row>
    <row r="145" spans="2:13" x14ac:dyDescent="0.35">
      <c r="B145" s="111" t="s">
        <v>236</v>
      </c>
      <c r="C145" s="77">
        <f ca="1">C144</f>
        <v>0</v>
      </c>
      <c r="D145" s="77">
        <f ca="1">D144-C144</f>
        <v>-4031565.8000000119</v>
      </c>
      <c r="E145" s="77">
        <f t="shared" ref="E145:M145" ca="1" si="75">E144-D144</f>
        <v>65920511.805412017</v>
      </c>
      <c r="F145" s="77">
        <f t="shared" ca="1" si="75"/>
        <v>11652850.650082029</v>
      </c>
      <c r="G145" s="77">
        <f t="shared" ca="1" si="75"/>
        <v>-230794.58316728473</v>
      </c>
      <c r="H145" s="77">
        <f t="shared" ca="1" si="75"/>
        <v>-14848732.404701084</v>
      </c>
      <c r="I145" s="77">
        <f t="shared" ca="1" si="75"/>
        <v>4730727.9992140681</v>
      </c>
      <c r="J145" s="77">
        <f t="shared" ca="1" si="75"/>
        <v>21492417.757979661</v>
      </c>
      <c r="K145" s="77">
        <f t="shared" ca="1" si="75"/>
        <v>31895495.942732289</v>
      </c>
      <c r="L145" s="77">
        <f t="shared" ca="1" si="75"/>
        <v>23481744.764076948</v>
      </c>
      <c r="M145" s="77">
        <f t="shared" ca="1" si="75"/>
        <v>29881518.742803156</v>
      </c>
    </row>
    <row r="146" spans="2:13" x14ac:dyDescent="0.35">
      <c r="B146" s="105"/>
      <c r="C146" s="35"/>
      <c r="D146" s="35"/>
      <c r="E146" s="35"/>
      <c r="F146" s="35"/>
      <c r="G146" s="35"/>
      <c r="H146" s="35"/>
      <c r="I146" s="35"/>
      <c r="J146" s="35"/>
      <c r="K146" s="35"/>
      <c r="L146" s="35"/>
      <c r="M146" s="35"/>
    </row>
    <row r="147" spans="2:13" x14ac:dyDescent="0.35">
      <c r="B147" s="105"/>
      <c r="C147" s="35"/>
      <c r="D147" s="35"/>
      <c r="E147" s="35"/>
      <c r="F147" s="35"/>
      <c r="G147" s="35"/>
      <c r="H147" s="35"/>
      <c r="I147" s="35"/>
      <c r="J147" s="35"/>
      <c r="K147" s="35"/>
      <c r="L147" s="35"/>
      <c r="M147" s="35"/>
    </row>
    <row r="148" spans="2:13" s="125" customFormat="1" x14ac:dyDescent="0.35">
      <c r="B148" s="174" t="s">
        <v>314</v>
      </c>
      <c r="C148" s="124">
        <f t="shared" ref="C148:J148" si="76">+C$188</f>
        <v>0</v>
      </c>
      <c r="D148" s="124">
        <f t="shared" si="76"/>
        <v>0</v>
      </c>
      <c r="E148" s="124">
        <f t="shared" si="76"/>
        <v>0</v>
      </c>
      <c r="F148" s="124">
        <f t="shared" si="76"/>
        <v>0</v>
      </c>
      <c r="G148" s="124">
        <f t="shared" si="76"/>
        <v>0</v>
      </c>
      <c r="H148" s="124">
        <f t="shared" si="76"/>
        <v>0</v>
      </c>
      <c r="I148" s="124">
        <f t="shared" si="76"/>
        <v>0</v>
      </c>
      <c r="J148" s="124">
        <f t="shared" si="76"/>
        <v>0</v>
      </c>
      <c r="K148" s="124"/>
      <c r="L148" s="124"/>
      <c r="M148" s="124"/>
    </row>
    <row r="149" spans="2:13" x14ac:dyDescent="0.35">
      <c r="B149" s="111" t="s">
        <v>315</v>
      </c>
      <c r="C149" s="77"/>
      <c r="D149" s="77"/>
      <c r="E149" s="77"/>
      <c r="F149" s="77"/>
      <c r="G149" s="77"/>
      <c r="H149" s="77"/>
      <c r="I149" s="77"/>
      <c r="J149" s="77"/>
      <c r="K149" s="77"/>
      <c r="L149" s="77"/>
      <c r="M149" s="77"/>
    </row>
    <row r="150" spans="2:13" x14ac:dyDescent="0.35">
      <c r="B150" s="106" t="s">
        <v>316</v>
      </c>
      <c r="C150" s="124">
        <f ca="1">-C92</f>
        <v>-262391000</v>
      </c>
      <c r="D150" s="35">
        <f t="shared" ref="D150:M150" si="77">-D92</f>
        <v>0</v>
      </c>
      <c r="E150" s="35">
        <f t="shared" si="77"/>
        <v>0</v>
      </c>
      <c r="F150" s="35">
        <f t="shared" si="77"/>
        <v>0</v>
      </c>
      <c r="G150" s="35">
        <f t="shared" si="77"/>
        <v>0</v>
      </c>
      <c r="H150" s="35">
        <f t="shared" si="77"/>
        <v>0</v>
      </c>
      <c r="I150" s="35">
        <f t="shared" si="77"/>
        <v>0</v>
      </c>
      <c r="J150" s="35">
        <f t="shared" si="77"/>
        <v>0</v>
      </c>
      <c r="K150" s="35">
        <f t="shared" si="77"/>
        <v>0</v>
      </c>
      <c r="L150" s="35">
        <f t="shared" si="77"/>
        <v>0</v>
      </c>
      <c r="M150" s="35">
        <f t="shared" si="77"/>
        <v>0</v>
      </c>
    </row>
    <row r="151" spans="2:13" x14ac:dyDescent="0.35">
      <c r="B151" s="106" t="s">
        <v>317</v>
      </c>
      <c r="C151" s="35">
        <f>C103</f>
        <v>0</v>
      </c>
      <c r="D151" s="35">
        <f t="shared" ref="D151:M151" si="78">D103</f>
        <v>0</v>
      </c>
      <c r="E151" s="35">
        <f t="shared" ca="1" si="78"/>
        <v>0</v>
      </c>
      <c r="F151" s="35">
        <f t="shared" ca="1" si="78"/>
        <v>48123447.353229992</v>
      </c>
      <c r="G151" s="35">
        <f t="shared" ca="1" si="78"/>
        <v>65677638.992806651</v>
      </c>
      <c r="H151" s="35">
        <f t="shared" ca="1" si="78"/>
        <v>75004243.628050789</v>
      </c>
      <c r="I151" s="35">
        <f t="shared" ca="1" si="78"/>
        <v>83708689.967256337</v>
      </c>
      <c r="J151" s="35">
        <f t="shared" ca="1" si="78"/>
        <v>90650779.759501413</v>
      </c>
      <c r="K151" s="35">
        <f t="shared" ca="1" si="78"/>
        <v>94527237.212983564</v>
      </c>
      <c r="L151" s="35">
        <f t="shared" ca="1" si="78"/>
        <v>97878215.314712137</v>
      </c>
      <c r="M151" s="35">
        <f t="shared" ca="1" si="78"/>
        <v>101159831.13122132</v>
      </c>
    </row>
    <row r="152" spans="2:13" x14ac:dyDescent="0.35">
      <c r="B152" s="111" t="s">
        <v>318</v>
      </c>
      <c r="C152" s="178">
        <f ca="1">SUM(C150:C151)</f>
        <v>-262391000</v>
      </c>
      <c r="D152" s="77">
        <f t="shared" ref="D152:M152" si="79">SUM(D150:D151)</f>
        <v>0</v>
      </c>
      <c r="E152" s="77">
        <f t="shared" ca="1" si="79"/>
        <v>0</v>
      </c>
      <c r="F152" s="77">
        <f t="shared" ca="1" si="79"/>
        <v>48123447.353229992</v>
      </c>
      <c r="G152" s="77">
        <f t="shared" ca="1" si="79"/>
        <v>65677638.992806651</v>
      </c>
      <c r="H152" s="77">
        <f t="shared" ca="1" si="79"/>
        <v>75004243.628050789</v>
      </c>
      <c r="I152" s="77">
        <f t="shared" ca="1" si="79"/>
        <v>83708689.967256337</v>
      </c>
      <c r="J152" s="77">
        <f t="shared" ca="1" si="79"/>
        <v>90650779.759501413</v>
      </c>
      <c r="K152" s="77">
        <f t="shared" ca="1" si="79"/>
        <v>94527237.212983564</v>
      </c>
      <c r="L152" s="77">
        <f t="shared" ca="1" si="79"/>
        <v>97878215.314712137</v>
      </c>
      <c r="M152" s="77">
        <f t="shared" ca="1" si="79"/>
        <v>101159831.13122132</v>
      </c>
    </row>
    <row r="153" spans="2:13" x14ac:dyDescent="0.35">
      <c r="B153" s="105"/>
      <c r="C153" s="35"/>
      <c r="D153" s="35"/>
      <c r="E153" s="35"/>
      <c r="F153" s="35"/>
      <c r="G153" s="35"/>
      <c r="H153" s="35"/>
      <c r="I153" s="35"/>
      <c r="J153" s="35"/>
      <c r="K153" s="35"/>
      <c r="L153" s="35"/>
      <c r="M153" s="35"/>
    </row>
    <row r="154" spans="2:13" x14ac:dyDescent="0.35">
      <c r="B154" s="111" t="s">
        <v>319</v>
      </c>
      <c r="C154" s="77"/>
      <c r="D154" s="77"/>
      <c r="E154" s="77"/>
      <c r="F154" s="77"/>
      <c r="G154" s="77"/>
      <c r="H154" s="77"/>
      <c r="I154" s="77"/>
      <c r="J154" s="77"/>
      <c r="K154" s="77"/>
      <c r="L154" s="77"/>
      <c r="M154" s="77"/>
    </row>
    <row r="155" spans="2:13" x14ac:dyDescent="0.35">
      <c r="B155" s="106" t="s">
        <v>320</v>
      </c>
      <c r="C155" s="35">
        <f>-C91</f>
        <v>-145579000</v>
      </c>
      <c r="D155" s="35">
        <f t="shared" ref="D155:M155" si="80">-D91</f>
        <v>0</v>
      </c>
      <c r="E155" s="35">
        <f t="shared" si="80"/>
        <v>0</v>
      </c>
      <c r="F155" s="35">
        <f t="shared" si="80"/>
        <v>0</v>
      </c>
      <c r="G155" s="35">
        <f t="shared" si="80"/>
        <v>0</v>
      </c>
      <c r="H155" s="35">
        <f t="shared" si="80"/>
        <v>0</v>
      </c>
      <c r="I155" s="35">
        <f t="shared" si="80"/>
        <v>0</v>
      </c>
      <c r="J155" s="35">
        <f t="shared" si="80"/>
        <v>0</v>
      </c>
      <c r="K155" s="35">
        <f t="shared" si="80"/>
        <v>0</v>
      </c>
      <c r="L155" s="35">
        <f t="shared" si="80"/>
        <v>0</v>
      </c>
      <c r="M155" s="35">
        <f t="shared" si="80"/>
        <v>0</v>
      </c>
    </row>
    <row r="156" spans="2:13" x14ac:dyDescent="0.35">
      <c r="B156" s="106" t="s">
        <v>321</v>
      </c>
      <c r="C156" s="35">
        <f ca="1">C101</f>
        <v>0</v>
      </c>
      <c r="D156" s="35">
        <f t="shared" ref="D156:M156" ca="1" si="81">D101</f>
        <v>33136524</v>
      </c>
      <c r="E156" s="35">
        <f t="shared" ca="1" si="81"/>
        <v>28544327</v>
      </c>
      <c r="F156" s="35">
        <f t="shared" ca="1" si="81"/>
        <v>22720312</v>
      </c>
      <c r="G156" s="35">
        <f t="shared" ca="1" si="81"/>
        <v>15334051</v>
      </c>
      <c r="H156" s="35">
        <f t="shared" ca="1" si="81"/>
        <v>5966488</v>
      </c>
      <c r="I156" s="35">
        <f t="shared" ca="1" si="81"/>
        <v>0</v>
      </c>
      <c r="J156" s="35">
        <f t="shared" ca="1" si="81"/>
        <v>0</v>
      </c>
      <c r="K156" s="35">
        <f t="shared" ca="1" si="81"/>
        <v>0</v>
      </c>
      <c r="L156" s="35">
        <f t="shared" ca="1" si="81"/>
        <v>0</v>
      </c>
      <c r="M156" s="35">
        <f t="shared" ca="1" si="81"/>
        <v>0</v>
      </c>
    </row>
    <row r="157" spans="2:13" x14ac:dyDescent="0.35">
      <c r="B157" s="106" t="s">
        <v>322</v>
      </c>
      <c r="C157" s="35">
        <f ca="1">C102</f>
        <v>0</v>
      </c>
      <c r="D157" s="35">
        <f t="shared" ref="D157:M157" ca="1" si="82">D102</f>
        <v>17119616</v>
      </c>
      <c r="E157" s="35">
        <f t="shared" ca="1" si="82"/>
        <v>21711813</v>
      </c>
      <c r="F157" s="35">
        <f t="shared" ca="1" si="82"/>
        <v>27535829</v>
      </c>
      <c r="G157" s="35">
        <f t="shared" ca="1" si="82"/>
        <v>34922089</v>
      </c>
      <c r="H157" s="35">
        <f t="shared" ca="1" si="82"/>
        <v>44289653</v>
      </c>
      <c r="I157" s="35">
        <f t="shared" ca="1" si="82"/>
        <v>0</v>
      </c>
      <c r="J157" s="35">
        <f t="shared" ca="1" si="82"/>
        <v>0</v>
      </c>
      <c r="K157" s="35">
        <f t="shared" ca="1" si="82"/>
        <v>0</v>
      </c>
      <c r="L157" s="35">
        <f t="shared" ca="1" si="82"/>
        <v>0</v>
      </c>
      <c r="M157" s="35">
        <f t="shared" ca="1" si="82"/>
        <v>0</v>
      </c>
    </row>
    <row r="158" spans="2:13" x14ac:dyDescent="0.35">
      <c r="B158" s="111" t="s">
        <v>323</v>
      </c>
      <c r="C158" s="77">
        <f t="shared" ref="C158:E158" ca="1" si="83">SUM(C155:C157)</f>
        <v>-145579000</v>
      </c>
      <c r="D158" s="77">
        <f t="shared" ca="1" si="83"/>
        <v>50256140</v>
      </c>
      <c r="E158" s="77">
        <f t="shared" ca="1" si="83"/>
        <v>50256140</v>
      </c>
      <c r="F158" s="77">
        <f ca="1">SUM(F155:F157)</f>
        <v>50256141</v>
      </c>
      <c r="G158" s="77">
        <f t="shared" ref="G158:M158" ca="1" si="84">SUM(G155:G157)</f>
        <v>50256140</v>
      </c>
      <c r="H158" s="77">
        <f t="shared" ca="1" si="84"/>
        <v>50256141</v>
      </c>
      <c r="I158" s="77">
        <f t="shared" ca="1" si="84"/>
        <v>0</v>
      </c>
      <c r="J158" s="77">
        <f t="shared" ca="1" si="84"/>
        <v>0</v>
      </c>
      <c r="K158" s="77">
        <f t="shared" ca="1" si="84"/>
        <v>0</v>
      </c>
      <c r="L158" s="77">
        <f t="shared" ca="1" si="84"/>
        <v>0</v>
      </c>
      <c r="M158" s="77">
        <f t="shared" ca="1" si="84"/>
        <v>0</v>
      </c>
    </row>
    <row r="159" spans="2:13" x14ac:dyDescent="0.35">
      <c r="B159" s="105"/>
      <c r="C159" s="35"/>
      <c r="D159" s="35"/>
      <c r="E159" s="35"/>
      <c r="F159" s="35"/>
      <c r="G159" s="35"/>
      <c r="H159" s="35"/>
      <c r="I159" s="35"/>
      <c r="J159" s="35"/>
      <c r="K159" s="35"/>
      <c r="L159" s="35"/>
      <c r="M159" s="35"/>
    </row>
    <row r="160" spans="2:13" x14ac:dyDescent="0.35">
      <c r="B160" s="111" t="s">
        <v>324</v>
      </c>
      <c r="C160" s="77"/>
      <c r="D160" s="77"/>
      <c r="E160" s="77"/>
      <c r="F160" s="77"/>
      <c r="G160" s="77"/>
      <c r="H160" s="77"/>
      <c r="I160" s="77"/>
      <c r="J160" s="77"/>
      <c r="K160" s="77"/>
      <c r="L160" s="77"/>
      <c r="M160" s="77"/>
    </row>
    <row r="161" spans="2:13" x14ac:dyDescent="0.35">
      <c r="B161" s="111" t="s">
        <v>325</v>
      </c>
      <c r="C161" s="77">
        <f t="shared" ref="C161:E161" ca="1" si="85">+C152+C158</f>
        <v>-407970000</v>
      </c>
      <c r="D161" s="77">
        <f t="shared" ca="1" si="85"/>
        <v>50256140</v>
      </c>
      <c r="E161" s="77">
        <f t="shared" ca="1" si="85"/>
        <v>50256140</v>
      </c>
      <c r="F161" s="77">
        <f ca="1">+F152+F158</f>
        <v>98379588.35323</v>
      </c>
      <c r="G161" s="77">
        <f t="shared" ref="G161:M161" ca="1" si="86">+G152+G158</f>
        <v>115933778.99280664</v>
      </c>
      <c r="H161" s="77">
        <f t="shared" ca="1" si="86"/>
        <v>125260384.62805079</v>
      </c>
      <c r="I161" s="77">
        <f t="shared" ca="1" si="86"/>
        <v>83708689.967256337</v>
      </c>
      <c r="J161" s="77">
        <f t="shared" ca="1" si="86"/>
        <v>90650779.759501413</v>
      </c>
      <c r="K161" s="77">
        <f t="shared" ca="1" si="86"/>
        <v>94527237.212983564</v>
      </c>
      <c r="L161" s="77">
        <f t="shared" ca="1" si="86"/>
        <v>97878215.314712137</v>
      </c>
      <c r="M161" s="77">
        <f t="shared" ca="1" si="86"/>
        <v>101159831.13122132</v>
      </c>
    </row>
    <row r="162" spans="2:13" x14ac:dyDescent="0.35">
      <c r="B162" s="105"/>
      <c r="C162" s="35"/>
      <c r="D162" s="35"/>
      <c r="E162" s="35"/>
      <c r="F162" s="35"/>
      <c r="G162" s="35"/>
      <c r="H162" s="35"/>
      <c r="I162" s="35"/>
      <c r="J162" s="35"/>
      <c r="K162" s="35"/>
      <c r="L162" s="35"/>
      <c r="M162" s="35"/>
    </row>
    <row r="163" spans="2:13" x14ac:dyDescent="0.35">
      <c r="B163" s="111" t="s">
        <v>326</v>
      </c>
      <c r="C163" s="77"/>
      <c r="D163" s="77"/>
      <c r="E163" s="77"/>
      <c r="F163" s="77"/>
      <c r="G163" s="77"/>
      <c r="H163" s="77"/>
      <c r="I163" s="77"/>
      <c r="J163" s="77"/>
      <c r="K163" s="77"/>
      <c r="L163" s="77"/>
      <c r="M163" s="77"/>
    </row>
    <row r="164" spans="2:13" x14ac:dyDescent="0.35">
      <c r="B164" s="106" t="s">
        <v>327</v>
      </c>
      <c r="C164" s="35">
        <f ca="1">C161</f>
        <v>-407970000</v>
      </c>
      <c r="D164" s="35">
        <f ca="1">D161</f>
        <v>50256140</v>
      </c>
      <c r="E164" s="35">
        <f t="shared" ref="E164:M164" ca="1" si="87">E161</f>
        <v>50256140</v>
      </c>
      <c r="F164" s="35">
        <f t="shared" ca="1" si="87"/>
        <v>98379588.35323</v>
      </c>
      <c r="G164" s="35">
        <f t="shared" ca="1" si="87"/>
        <v>115933778.99280664</v>
      </c>
      <c r="H164" s="35">
        <f t="shared" ca="1" si="87"/>
        <v>125260384.62805079</v>
      </c>
      <c r="I164" s="35">
        <f t="shared" ca="1" si="87"/>
        <v>83708689.967256337</v>
      </c>
      <c r="J164" s="35">
        <f t="shared" ca="1" si="87"/>
        <v>90650779.759501413</v>
      </c>
      <c r="K164" s="35">
        <f t="shared" ca="1" si="87"/>
        <v>94527237.212983564</v>
      </c>
      <c r="L164" s="35">
        <f t="shared" ca="1" si="87"/>
        <v>97878215.314712137</v>
      </c>
      <c r="M164" s="35">
        <f t="shared" ca="1" si="87"/>
        <v>101159831.13122132</v>
      </c>
    </row>
    <row r="165" spans="2:13" x14ac:dyDescent="0.35">
      <c r="B165" s="106" t="s">
        <v>328</v>
      </c>
      <c r="C165" s="35">
        <f>-(C128-C125)</f>
        <v>0</v>
      </c>
      <c r="D165" s="35">
        <f ca="1">-(D128-D125)</f>
        <v>-10025321.894666668</v>
      </c>
      <c r="E165" s="35">
        <f t="shared" ref="E165:M165" ca="1" si="88">-(E128-E125)</f>
        <v>-9419627.9099999964</v>
      </c>
      <c r="F165" s="35">
        <f t="shared" ca="1" si="88"/>
        <v>-7497702.9600000009</v>
      </c>
      <c r="G165" s="35">
        <f t="shared" ca="1" si="88"/>
        <v>-5060236.8299999982</v>
      </c>
      <c r="H165" s="35">
        <f t="shared" ca="1" si="88"/>
        <v>-1968941.0399999991</v>
      </c>
      <c r="I165" s="35">
        <f t="shared" ca="1" si="88"/>
        <v>0</v>
      </c>
      <c r="J165" s="35">
        <f t="shared" ca="1" si="88"/>
        <v>0</v>
      </c>
      <c r="K165" s="35">
        <f t="shared" ca="1" si="88"/>
        <v>0</v>
      </c>
      <c r="L165" s="35">
        <f t="shared" ca="1" si="88"/>
        <v>0</v>
      </c>
      <c r="M165" s="35">
        <f t="shared" ca="1" si="88"/>
        <v>0</v>
      </c>
    </row>
    <row r="166" spans="2:13" x14ac:dyDescent="0.35">
      <c r="B166" s="111" t="s">
        <v>300</v>
      </c>
      <c r="C166" s="77">
        <f t="shared" ref="C166" ca="1" si="89">SUM(C164:C165)</f>
        <v>-407970000</v>
      </c>
      <c r="D166" s="77">
        <f t="shared" ref="D166" ca="1" si="90">SUM(D164:D165)</f>
        <v>40230818.105333328</v>
      </c>
      <c r="E166" s="77">
        <f t="shared" ref="E166" ca="1" si="91">SUM(E164:E165)</f>
        <v>40836512.090000004</v>
      </c>
      <c r="F166" s="77">
        <f t="shared" ref="F166" ca="1" si="92">SUM(F164:F165)</f>
        <v>90881885.393229991</v>
      </c>
      <c r="G166" s="77">
        <f t="shared" ref="G166" ca="1" si="93">SUM(G164:G165)</f>
        <v>110873542.16280665</v>
      </c>
      <c r="H166" s="77">
        <f t="shared" ref="H166" ca="1" si="94">SUM(H164:H165)</f>
        <v>123291443.58805078</v>
      </c>
      <c r="I166" s="77">
        <f t="shared" ref="I166" ca="1" si="95">SUM(I164:I165)</f>
        <v>83708689.967256337</v>
      </c>
      <c r="J166" s="77">
        <f t="shared" ref="J166" ca="1" si="96">SUM(J164:J165)</f>
        <v>90650779.759501413</v>
      </c>
      <c r="K166" s="77">
        <f t="shared" ref="K166" ca="1" si="97">SUM(K164:K165)</f>
        <v>94527237.212983564</v>
      </c>
      <c r="L166" s="77">
        <f t="shared" ref="L166" ca="1" si="98">SUM(L164:L165)</f>
        <v>97878215.314712137</v>
      </c>
      <c r="M166" s="77">
        <f t="shared" ref="M166" ca="1" si="99">SUM(M164:M165)</f>
        <v>101159831.13122132</v>
      </c>
    </row>
    <row r="167" spans="2:13" ht="15" thickBot="1" x14ac:dyDescent="0.4">
      <c r="B167" s="105"/>
      <c r="C167" s="35"/>
      <c r="D167" s="35"/>
      <c r="E167" s="35"/>
      <c r="F167" s="35"/>
      <c r="G167" s="35"/>
      <c r="H167" s="35"/>
      <c r="I167" s="35"/>
      <c r="J167" s="35"/>
      <c r="K167" s="35"/>
      <c r="L167" s="35"/>
      <c r="M167" s="35"/>
    </row>
    <row r="168" spans="2:13" ht="15.5" x14ac:dyDescent="0.35">
      <c r="B168" s="175" t="s">
        <v>200</v>
      </c>
      <c r="C168" s="176">
        <f t="shared" ref="C168:E168" ca="1" si="100">ROUND(C166-C135,1)</f>
        <v>0</v>
      </c>
      <c r="D168" s="176">
        <f t="shared" ca="1" si="100"/>
        <v>0</v>
      </c>
      <c r="E168" s="176">
        <f t="shared" ca="1" si="100"/>
        <v>0</v>
      </c>
      <c r="F168" s="176">
        <f ca="1">ROUND(F166-F135,1)</f>
        <v>0</v>
      </c>
      <c r="G168" s="176">
        <f t="shared" ref="G168:M168" ca="1" si="101">ROUND(G166-G135,1)</f>
        <v>0</v>
      </c>
      <c r="H168" s="176">
        <f t="shared" ca="1" si="101"/>
        <v>0</v>
      </c>
      <c r="I168" s="176">
        <f t="shared" ca="1" si="101"/>
        <v>0</v>
      </c>
      <c r="J168" s="176">
        <f t="shared" ca="1" si="101"/>
        <v>0</v>
      </c>
      <c r="K168" s="176">
        <f t="shared" ca="1" si="101"/>
        <v>0</v>
      </c>
      <c r="L168" s="176">
        <f t="shared" ca="1" si="101"/>
        <v>0</v>
      </c>
      <c r="M168" s="176">
        <f t="shared" ca="1" si="101"/>
        <v>0</v>
      </c>
    </row>
    <row r="169" spans="2:13" x14ac:dyDescent="0.35">
      <c r="B169" s="105"/>
      <c r="C169" s="35"/>
      <c r="D169" s="35"/>
      <c r="E169" s="35"/>
      <c r="F169" s="35"/>
      <c r="G169" s="35"/>
      <c r="H169" s="35"/>
      <c r="I169" s="35"/>
      <c r="J169" s="35"/>
      <c r="K169" s="35"/>
      <c r="L169" s="35"/>
      <c r="M169" s="35"/>
    </row>
    <row r="170" spans="2:13" x14ac:dyDescent="0.35">
      <c r="B170" s="105"/>
      <c r="C170" s="35"/>
      <c r="D170" s="35"/>
      <c r="E170" s="35"/>
      <c r="F170" s="35"/>
      <c r="G170" s="35"/>
      <c r="H170" s="35"/>
      <c r="I170" s="35"/>
      <c r="J170" s="35"/>
      <c r="K170" s="35"/>
      <c r="L170" s="35"/>
      <c r="M170" s="35"/>
    </row>
    <row r="171" spans="2:13" x14ac:dyDescent="0.35">
      <c r="B171" s="105"/>
      <c r="C171" s="35"/>
      <c r="D171" s="35"/>
      <c r="E171" s="35"/>
      <c r="F171" s="35"/>
      <c r="G171" s="35"/>
      <c r="H171" s="35"/>
      <c r="I171" s="35"/>
      <c r="J171" s="35"/>
      <c r="K171" s="35"/>
      <c r="L171" s="35"/>
      <c r="M171" s="35"/>
    </row>
    <row r="172" spans="2:13" x14ac:dyDescent="0.35">
      <c r="B172" s="108" t="s">
        <v>237</v>
      </c>
      <c r="C172" s="35"/>
      <c r="D172" s="35"/>
      <c r="E172" s="35"/>
      <c r="F172" s="35"/>
      <c r="G172" s="35"/>
      <c r="H172" s="35"/>
      <c r="I172" s="35"/>
      <c r="J172" s="35"/>
      <c r="K172" s="35"/>
      <c r="L172" s="35"/>
      <c r="M172" s="35"/>
    </row>
    <row r="173" spans="2:13" x14ac:dyDescent="0.35">
      <c r="B173" s="106" t="s">
        <v>239</v>
      </c>
      <c r="C173" s="35"/>
      <c r="D173" s="35">
        <f t="shared" ref="D173:M173" ca="1" si="102">C71+C73+D91</f>
        <v>145579000</v>
      </c>
      <c r="E173" s="35">
        <f t="shared" ca="1" si="102"/>
        <v>128459384</v>
      </c>
      <c r="F173" s="35">
        <f t="shared" ca="1" si="102"/>
        <v>106747571</v>
      </c>
      <c r="G173" s="35">
        <f t="shared" ca="1" si="102"/>
        <v>79211742</v>
      </c>
      <c r="H173" s="35">
        <f t="shared" ca="1" si="102"/>
        <v>44289653</v>
      </c>
      <c r="I173" s="35">
        <f t="shared" ca="1" si="102"/>
        <v>0</v>
      </c>
      <c r="J173" s="35">
        <f t="shared" ca="1" si="102"/>
        <v>0</v>
      </c>
      <c r="K173" s="35">
        <f t="shared" ca="1" si="102"/>
        <v>0</v>
      </c>
      <c r="L173" s="35">
        <f t="shared" ca="1" si="102"/>
        <v>0</v>
      </c>
      <c r="M173" s="35">
        <f t="shared" ca="1" si="102"/>
        <v>0</v>
      </c>
    </row>
    <row r="174" spans="2:13" x14ac:dyDescent="0.35">
      <c r="B174" s="106" t="s">
        <v>240</v>
      </c>
      <c r="C174" s="35"/>
      <c r="D174" s="35">
        <f t="shared" ref="D174:M174" ca="1" si="103">C80+D92</f>
        <v>262391000</v>
      </c>
      <c r="E174" s="35">
        <f t="shared" ca="1" si="103"/>
        <v>258740716.86666667</v>
      </c>
      <c r="F174" s="35">
        <f t="shared" ca="1" si="103"/>
        <v>329634708.33874536</v>
      </c>
      <c r="G174" s="35">
        <f t="shared" ca="1" si="103"/>
        <v>359362579.766294</v>
      </c>
      <c r="H174" s="35">
        <f t="shared" ca="1" si="103"/>
        <v>379613712.75888944</v>
      </c>
      <c r="I174" s="35">
        <f t="shared" ca="1" si="103"/>
        <v>400037026.41090274</v>
      </c>
      <c r="J174" s="35">
        <f t="shared" ca="1" si="103"/>
        <v>418979783.34093827</v>
      </c>
      <c r="K174" s="35">
        <f t="shared" ca="1" si="103"/>
        <v>434436060.88849699</v>
      </c>
      <c r="L174" s="35">
        <f t="shared" ca="1" si="103"/>
        <v>449593223.49789596</v>
      </c>
      <c r="M174" s="35">
        <f t="shared" ca="1" si="103"/>
        <v>465026380.50023782</v>
      </c>
    </row>
    <row r="175" spans="2:13" x14ac:dyDescent="0.35">
      <c r="B175" s="106" t="s">
        <v>241</v>
      </c>
      <c r="C175" s="35"/>
      <c r="D175" s="35">
        <f ca="1">SUM(D173:D174)</f>
        <v>407970000</v>
      </c>
      <c r="E175" s="35">
        <f t="shared" ref="E175:M175" ca="1" si="104">SUM(E173:E174)</f>
        <v>387200100.86666667</v>
      </c>
      <c r="F175" s="35">
        <f t="shared" ca="1" si="104"/>
        <v>436382279.33874536</v>
      </c>
      <c r="G175" s="35">
        <f t="shared" ca="1" si="104"/>
        <v>438574321.766294</v>
      </c>
      <c r="H175" s="35">
        <f t="shared" ca="1" si="104"/>
        <v>423903365.75888944</v>
      </c>
      <c r="I175" s="35">
        <f t="shared" ca="1" si="104"/>
        <v>400037026.41090274</v>
      </c>
      <c r="J175" s="35">
        <f t="shared" ca="1" si="104"/>
        <v>418979783.34093827</v>
      </c>
      <c r="K175" s="35">
        <f t="shared" ca="1" si="104"/>
        <v>434436060.88849699</v>
      </c>
      <c r="L175" s="35">
        <f t="shared" ca="1" si="104"/>
        <v>449593223.49789596</v>
      </c>
      <c r="M175" s="35">
        <f t="shared" ca="1" si="104"/>
        <v>465026380.50023782</v>
      </c>
    </row>
    <row r="176" spans="2:13" x14ac:dyDescent="0.35">
      <c r="B176" s="105"/>
      <c r="C176" s="35"/>
      <c r="D176" s="35"/>
      <c r="E176" s="35"/>
      <c r="F176" s="35"/>
      <c r="G176" s="35"/>
      <c r="H176" s="35"/>
      <c r="I176" s="35"/>
      <c r="J176" s="35"/>
      <c r="K176" s="35"/>
      <c r="L176" s="35"/>
      <c r="M176" s="35"/>
    </row>
    <row r="177" spans="2:13" x14ac:dyDescent="0.35">
      <c r="B177" s="113" t="s">
        <v>238</v>
      </c>
      <c r="C177" s="35"/>
      <c r="D177" s="35"/>
      <c r="E177" s="35"/>
      <c r="F177" s="35"/>
      <c r="G177" s="35"/>
      <c r="H177" s="35"/>
      <c r="I177" s="35"/>
      <c r="J177" s="35"/>
      <c r="K177" s="35"/>
      <c r="L177" s="35"/>
      <c r="M177" s="35"/>
    </row>
    <row r="178" spans="2:13" x14ac:dyDescent="0.35">
      <c r="B178" s="106" t="s">
        <v>239</v>
      </c>
      <c r="C178" s="35"/>
      <c r="D178" s="126">
        <f ca="1">D173/D175</f>
        <v>0.3568375125621982</v>
      </c>
      <c r="E178" s="126">
        <f t="shared" ref="E178:M178" ca="1" si="105">E173/E175</f>
        <v>0.3317648515908711</v>
      </c>
      <c r="F178" s="126">
        <f t="shared" ca="1" si="105"/>
        <v>0.24461939921519205</v>
      </c>
      <c r="G178" s="126">
        <f t="shared" ca="1" si="105"/>
        <v>0.18061190103649089</v>
      </c>
      <c r="H178" s="126">
        <f t="shared" ca="1" si="105"/>
        <v>0.10448054103253183</v>
      </c>
      <c r="I178" s="126">
        <f t="shared" ca="1" si="105"/>
        <v>0</v>
      </c>
      <c r="J178" s="126">
        <f t="shared" ca="1" si="105"/>
        <v>0</v>
      </c>
      <c r="K178" s="126">
        <f t="shared" ca="1" si="105"/>
        <v>0</v>
      </c>
      <c r="L178" s="126">
        <f t="shared" ca="1" si="105"/>
        <v>0</v>
      </c>
      <c r="M178" s="126">
        <f t="shared" ca="1" si="105"/>
        <v>0</v>
      </c>
    </row>
    <row r="179" spans="2:13" x14ac:dyDescent="0.35">
      <c r="B179" s="106" t="s">
        <v>240</v>
      </c>
      <c r="C179" s="35"/>
      <c r="D179" s="126">
        <f ca="1">D174/D175</f>
        <v>0.6431624874378018</v>
      </c>
      <c r="E179" s="126">
        <f t="shared" ref="E179:M179" ca="1" si="106">E174/E175</f>
        <v>0.6682351484091289</v>
      </c>
      <c r="F179" s="126">
        <f t="shared" ca="1" si="106"/>
        <v>0.75538060078480795</v>
      </c>
      <c r="G179" s="126">
        <f t="shared" ca="1" si="106"/>
        <v>0.81938809896350917</v>
      </c>
      <c r="H179" s="126">
        <f t="shared" ca="1" si="106"/>
        <v>0.89551945896746821</v>
      </c>
      <c r="I179" s="126">
        <f t="shared" ca="1" si="106"/>
        <v>1</v>
      </c>
      <c r="J179" s="126">
        <f t="shared" ca="1" si="106"/>
        <v>1</v>
      </c>
      <c r="K179" s="126">
        <f t="shared" ca="1" si="106"/>
        <v>1</v>
      </c>
      <c r="L179" s="126">
        <f t="shared" ca="1" si="106"/>
        <v>1</v>
      </c>
      <c r="M179" s="126">
        <f t="shared" ca="1" si="106"/>
        <v>1</v>
      </c>
    </row>
    <row r="180" spans="2:13" x14ac:dyDescent="0.35">
      <c r="B180" s="106" t="s">
        <v>242</v>
      </c>
      <c r="C180" s="35"/>
      <c r="D180" s="127">
        <f ca="1">D173/D174</f>
        <v>0.55481704784081776</v>
      </c>
      <c r="E180" s="127">
        <f t="shared" ref="E180:M180" ca="1" si="107">E173/E174</f>
        <v>0.49647919954630576</v>
      </c>
      <c r="F180" s="127">
        <f t="shared" ca="1" si="107"/>
        <v>0.32383595628619932</v>
      </c>
      <c r="G180" s="127">
        <f t="shared" ca="1" si="107"/>
        <v>0.22042290004572584</v>
      </c>
      <c r="H180" s="127">
        <f t="shared" ca="1" si="107"/>
        <v>0.11667031909390072</v>
      </c>
      <c r="I180" s="127">
        <f t="shared" ca="1" si="107"/>
        <v>0</v>
      </c>
      <c r="J180" s="127">
        <f t="shared" ca="1" si="107"/>
        <v>0</v>
      </c>
      <c r="K180" s="127">
        <f t="shared" ca="1" si="107"/>
        <v>0</v>
      </c>
      <c r="L180" s="127">
        <f t="shared" ca="1" si="107"/>
        <v>0</v>
      </c>
      <c r="M180" s="127">
        <f t="shared" ca="1" si="107"/>
        <v>0</v>
      </c>
    </row>
    <row r="181" spans="2:13" ht="16.5" x14ac:dyDescent="0.45">
      <c r="B181" s="106" t="s">
        <v>243</v>
      </c>
      <c r="C181" s="35"/>
      <c r="D181" s="126">
        <f ca="1">Deuda!D24*(1-INPUTS!D16)</f>
        <v>0.15022843844235773</v>
      </c>
      <c r="E181" s="126">
        <f ca="1">Deuda!E24*(1-INPUTS!E16)</f>
        <v>0.14887739995701676</v>
      </c>
      <c r="F181" s="126">
        <f ca="1">Deuda!F24*(1-INPUTS!F16)</f>
        <v>0.14260379788875943</v>
      </c>
      <c r="G181" s="126">
        <f ca="1">Deuda!G24*(1-INPUTS!G16)</f>
        <v>0.12970064678037252</v>
      </c>
      <c r="H181" s="126">
        <f ca="1">Deuda!H24*(1-INPUTS!H16)</f>
        <v>9.0259161885960129E-2</v>
      </c>
      <c r="I181" s="126">
        <f ca="1">Deuda!I24*(1-INPUTS!I16)</f>
        <v>0</v>
      </c>
      <c r="J181" s="126">
        <f ca="1">Deuda!J24*(1-INPUTS!J16)</f>
        <v>0</v>
      </c>
      <c r="K181" s="126">
        <f ca="1">Deuda!K24*(1-INPUTS!K16)</f>
        <v>0</v>
      </c>
      <c r="L181" s="126">
        <f ca="1">Deuda!L24*(1-INPUTS!L16)</f>
        <v>0</v>
      </c>
      <c r="M181" s="126">
        <f ca="1">Deuda!M24*(1-INPUTS!M16)</f>
        <v>0</v>
      </c>
    </row>
    <row r="182" spans="2:13" x14ac:dyDescent="0.35">
      <c r="B182" s="105"/>
      <c r="C182" s="35"/>
      <c r="D182" s="35"/>
      <c r="E182" s="35"/>
      <c r="F182" s="35"/>
      <c r="G182" s="35"/>
      <c r="H182" s="35"/>
      <c r="I182" s="35"/>
      <c r="J182" s="35"/>
      <c r="K182" s="35"/>
      <c r="L182" s="35"/>
      <c r="M182" s="35"/>
    </row>
    <row r="183" spans="2:13" ht="16.5" x14ac:dyDescent="0.45">
      <c r="B183" s="106" t="s">
        <v>244</v>
      </c>
      <c r="C183" s="127">
        <f>INPUTS!C48</f>
        <v>0.82</v>
      </c>
      <c r="D183" s="127">
        <f>INPUTS!D48</f>
        <v>0.83</v>
      </c>
      <c r="E183" s="127">
        <f>INPUTS!E48</f>
        <v>0.84</v>
      </c>
      <c r="F183" s="127">
        <f>INPUTS!F48</f>
        <v>0.85</v>
      </c>
      <c r="G183" s="127">
        <f>INPUTS!G48</f>
        <v>0.86</v>
      </c>
      <c r="H183" s="127">
        <f>INPUTS!H48</f>
        <v>0.87</v>
      </c>
      <c r="I183" s="127">
        <f>INPUTS!I48</f>
        <v>0.88</v>
      </c>
      <c r="J183" s="127">
        <f>INPUTS!J48</f>
        <v>0.89</v>
      </c>
      <c r="K183" s="127">
        <f>INPUTS!K48</f>
        <v>0.9</v>
      </c>
      <c r="L183" s="127">
        <f>INPUTS!L48</f>
        <v>0.91</v>
      </c>
      <c r="M183" s="127">
        <f>INPUTS!M48</f>
        <v>0.92</v>
      </c>
    </row>
    <row r="184" spans="2:13" ht="16.5" x14ac:dyDescent="0.45">
      <c r="B184" s="106" t="s">
        <v>245</v>
      </c>
      <c r="C184" s="35"/>
      <c r="D184" s="127">
        <f ca="1">D183*(1+D180*(1-INPUTS!D16))</f>
        <v>1.1339287788071999</v>
      </c>
      <c r="E184" s="127">
        <f ca="1">E183*(1+E180*(1-INPUTS!E16))</f>
        <v>1.1194184935046609</v>
      </c>
      <c r="F184" s="127">
        <f ca="1">F183*(1+F180*(1-INPUTS!F16))</f>
        <v>1.0344245771049905</v>
      </c>
      <c r="G184" s="127">
        <f ca="1">G183*(1+G180*(1-INPUTS!G16))</f>
        <v>0.98700767500634723</v>
      </c>
      <c r="H184" s="127">
        <f ca="1">H183*(1+H180*(1-INPUTS!H16))</f>
        <v>0.93800712899983474</v>
      </c>
      <c r="I184" s="127">
        <f ca="1">I183*(1+I180*(1-INPUTS!I16))</f>
        <v>0.88</v>
      </c>
      <c r="J184" s="127">
        <f ca="1">J183*(1+J180*(1-INPUTS!J16))</f>
        <v>0.89</v>
      </c>
      <c r="K184" s="127">
        <f ca="1">K183*(1+K180*(1-INPUTS!K16))</f>
        <v>0.9</v>
      </c>
      <c r="L184" s="127">
        <f ca="1">L183*(1+L180*(1-INPUTS!L16))</f>
        <v>0.91</v>
      </c>
      <c r="M184" s="127">
        <f ca="1">M183*(1+M180*(1-INPUTS!M16))</f>
        <v>0.92</v>
      </c>
    </row>
    <row r="185" spans="2:13" ht="16.5" x14ac:dyDescent="0.45">
      <c r="B185" s="106" t="s">
        <v>246</v>
      </c>
      <c r="C185" s="35"/>
      <c r="D185" s="126">
        <f ca="1">INPUTS!$C$49+D184*INPUTS!$C$50</f>
        <v>0.19071430230457598</v>
      </c>
      <c r="E185" s="126">
        <f ca="1">INPUTS!$C$49+E184*INPUTS!$C$50</f>
        <v>0.18955347948037288</v>
      </c>
      <c r="F185" s="126">
        <f ca="1">INPUTS!$C$49+F184*INPUTS!$C$50</f>
        <v>0.18275396616839923</v>
      </c>
      <c r="G185" s="126">
        <f ca="1">INPUTS!$C$49+G184*INPUTS!$C$50</f>
        <v>0.17896061400050778</v>
      </c>
      <c r="H185" s="126">
        <f ca="1">INPUTS!$C$49+H184*INPUTS!$C$50</f>
        <v>0.17504057031998677</v>
      </c>
      <c r="I185" s="126">
        <f ca="1">INPUTS!$C$49+I184*INPUTS!$C$50</f>
        <v>0.1704</v>
      </c>
      <c r="J185" s="126">
        <f ca="1">INPUTS!$C$49+J184*INPUTS!$C$50</f>
        <v>0.17120000000000002</v>
      </c>
      <c r="K185" s="126">
        <f ca="1">INPUTS!$C$49+K184*INPUTS!$C$50</f>
        <v>0.17200000000000001</v>
      </c>
      <c r="L185" s="126">
        <f ca="1">INPUTS!$C$49+L184*INPUTS!$C$50</f>
        <v>0.17280000000000001</v>
      </c>
      <c r="M185" s="126">
        <f ca="1">INPUTS!$C$49+M184*INPUTS!$C$50</f>
        <v>0.1736</v>
      </c>
    </row>
    <row r="186" spans="2:13" x14ac:dyDescent="0.35">
      <c r="B186" s="105"/>
      <c r="C186" s="35"/>
      <c r="D186" s="35"/>
      <c r="E186" s="35"/>
      <c r="F186" s="35"/>
      <c r="G186" s="35"/>
      <c r="H186" s="35"/>
      <c r="I186" s="35"/>
      <c r="J186" s="35"/>
      <c r="K186" s="35"/>
      <c r="L186" s="35"/>
      <c r="M186" s="35"/>
    </row>
    <row r="187" spans="2:13" x14ac:dyDescent="0.35">
      <c r="B187" s="110" t="s">
        <v>237</v>
      </c>
      <c r="C187" s="35"/>
      <c r="D187" s="129">
        <f ca="1">D181*D178+D185*D179</f>
        <v>0.17626742735005024</v>
      </c>
      <c r="E187" s="129">
        <f t="shared" ref="E187:M187" ca="1" si="108">E181*E178+E185*E179</f>
        <v>0.17605858599400814</v>
      </c>
      <c r="F187" s="129">
        <f t="shared" ca="1" si="108"/>
        <v>0.17293245612544489</v>
      </c>
      <c r="G187" s="129">
        <f t="shared" ca="1" si="108"/>
        <v>0.17006367767588393</v>
      </c>
      <c r="H187" s="129">
        <f t="shared" ca="1" si="108"/>
        <v>0.1661825628972996</v>
      </c>
      <c r="I187" s="129">
        <f t="shared" ca="1" si="108"/>
        <v>0.1704</v>
      </c>
      <c r="J187" s="129">
        <f t="shared" ca="1" si="108"/>
        <v>0.17120000000000002</v>
      </c>
      <c r="K187" s="129">
        <f t="shared" ca="1" si="108"/>
        <v>0.17200000000000001</v>
      </c>
      <c r="L187" s="129">
        <f t="shared" ca="1" si="108"/>
        <v>0.17280000000000001</v>
      </c>
      <c r="M187" s="129">
        <f t="shared" ca="1" si="108"/>
        <v>0.1736</v>
      </c>
    </row>
    <row r="190" spans="2:13" x14ac:dyDescent="0.35">
      <c r="B190" s="108" t="s">
        <v>329</v>
      </c>
    </row>
    <row r="191" spans="2:13" x14ac:dyDescent="0.35">
      <c r="B191" s="79" t="s">
        <v>264</v>
      </c>
      <c r="C191" s="35">
        <f t="shared" ref="C191:M191" ca="1" si="109">C135</f>
        <v>-407970000</v>
      </c>
      <c r="D191" s="35">
        <f t="shared" ca="1" si="109"/>
        <v>40230818.105333343</v>
      </c>
      <c r="E191" s="35">
        <f t="shared" ca="1" si="109"/>
        <v>40836512.089999996</v>
      </c>
      <c r="F191" s="35">
        <f t="shared" ca="1" si="109"/>
        <v>90881885.393229961</v>
      </c>
      <c r="G191" s="35">
        <f t="shared" ca="1" si="109"/>
        <v>110873542.16280665</v>
      </c>
      <c r="H191" s="35">
        <f t="shared" ca="1" si="109"/>
        <v>123291443.58805081</v>
      </c>
      <c r="I191" s="35">
        <f t="shared" ca="1" si="109"/>
        <v>83708689.967256367</v>
      </c>
      <c r="J191" s="35">
        <f t="shared" ca="1" si="109"/>
        <v>90650779.759501413</v>
      </c>
      <c r="K191" s="35">
        <f t="shared" ca="1" si="109"/>
        <v>94527237.212983564</v>
      </c>
      <c r="L191" s="35">
        <f t="shared" ca="1" si="109"/>
        <v>97878215.314712197</v>
      </c>
      <c r="M191" s="35">
        <f t="shared" ca="1" si="109"/>
        <v>101159831.13122129</v>
      </c>
    </row>
    <row r="192" spans="2:13" x14ac:dyDescent="0.35">
      <c r="B192" s="79" t="s">
        <v>265</v>
      </c>
      <c r="M192" s="35">
        <f ca="1">M191*(1+INPUTS!C51)/(M187-INPUTS!C51)</f>
        <v>859367497.47396731</v>
      </c>
    </row>
    <row r="193" spans="1:13" x14ac:dyDescent="0.35">
      <c r="B193" s="79" t="s">
        <v>266</v>
      </c>
      <c r="C193" s="35">
        <f ca="1">C191+C192</f>
        <v>-407970000</v>
      </c>
      <c r="D193" s="35">
        <f t="shared" ref="D193:M193" ca="1" si="110">D191+D192</f>
        <v>40230818.105333343</v>
      </c>
      <c r="E193" s="35">
        <f t="shared" ca="1" si="110"/>
        <v>40836512.089999996</v>
      </c>
      <c r="F193" s="35">
        <f t="shared" ca="1" si="110"/>
        <v>90881885.393229961</v>
      </c>
      <c r="G193" s="35">
        <f t="shared" ca="1" si="110"/>
        <v>110873542.16280665</v>
      </c>
      <c r="H193" s="35">
        <f t="shared" ca="1" si="110"/>
        <v>123291443.58805081</v>
      </c>
      <c r="I193" s="35">
        <f t="shared" ca="1" si="110"/>
        <v>83708689.967256367</v>
      </c>
      <c r="J193" s="35">
        <f t="shared" ca="1" si="110"/>
        <v>90650779.759501413</v>
      </c>
      <c r="K193" s="35">
        <f t="shared" ca="1" si="110"/>
        <v>94527237.212983564</v>
      </c>
      <c r="L193" s="35">
        <f t="shared" ca="1" si="110"/>
        <v>97878215.314712197</v>
      </c>
      <c r="M193" s="35">
        <f t="shared" ca="1" si="110"/>
        <v>960527328.60518861</v>
      </c>
    </row>
    <row r="194" spans="1:13" x14ac:dyDescent="0.35">
      <c r="B194" s="79" t="s">
        <v>267</v>
      </c>
      <c r="C194" s="126">
        <v>0</v>
      </c>
      <c r="D194" s="126">
        <f ca="1">(1+C194)*(1+D187)-1</f>
        <v>0.17626742735005019</v>
      </c>
      <c r="E194" s="126">
        <f t="shared" ref="E194:M194" ca="1" si="111">(1+D194)*(1+E187)-1</f>
        <v>0.38335940736010987</v>
      </c>
      <c r="F194" s="126">
        <f t="shared" ca="1" si="111"/>
        <v>0.62258714737913334</v>
      </c>
      <c r="G194" s="126">
        <f t="shared" ca="1" si="111"/>
        <v>0.89853028501205023</v>
      </c>
      <c r="H194" s="126">
        <f t="shared" ca="1" si="111"/>
        <v>1.2140329135134933</v>
      </c>
      <c r="I194" s="126">
        <f t="shared" ca="1" si="111"/>
        <v>1.5913041219761923</v>
      </c>
      <c r="J194" s="126">
        <f t="shared" ca="1" si="111"/>
        <v>2.0349353876585163</v>
      </c>
      <c r="K194" s="126">
        <f t="shared" ca="1" si="111"/>
        <v>2.5569442743357809</v>
      </c>
      <c r="L194" s="126">
        <f t="shared" ca="1" si="111"/>
        <v>3.1715842449410037</v>
      </c>
      <c r="M194" s="126">
        <f t="shared" ca="1" si="111"/>
        <v>3.8957712698627622</v>
      </c>
    </row>
    <row r="195" spans="1:13" x14ac:dyDescent="0.35">
      <c r="B195" s="79" t="s">
        <v>268</v>
      </c>
      <c r="C195" s="35">
        <f ca="1">C193/(1+C194)</f>
        <v>-407970000</v>
      </c>
      <c r="D195" s="35">
        <f t="shared" ref="D195:M195" ca="1" si="112">D193/(1+D194)</f>
        <v>34202101.639392667</v>
      </c>
      <c r="E195" s="35">
        <f t="shared" ca="1" si="112"/>
        <v>29519813.775603738</v>
      </c>
      <c r="F195" s="35">
        <f t="shared" ca="1" si="112"/>
        <v>56010480.262971364</v>
      </c>
      <c r="G195" s="35">
        <f t="shared" ca="1" si="112"/>
        <v>58399670.017432943</v>
      </c>
      <c r="H195" s="35">
        <f t="shared" ca="1" si="112"/>
        <v>55686364.387599438</v>
      </c>
      <c r="I195" s="35">
        <f t="shared" ca="1" si="112"/>
        <v>32303691.896811426</v>
      </c>
      <c r="J195" s="35">
        <f t="shared" ca="1" si="112"/>
        <v>29869097.091203451</v>
      </c>
      <c r="K195" s="35">
        <f t="shared" ca="1" si="112"/>
        <v>26575405.719741128</v>
      </c>
      <c r="L195" s="35">
        <f t="shared" ca="1" si="112"/>
        <v>23463080.10761423</v>
      </c>
      <c r="M195" s="35">
        <f t="shared" ca="1" si="112"/>
        <v>196195303.18296793</v>
      </c>
    </row>
    <row r="197" spans="1:13" x14ac:dyDescent="0.35">
      <c r="B197" s="110" t="s">
        <v>269</v>
      </c>
      <c r="C197" s="35">
        <f ca="1">SUM(C195:M195)</f>
        <v>134255008.08133829</v>
      </c>
    </row>
    <row r="198" spans="1:13" x14ac:dyDescent="0.35">
      <c r="B198" s="110" t="s">
        <v>270</v>
      </c>
      <c r="C198" s="126">
        <f ca="1">IRR(C193:M193)</f>
        <v>0.22634688676671888</v>
      </c>
    </row>
    <row r="200" spans="1:13" x14ac:dyDescent="0.35">
      <c r="B200" s="108" t="s">
        <v>330</v>
      </c>
    </row>
    <row r="201" spans="1:13" x14ac:dyDescent="0.35">
      <c r="B201" s="79" t="s">
        <v>331</v>
      </c>
      <c r="C201" s="185"/>
      <c r="D201" s="35">
        <f ca="1">C205</f>
        <v>-407970000</v>
      </c>
      <c r="E201" s="35">
        <f t="shared" ref="E201" ca="1" si="113">D205</f>
        <v>-439651004.23066664</v>
      </c>
      <c r="F201" s="35">
        <f t="shared" ref="F201" ca="1" si="114">E205</f>
        <v>-476218826.27636349</v>
      </c>
      <c r="G201" s="35">
        <f t="shared" ref="G201" ca="1" si="115">F205</f>
        <v>-467690632.16428161</v>
      </c>
      <c r="H201" s="35">
        <f t="shared" ref="H201" ca="1" si="116">G205</f>
        <v>-436354278.92189175</v>
      </c>
      <c r="I201" s="35">
        <f t="shared" ref="I201" ca="1" si="117">H205</f>
        <v>-385577307.73628402</v>
      </c>
      <c r="J201" s="35">
        <f t="shared" ref="J201" ca="1" si="118">I205</f>
        <v>-367570991.00729042</v>
      </c>
      <c r="K201" s="35">
        <f t="shared" ref="K201" ca="1" si="119">J205</f>
        <v>-339848364.90823716</v>
      </c>
      <c r="L201" s="35">
        <f t="shared" ref="L201" ca="1" si="120">K205</f>
        <v>-303775046.45947039</v>
      </c>
      <c r="M201" s="35">
        <f t="shared" ref="M201" ca="1" si="121">L205</f>
        <v>-258389159.17295468</v>
      </c>
    </row>
    <row r="202" spans="1:13" x14ac:dyDescent="0.35">
      <c r="B202" s="79" t="s">
        <v>332</v>
      </c>
      <c r="C202" s="185"/>
      <c r="D202" s="35">
        <f ca="1">D193</f>
        <v>40230818.105333343</v>
      </c>
      <c r="E202" s="35">
        <f t="shared" ref="E202:M202" ca="1" si="122">E193</f>
        <v>40836512.089999996</v>
      </c>
      <c r="F202" s="35">
        <f t="shared" ca="1" si="122"/>
        <v>90881885.393229961</v>
      </c>
      <c r="G202" s="35">
        <f t="shared" ca="1" si="122"/>
        <v>110873542.16280665</v>
      </c>
      <c r="H202" s="35">
        <f t="shared" ca="1" si="122"/>
        <v>123291443.58805081</v>
      </c>
      <c r="I202" s="35">
        <f t="shared" ca="1" si="122"/>
        <v>83708689.967256367</v>
      </c>
      <c r="J202" s="35">
        <f t="shared" ca="1" si="122"/>
        <v>90650779.759501413</v>
      </c>
      <c r="K202" s="35">
        <f t="shared" ca="1" si="122"/>
        <v>94527237.212983564</v>
      </c>
      <c r="L202" s="35">
        <f t="shared" ca="1" si="122"/>
        <v>97878215.314712197</v>
      </c>
      <c r="M202" s="35">
        <f t="shared" ca="1" si="122"/>
        <v>960527328.60518861</v>
      </c>
    </row>
    <row r="203" spans="1:13" x14ac:dyDescent="0.35">
      <c r="B203" s="79" t="s">
        <v>333</v>
      </c>
      <c r="C203" s="185"/>
      <c r="D203" s="35">
        <f ca="1">-D201*D187</f>
        <v>71911822.335999995</v>
      </c>
      <c r="E203" s="35">
        <f t="shared" ref="E203:M203" ca="1" si="123">-E201*E187</f>
        <v>77404334.135696858</v>
      </c>
      <c r="F203" s="35">
        <f t="shared" ca="1" si="123"/>
        <v>82353691.281148091</v>
      </c>
      <c r="G203" s="35">
        <f t="shared" ca="1" si="123"/>
        <v>79537188.920416787</v>
      </c>
      <c r="H203" s="35">
        <f t="shared" ca="1" si="123"/>
        <v>72514472.402443096</v>
      </c>
      <c r="I203" s="35">
        <f t="shared" ca="1" si="123"/>
        <v>65702373.238262795</v>
      </c>
      <c r="J203" s="35">
        <f t="shared" ca="1" si="123"/>
        <v>62928153.660448126</v>
      </c>
      <c r="K203" s="35">
        <f t="shared" ca="1" si="123"/>
        <v>58453918.764216796</v>
      </c>
      <c r="L203" s="35">
        <f t="shared" ca="1" si="123"/>
        <v>52492328.028196484</v>
      </c>
      <c r="M203" s="35">
        <f t="shared" ca="1" si="123"/>
        <v>44856358.032424934</v>
      </c>
    </row>
    <row r="204" spans="1:13" x14ac:dyDescent="0.35">
      <c r="B204" s="79" t="s">
        <v>307</v>
      </c>
      <c r="C204" s="185"/>
      <c r="D204" s="35">
        <f ca="1">D202-D203</f>
        <v>-31681004.230666652</v>
      </c>
      <c r="E204" s="35">
        <f t="shared" ref="E204:M204" ca="1" si="124">E202-E203</f>
        <v>-36567822.045696862</v>
      </c>
      <c r="F204" s="35">
        <f t="shared" ca="1" si="124"/>
        <v>8528194.1120818704</v>
      </c>
      <c r="G204" s="35">
        <f t="shared" ca="1" si="124"/>
        <v>31336353.242389858</v>
      </c>
      <c r="H204" s="35">
        <f t="shared" ca="1" si="124"/>
        <v>50776971.185607716</v>
      </c>
      <c r="I204" s="35">
        <f t="shared" ca="1" si="124"/>
        <v>18006316.728993572</v>
      </c>
      <c r="J204" s="35">
        <f t="shared" ca="1" si="124"/>
        <v>27722626.099053286</v>
      </c>
      <c r="K204" s="35">
        <f t="shared" ca="1" si="124"/>
        <v>36073318.448766768</v>
      </c>
      <c r="L204" s="35">
        <f t="shared" ca="1" si="124"/>
        <v>45385887.286515713</v>
      </c>
      <c r="M204" s="35">
        <f t="shared" ca="1" si="124"/>
        <v>915670970.57276368</v>
      </c>
    </row>
    <row r="205" spans="1:13" x14ac:dyDescent="0.35">
      <c r="B205" s="79" t="s">
        <v>334</v>
      </c>
      <c r="C205" s="35">
        <f ca="1">C193</f>
        <v>-407970000</v>
      </c>
      <c r="D205" s="35">
        <f ca="1">D201+D204</f>
        <v>-439651004.23066664</v>
      </c>
      <c r="E205" s="35">
        <f t="shared" ref="E205:M205" ca="1" si="125">E201+E204</f>
        <v>-476218826.27636349</v>
      </c>
      <c r="F205" s="35">
        <f t="shared" ca="1" si="125"/>
        <v>-467690632.16428161</v>
      </c>
      <c r="G205" s="35">
        <f t="shared" ca="1" si="125"/>
        <v>-436354278.92189175</v>
      </c>
      <c r="H205" s="35">
        <f t="shared" ca="1" si="125"/>
        <v>-385577307.73628402</v>
      </c>
      <c r="I205" s="35">
        <f t="shared" ca="1" si="125"/>
        <v>-367570991.00729042</v>
      </c>
      <c r="J205" s="35">
        <f t="shared" ca="1" si="125"/>
        <v>-339848364.90823716</v>
      </c>
      <c r="K205" s="35">
        <f t="shared" ca="1" si="125"/>
        <v>-303775046.45947039</v>
      </c>
      <c r="L205" s="35">
        <f t="shared" ca="1" si="125"/>
        <v>-258389159.17295468</v>
      </c>
      <c r="M205" s="35">
        <f t="shared" ca="1" si="125"/>
        <v>657281811.399809</v>
      </c>
    </row>
    <row r="206" spans="1:13" x14ac:dyDescent="0.35">
      <c r="C206" s="35"/>
      <c r="D206" s="35"/>
      <c r="E206" s="35"/>
      <c r="F206" s="35"/>
      <c r="G206" s="35"/>
      <c r="H206" s="35"/>
      <c r="I206" s="35"/>
      <c r="J206" s="35"/>
      <c r="K206" s="35"/>
      <c r="L206" s="35"/>
      <c r="M206" s="35"/>
    </row>
    <row r="207" spans="1:13" x14ac:dyDescent="0.35">
      <c r="B207" s="79" t="s">
        <v>335</v>
      </c>
      <c r="C207" s="35">
        <f ca="1">M205/(1+M194)</f>
        <v>134255008.08133829</v>
      </c>
      <c r="D207" s="35"/>
      <c r="E207" s="35"/>
      <c r="F207" s="35"/>
      <c r="G207" s="35"/>
      <c r="H207" s="35"/>
      <c r="I207" s="35"/>
      <c r="J207" s="35"/>
      <c r="K207" s="35"/>
      <c r="L207" s="35"/>
      <c r="M207" s="35"/>
    </row>
    <row r="208" spans="1:13" s="182" customFormat="1" ht="6.65" customHeight="1" x14ac:dyDescent="0.35">
      <c r="A208" s="179"/>
      <c r="F208" s="179"/>
      <c r="G208" s="179"/>
      <c r="I208" s="180"/>
      <c r="J208" s="181"/>
      <c r="K208" s="181"/>
    </row>
    <row r="209" spans="1:13" s="182" customFormat="1" ht="18" customHeight="1" x14ac:dyDescent="0.35">
      <c r="A209" s="179"/>
      <c r="F209" s="179"/>
      <c r="G209" s="179"/>
      <c r="I209" s="180"/>
      <c r="J209" s="181"/>
      <c r="K209" s="181"/>
    </row>
    <row r="210" spans="1:13" s="182" customFormat="1" ht="18" customHeight="1" x14ac:dyDescent="0.35">
      <c r="A210" s="179"/>
      <c r="F210" s="179"/>
      <c r="G210" s="179"/>
      <c r="I210" s="180"/>
      <c r="J210" s="181"/>
      <c r="K210" s="181"/>
    </row>
    <row r="211" spans="1:13" s="182" customFormat="1" ht="18" customHeight="1" x14ac:dyDescent="0.35">
      <c r="A211" s="179"/>
      <c r="F211" s="179"/>
      <c r="G211" s="179"/>
      <c r="I211" s="180"/>
      <c r="J211" s="181"/>
      <c r="K211" s="181"/>
    </row>
    <row r="212" spans="1:13" s="182" customFormat="1" ht="18" customHeight="1" x14ac:dyDescent="0.35">
      <c r="A212" s="179"/>
      <c r="F212" s="179"/>
      <c r="G212" s="179"/>
      <c r="I212" s="180"/>
      <c r="J212" s="181"/>
      <c r="K212" s="181"/>
    </row>
    <row r="213" spans="1:13" s="182" customFormat="1" ht="18" customHeight="1" x14ac:dyDescent="0.35">
      <c r="A213" s="179"/>
      <c r="F213" s="179"/>
      <c r="G213" s="179"/>
      <c r="I213" s="180"/>
      <c r="J213" s="181"/>
      <c r="K213" s="181"/>
    </row>
    <row r="214" spans="1:13" s="182" customFormat="1" ht="18" customHeight="1" x14ac:dyDescent="0.35">
      <c r="A214" s="179"/>
      <c r="F214" s="179"/>
      <c r="G214" s="179"/>
      <c r="I214" s="180"/>
      <c r="J214" s="181"/>
      <c r="K214" s="181"/>
    </row>
    <row r="215" spans="1:13" s="182" customFormat="1" ht="18" customHeight="1" x14ac:dyDescent="0.35">
      <c r="A215" s="179"/>
      <c r="F215" s="179"/>
      <c r="G215" s="179"/>
      <c r="I215" s="180"/>
      <c r="J215" s="181"/>
      <c r="K215" s="181"/>
    </row>
    <row r="216" spans="1:13" s="182" customFormat="1" ht="18" customHeight="1" x14ac:dyDescent="0.35">
      <c r="A216" s="179"/>
      <c r="F216" s="179"/>
      <c r="G216" s="179"/>
      <c r="I216" s="180"/>
      <c r="J216" s="181"/>
      <c r="K216" s="181"/>
    </row>
    <row r="217" spans="1:13" s="182" customFormat="1" ht="18" customHeight="1" x14ac:dyDescent="0.35">
      <c r="A217" s="179"/>
      <c r="F217" s="179"/>
      <c r="G217" s="179"/>
      <c r="I217" s="180"/>
      <c r="J217" s="181"/>
      <c r="K217" s="181"/>
    </row>
    <row r="218" spans="1:13" s="182" customFormat="1" ht="18" customHeight="1" x14ac:dyDescent="0.35">
      <c r="A218" s="179"/>
      <c r="F218" s="179"/>
      <c r="G218" s="179"/>
      <c r="I218" s="180"/>
      <c r="J218" s="181"/>
      <c r="K218" s="181"/>
    </row>
    <row r="219" spans="1:13" s="183" customFormat="1" ht="15.5" x14ac:dyDescent="0.35">
      <c r="B219" s="184"/>
      <c r="C219" s="184"/>
      <c r="D219" s="184"/>
      <c r="E219" s="184"/>
      <c r="F219" s="184"/>
      <c r="G219" s="184"/>
      <c r="H219" s="184"/>
      <c r="I219" s="184"/>
    </row>
    <row r="222" spans="1:13" s="125" customFormat="1" ht="20.149999999999999" customHeight="1" x14ac:dyDescent="0.45">
      <c r="B222" s="170" t="s">
        <v>308</v>
      </c>
      <c r="C222" s="168"/>
      <c r="D222" s="168"/>
      <c r="E222" s="168"/>
      <c r="F222" s="172"/>
      <c r="G222" s="172"/>
      <c r="H222" s="172"/>
      <c r="I222" s="172"/>
      <c r="J222" s="172"/>
      <c r="K222" s="172"/>
      <c r="L222" s="172"/>
      <c r="M222" s="172"/>
    </row>
    <row r="223" spans="1:13" s="125" customFormat="1" ht="20.149999999999999" customHeight="1" x14ac:dyDescent="0.35">
      <c r="B223" s="169"/>
      <c r="C223" s="168"/>
      <c r="D223" s="168"/>
      <c r="E223" s="168"/>
      <c r="F223" s="172"/>
      <c r="G223" s="172"/>
      <c r="H223" s="172"/>
      <c r="I223" s="172"/>
      <c r="J223" s="172"/>
      <c r="K223" s="172"/>
      <c r="L223" s="172"/>
      <c r="M223" s="172"/>
    </row>
    <row r="224" spans="1:13" s="125" customFormat="1" ht="20.149999999999999" customHeight="1" x14ac:dyDescent="0.35">
      <c r="B224" s="169"/>
      <c r="C224" s="168"/>
      <c r="D224" s="168"/>
      <c r="E224" s="168"/>
      <c r="F224" s="172"/>
      <c r="G224" s="172"/>
      <c r="H224" s="172"/>
      <c r="I224" s="172"/>
      <c r="J224" s="172"/>
      <c r="K224" s="172"/>
      <c r="L224" s="172"/>
      <c r="M224" s="172"/>
    </row>
    <row r="227" spans="1:21" x14ac:dyDescent="0.35">
      <c r="B227" s="108" t="s">
        <v>295</v>
      </c>
    </row>
    <row r="228" spans="1:21" x14ac:dyDescent="0.35">
      <c r="D228" t="s">
        <v>301</v>
      </c>
    </row>
    <row r="229" spans="1:21" ht="20" x14ac:dyDescent="0.5">
      <c r="B229" s="111" t="s">
        <v>336</v>
      </c>
      <c r="C229" s="77"/>
      <c r="D229" s="77">
        <f t="shared" ref="D229:M229" ca="1" si="126">D129</f>
        <v>19460918.972000003</v>
      </c>
      <c r="E229" s="77">
        <f t="shared" ca="1" si="126"/>
        <v>90018690.562078685</v>
      </c>
      <c r="F229" s="77">
        <f t="shared" ca="1" si="126"/>
        <v>93073927.820778668</v>
      </c>
      <c r="G229" s="77">
        <f t="shared" ca="1" si="126"/>
        <v>96202586.155402035</v>
      </c>
      <c r="H229" s="77">
        <f t="shared" ca="1" si="126"/>
        <v>99425104.240064129</v>
      </c>
      <c r="I229" s="77">
        <f t="shared" ca="1" si="126"/>
        <v>102651446.89729187</v>
      </c>
      <c r="J229" s="77">
        <f t="shared" ca="1" si="126"/>
        <v>106107057.30706012</v>
      </c>
      <c r="K229" s="77">
        <f t="shared" ca="1" si="126"/>
        <v>109684399.82238252</v>
      </c>
      <c r="L229" s="77">
        <f t="shared" ca="1" si="126"/>
        <v>113311372.31705402</v>
      </c>
      <c r="M229" s="77">
        <f t="shared" ca="1" si="126"/>
        <v>117047153.98656563</v>
      </c>
    </row>
    <row r="230" spans="1:21" s="186" customFormat="1" x14ac:dyDescent="0.35">
      <c r="B230" s="123"/>
    </row>
    <row r="231" spans="1:21" s="190" customFormat="1" ht="33.65" customHeight="1" x14ac:dyDescent="0.35">
      <c r="A231" s="187"/>
      <c r="B231" s="301" t="s">
        <v>337</v>
      </c>
      <c r="C231" s="301"/>
      <c r="D231" s="188">
        <f t="shared" ref="D231:M231" ca="1" si="127">D173</f>
        <v>145579000</v>
      </c>
      <c r="E231" s="188">
        <f t="shared" ca="1" si="127"/>
        <v>128459384</v>
      </c>
      <c r="F231" s="188">
        <f t="shared" ca="1" si="127"/>
        <v>106747571</v>
      </c>
      <c r="G231" s="188">
        <f t="shared" ca="1" si="127"/>
        <v>79211742</v>
      </c>
      <c r="H231" s="188">
        <f t="shared" ca="1" si="127"/>
        <v>44289653</v>
      </c>
      <c r="I231" s="188">
        <f t="shared" ca="1" si="127"/>
        <v>0</v>
      </c>
      <c r="J231" s="188">
        <f t="shared" ca="1" si="127"/>
        <v>0</v>
      </c>
      <c r="K231" s="188">
        <f t="shared" ca="1" si="127"/>
        <v>0</v>
      </c>
      <c r="L231" s="188">
        <f t="shared" ca="1" si="127"/>
        <v>0</v>
      </c>
      <c r="M231" s="188">
        <f t="shared" ca="1" si="127"/>
        <v>0</v>
      </c>
    </row>
    <row r="232" spans="1:21" s="190" customFormat="1" ht="29.25" customHeight="1" x14ac:dyDescent="0.35">
      <c r="A232" s="187"/>
      <c r="B232" s="301" t="s">
        <v>338</v>
      </c>
      <c r="C232" s="301"/>
      <c r="D232" s="188">
        <f t="shared" ref="D232:M232" ca="1" si="128">D174</f>
        <v>262391000</v>
      </c>
      <c r="E232" s="188">
        <f t="shared" ca="1" si="128"/>
        <v>258740716.86666667</v>
      </c>
      <c r="F232" s="188">
        <f t="shared" ca="1" si="128"/>
        <v>329634708.33874536</v>
      </c>
      <c r="G232" s="188">
        <f t="shared" ca="1" si="128"/>
        <v>359362579.766294</v>
      </c>
      <c r="H232" s="188">
        <f t="shared" ca="1" si="128"/>
        <v>379613712.75888944</v>
      </c>
      <c r="I232" s="188">
        <f t="shared" ca="1" si="128"/>
        <v>400037026.41090274</v>
      </c>
      <c r="J232" s="188">
        <f t="shared" ca="1" si="128"/>
        <v>418979783.34093827</v>
      </c>
      <c r="K232" s="188">
        <f t="shared" ca="1" si="128"/>
        <v>434436060.88849699</v>
      </c>
      <c r="L232" s="188">
        <f t="shared" ca="1" si="128"/>
        <v>449593223.49789596</v>
      </c>
      <c r="M232" s="188">
        <f t="shared" ca="1" si="128"/>
        <v>465026380.50023782</v>
      </c>
      <c r="U232" s="191"/>
    </row>
    <row r="233" spans="1:21" s="191" customFormat="1" x14ac:dyDescent="0.35">
      <c r="A233" s="187"/>
      <c r="B233" s="192" t="s">
        <v>339</v>
      </c>
      <c r="D233" s="193">
        <f ca="1">SUM(D231:D232)</f>
        <v>407970000</v>
      </c>
      <c r="E233" s="193">
        <f ca="1">SUM(E231:E232)</f>
        <v>387200100.86666667</v>
      </c>
      <c r="F233" s="193">
        <f t="shared" ref="F233:M233" ca="1" si="129">SUM(F231:F232)</f>
        <v>436382279.33874536</v>
      </c>
      <c r="G233" s="193">
        <f t="shared" ca="1" si="129"/>
        <v>438574321.766294</v>
      </c>
      <c r="H233" s="193">
        <f t="shared" ca="1" si="129"/>
        <v>423903365.75888944</v>
      </c>
      <c r="I233" s="193">
        <f t="shared" ca="1" si="129"/>
        <v>400037026.41090274</v>
      </c>
      <c r="J233" s="193">
        <f t="shared" ca="1" si="129"/>
        <v>418979783.34093827</v>
      </c>
      <c r="K233" s="193">
        <f t="shared" ca="1" si="129"/>
        <v>434436060.88849699</v>
      </c>
      <c r="L233" s="193">
        <f t="shared" ca="1" si="129"/>
        <v>449593223.49789596</v>
      </c>
      <c r="M233" s="193">
        <f t="shared" ca="1" si="129"/>
        <v>465026380.50023782</v>
      </c>
      <c r="N233" s="190"/>
      <c r="O233" s="190"/>
      <c r="P233" s="190"/>
      <c r="Q233" s="190"/>
      <c r="R233" s="190"/>
      <c r="S233" s="190"/>
      <c r="T233" s="190"/>
      <c r="U233" s="190"/>
    </row>
    <row r="234" spans="1:21" s="190" customFormat="1" ht="11.25" customHeight="1" x14ac:dyDescent="0.35">
      <c r="A234" s="187"/>
      <c r="B234" s="189"/>
      <c r="C234" s="189"/>
      <c r="D234" s="194"/>
      <c r="E234" s="194"/>
      <c r="F234" s="194"/>
      <c r="G234" s="194"/>
      <c r="H234" s="194"/>
      <c r="I234" s="189"/>
      <c r="J234" s="189"/>
      <c r="K234" s="189"/>
    </row>
    <row r="235" spans="1:21" s="190" customFormat="1" x14ac:dyDescent="0.35">
      <c r="A235" s="187"/>
      <c r="B235" s="195" t="s">
        <v>296</v>
      </c>
      <c r="C235" s="189"/>
      <c r="D235" s="196">
        <f ca="1">D229/D233</f>
        <v>4.7701838301835928E-2</v>
      </c>
      <c r="E235" s="196">
        <f t="shared" ref="E235:M235" ca="1" si="130">E229/E233</f>
        <v>0.23248622704537167</v>
      </c>
      <c r="F235" s="196">
        <f t="shared" ca="1" si="130"/>
        <v>0.21328530563114195</v>
      </c>
      <c r="G235" s="196">
        <f t="shared" ca="1" si="130"/>
        <v>0.21935298393202815</v>
      </c>
      <c r="H235" s="196">
        <f t="shared" ca="1" si="130"/>
        <v>0.2345466261209537</v>
      </c>
      <c r="I235" s="196">
        <f t="shared" ca="1" si="130"/>
        <v>0.25660486435036195</v>
      </c>
      <c r="J235" s="196">
        <f t="shared" ca="1" si="130"/>
        <v>0.25325101956224261</v>
      </c>
      <c r="K235" s="196">
        <f t="shared" ca="1" si="130"/>
        <v>0.25247535758900613</v>
      </c>
      <c r="L235" s="196">
        <f t="shared" ca="1" si="130"/>
        <v>0.25203087234161636</v>
      </c>
      <c r="M235" s="196">
        <f t="shared" ca="1" si="130"/>
        <v>0.25170003013733494</v>
      </c>
    </row>
    <row r="236" spans="1:21" s="190" customFormat="1" ht="11.25" customHeight="1" x14ac:dyDescent="0.35">
      <c r="A236" s="187"/>
      <c r="B236" s="189"/>
      <c r="C236" s="189"/>
      <c r="D236" s="194"/>
      <c r="E236" s="194"/>
      <c r="F236" s="197"/>
      <c r="G236" s="197"/>
      <c r="H236" s="197"/>
      <c r="I236" s="197"/>
      <c r="J236" s="197"/>
    </row>
    <row r="237" spans="1:21" s="190" customFormat="1" x14ac:dyDescent="0.35">
      <c r="A237" s="187"/>
      <c r="B237" s="195" t="s">
        <v>297</v>
      </c>
      <c r="C237" s="189"/>
      <c r="D237" s="196">
        <f t="shared" ref="D237:M237" ca="1" si="131">D187</f>
        <v>0.17626742735005024</v>
      </c>
      <c r="E237" s="196">
        <f t="shared" ca="1" si="131"/>
        <v>0.17605858599400814</v>
      </c>
      <c r="F237" s="196">
        <f t="shared" ca="1" si="131"/>
        <v>0.17293245612544489</v>
      </c>
      <c r="G237" s="196">
        <f t="shared" ca="1" si="131"/>
        <v>0.17006367767588393</v>
      </c>
      <c r="H237" s="196">
        <f t="shared" ca="1" si="131"/>
        <v>0.1661825628972996</v>
      </c>
      <c r="I237" s="196">
        <f t="shared" ca="1" si="131"/>
        <v>0.1704</v>
      </c>
      <c r="J237" s="196">
        <f t="shared" ca="1" si="131"/>
        <v>0.17120000000000002</v>
      </c>
      <c r="K237" s="196">
        <f t="shared" ca="1" si="131"/>
        <v>0.17200000000000001</v>
      </c>
      <c r="L237" s="196">
        <f t="shared" ca="1" si="131"/>
        <v>0.17280000000000001</v>
      </c>
      <c r="M237" s="196">
        <f t="shared" ca="1" si="131"/>
        <v>0.1736</v>
      </c>
    </row>
    <row r="238" spans="1:21" s="190" customFormat="1" ht="20.25" customHeight="1" x14ac:dyDescent="0.35">
      <c r="A238" s="187"/>
      <c r="B238" s="192" t="s">
        <v>298</v>
      </c>
      <c r="C238" s="191"/>
      <c r="D238" s="199">
        <f t="shared" ref="D238:M238" ca="1" si="132">D233*D237</f>
        <v>71911822.335999995</v>
      </c>
      <c r="E238" s="199">
        <f t="shared" ca="1" si="132"/>
        <v>68169902.255322665</v>
      </c>
      <c r="F238" s="199">
        <f t="shared" ca="1" si="132"/>
        <v>75464659.375669211</v>
      </c>
      <c r="G238" s="199">
        <f t="shared" ca="1" si="132"/>
        <v>74585562.093782425</v>
      </c>
      <c r="H238" s="199">
        <f t="shared" ca="1" si="132"/>
        <v>70445347.742603645</v>
      </c>
      <c r="I238" s="199">
        <f t="shared" ca="1" si="132"/>
        <v>68166309.300417826</v>
      </c>
      <c r="J238" s="199">
        <f t="shared" ca="1" si="132"/>
        <v>71729338.90796864</v>
      </c>
      <c r="K238" s="199">
        <f t="shared" ca="1" si="132"/>
        <v>74723002.472821489</v>
      </c>
      <c r="L238" s="199">
        <f t="shared" ca="1" si="132"/>
        <v>77689709.020436421</v>
      </c>
      <c r="M238" s="199">
        <f t="shared" ca="1" si="132"/>
        <v>80728579.654841289</v>
      </c>
    </row>
    <row r="239" spans="1:21" s="190" customFormat="1" ht="11.25" customHeight="1" x14ac:dyDescent="0.35">
      <c r="A239" s="187"/>
      <c r="B239" s="189"/>
      <c r="C239" s="189"/>
      <c r="D239" s="194"/>
      <c r="E239" s="194"/>
      <c r="F239" s="197"/>
      <c r="G239" s="197"/>
      <c r="H239" s="197"/>
      <c r="I239" s="197"/>
      <c r="J239" s="197"/>
      <c r="K239" s="198"/>
    </row>
    <row r="240" spans="1:21" s="190" customFormat="1" ht="20.25" customHeight="1" x14ac:dyDescent="0.45">
      <c r="A240" s="187"/>
      <c r="B240" s="192" t="s">
        <v>340</v>
      </c>
      <c r="C240" s="191"/>
      <c r="D240" s="193">
        <f ca="1">D229-D238</f>
        <v>-52450903.363999993</v>
      </c>
      <c r="E240" s="193">
        <f ca="1">E229-E238</f>
        <v>21848788.30675602</v>
      </c>
      <c r="F240" s="193">
        <f t="shared" ref="F240:M240" ca="1" si="133">F229-F238</f>
        <v>17609268.445109457</v>
      </c>
      <c r="G240" s="193">
        <f t="shared" ca="1" si="133"/>
        <v>21617024.06161961</v>
      </c>
      <c r="H240" s="193">
        <f t="shared" ca="1" si="133"/>
        <v>28979756.497460485</v>
      </c>
      <c r="I240" s="193">
        <f t="shared" ca="1" si="133"/>
        <v>34485137.596874043</v>
      </c>
      <c r="J240" s="193">
        <f t="shared" ca="1" si="133"/>
        <v>34377718.399091482</v>
      </c>
      <c r="K240" s="193">
        <f t="shared" ca="1" si="133"/>
        <v>34961397.349561036</v>
      </c>
      <c r="L240" s="193">
        <f t="shared" ca="1" si="133"/>
        <v>35621663.296617597</v>
      </c>
      <c r="M240" s="193">
        <f t="shared" ca="1" si="133"/>
        <v>36318574.331724346</v>
      </c>
    </row>
    <row r="241" spans="1:20" s="190" customFormat="1" ht="19.899999999999999" customHeight="1" x14ac:dyDescent="0.35">
      <c r="A241" s="187"/>
      <c r="B241" s="192" t="s">
        <v>299</v>
      </c>
      <c r="C241" s="191"/>
      <c r="D241" s="193">
        <f ca="1">(D235-D237)*D233</f>
        <v>-52450903.363999985</v>
      </c>
      <c r="E241" s="193">
        <f ca="1">(E235-E237)*E233</f>
        <v>21848788.30675602</v>
      </c>
      <c r="F241" s="193">
        <f t="shared" ref="F241:M241" ca="1" si="134">(F235-F237)*F233</f>
        <v>17609268.445109449</v>
      </c>
      <c r="G241" s="193">
        <f t="shared" ca="1" si="134"/>
        <v>21617024.061619602</v>
      </c>
      <c r="H241" s="193">
        <f t="shared" ca="1" si="134"/>
        <v>28979756.497460485</v>
      </c>
      <c r="I241" s="193">
        <f t="shared" ca="1" si="134"/>
        <v>34485137.596874036</v>
      </c>
      <c r="J241" s="193">
        <f t="shared" ca="1" si="134"/>
        <v>34377718.39909149</v>
      </c>
      <c r="K241" s="193">
        <f t="shared" ca="1" si="134"/>
        <v>34961397.349561028</v>
      </c>
      <c r="L241" s="193">
        <f t="shared" ca="1" si="134"/>
        <v>35621663.296617582</v>
      </c>
      <c r="M241" s="193">
        <f t="shared" ca="1" si="134"/>
        <v>36318574.331724361</v>
      </c>
    </row>
    <row r="242" spans="1:20" ht="11.25" customHeight="1" x14ac:dyDescent="0.35">
      <c r="A242" s="200"/>
      <c r="B242" s="155"/>
      <c r="C242" s="162"/>
      <c r="D242" s="162"/>
      <c r="E242" s="162"/>
      <c r="F242" s="162"/>
      <c r="G242" s="162"/>
      <c r="H242" s="162"/>
      <c r="I242" s="162"/>
      <c r="J242" s="162"/>
      <c r="K242" s="156"/>
    </row>
    <row r="243" spans="1:20" ht="18" customHeight="1" x14ac:dyDescent="0.35">
      <c r="A243" s="200"/>
      <c r="B243" s="155"/>
      <c r="C243" s="162"/>
      <c r="D243" s="162"/>
      <c r="E243" s="162"/>
      <c r="F243" s="162"/>
      <c r="G243" s="162"/>
      <c r="H243" s="162"/>
      <c r="I243" s="162"/>
      <c r="J243" s="162"/>
      <c r="K243" s="156"/>
    </row>
    <row r="244" spans="1:20" ht="18" customHeight="1" x14ac:dyDescent="0.35">
      <c r="A244" s="200"/>
      <c r="B244" s="155"/>
      <c r="C244" s="162"/>
      <c r="D244" s="162"/>
      <c r="E244" s="162"/>
      <c r="F244" s="162"/>
      <c r="G244" s="162"/>
      <c r="H244" s="162"/>
      <c r="I244" s="162"/>
      <c r="J244" s="162"/>
      <c r="K244" s="156"/>
    </row>
    <row r="245" spans="1:20" ht="18" customHeight="1" x14ac:dyDescent="0.35">
      <c r="A245" s="200"/>
      <c r="B245" s="155"/>
      <c r="C245" s="162"/>
      <c r="D245" s="162"/>
      <c r="E245" s="162"/>
      <c r="F245" s="162"/>
      <c r="G245" s="162"/>
      <c r="H245" s="162"/>
      <c r="I245" s="162"/>
      <c r="J245" s="162"/>
      <c r="K245" s="156"/>
    </row>
    <row r="246" spans="1:20" ht="18" customHeight="1" x14ac:dyDescent="0.35">
      <c r="A246" s="200"/>
      <c r="B246" s="155"/>
      <c r="C246" s="162"/>
      <c r="D246" s="162"/>
      <c r="E246" s="162"/>
      <c r="F246" s="162"/>
      <c r="G246" s="162"/>
      <c r="H246" s="162"/>
      <c r="I246" s="162"/>
      <c r="J246" s="162"/>
      <c r="K246" s="156"/>
    </row>
    <row r="247" spans="1:20" ht="18" customHeight="1" x14ac:dyDescent="0.35">
      <c r="A247" s="200"/>
      <c r="B247" s="155"/>
      <c r="C247" s="162"/>
      <c r="D247" s="162"/>
      <c r="E247" s="162"/>
      <c r="F247" s="162"/>
      <c r="G247" s="162"/>
      <c r="H247" s="162"/>
      <c r="I247" s="162"/>
      <c r="J247" s="162"/>
      <c r="K247" s="156"/>
    </row>
    <row r="248" spans="1:20" ht="18" customHeight="1" x14ac:dyDescent="0.35">
      <c r="A248" s="200"/>
      <c r="B248" s="155"/>
      <c r="C248" s="162"/>
      <c r="D248" s="162"/>
      <c r="E248" s="162"/>
      <c r="F248" s="162"/>
      <c r="G248" s="162"/>
      <c r="H248" s="162"/>
      <c r="I248" s="162"/>
      <c r="J248" s="162"/>
      <c r="K248" s="156"/>
    </row>
    <row r="249" spans="1:20" ht="18" customHeight="1" x14ac:dyDescent="0.35">
      <c r="A249" s="200"/>
      <c r="B249" s="155"/>
      <c r="C249" s="162"/>
      <c r="D249" s="162"/>
      <c r="E249" s="162"/>
      <c r="F249" s="162"/>
      <c r="G249" s="162"/>
      <c r="H249" s="162"/>
      <c r="I249" s="162"/>
      <c r="J249" s="162"/>
      <c r="K249" s="156"/>
    </row>
    <row r="250" spans="1:20" ht="18" customHeight="1" x14ac:dyDescent="0.35">
      <c r="A250" s="200"/>
      <c r="B250" s="155"/>
      <c r="C250" s="162"/>
      <c r="D250" s="162"/>
      <c r="E250" s="162"/>
      <c r="F250" s="162"/>
      <c r="G250" s="162"/>
      <c r="H250" s="162"/>
      <c r="I250" s="162"/>
      <c r="J250" s="162"/>
      <c r="K250" s="156"/>
    </row>
    <row r="251" spans="1:20" ht="18" customHeight="1" x14ac:dyDescent="0.35">
      <c r="A251" s="200"/>
      <c r="B251" s="155"/>
      <c r="C251" s="162"/>
      <c r="D251" s="162"/>
      <c r="E251" s="162"/>
      <c r="F251" s="162"/>
      <c r="G251" s="162"/>
      <c r="H251" s="162"/>
      <c r="I251" s="162"/>
      <c r="J251" s="162"/>
      <c r="K251" s="156"/>
    </row>
    <row r="252" spans="1:20" ht="18" customHeight="1" x14ac:dyDescent="0.35">
      <c r="A252" s="200"/>
      <c r="B252" s="155"/>
      <c r="C252" s="162"/>
      <c r="D252" s="162"/>
      <c r="E252" s="162"/>
      <c r="F252" s="162"/>
      <c r="G252" s="162"/>
      <c r="H252" s="162"/>
      <c r="I252" s="162"/>
      <c r="J252" s="162"/>
      <c r="K252" s="156"/>
    </row>
    <row r="253" spans="1:20" ht="18" customHeight="1" x14ac:dyDescent="0.35">
      <c r="A253" s="200"/>
      <c r="B253" s="155"/>
      <c r="C253" s="162"/>
      <c r="D253" s="162"/>
      <c r="E253" s="162"/>
      <c r="F253" s="162"/>
      <c r="G253" s="162"/>
      <c r="H253" s="162"/>
      <c r="I253" s="162"/>
      <c r="J253" s="162"/>
      <c r="K253" s="156"/>
      <c r="L253" s="156"/>
      <c r="M253" s="156"/>
      <c r="N253" s="156"/>
      <c r="O253" s="156"/>
      <c r="P253" s="156"/>
      <c r="Q253" s="156"/>
      <c r="R253" s="156"/>
      <c r="S253" s="156"/>
      <c r="T253" s="156"/>
    </row>
    <row r="254" spans="1:20" ht="21" customHeight="1" x14ac:dyDescent="0.35">
      <c r="A254" s="200"/>
      <c r="B254" s="155"/>
      <c r="C254" s="162"/>
      <c r="D254" s="162"/>
      <c r="E254" s="162"/>
      <c r="F254" s="162"/>
      <c r="G254" s="162"/>
      <c r="H254" s="162"/>
      <c r="I254" s="162"/>
      <c r="J254" s="162"/>
      <c r="K254" s="156"/>
      <c r="L254" s="156"/>
      <c r="M254" s="156"/>
      <c r="N254" s="156"/>
      <c r="O254" s="156"/>
      <c r="P254" s="156"/>
      <c r="Q254" s="156"/>
      <c r="R254" s="156"/>
      <c r="S254" s="156"/>
      <c r="T254" s="156"/>
    </row>
    <row r="256" spans="1:20" x14ac:dyDescent="0.35">
      <c r="B256" s="108" t="s">
        <v>281</v>
      </c>
    </row>
    <row r="257" spans="1:21" x14ac:dyDescent="0.35">
      <c r="B257" s="111" t="s">
        <v>282</v>
      </c>
      <c r="C257" s="77"/>
      <c r="D257" s="77"/>
      <c r="E257" s="77"/>
      <c r="F257" s="77"/>
      <c r="G257" s="77"/>
      <c r="H257" s="77"/>
      <c r="I257" s="77"/>
      <c r="J257" s="77"/>
      <c r="K257" s="77"/>
      <c r="L257" s="77"/>
      <c r="M257" s="77"/>
    </row>
    <row r="258" spans="1:21" x14ac:dyDescent="0.35">
      <c r="B258" s="79" t="s">
        <v>223</v>
      </c>
      <c r="C258" s="185"/>
      <c r="D258" s="35">
        <f ca="1">D56</f>
        <v>-3650283.1333333291</v>
      </c>
      <c r="E258" s="35">
        <f t="shared" ref="E258:M258" ca="1" si="135">E56</f>
        <v>70893991.472078681</v>
      </c>
      <c r="F258" s="35">
        <f t="shared" ca="1" si="135"/>
        <v>77851318.780778676</v>
      </c>
      <c r="G258" s="35">
        <f t="shared" ca="1" si="135"/>
        <v>85928771.985402033</v>
      </c>
      <c r="H258" s="35">
        <f t="shared" ca="1" si="135"/>
        <v>95427557.280064136</v>
      </c>
      <c r="I258" s="35">
        <f t="shared" ca="1" si="135"/>
        <v>102651446.89729187</v>
      </c>
      <c r="J258" s="35">
        <f t="shared" ca="1" si="135"/>
        <v>106107057.30706012</v>
      </c>
      <c r="K258" s="35">
        <f t="shared" ca="1" si="135"/>
        <v>109684399.82238252</v>
      </c>
      <c r="L258" s="35">
        <f t="shared" ca="1" si="135"/>
        <v>113311372.31705402</v>
      </c>
      <c r="M258" s="35">
        <f t="shared" ca="1" si="135"/>
        <v>117047153.98656563</v>
      </c>
    </row>
    <row r="259" spans="1:21" x14ac:dyDescent="0.35">
      <c r="B259" s="79" t="s">
        <v>283</v>
      </c>
      <c r="C259" s="185"/>
      <c r="D259" s="35">
        <f ca="1">D55</f>
        <v>0</v>
      </c>
      <c r="E259" s="35">
        <f t="shared" ref="E259:M259" ca="1" si="136">E55</f>
        <v>34917936.098188013</v>
      </c>
      <c r="F259" s="35">
        <f t="shared" ca="1" si="136"/>
        <v>38344679.399488002</v>
      </c>
      <c r="G259" s="35">
        <f t="shared" ca="1" si="136"/>
        <v>42323126.500272647</v>
      </c>
      <c r="H259" s="35">
        <f t="shared" ca="1" si="136"/>
        <v>47001632.690180846</v>
      </c>
      <c r="I259" s="35">
        <f t="shared" ca="1" si="136"/>
        <v>50559667.87478555</v>
      </c>
      <c r="J259" s="35">
        <f t="shared" ca="1" si="136"/>
        <v>52261684.942283355</v>
      </c>
      <c r="K259" s="35">
        <f t="shared" ca="1" si="136"/>
        <v>54023659.614009306</v>
      </c>
      <c r="L259" s="35">
        <f t="shared" ca="1" si="136"/>
        <v>55810078.902429596</v>
      </c>
      <c r="M259" s="35">
        <f t="shared" ca="1" si="136"/>
        <v>57650090.769502476</v>
      </c>
    </row>
    <row r="260" spans="1:21" x14ac:dyDescent="0.35">
      <c r="B260" s="79" t="s">
        <v>175</v>
      </c>
      <c r="C260" s="185"/>
      <c r="D260" s="35">
        <f t="shared" ref="D260" ca="1" si="137">D258+D259</f>
        <v>-3650283.1333333291</v>
      </c>
      <c r="E260" s="35">
        <f t="shared" ref="E260:M260" ca="1" si="138">E258+E259</f>
        <v>105811927.57026669</v>
      </c>
      <c r="F260" s="35">
        <f t="shared" ca="1" si="138"/>
        <v>116195998.18026668</v>
      </c>
      <c r="G260" s="35">
        <f t="shared" ca="1" si="138"/>
        <v>128251898.48567468</v>
      </c>
      <c r="H260" s="35">
        <f t="shared" ca="1" si="138"/>
        <v>142429189.97024497</v>
      </c>
      <c r="I260" s="35">
        <f t="shared" ca="1" si="138"/>
        <v>153211114.77207741</v>
      </c>
      <c r="J260" s="35">
        <f t="shared" ca="1" si="138"/>
        <v>158368742.24934348</v>
      </c>
      <c r="K260" s="35">
        <f t="shared" ca="1" si="138"/>
        <v>163708059.43639183</v>
      </c>
      <c r="L260" s="35">
        <f t="shared" ca="1" si="138"/>
        <v>169121451.21948361</v>
      </c>
      <c r="M260" s="35">
        <f t="shared" ca="1" si="138"/>
        <v>174697244.75606811</v>
      </c>
    </row>
    <row r="261" spans="1:21" x14ac:dyDescent="0.35">
      <c r="B261" s="79" t="s">
        <v>225</v>
      </c>
      <c r="C261" s="185"/>
      <c r="D261" s="177">
        <f ca="1">D49+D50</f>
        <v>33275539.800000001</v>
      </c>
      <c r="E261" s="35">
        <f t="shared" ref="E261:M261" ca="1" si="139">E49+E50</f>
        <v>28570752.216400001</v>
      </c>
      <c r="F261" s="35">
        <f t="shared" ca="1" si="139"/>
        <v>22720312</v>
      </c>
      <c r="G261" s="35">
        <f t="shared" ca="1" si="139"/>
        <v>15334051</v>
      </c>
      <c r="H261" s="35">
        <f t="shared" ca="1" si="139"/>
        <v>5966488</v>
      </c>
      <c r="I261" s="35">
        <f t="shared" ca="1" si="139"/>
        <v>138583.53727485315</v>
      </c>
      <c r="J261" s="35">
        <f t="shared" ca="1" si="139"/>
        <v>83597.009289391601</v>
      </c>
      <c r="K261" s="35">
        <f t="shared" ca="1" si="139"/>
        <v>0</v>
      </c>
      <c r="L261" s="35">
        <f t="shared" ca="1" si="139"/>
        <v>0</v>
      </c>
      <c r="M261" s="35">
        <f t="shared" ca="1" si="139"/>
        <v>0</v>
      </c>
    </row>
    <row r="262" spans="1:21" ht="30" customHeight="1" x14ac:dyDescent="0.35">
      <c r="B262" s="201" t="s">
        <v>284</v>
      </c>
      <c r="C262" s="77"/>
      <c r="D262" s="77">
        <f t="shared" ref="D262" ca="1" si="140">D260+D261</f>
        <v>29625256.666666672</v>
      </c>
      <c r="E262" s="77">
        <f t="shared" ref="E262:M262" ca="1" si="141">E260+E261</f>
        <v>134382679.78666669</v>
      </c>
      <c r="F262" s="77">
        <f t="shared" ca="1" si="141"/>
        <v>138916310.18026668</v>
      </c>
      <c r="G262" s="77">
        <f t="shared" ca="1" si="141"/>
        <v>143585949.48567468</v>
      </c>
      <c r="H262" s="77">
        <f t="shared" ca="1" si="141"/>
        <v>148395677.97024497</v>
      </c>
      <c r="I262" s="77">
        <f t="shared" ca="1" si="141"/>
        <v>153349698.30935228</v>
      </c>
      <c r="J262" s="77">
        <f t="shared" ca="1" si="141"/>
        <v>158452339.25863287</v>
      </c>
      <c r="K262" s="77">
        <f t="shared" ca="1" si="141"/>
        <v>163708059.43639183</v>
      </c>
      <c r="L262" s="77">
        <f t="shared" ca="1" si="141"/>
        <v>169121451.21948361</v>
      </c>
      <c r="M262" s="77">
        <f t="shared" ca="1" si="141"/>
        <v>174697244.75606811</v>
      </c>
    </row>
    <row r="263" spans="1:21" x14ac:dyDescent="0.35">
      <c r="B263" s="79" t="s">
        <v>228</v>
      </c>
      <c r="C263" s="185"/>
      <c r="D263" s="35">
        <f>D44</f>
        <v>16738333.333333332</v>
      </c>
      <c r="E263" s="35">
        <f t="shared" ref="E263:M263" si="142">E44</f>
        <v>16738333.333333332</v>
      </c>
      <c r="F263" s="35">
        <f t="shared" si="142"/>
        <v>16738333.333333332</v>
      </c>
      <c r="G263" s="35">
        <f t="shared" si="142"/>
        <v>16738333.333333332</v>
      </c>
      <c r="H263" s="35">
        <f t="shared" si="142"/>
        <v>16738333.333333332</v>
      </c>
      <c r="I263" s="35">
        <f t="shared" si="142"/>
        <v>16738333.333333332</v>
      </c>
      <c r="J263" s="35">
        <f t="shared" si="142"/>
        <v>16738333.333333332</v>
      </c>
      <c r="K263" s="35">
        <f t="shared" si="142"/>
        <v>16738333.333333332</v>
      </c>
      <c r="L263" s="35">
        <f t="shared" si="142"/>
        <v>16738333.333333332</v>
      </c>
      <c r="M263" s="35">
        <f t="shared" si="142"/>
        <v>16738333.333333332</v>
      </c>
    </row>
    <row r="264" spans="1:21" x14ac:dyDescent="0.35">
      <c r="B264" s="205" t="s">
        <v>285</v>
      </c>
      <c r="C264" s="206"/>
      <c r="D264" s="206">
        <f t="shared" ref="D264" ca="1" si="143">D262+D263</f>
        <v>46363590</v>
      </c>
      <c r="E264" s="206">
        <f t="shared" ref="E264:M264" ca="1" si="144">E262+E263</f>
        <v>151121013.12000003</v>
      </c>
      <c r="F264" s="206">
        <f t="shared" ca="1" si="144"/>
        <v>155654643.51360002</v>
      </c>
      <c r="G264" s="206">
        <f t="shared" ca="1" si="144"/>
        <v>160324282.81900802</v>
      </c>
      <c r="H264" s="206">
        <f t="shared" ca="1" si="144"/>
        <v>165134011.30357832</v>
      </c>
      <c r="I264" s="206">
        <f t="shared" ca="1" si="144"/>
        <v>170088031.64268562</v>
      </c>
      <c r="J264" s="206">
        <f t="shared" ca="1" si="144"/>
        <v>175190672.59196621</v>
      </c>
      <c r="K264" s="206">
        <f t="shared" ca="1" si="144"/>
        <v>180446392.76972517</v>
      </c>
      <c r="L264" s="206">
        <f t="shared" ca="1" si="144"/>
        <v>185859784.55281696</v>
      </c>
      <c r="M264" s="206">
        <f t="shared" ca="1" si="144"/>
        <v>191435578.08940145</v>
      </c>
    </row>
    <row r="265" spans="1:21" s="125" customFormat="1" ht="17.5" x14ac:dyDescent="0.35">
      <c r="A265" s="200"/>
      <c r="B265" s="202"/>
      <c r="C265" s="203"/>
      <c r="D265" s="203"/>
      <c r="E265" s="203"/>
      <c r="U265" s="204"/>
    </row>
    <row r="266" spans="1:21" x14ac:dyDescent="0.35">
      <c r="B266" s="111" t="s">
        <v>286</v>
      </c>
      <c r="C266" s="77"/>
      <c r="D266" s="77"/>
      <c r="E266" s="77"/>
      <c r="F266" s="77"/>
      <c r="G266" s="77"/>
      <c r="H266" s="77"/>
      <c r="I266" s="77"/>
      <c r="J266" s="77"/>
      <c r="K266" s="77"/>
      <c r="L266" s="77"/>
      <c r="M266" s="77"/>
    </row>
    <row r="267" spans="1:21" x14ac:dyDescent="0.35">
      <c r="B267" s="79" t="s">
        <v>164</v>
      </c>
      <c r="C267" s="185"/>
      <c r="D267" s="35">
        <f ca="1">D39</f>
        <v>148922550</v>
      </c>
      <c r="E267" s="35">
        <f t="shared" ref="E267:M267" ca="1" si="145">E39</f>
        <v>258602803.20000002</v>
      </c>
      <c r="F267" s="35">
        <f t="shared" ca="1" si="145"/>
        <v>266360887.29600003</v>
      </c>
      <c r="G267" s="35">
        <f t="shared" ca="1" si="145"/>
        <v>274351713.91488004</v>
      </c>
      <c r="H267" s="35">
        <f t="shared" ca="1" si="145"/>
        <v>282582265.33232647</v>
      </c>
      <c r="I267" s="35">
        <f t="shared" ca="1" si="145"/>
        <v>291059733.29229623</v>
      </c>
      <c r="J267" s="35">
        <f t="shared" ca="1" si="145"/>
        <v>299791525.29106516</v>
      </c>
      <c r="K267" s="35">
        <f t="shared" ca="1" si="145"/>
        <v>308785271.04979712</v>
      </c>
      <c r="L267" s="35">
        <f t="shared" ca="1" si="145"/>
        <v>318048829.18129104</v>
      </c>
      <c r="M267" s="35">
        <f t="shared" ca="1" si="145"/>
        <v>327590294.05672979</v>
      </c>
    </row>
    <row r="268" spans="1:21" x14ac:dyDescent="0.35">
      <c r="B268" s="79" t="s">
        <v>171</v>
      </c>
      <c r="C268" s="185"/>
      <c r="D268" s="35">
        <f>D48</f>
        <v>0</v>
      </c>
      <c r="E268" s="35">
        <f t="shared" ref="E268:M268" si="146">E48</f>
        <v>0</v>
      </c>
      <c r="F268" s="35">
        <f t="shared" si="146"/>
        <v>0</v>
      </c>
      <c r="G268" s="35">
        <f t="shared" si="146"/>
        <v>0</v>
      </c>
      <c r="H268" s="35">
        <f t="shared" si="146"/>
        <v>0</v>
      </c>
      <c r="I268" s="35">
        <f t="shared" si="146"/>
        <v>0</v>
      </c>
      <c r="J268" s="35">
        <f t="shared" si="146"/>
        <v>0</v>
      </c>
      <c r="K268" s="35">
        <f t="shared" si="146"/>
        <v>0</v>
      </c>
      <c r="L268" s="35">
        <f t="shared" si="146"/>
        <v>0</v>
      </c>
      <c r="M268" s="35">
        <f t="shared" si="146"/>
        <v>0</v>
      </c>
    </row>
    <row r="269" spans="1:21" x14ac:dyDescent="0.35">
      <c r="B269" s="201" t="s">
        <v>287</v>
      </c>
      <c r="C269" s="77"/>
      <c r="D269" s="77">
        <f ca="1">SUM(D267:D268)</f>
        <v>148922550</v>
      </c>
      <c r="E269" s="77">
        <f t="shared" ref="E269:M269" ca="1" si="147">SUM(E267:E268)</f>
        <v>258602803.20000002</v>
      </c>
      <c r="F269" s="77">
        <f t="shared" ca="1" si="147"/>
        <v>266360887.29600003</v>
      </c>
      <c r="G269" s="77">
        <f t="shared" ca="1" si="147"/>
        <v>274351713.91488004</v>
      </c>
      <c r="H269" s="77">
        <f t="shared" ca="1" si="147"/>
        <v>282582265.33232647</v>
      </c>
      <c r="I269" s="77">
        <f t="shared" ca="1" si="147"/>
        <v>291059733.29229623</v>
      </c>
      <c r="J269" s="77">
        <f t="shared" ca="1" si="147"/>
        <v>299791525.29106516</v>
      </c>
      <c r="K269" s="77">
        <f t="shared" ca="1" si="147"/>
        <v>308785271.04979712</v>
      </c>
      <c r="L269" s="77">
        <f t="shared" ca="1" si="147"/>
        <v>318048829.18129104</v>
      </c>
      <c r="M269" s="77">
        <f t="shared" ca="1" si="147"/>
        <v>327590294.05672979</v>
      </c>
    </row>
    <row r="270" spans="1:21" x14ac:dyDescent="0.35">
      <c r="C270" s="185"/>
      <c r="D270" s="35"/>
      <c r="E270" s="35"/>
      <c r="F270" s="35"/>
      <c r="G270" s="35"/>
      <c r="H270" s="35"/>
      <c r="I270" s="35"/>
      <c r="J270" s="35"/>
      <c r="K270" s="35"/>
      <c r="L270" s="35"/>
      <c r="M270" s="35"/>
    </row>
    <row r="271" spans="1:21" x14ac:dyDescent="0.35">
      <c r="B271" s="79" t="s">
        <v>165</v>
      </c>
      <c r="C271" s="185"/>
      <c r="D271" s="35">
        <f>D40</f>
        <v>6811560</v>
      </c>
      <c r="E271" s="35">
        <f t="shared" ref="E271:M271" si="148">E40</f>
        <v>7138514.8800000008</v>
      </c>
      <c r="F271" s="35">
        <f t="shared" si="148"/>
        <v>7352670.3264000006</v>
      </c>
      <c r="G271" s="35">
        <f t="shared" si="148"/>
        <v>7573250.4361920012</v>
      </c>
      <c r="H271" s="35">
        <f t="shared" si="148"/>
        <v>7800447.9492777614</v>
      </c>
      <c r="I271" s="35">
        <f t="shared" si="148"/>
        <v>8034461.3877560943</v>
      </c>
      <c r="J271" s="35">
        <f t="shared" si="148"/>
        <v>8275495.2293887781</v>
      </c>
      <c r="K271" s="35">
        <f t="shared" si="148"/>
        <v>8523760.0862704422</v>
      </c>
      <c r="L271" s="35">
        <f t="shared" si="148"/>
        <v>8779472.8888585549</v>
      </c>
      <c r="M271" s="35">
        <f t="shared" si="148"/>
        <v>9042857.0755243115</v>
      </c>
    </row>
    <row r="272" spans="1:21" x14ac:dyDescent="0.35">
      <c r="B272" s="79" t="s">
        <v>288</v>
      </c>
      <c r="C272" s="185"/>
      <c r="D272" s="35">
        <f>D43</f>
        <v>95747400</v>
      </c>
      <c r="E272" s="35">
        <f t="shared" ref="E272:M272" si="149">E43</f>
        <v>100343275.2</v>
      </c>
      <c r="F272" s="35">
        <f t="shared" si="149"/>
        <v>103353573.45600002</v>
      </c>
      <c r="G272" s="35">
        <f t="shared" si="149"/>
        <v>106454180.65968001</v>
      </c>
      <c r="H272" s="35">
        <f t="shared" si="149"/>
        <v>109647806.07947041</v>
      </c>
      <c r="I272" s="35">
        <f t="shared" si="149"/>
        <v>112937240.26185453</v>
      </c>
      <c r="J272" s="35">
        <f t="shared" si="149"/>
        <v>116325357.46971019</v>
      </c>
      <c r="K272" s="35">
        <f t="shared" si="149"/>
        <v>119815118.19380149</v>
      </c>
      <c r="L272" s="35">
        <f t="shared" si="149"/>
        <v>123409571.73961554</v>
      </c>
      <c r="M272" s="35">
        <f t="shared" si="149"/>
        <v>127111858.89180401</v>
      </c>
    </row>
    <row r="273" spans="1:21" x14ac:dyDescent="0.35">
      <c r="B273" s="201" t="s">
        <v>289</v>
      </c>
      <c r="C273" s="77"/>
      <c r="D273" s="77">
        <f t="shared" ref="D273" si="150">SUM(D271:D272)</f>
        <v>102558960</v>
      </c>
      <c r="E273" s="77">
        <f t="shared" ref="E273:M273" si="151">SUM(E271:E272)</f>
        <v>107481790.08</v>
      </c>
      <c r="F273" s="77">
        <f t="shared" si="151"/>
        <v>110706243.78240001</v>
      </c>
      <c r="G273" s="77">
        <f t="shared" si="151"/>
        <v>114027431.09587201</v>
      </c>
      <c r="H273" s="77">
        <f t="shared" si="151"/>
        <v>117448254.02874817</v>
      </c>
      <c r="I273" s="77">
        <f t="shared" si="151"/>
        <v>120971701.64961062</v>
      </c>
      <c r="J273" s="77">
        <f t="shared" si="151"/>
        <v>124600852.69909896</v>
      </c>
      <c r="K273" s="77">
        <f t="shared" si="151"/>
        <v>128338878.28007193</v>
      </c>
      <c r="L273" s="77">
        <f t="shared" si="151"/>
        <v>132189044.6284741</v>
      </c>
      <c r="M273" s="77">
        <f t="shared" si="151"/>
        <v>136154715.96732831</v>
      </c>
    </row>
    <row r="274" spans="1:21" s="125" customFormat="1" ht="4.5" customHeight="1" x14ac:dyDescent="0.35">
      <c r="A274" s="200"/>
      <c r="B274" s="202"/>
      <c r="C274" s="203"/>
      <c r="D274" s="203"/>
      <c r="E274" s="203"/>
      <c r="U274" s="204"/>
    </row>
    <row r="275" spans="1:21" x14ac:dyDescent="0.35">
      <c r="A275" s="186"/>
      <c r="B275" s="205" t="s">
        <v>285</v>
      </c>
      <c r="C275" s="206">
        <f>+C269-C273</f>
        <v>0</v>
      </c>
      <c r="D275" s="206">
        <f t="shared" ref="D275:M275" ca="1" si="152">+D269-D273</f>
        <v>46363590</v>
      </c>
      <c r="E275" s="206">
        <f t="shared" ca="1" si="152"/>
        <v>151121013.12</v>
      </c>
      <c r="F275" s="206">
        <f t="shared" ca="1" si="152"/>
        <v>155654643.51360002</v>
      </c>
      <c r="G275" s="206">
        <f t="shared" ca="1" si="152"/>
        <v>160324282.81900802</v>
      </c>
      <c r="H275" s="206">
        <f t="shared" ca="1" si="152"/>
        <v>165134011.30357832</v>
      </c>
      <c r="I275" s="206">
        <f t="shared" ca="1" si="152"/>
        <v>170088031.64268559</v>
      </c>
      <c r="J275" s="206">
        <f t="shared" ca="1" si="152"/>
        <v>175190672.59196621</v>
      </c>
      <c r="K275" s="206">
        <f t="shared" ca="1" si="152"/>
        <v>180446392.7697252</v>
      </c>
      <c r="L275" s="206">
        <f t="shared" ca="1" si="152"/>
        <v>185859784.55281693</v>
      </c>
      <c r="M275" s="206">
        <f t="shared" ca="1" si="152"/>
        <v>191435578.08940148</v>
      </c>
    </row>
    <row r="276" spans="1:21" s="156" customFormat="1" ht="12" customHeight="1" x14ac:dyDescent="0.35">
      <c r="A276" s="209"/>
      <c r="B276" s="158" t="s">
        <v>290</v>
      </c>
      <c r="C276" s="159"/>
      <c r="D276" s="160"/>
      <c r="E276" s="160"/>
      <c r="F276" s="160"/>
      <c r="G276" s="160"/>
      <c r="H276" s="160"/>
      <c r="I276"/>
      <c r="J276"/>
      <c r="K276"/>
      <c r="L276"/>
      <c r="M276"/>
      <c r="N276"/>
      <c r="O276"/>
      <c r="P276"/>
      <c r="Q276"/>
      <c r="R276"/>
      <c r="S276"/>
      <c r="T276"/>
    </row>
    <row r="277" spans="1:21" s="156" customFormat="1" ht="12" customHeight="1" x14ac:dyDescent="0.35">
      <c r="A277" s="209"/>
      <c r="B277" s="158" t="s">
        <v>291</v>
      </c>
      <c r="C277" s="159"/>
      <c r="D277" s="160"/>
      <c r="E277" s="160"/>
      <c r="F277" s="159"/>
      <c r="G277" s="160"/>
      <c r="H277" s="160"/>
      <c r="I277"/>
      <c r="J277"/>
      <c r="K277" s="130"/>
      <c r="L277"/>
      <c r="M277"/>
      <c r="N277"/>
      <c r="O277"/>
      <c r="P277"/>
      <c r="Q277"/>
      <c r="R277"/>
      <c r="S277"/>
      <c r="T277"/>
      <c r="U277"/>
    </row>
    <row r="278" spans="1:21" ht="4.9000000000000004" customHeight="1" x14ac:dyDescent="0.35">
      <c r="A278" s="209"/>
      <c r="B278" s="161"/>
      <c r="C278" s="159"/>
      <c r="D278" s="160"/>
      <c r="E278" s="160"/>
      <c r="F278" s="160"/>
      <c r="G278" s="160"/>
      <c r="H278" s="160"/>
      <c r="K278" s="130"/>
    </row>
    <row r="279" spans="1:21" s="163" customFormat="1" ht="18" customHeight="1" x14ac:dyDescent="0.35">
      <c r="A279" s="187"/>
      <c r="B279" s="208" t="s">
        <v>200</v>
      </c>
      <c r="C279" s="207">
        <f>ROUND(C275-C264,1)</f>
        <v>0</v>
      </c>
      <c r="D279" s="207">
        <f ca="1">ROUND(D275-D264,1)</f>
        <v>0</v>
      </c>
      <c r="E279" s="207">
        <f ca="1">ROUND(E275-E264,1)</f>
        <v>0</v>
      </c>
      <c r="F279" s="207">
        <f t="shared" ref="F279:M279" ca="1" si="153">ROUND(F275-F264,1)</f>
        <v>0</v>
      </c>
      <c r="G279" s="207">
        <f t="shared" ca="1" si="153"/>
        <v>0</v>
      </c>
      <c r="H279" s="207">
        <f t="shared" ca="1" si="153"/>
        <v>0</v>
      </c>
      <c r="I279" s="207">
        <f t="shared" ca="1" si="153"/>
        <v>0</v>
      </c>
      <c r="J279" s="207">
        <f t="shared" ca="1" si="153"/>
        <v>0</v>
      </c>
      <c r="K279" s="207">
        <f t="shared" ca="1" si="153"/>
        <v>0</v>
      </c>
      <c r="L279" s="207">
        <f t="shared" ca="1" si="153"/>
        <v>0</v>
      </c>
      <c r="M279" s="207">
        <f t="shared" ca="1" si="153"/>
        <v>0</v>
      </c>
    </row>
    <row r="280" spans="1:21" s="125" customFormat="1" ht="17.5" x14ac:dyDescent="0.35">
      <c r="A280" s="200"/>
      <c r="B280" s="202"/>
      <c r="C280" s="203"/>
      <c r="D280" s="203"/>
      <c r="E280" s="203"/>
      <c r="U280" s="204"/>
    </row>
    <row r="281" spans="1:21" x14ac:dyDescent="0.35">
      <c r="B281" s="111" t="s">
        <v>292</v>
      </c>
      <c r="C281" s="77"/>
      <c r="D281" s="77"/>
      <c r="E281" s="77"/>
      <c r="F281" s="77"/>
      <c r="G281" s="77"/>
      <c r="H281" s="77"/>
      <c r="I281" s="77"/>
      <c r="J281" s="77"/>
      <c r="K281" s="77"/>
      <c r="L281" s="77"/>
      <c r="M281" s="77"/>
    </row>
    <row r="282" spans="1:21" s="190" customFormat="1" ht="17.5" customHeight="1" x14ac:dyDescent="0.35">
      <c r="A282" s="187"/>
      <c r="B282" s="192" t="s">
        <v>293</v>
      </c>
      <c r="C282" s="210"/>
      <c r="D282" s="211">
        <f t="shared" ref="D282:M282" ca="1" si="154">D273/D269</f>
        <v>0.68867313915857609</v>
      </c>
      <c r="E282" s="211">
        <f t="shared" ca="1" si="154"/>
        <v>0.41562499999999997</v>
      </c>
      <c r="F282" s="211">
        <f t="shared" ca="1" si="154"/>
        <v>0.41562499999999997</v>
      </c>
      <c r="G282" s="211">
        <f t="shared" ca="1" si="154"/>
        <v>0.41562500000000002</v>
      </c>
      <c r="H282" s="211">
        <f t="shared" ca="1" si="154"/>
        <v>0.41562499999999991</v>
      </c>
      <c r="I282" s="211">
        <f t="shared" ca="1" si="154"/>
        <v>0.41562500000000002</v>
      </c>
      <c r="J282" s="211">
        <f t="shared" ca="1" si="154"/>
        <v>0.41562500000000002</v>
      </c>
      <c r="K282" s="211">
        <f t="shared" ca="1" si="154"/>
        <v>0.41562500000000002</v>
      </c>
      <c r="L282" s="211">
        <f t="shared" ca="1" si="154"/>
        <v>0.41562500000000002</v>
      </c>
      <c r="M282" s="211">
        <f t="shared" ca="1" si="154"/>
        <v>0.41562499999999997</v>
      </c>
    </row>
    <row r="283" spans="1:21" s="190" customFormat="1" ht="17.5" customHeight="1" x14ac:dyDescent="0.35">
      <c r="A283" s="187"/>
      <c r="B283" s="192" t="s">
        <v>294</v>
      </c>
      <c r="C283" s="210"/>
      <c r="D283" s="211">
        <f t="shared" ref="D283:M283" ca="1" si="155">D275/D269</f>
        <v>0.31132686084142397</v>
      </c>
      <c r="E283" s="211">
        <f t="shared" ca="1" si="155"/>
        <v>0.58437499999999998</v>
      </c>
      <c r="F283" s="211">
        <f t="shared" ca="1" si="155"/>
        <v>0.58437499999999998</v>
      </c>
      <c r="G283" s="211">
        <f t="shared" ca="1" si="155"/>
        <v>0.58437499999999998</v>
      </c>
      <c r="H283" s="211">
        <f t="shared" ca="1" si="155"/>
        <v>0.58437500000000009</v>
      </c>
      <c r="I283" s="211">
        <f t="shared" ca="1" si="155"/>
        <v>0.58437499999999998</v>
      </c>
      <c r="J283" s="211">
        <f t="shared" ca="1" si="155"/>
        <v>0.58437500000000009</v>
      </c>
      <c r="K283" s="211">
        <f t="shared" ca="1" si="155"/>
        <v>0.58437500000000009</v>
      </c>
      <c r="L283" s="211">
        <f t="shared" ca="1" si="155"/>
        <v>0.58437499999999987</v>
      </c>
      <c r="M283" s="211">
        <f t="shared" ca="1" si="155"/>
        <v>0.58437499999999998</v>
      </c>
    </row>
    <row r="284" spans="1:21" s="190" customFormat="1" x14ac:dyDescent="0.35">
      <c r="A284" s="187"/>
      <c r="B284" s="189"/>
      <c r="C284" s="189"/>
      <c r="D284" s="189"/>
      <c r="E284" s="189"/>
      <c r="F284" s="189"/>
      <c r="G284" s="189"/>
      <c r="H284" s="189"/>
      <c r="I284" s="189"/>
      <c r="J284" s="189"/>
    </row>
    <row r="285" spans="1:21" ht="17.5" x14ac:dyDescent="0.35">
      <c r="A285" s="157"/>
      <c r="B285" s="155"/>
      <c r="C285" s="155"/>
      <c r="D285" s="155"/>
      <c r="E285" s="155"/>
      <c r="F285" s="155"/>
      <c r="G285" s="155"/>
      <c r="H285" s="155"/>
      <c r="I285" s="155"/>
      <c r="J285" s="155"/>
    </row>
    <row r="286" spans="1:21" ht="17.5" x14ac:dyDescent="0.35">
      <c r="A286" s="157"/>
      <c r="B286" s="155"/>
      <c r="C286" s="155"/>
      <c r="D286" s="155"/>
      <c r="E286" s="155"/>
      <c r="F286" s="155"/>
      <c r="G286" s="155"/>
      <c r="H286" s="155"/>
      <c r="I286" s="155"/>
      <c r="J286" s="155"/>
    </row>
    <row r="287" spans="1:21" ht="17.5" x14ac:dyDescent="0.35">
      <c r="A287" s="157"/>
      <c r="B287" s="155"/>
      <c r="C287" s="155"/>
      <c r="D287" s="155"/>
      <c r="E287" s="155"/>
      <c r="F287" s="155"/>
      <c r="G287" s="155"/>
      <c r="H287" s="155"/>
      <c r="I287" s="155"/>
      <c r="J287" s="155"/>
    </row>
    <row r="288" spans="1:21" ht="17.5" x14ac:dyDescent="0.35">
      <c r="A288" s="157"/>
      <c r="B288" s="155"/>
      <c r="C288" s="155"/>
      <c r="D288" s="155"/>
      <c r="E288" s="155"/>
      <c r="F288" s="155"/>
      <c r="G288" s="155"/>
      <c r="H288" s="155"/>
      <c r="I288" s="155"/>
      <c r="J288" s="155"/>
    </row>
    <row r="289" spans="1:13" ht="17.5" x14ac:dyDescent="0.35">
      <c r="A289" s="157"/>
      <c r="B289" s="155"/>
      <c r="C289" s="155"/>
      <c r="D289" s="155"/>
      <c r="E289" s="155"/>
      <c r="F289" s="155"/>
      <c r="G289" s="155"/>
      <c r="H289" s="155"/>
      <c r="I289" s="155"/>
      <c r="J289" s="155"/>
    </row>
    <row r="290" spans="1:13" ht="17.5" x14ac:dyDescent="0.35">
      <c r="A290" s="157"/>
      <c r="B290" s="155"/>
      <c r="C290" s="155"/>
      <c r="D290" s="155"/>
      <c r="E290" s="155"/>
      <c r="F290" s="155"/>
      <c r="G290" s="155"/>
      <c r="H290" s="155"/>
      <c r="I290" s="155"/>
      <c r="J290" s="155"/>
    </row>
    <row r="291" spans="1:13" ht="17.5" x14ac:dyDescent="0.35">
      <c r="A291" s="157"/>
      <c r="B291" s="155"/>
      <c r="C291" s="155"/>
      <c r="D291" s="155"/>
      <c r="E291" s="155"/>
      <c r="F291" s="155"/>
      <c r="G291" s="155"/>
      <c r="H291" s="155"/>
      <c r="I291" s="155"/>
      <c r="J291" s="155"/>
    </row>
    <row r="292" spans="1:13" ht="17.5" x14ac:dyDescent="0.35">
      <c r="A292" s="157"/>
      <c r="B292" s="155"/>
      <c r="C292" s="155"/>
      <c r="D292" s="155"/>
      <c r="E292" s="155"/>
      <c r="F292" s="155"/>
      <c r="G292" s="155"/>
      <c r="H292" s="155"/>
      <c r="I292" s="155"/>
      <c r="J292" s="155"/>
    </row>
    <row r="293" spans="1:13" ht="17.5" x14ac:dyDescent="0.35">
      <c r="A293" s="157"/>
      <c r="B293" s="155"/>
      <c r="C293" s="155"/>
      <c r="D293" s="155"/>
      <c r="E293" s="155"/>
      <c r="F293" s="155"/>
      <c r="G293" s="155"/>
      <c r="H293" s="155"/>
      <c r="I293" s="155"/>
      <c r="J293" s="155"/>
    </row>
    <row r="294" spans="1:13" ht="17.5" x14ac:dyDescent="0.35">
      <c r="A294" s="157"/>
      <c r="B294" s="155"/>
      <c r="C294" s="155"/>
      <c r="D294" s="155"/>
      <c r="E294" s="155"/>
      <c r="F294" s="155"/>
      <c r="G294" s="155"/>
      <c r="H294" s="155"/>
      <c r="I294" s="155"/>
      <c r="J294" s="155"/>
    </row>
    <row r="295" spans="1:13" ht="17.5" x14ac:dyDescent="0.35">
      <c r="A295" s="157"/>
      <c r="B295" s="155"/>
      <c r="C295" s="155"/>
      <c r="D295" s="155"/>
      <c r="E295" s="155"/>
      <c r="F295" s="155"/>
      <c r="G295" s="155"/>
      <c r="H295" s="155"/>
      <c r="I295" s="155"/>
      <c r="J295" s="155"/>
    </row>
    <row r="298" spans="1:13" x14ac:dyDescent="0.35">
      <c r="B298" s="108" t="s">
        <v>341</v>
      </c>
    </row>
    <row r="300" spans="1:13" x14ac:dyDescent="0.35">
      <c r="B300" s="111" t="s">
        <v>342</v>
      </c>
      <c r="C300" s="77"/>
      <c r="D300" s="77"/>
      <c r="E300" s="77"/>
      <c r="F300" s="77"/>
      <c r="G300" s="77"/>
      <c r="H300" s="77"/>
      <c r="I300" s="77"/>
      <c r="J300" s="77"/>
      <c r="K300" s="77"/>
      <c r="L300" s="77"/>
      <c r="M300" s="77"/>
    </row>
    <row r="301" spans="1:13" x14ac:dyDescent="0.35">
      <c r="B301" s="201" t="s">
        <v>343</v>
      </c>
      <c r="C301" s="77"/>
      <c r="D301" s="77">
        <f ca="1">D63-D72</f>
        <v>-25743378.800000012</v>
      </c>
      <c r="E301" s="77">
        <f t="shared" ref="E301:M301" ca="1" si="156">E63-E72</f>
        <v>34353117.005412005</v>
      </c>
      <c r="F301" s="77">
        <f t="shared" ca="1" si="156"/>
        <v>38619707.655494034</v>
      </c>
      <c r="G301" s="77">
        <f t="shared" ca="1" si="156"/>
        <v>29021349.07232675</v>
      </c>
      <c r="H301" s="77">
        <f t="shared" ca="1" si="156"/>
        <v>58462269.667625666</v>
      </c>
      <c r="I301" s="77">
        <f t="shared" ca="1" si="156"/>
        <v>63192997.666839734</v>
      </c>
      <c r="J301" s="77">
        <f t="shared" ca="1" si="156"/>
        <v>84685415.424819395</v>
      </c>
      <c r="K301" s="77">
        <f t="shared" ca="1" si="156"/>
        <v>116580911.36755168</v>
      </c>
      <c r="L301" s="77">
        <f t="shared" ca="1" si="156"/>
        <v>140062656.13162863</v>
      </c>
      <c r="M301" s="77">
        <f t="shared" ca="1" si="156"/>
        <v>169944174.87443179</v>
      </c>
    </row>
    <row r="302" spans="1:13" x14ac:dyDescent="0.35">
      <c r="B302" s="201" t="s">
        <v>344</v>
      </c>
      <c r="C302" s="77"/>
      <c r="D302" s="214">
        <f ca="1">D63/D72</f>
        <v>0.40825008075659625</v>
      </c>
      <c r="E302" s="214">
        <f t="shared" ref="E302:M302" ca="1" si="157">E63/E72</f>
        <v>1.6293154568883383</v>
      </c>
      <c r="F302" s="214">
        <f t="shared" ca="1" si="157"/>
        <v>1.6104749555944591</v>
      </c>
      <c r="G302" s="214">
        <f t="shared" ca="1" si="157"/>
        <v>1.3919414440095501</v>
      </c>
      <c r="H302" s="214">
        <f t="shared" ca="1" si="157"/>
        <v>2.2937496072218093</v>
      </c>
      <c r="I302" s="214">
        <f t="shared" ca="1" si="157"/>
        <v>2.5390747608702737</v>
      </c>
      <c r="J302" s="214">
        <f t="shared" ca="1" si="157"/>
        <v>3.5116229045013116</v>
      </c>
      <c r="K302" s="214">
        <f t="shared" ca="1" si="157"/>
        <v>4.3531330822067469</v>
      </c>
      <c r="L302" s="214">
        <f t="shared" ca="1" si="157"/>
        <v>4.9075697232379767</v>
      </c>
      <c r="M302" s="214">
        <f t="shared" ca="1" si="157"/>
        <v>5.5990036148125286</v>
      </c>
    </row>
    <row r="303" spans="1:13" x14ac:dyDescent="0.35">
      <c r="B303" s="201" t="s">
        <v>345</v>
      </c>
      <c r="C303" s="77"/>
      <c r="D303" s="214">
        <f ca="1">(D63-D62)/D72</f>
        <v>0.40825008075659625</v>
      </c>
      <c r="E303" s="214">
        <f t="shared" ref="E303:M303" ca="1" si="158">(E63-E62)/E72</f>
        <v>1.6293154568883383</v>
      </c>
      <c r="F303" s="214">
        <f t="shared" ca="1" si="158"/>
        <v>1.6104749555944591</v>
      </c>
      <c r="G303" s="214">
        <f t="shared" ca="1" si="158"/>
        <v>1.3919414440095501</v>
      </c>
      <c r="H303" s="214">
        <f t="shared" ca="1" si="158"/>
        <v>2.2937496072218093</v>
      </c>
      <c r="I303" s="214">
        <f t="shared" ca="1" si="158"/>
        <v>2.5390747608702737</v>
      </c>
      <c r="J303" s="214">
        <f t="shared" ca="1" si="158"/>
        <v>3.5116229045013116</v>
      </c>
      <c r="K303" s="214">
        <f t="shared" ca="1" si="158"/>
        <v>4.3531330822067469</v>
      </c>
      <c r="L303" s="214">
        <f t="shared" ca="1" si="158"/>
        <v>4.9075697232379767</v>
      </c>
      <c r="M303" s="214">
        <f t="shared" ca="1" si="158"/>
        <v>5.5990036148125286</v>
      </c>
    </row>
    <row r="304" spans="1:13" x14ac:dyDescent="0.35">
      <c r="B304" s="201" t="s">
        <v>346</v>
      </c>
      <c r="C304" s="77"/>
      <c r="D304" s="77">
        <f>D61+D68</f>
        <v>0</v>
      </c>
      <c r="E304" s="77">
        <f t="shared" ref="E304:M304" si="159">E61+E68</f>
        <v>0</v>
      </c>
      <c r="F304" s="77">
        <f t="shared" si="159"/>
        <v>0</v>
      </c>
      <c r="G304" s="77">
        <f t="shared" si="159"/>
        <v>0</v>
      </c>
      <c r="H304" s="77">
        <f t="shared" si="159"/>
        <v>0</v>
      </c>
      <c r="I304" s="77">
        <f t="shared" si="159"/>
        <v>0</v>
      </c>
      <c r="J304" s="77">
        <f t="shared" si="159"/>
        <v>0</v>
      </c>
      <c r="K304" s="77">
        <f t="shared" si="159"/>
        <v>0</v>
      </c>
      <c r="L304" s="77">
        <f t="shared" si="159"/>
        <v>0</v>
      </c>
      <c r="M304" s="77">
        <f t="shared" si="159"/>
        <v>0</v>
      </c>
    </row>
    <row r="305" spans="2:13" x14ac:dyDescent="0.35">
      <c r="B305"/>
    </row>
    <row r="306" spans="2:13" x14ac:dyDescent="0.35">
      <c r="B306" s="111" t="s">
        <v>347</v>
      </c>
      <c r="C306" s="77"/>
      <c r="D306" s="77"/>
      <c r="E306" s="77"/>
      <c r="F306" s="77"/>
      <c r="G306" s="77"/>
      <c r="H306" s="77"/>
      <c r="I306" s="77"/>
      <c r="J306" s="77"/>
      <c r="K306" s="77"/>
      <c r="L306" s="77"/>
      <c r="M306" s="77"/>
    </row>
    <row r="307" spans="2:13" s="79" customFormat="1" x14ac:dyDescent="0.35">
      <c r="B307" s="216" t="s">
        <v>348</v>
      </c>
      <c r="C307" s="217"/>
      <c r="D307" s="218">
        <f t="shared" ref="D307:M307" ca="1" si="160">D74/D65</f>
        <v>0.36736989472199133</v>
      </c>
      <c r="E307" s="218">
        <f t="shared" ca="1" si="160"/>
        <v>0.28871352267449307</v>
      </c>
      <c r="F307" s="218">
        <f t="shared" ca="1" si="160"/>
        <v>0.23034520049312435</v>
      </c>
      <c r="G307" s="218">
        <f t="shared" ca="1" si="160"/>
        <v>0.16321762080656169</v>
      </c>
      <c r="H307" s="218">
        <f t="shared" ca="1" si="160"/>
        <v>0.10149523115643282</v>
      </c>
      <c r="I307" s="218">
        <f t="shared" ca="1" si="160"/>
        <v>8.9251334180624919E-2</v>
      </c>
      <c r="J307" s="218">
        <f t="shared" ca="1" si="160"/>
        <v>7.202212669214679E-2</v>
      </c>
      <c r="K307" s="218">
        <f t="shared" ca="1" si="160"/>
        <v>7.1780669923235535E-2</v>
      </c>
      <c r="L307" s="218">
        <f t="shared" ca="1" si="160"/>
        <v>7.1563295663144816E-2</v>
      </c>
      <c r="M307" s="218">
        <f t="shared" ca="1" si="160"/>
        <v>7.1355105907121449E-2</v>
      </c>
    </row>
    <row r="308" spans="2:13" s="79" customFormat="1" x14ac:dyDescent="0.35">
      <c r="B308" s="216" t="s">
        <v>349</v>
      </c>
      <c r="C308" s="217"/>
      <c r="D308" s="218">
        <f t="shared" ref="D308:M308" ca="1" si="161">D72/D74</f>
        <v>0.28954018929472286</v>
      </c>
      <c r="E308" s="218">
        <f t="shared" ca="1" si="161"/>
        <v>0.40798316477250857</v>
      </c>
      <c r="F308" s="218">
        <f t="shared" ca="1" si="161"/>
        <v>0.5882000972630641</v>
      </c>
      <c r="G308" s="218">
        <f t="shared" ca="1" si="161"/>
        <v>1</v>
      </c>
      <c r="H308" s="218">
        <f t="shared" ca="1" si="161"/>
        <v>1</v>
      </c>
      <c r="I308" s="218">
        <f t="shared" ca="1" si="161"/>
        <v>1</v>
      </c>
      <c r="J308" s="218">
        <f t="shared" ca="1" si="161"/>
        <v>1</v>
      </c>
      <c r="K308" s="218">
        <f t="shared" ca="1" si="161"/>
        <v>1</v>
      </c>
      <c r="L308" s="218">
        <f t="shared" ca="1" si="161"/>
        <v>1</v>
      </c>
      <c r="M308" s="218">
        <f t="shared" ca="1" si="161"/>
        <v>1</v>
      </c>
    </row>
    <row r="309" spans="2:13" s="79" customFormat="1" x14ac:dyDescent="0.35">
      <c r="B309" s="216" t="s">
        <v>350</v>
      </c>
      <c r="C309" s="217"/>
      <c r="D309" s="219">
        <f ca="1">D56/D50</f>
        <v>-0.11015890300785107</v>
      </c>
      <c r="E309" s="219">
        <f ca="1">E56/E50</f>
        <v>2.483645575952051</v>
      </c>
      <c r="F309" s="219">
        <f ca="1">F56/F50</f>
        <v>3.4265074696500064</v>
      </c>
      <c r="G309" s="219">
        <f ca="1">G56/G50</f>
        <v>5.6037880652282972</v>
      </c>
      <c r="H309" s="219">
        <f ca="1">H56/H50</f>
        <v>15.993924278413722</v>
      </c>
      <c r="I309" s="219" t="str">
        <f ca="1">IFERROR(I56/I50,"No hay deuda")</f>
        <v>No hay deuda</v>
      </c>
      <c r="J309" s="219" t="str">
        <f ca="1">IFERROR(J56/J50,"No hay deuda")</f>
        <v>No hay deuda</v>
      </c>
      <c r="K309" s="219" t="str">
        <f ca="1">IFERROR(K56/K50,"No hay deuda")</f>
        <v>No hay deuda</v>
      </c>
      <c r="L309" s="219" t="str">
        <f ca="1">IFERROR(L56/L50,"No hay deuda")</f>
        <v>No hay deuda</v>
      </c>
      <c r="M309" s="219" t="str">
        <f ca="1">IFERROR(M56/M50,"No hay deuda")</f>
        <v>No hay deuda</v>
      </c>
    </row>
    <row r="310" spans="2:13" s="79" customFormat="1" x14ac:dyDescent="0.35">
      <c r="B310" s="216" t="s">
        <v>351</v>
      </c>
      <c r="C310" s="217"/>
      <c r="D310" s="219">
        <f ca="1">D46/D50</f>
        <v>0.89403634088677109</v>
      </c>
      <c r="E310" s="219">
        <f ca="1">E46/E50</f>
        <v>4.7078594561597722</v>
      </c>
      <c r="F310" s="219">
        <f ca="1">F46/F50</f>
        <v>6.1141902532089647</v>
      </c>
      <c r="G310" s="219">
        <f ca="1">G46/G50</f>
        <v>9.3638627839228317</v>
      </c>
      <c r="H310" s="219">
        <f ca="1">H46/H50</f>
        <v>24.871528773751823</v>
      </c>
      <c r="I310" s="219" t="str">
        <f ca="1">IFERROR(I46/I50,"No hay deuda")</f>
        <v>No hay deuda</v>
      </c>
      <c r="J310" s="219" t="str">
        <f ca="1">IFERROR(J46/J50,"No hay deuda")</f>
        <v>No hay deuda</v>
      </c>
      <c r="K310" s="219" t="str">
        <f ca="1">IFERROR(K46/K50,"No hay deuda")</f>
        <v>No hay deuda</v>
      </c>
      <c r="L310" s="219" t="str">
        <f ca="1">IFERROR(L46/L50,"No hay deuda")</f>
        <v>No hay deuda</v>
      </c>
      <c r="M310" s="219" t="str">
        <f ca="1">IFERROR(M46/M50,"No hay deuda")</f>
        <v>No hay deuda</v>
      </c>
    </row>
    <row r="311" spans="2:13" s="79" customFormat="1" x14ac:dyDescent="0.35">
      <c r="B311" s="216" t="s">
        <v>352</v>
      </c>
      <c r="C311" s="217"/>
      <c r="D311" s="218">
        <f t="shared" ref="D311:M311" ca="1" si="162">D71/D65</f>
        <v>5.3086142414317382E-2</v>
      </c>
      <c r="E311" s="218">
        <f t="shared" ca="1" si="162"/>
        <v>5.9416870597013546E-2</v>
      </c>
      <c r="F311" s="218">
        <f t="shared" ca="1" si="162"/>
        <v>7.479341178242857E-2</v>
      </c>
      <c r="G311" s="218">
        <f t="shared" ca="1" si="162"/>
        <v>9.7627667192651882E-2</v>
      </c>
      <c r="H311" s="218">
        <f t="shared" ca="1" si="162"/>
        <v>0</v>
      </c>
      <c r="I311" s="218">
        <f t="shared" ca="1" si="162"/>
        <v>0</v>
      </c>
      <c r="J311" s="218">
        <f t="shared" ca="1" si="162"/>
        <v>0</v>
      </c>
      <c r="K311" s="218">
        <f t="shared" ca="1" si="162"/>
        <v>0</v>
      </c>
      <c r="L311" s="218">
        <f t="shared" ca="1" si="162"/>
        <v>0</v>
      </c>
      <c r="M311" s="218">
        <f t="shared" ca="1" si="162"/>
        <v>0</v>
      </c>
    </row>
    <row r="312" spans="2:13" s="79" customFormat="1" x14ac:dyDescent="0.35">
      <c r="B312" s="216" t="s">
        <v>353</v>
      </c>
      <c r="C312" s="217"/>
      <c r="D312" s="218">
        <f t="shared" ref="D312:M312" ca="1" si="163">D71/D39</f>
        <v>0.14579264859485686</v>
      </c>
      <c r="E312" s="218">
        <f t="shared" ca="1" si="163"/>
        <v>0.10647923633953864</v>
      </c>
      <c r="F312" s="218">
        <f t="shared" ca="1" si="163"/>
        <v>0.13110817190360227</v>
      </c>
      <c r="G312" s="218">
        <f t="shared" ca="1" si="163"/>
        <v>0.1614338484276473</v>
      </c>
      <c r="H312" s="218">
        <f t="shared" ca="1" si="163"/>
        <v>0</v>
      </c>
      <c r="I312" s="218">
        <f t="shared" ca="1" si="163"/>
        <v>0</v>
      </c>
      <c r="J312" s="218">
        <f t="shared" ca="1" si="163"/>
        <v>0</v>
      </c>
      <c r="K312" s="218">
        <f t="shared" ca="1" si="163"/>
        <v>0</v>
      </c>
      <c r="L312" s="218">
        <f t="shared" ca="1" si="163"/>
        <v>0</v>
      </c>
      <c r="M312" s="218">
        <f t="shared" ca="1" si="163"/>
        <v>0</v>
      </c>
    </row>
    <row r="313" spans="2:13" s="79" customFormat="1" x14ac:dyDescent="0.35">
      <c r="B313" s="216" t="s">
        <v>354</v>
      </c>
      <c r="C313" s="217"/>
      <c r="D313" s="218">
        <f t="shared" ref="D313:M313" ca="1" si="164">D50/D39</f>
        <v>0.22250843811095097</v>
      </c>
      <c r="E313" s="218">
        <f t="shared" ca="1" si="164"/>
        <v>0.11037903165312632</v>
      </c>
      <c r="F313" s="218">
        <f t="shared" ca="1" si="164"/>
        <v>8.5298980006593458E-2</v>
      </c>
      <c r="G313" s="218">
        <f t="shared" ca="1" si="164"/>
        <v>5.5891945347050102E-2</v>
      </c>
      <c r="H313" s="218">
        <f t="shared" ca="1" si="164"/>
        <v>2.1114162960592042E-2</v>
      </c>
      <c r="I313" s="218">
        <f t="shared" ca="1" si="164"/>
        <v>0</v>
      </c>
      <c r="J313" s="218">
        <f t="shared" ca="1" si="164"/>
        <v>0</v>
      </c>
      <c r="K313" s="218">
        <f t="shared" ca="1" si="164"/>
        <v>0</v>
      </c>
      <c r="L313" s="218">
        <f t="shared" ca="1" si="164"/>
        <v>0</v>
      </c>
      <c r="M313" s="218">
        <f t="shared" ca="1" si="164"/>
        <v>0</v>
      </c>
    </row>
    <row r="314" spans="2:13" s="79" customFormat="1" x14ac:dyDescent="0.35">
      <c r="B314" s="216" t="s">
        <v>355</v>
      </c>
      <c r="C314" s="217"/>
      <c r="D314" s="219">
        <f t="shared" ref="D314:M314" ca="1" si="165">D74/D80</f>
        <v>0.5807025174063617</v>
      </c>
      <c r="E314" s="219">
        <f t="shared" ca="1" si="165"/>
        <v>0.40590329196202163</v>
      </c>
      <c r="F314" s="219">
        <f t="shared" ca="1" si="165"/>
        <v>0.29928378364002733</v>
      </c>
      <c r="G314" s="219">
        <f t="shared" ca="1" si="165"/>
        <v>0.1950538453783941</v>
      </c>
      <c r="H314" s="219">
        <f t="shared" ca="1" si="165"/>
        <v>0.11296014743145284</v>
      </c>
      <c r="I314" s="219">
        <f t="shared" ca="1" si="165"/>
        <v>9.799776549804548E-2</v>
      </c>
      <c r="J314" s="219">
        <f t="shared" ca="1" si="165"/>
        <v>7.761190084782732E-2</v>
      </c>
      <c r="K314" s="219">
        <f t="shared" ca="1" si="165"/>
        <v>7.7331582738423693E-2</v>
      </c>
      <c r="L314" s="219">
        <f t="shared" ca="1" si="165"/>
        <v>7.7079347820764546E-2</v>
      </c>
      <c r="M314" s="219">
        <f t="shared" ca="1" si="165"/>
        <v>7.683788104690191E-2</v>
      </c>
    </row>
    <row r="315" spans="2:13" s="79" customFormat="1" x14ac:dyDescent="0.35">
      <c r="B315" s="216" t="s">
        <v>356</v>
      </c>
      <c r="C315" s="217"/>
      <c r="D315" s="219">
        <f t="shared" ref="D315:M315" ca="1" si="166">D72/D80</f>
        <v>0.16813671681376008</v>
      </c>
      <c r="E315" s="219">
        <f t="shared" ca="1" si="166"/>
        <v>0.16560170964624513</v>
      </c>
      <c r="F315" s="219">
        <f t="shared" ca="1" si="166"/>
        <v>0.17603875064632191</v>
      </c>
      <c r="G315" s="219">
        <f t="shared" ca="1" si="166"/>
        <v>0.1950538453783941</v>
      </c>
      <c r="H315" s="219">
        <f t="shared" ca="1" si="166"/>
        <v>0.11296014743145284</v>
      </c>
      <c r="I315" s="219">
        <f t="shared" ca="1" si="166"/>
        <v>9.799776549804548E-2</v>
      </c>
      <c r="J315" s="219">
        <f t="shared" ca="1" si="166"/>
        <v>7.761190084782732E-2</v>
      </c>
      <c r="K315" s="219">
        <f t="shared" ca="1" si="166"/>
        <v>7.7331582738423693E-2</v>
      </c>
      <c r="L315" s="219">
        <f t="shared" ca="1" si="166"/>
        <v>7.7079347820764546E-2</v>
      </c>
      <c r="M315" s="219">
        <f t="shared" ca="1" si="166"/>
        <v>7.683788104690191E-2</v>
      </c>
    </row>
    <row r="316" spans="2:13" s="79" customFormat="1" x14ac:dyDescent="0.35">
      <c r="B316" s="216" t="s">
        <v>357</v>
      </c>
      <c r="C316" s="217"/>
      <c r="D316" s="219">
        <f t="shared" ref="D316:M316" ca="1" si="167">D71/D80</f>
        <v>8.3913398953704116E-2</v>
      </c>
      <c r="E316" s="219">
        <f t="shared" ca="1" si="167"/>
        <v>8.3534373970422793E-2</v>
      </c>
      <c r="F316" s="219">
        <f t="shared" ca="1" si="167"/>
        <v>9.7177867052020417E-2</v>
      </c>
      <c r="G316" s="219">
        <f t="shared" ca="1" si="167"/>
        <v>0.11667031909390072</v>
      </c>
      <c r="H316" s="219">
        <f t="shared" ca="1" si="167"/>
        <v>0</v>
      </c>
      <c r="I316" s="219">
        <f t="shared" ca="1" si="167"/>
        <v>0</v>
      </c>
      <c r="J316" s="219">
        <f t="shared" ca="1" si="167"/>
        <v>0</v>
      </c>
      <c r="K316" s="219">
        <f t="shared" ca="1" si="167"/>
        <v>0</v>
      </c>
      <c r="L316" s="219">
        <f t="shared" ca="1" si="167"/>
        <v>0</v>
      </c>
      <c r="M316" s="219">
        <f t="shared" ca="1" si="167"/>
        <v>0</v>
      </c>
    </row>
    <row r="317" spans="2:13" x14ac:dyDescent="0.35">
      <c r="B317"/>
    </row>
    <row r="318" spans="2:13" x14ac:dyDescent="0.35">
      <c r="B318" s="111" t="s">
        <v>358</v>
      </c>
      <c r="C318" s="77"/>
      <c r="D318" s="77"/>
      <c r="E318" s="77"/>
      <c r="F318" s="77"/>
      <c r="G318" s="77"/>
      <c r="H318" s="77"/>
      <c r="I318" s="77"/>
      <c r="J318" s="77"/>
      <c r="K318" s="77"/>
      <c r="L318" s="77"/>
      <c r="M318" s="77"/>
    </row>
    <row r="319" spans="2:13" x14ac:dyDescent="0.35">
      <c r="B319" s="216" t="s">
        <v>359</v>
      </c>
      <c r="C319" s="217"/>
      <c r="D319" s="218">
        <f t="shared" ref="D319:M319" ca="1" si="168">D56/D65</f>
        <v>-8.925069973139221E-3</v>
      </c>
      <c r="E319" s="218">
        <f t="shared" ca="1" si="168"/>
        <v>0.15297520613605936</v>
      </c>
      <c r="F319" s="218">
        <f t="shared" ca="1" si="168"/>
        <v>0.16673589438982001</v>
      </c>
      <c r="G319" s="218">
        <f t="shared" ca="1" si="168"/>
        <v>0.18941276314953515</v>
      </c>
      <c r="H319" s="218">
        <f t="shared" ca="1" si="168"/>
        <v>0.21433544805714877</v>
      </c>
      <c r="I319" s="218">
        <f t="shared" ca="1" si="168"/>
        <v>0.22313646630071707</v>
      </c>
      <c r="J319" s="218">
        <f t="shared" ca="1" si="168"/>
        <v>0.22665015694457361</v>
      </c>
      <c r="K319" s="218">
        <f t="shared" ca="1" si="168"/>
        <v>0.2264517675130848</v>
      </c>
      <c r="L319" s="218">
        <f t="shared" ca="1" si="168"/>
        <v>0.22622896568741702</v>
      </c>
      <c r="M319" s="218">
        <f t="shared" ca="1" si="168"/>
        <v>0.22601818405111879</v>
      </c>
    </row>
    <row r="320" spans="2:13" x14ac:dyDescent="0.35">
      <c r="B320" s="216" t="s">
        <v>360</v>
      </c>
      <c r="C320" s="217"/>
      <c r="D320" s="218">
        <f t="shared" ref="D320:M320" ca="1" si="169">D56/D80</f>
        <v>-1.4107880574569095E-2</v>
      </c>
      <c r="E320" s="218">
        <f t="shared" ca="1" si="169"/>
        <v>0.2150683458952547</v>
      </c>
      <c r="F320" s="218">
        <f t="shared" ca="1" si="169"/>
        <v>0.21663724373140938</v>
      </c>
      <c r="G320" s="218">
        <f t="shared" ca="1" si="169"/>
        <v>0.22635845096559892</v>
      </c>
      <c r="H320" s="218">
        <f t="shared" ca="1" si="169"/>
        <v>0.2385468118694708</v>
      </c>
      <c r="I320" s="218">
        <f t="shared" ca="1" si="169"/>
        <v>0.24500334139931723</v>
      </c>
      <c r="J320" s="218">
        <f t="shared" ca="1" si="169"/>
        <v>0.24424090645250029</v>
      </c>
      <c r="K320" s="218">
        <f t="shared" ca="1" si="169"/>
        <v>0.24396364110878516</v>
      </c>
      <c r="L320" s="218">
        <f t="shared" ca="1" si="169"/>
        <v>0.24366654682076916</v>
      </c>
      <c r="M320" s="218">
        <f t="shared" ca="1" si="169"/>
        <v>0.24338494239167538</v>
      </c>
    </row>
    <row r="321" spans="2:13" x14ac:dyDescent="0.35">
      <c r="B321" s="216" t="s">
        <v>361</v>
      </c>
      <c r="C321" s="217"/>
      <c r="D321" s="218">
        <f t="shared" ref="D321:M321" ca="1" si="170">D41/D39</f>
        <v>0.95426105717367848</v>
      </c>
      <c r="E321" s="218">
        <f t="shared" ca="1" si="170"/>
        <v>0.97239583333333335</v>
      </c>
      <c r="F321" s="218">
        <f t="shared" ca="1" si="170"/>
        <v>0.97239583333333335</v>
      </c>
      <c r="G321" s="218">
        <f t="shared" ca="1" si="170"/>
        <v>0.97239583333333335</v>
      </c>
      <c r="H321" s="218">
        <f t="shared" ca="1" si="170"/>
        <v>0.97239583333333335</v>
      </c>
      <c r="I321" s="218">
        <f t="shared" ca="1" si="170"/>
        <v>0.97239583333333324</v>
      </c>
      <c r="J321" s="218">
        <f t="shared" ca="1" si="170"/>
        <v>0.97239583333333335</v>
      </c>
      <c r="K321" s="218">
        <f t="shared" ca="1" si="170"/>
        <v>0.97239583333333335</v>
      </c>
      <c r="L321" s="218">
        <f t="shared" ca="1" si="170"/>
        <v>0.97239583333333335</v>
      </c>
      <c r="M321" s="218">
        <f t="shared" ca="1" si="170"/>
        <v>0.97239583333333324</v>
      </c>
    </row>
    <row r="322" spans="2:13" x14ac:dyDescent="0.35">
      <c r="B322" s="216" t="s">
        <v>362</v>
      </c>
      <c r="C322" s="217"/>
      <c r="D322" s="218">
        <f ca="1">D46/D39</f>
        <v>0.19893062982514517</v>
      </c>
      <c r="E322" s="218">
        <f t="shared" ref="E322:M322" ca="1" si="171">E46/E39</f>
        <v>0.51964896792992954</v>
      </c>
      <c r="F322" s="218">
        <f t="shared" ca="1" si="171"/>
        <v>0.52153419216498009</v>
      </c>
      <c r="G322" s="218">
        <f t="shared" ca="1" si="171"/>
        <v>0.52336450695629133</v>
      </c>
      <c r="H322" s="218">
        <f t="shared" ca="1" si="171"/>
        <v>0.52514151160805</v>
      </c>
      <c r="I322" s="218">
        <f t="shared" ca="1" si="171"/>
        <v>0.5268667588427669</v>
      </c>
      <c r="J322" s="218">
        <f t="shared" ca="1" si="171"/>
        <v>0.52854175615802612</v>
      </c>
      <c r="K322" s="218">
        <f t="shared" ca="1" si="171"/>
        <v>0.5301679671437145</v>
      </c>
      <c r="L322" s="218">
        <f t="shared" ca="1" si="171"/>
        <v>0.53174681276088798</v>
      </c>
      <c r="M322" s="218">
        <f t="shared" ca="1" si="171"/>
        <v>0.53327967258338638</v>
      </c>
    </row>
    <row r="323" spans="2:13" x14ac:dyDescent="0.35">
      <c r="B323" s="216" t="s">
        <v>363</v>
      </c>
      <c r="C323" s="217"/>
      <c r="D323" s="218">
        <f t="shared" ref="D323:M323" ca="1" si="172">D56/D39</f>
        <v>-2.451128545229268E-2</v>
      </c>
      <c r="E323" s="218">
        <f t="shared" ca="1" si="172"/>
        <v>0.27414239364315862</v>
      </c>
      <c r="F323" s="218">
        <f t="shared" ca="1" si="172"/>
        <v>0.29227759214611904</v>
      </c>
      <c r="G323" s="218">
        <f t="shared" ca="1" si="172"/>
        <v>0.31320661627819163</v>
      </c>
      <c r="H323" s="218">
        <f t="shared" ca="1" si="172"/>
        <v>0.33769832359379681</v>
      </c>
      <c r="I323" s="218">
        <f t="shared" ca="1" si="172"/>
        <v>0.3526817184093422</v>
      </c>
      <c r="J323" s="218">
        <f t="shared" ca="1" si="172"/>
        <v>0.35393614680749114</v>
      </c>
      <c r="K323" s="218">
        <f t="shared" ca="1" si="172"/>
        <v>0.35521253798628877</v>
      </c>
      <c r="L323" s="218">
        <f t="shared" ca="1" si="172"/>
        <v>0.35627036454979494</v>
      </c>
      <c r="M323" s="218">
        <f t="shared" ca="1" si="172"/>
        <v>0.35729738063086885</v>
      </c>
    </row>
    <row r="324" spans="2:13" x14ac:dyDescent="0.35">
      <c r="B324" s="212"/>
      <c r="C324" s="213"/>
      <c r="D324" s="213"/>
    </row>
    <row r="325" spans="2:13" x14ac:dyDescent="0.35">
      <c r="B325" s="111" t="s">
        <v>364</v>
      </c>
      <c r="C325" s="77"/>
      <c r="D325" s="77"/>
      <c r="E325" s="77"/>
      <c r="F325" s="77"/>
      <c r="G325" s="77"/>
      <c r="H325" s="77"/>
      <c r="I325" s="77"/>
      <c r="J325" s="77"/>
      <c r="K325" s="77"/>
      <c r="L325" s="77"/>
      <c r="M325" s="77"/>
    </row>
    <row r="326" spans="2:13" s="79" customFormat="1" x14ac:dyDescent="0.35">
      <c r="B326" s="216" t="s">
        <v>285</v>
      </c>
      <c r="C326" s="217"/>
      <c r="D326" s="217">
        <f t="shared" ref="D326:M326" ca="1" si="173">D275</f>
        <v>46363590</v>
      </c>
      <c r="E326" s="217">
        <f t="shared" ca="1" si="173"/>
        <v>151121013.12</v>
      </c>
      <c r="F326" s="217">
        <f t="shared" ca="1" si="173"/>
        <v>155654643.51360002</v>
      </c>
      <c r="G326" s="217">
        <f t="shared" ca="1" si="173"/>
        <v>160324282.81900802</v>
      </c>
      <c r="H326" s="217">
        <f t="shared" ca="1" si="173"/>
        <v>165134011.30357832</v>
      </c>
      <c r="I326" s="217">
        <f t="shared" ca="1" si="173"/>
        <v>170088031.64268559</v>
      </c>
      <c r="J326" s="217">
        <f t="shared" ca="1" si="173"/>
        <v>175190672.59196621</v>
      </c>
      <c r="K326" s="217">
        <f t="shared" ca="1" si="173"/>
        <v>180446392.7697252</v>
      </c>
      <c r="L326" s="217">
        <f t="shared" ca="1" si="173"/>
        <v>185859784.55281693</v>
      </c>
      <c r="M326" s="217">
        <f t="shared" ca="1" si="173"/>
        <v>191435578.08940148</v>
      </c>
    </row>
    <row r="327" spans="2:13" s="79" customFormat="1" x14ac:dyDescent="0.35">
      <c r="B327" s="216" t="s">
        <v>365</v>
      </c>
      <c r="C327" s="217"/>
      <c r="D327" s="218">
        <f t="shared" ref="D327:M327" ca="1" si="174">D326/D39</f>
        <v>0.31132686084142397</v>
      </c>
      <c r="E327" s="218">
        <f t="shared" ca="1" si="174"/>
        <v>0.58437499999999998</v>
      </c>
      <c r="F327" s="218">
        <f t="shared" ca="1" si="174"/>
        <v>0.58437499999999998</v>
      </c>
      <c r="G327" s="218">
        <f t="shared" ca="1" si="174"/>
        <v>0.58437499999999998</v>
      </c>
      <c r="H327" s="218">
        <f t="shared" ca="1" si="174"/>
        <v>0.58437500000000009</v>
      </c>
      <c r="I327" s="218">
        <f t="shared" ca="1" si="174"/>
        <v>0.58437499999999998</v>
      </c>
      <c r="J327" s="218">
        <f t="shared" ca="1" si="174"/>
        <v>0.58437500000000009</v>
      </c>
      <c r="K327" s="218">
        <f t="shared" ca="1" si="174"/>
        <v>0.58437500000000009</v>
      </c>
      <c r="L327" s="218">
        <f t="shared" ca="1" si="174"/>
        <v>0.58437499999999987</v>
      </c>
      <c r="M327" s="218">
        <f t="shared" ca="1" si="174"/>
        <v>0.58437499999999998</v>
      </c>
    </row>
    <row r="328" spans="2:13" s="79" customFormat="1" x14ac:dyDescent="0.35">
      <c r="B328" s="216" t="s">
        <v>366</v>
      </c>
      <c r="C328" s="217"/>
      <c r="D328" s="218">
        <f ca="1">D41/D39</f>
        <v>0.95426105717367848</v>
      </c>
      <c r="E328" s="218">
        <f t="shared" ref="E328:M328" ca="1" si="175">E41/E39</f>
        <v>0.97239583333333335</v>
      </c>
      <c r="F328" s="218">
        <f t="shared" ca="1" si="175"/>
        <v>0.97239583333333335</v>
      </c>
      <c r="G328" s="218">
        <f t="shared" ca="1" si="175"/>
        <v>0.97239583333333335</v>
      </c>
      <c r="H328" s="218">
        <f t="shared" ca="1" si="175"/>
        <v>0.97239583333333335</v>
      </c>
      <c r="I328" s="218">
        <f t="shared" ca="1" si="175"/>
        <v>0.97239583333333324</v>
      </c>
      <c r="J328" s="218">
        <f t="shared" ca="1" si="175"/>
        <v>0.97239583333333335</v>
      </c>
      <c r="K328" s="218">
        <f t="shared" ca="1" si="175"/>
        <v>0.97239583333333335</v>
      </c>
      <c r="L328" s="218">
        <f t="shared" ca="1" si="175"/>
        <v>0.97239583333333335</v>
      </c>
      <c r="M328" s="218">
        <f t="shared" ca="1" si="175"/>
        <v>0.97239583333333324</v>
      </c>
    </row>
    <row r="329" spans="2:13" s="79" customFormat="1" x14ac:dyDescent="0.35">
      <c r="B329" s="216" t="s">
        <v>367</v>
      </c>
      <c r="C329" s="217"/>
      <c r="D329" s="218">
        <f ca="1">D46/D39</f>
        <v>0.19893062982514517</v>
      </c>
      <c r="E329" s="218">
        <f t="shared" ref="E329:M329" ca="1" si="176">E46/E39</f>
        <v>0.51964896792992954</v>
      </c>
      <c r="F329" s="218">
        <f t="shared" ca="1" si="176"/>
        <v>0.52153419216498009</v>
      </c>
      <c r="G329" s="218">
        <f t="shared" ca="1" si="176"/>
        <v>0.52336450695629133</v>
      </c>
      <c r="H329" s="218">
        <f t="shared" ca="1" si="176"/>
        <v>0.52514151160805</v>
      </c>
      <c r="I329" s="218">
        <f t="shared" ca="1" si="176"/>
        <v>0.5268667588427669</v>
      </c>
      <c r="J329" s="218">
        <f t="shared" ca="1" si="176"/>
        <v>0.52854175615802612</v>
      </c>
      <c r="K329" s="218">
        <f t="shared" ca="1" si="176"/>
        <v>0.5301679671437145</v>
      </c>
      <c r="L329" s="218">
        <f t="shared" ca="1" si="176"/>
        <v>0.53174681276088798</v>
      </c>
      <c r="M329" s="218">
        <f t="shared" ca="1" si="176"/>
        <v>0.53327967258338638</v>
      </c>
    </row>
    <row r="330" spans="2:13" s="79" customFormat="1" x14ac:dyDescent="0.35">
      <c r="B330" s="216" t="s">
        <v>368</v>
      </c>
      <c r="C330" s="217"/>
      <c r="D330" s="218">
        <f ca="1">D56/D39</f>
        <v>-2.451128545229268E-2</v>
      </c>
      <c r="E330" s="218">
        <f t="shared" ref="E330:M330" ca="1" si="177">E56/E39</f>
        <v>0.27414239364315862</v>
      </c>
      <c r="F330" s="218">
        <f t="shared" ca="1" si="177"/>
        <v>0.29227759214611904</v>
      </c>
      <c r="G330" s="218">
        <f t="shared" ca="1" si="177"/>
        <v>0.31320661627819163</v>
      </c>
      <c r="H330" s="218">
        <f t="shared" ca="1" si="177"/>
        <v>0.33769832359379681</v>
      </c>
      <c r="I330" s="218">
        <f t="shared" ca="1" si="177"/>
        <v>0.3526817184093422</v>
      </c>
      <c r="J330" s="218">
        <f t="shared" ca="1" si="177"/>
        <v>0.35393614680749114</v>
      </c>
      <c r="K330" s="218">
        <f t="shared" ca="1" si="177"/>
        <v>0.35521253798628877</v>
      </c>
      <c r="L330" s="218">
        <f t="shared" ca="1" si="177"/>
        <v>0.35627036454979494</v>
      </c>
      <c r="M330" s="218">
        <f t="shared" ca="1" si="177"/>
        <v>0.35729738063086885</v>
      </c>
    </row>
    <row r="331" spans="2:13" s="79" customFormat="1" x14ac:dyDescent="0.35">
      <c r="B331" s="216" t="s">
        <v>369</v>
      </c>
      <c r="C331" s="217"/>
      <c r="D331" s="218">
        <f ca="1">D55/D53</f>
        <v>0</v>
      </c>
      <c r="E331" s="218">
        <f t="shared" ref="E331:M331" ca="1" si="178">E55/E53</f>
        <v>0.33</v>
      </c>
      <c r="F331" s="218">
        <f t="shared" ca="1" si="178"/>
        <v>0.32999999999999996</v>
      </c>
      <c r="G331" s="218">
        <f t="shared" ca="1" si="178"/>
        <v>0.33</v>
      </c>
      <c r="H331" s="218">
        <f t="shared" ca="1" si="178"/>
        <v>0.33</v>
      </c>
      <c r="I331" s="218">
        <f t="shared" ca="1" si="178"/>
        <v>0.33</v>
      </c>
      <c r="J331" s="218">
        <f t="shared" ca="1" si="178"/>
        <v>0.33</v>
      </c>
      <c r="K331" s="218">
        <f t="shared" ca="1" si="178"/>
        <v>0.33</v>
      </c>
      <c r="L331" s="218">
        <f t="shared" ca="1" si="178"/>
        <v>0.33</v>
      </c>
      <c r="M331" s="218">
        <f t="shared" ca="1" si="178"/>
        <v>0.33</v>
      </c>
    </row>
  </sheetData>
  <mergeCells count="2">
    <mergeCell ref="B231:C231"/>
    <mergeCell ref="B232:C232"/>
  </mergeCells>
  <conditionalFormatting sqref="B84">
    <cfRule type="expression" dxfId="13" priority="67">
      <formula>SUM($C$84:$M$84)&lt;&gt;0</formula>
    </cfRule>
  </conditionalFormatting>
  <conditionalFormatting sqref="C84:M84">
    <cfRule type="expression" dxfId="12" priority="66">
      <formula>C84&lt;&gt;0</formula>
    </cfRule>
  </conditionalFormatting>
  <conditionalFormatting sqref="C168:M168">
    <cfRule type="expression" dxfId="11" priority="20">
      <formula>C168&lt;&gt;0</formula>
    </cfRule>
  </conditionalFormatting>
  <conditionalFormatting sqref="G238">
    <cfRule type="expression" dxfId="10" priority="18">
      <formula>G238&gt;G229</formula>
    </cfRule>
  </conditionalFormatting>
  <conditionalFormatting sqref="D238:M238">
    <cfRule type="expression" dxfId="9" priority="16">
      <formula>D238&gt;D229</formula>
    </cfRule>
  </conditionalFormatting>
  <conditionalFormatting sqref="A231:A254 A265 A276:A279 A282:A295">
    <cfRule type="expression" dxfId="8" priority="12">
      <formula>$A$1="C"</formula>
    </cfRule>
  </conditionalFormatting>
  <conditionalFormatting sqref="D238:M238">
    <cfRule type="expression" dxfId="7" priority="10">
      <formula>D238&gt;D229</formula>
    </cfRule>
  </conditionalFormatting>
  <conditionalFormatting sqref="H238:J238">
    <cfRule type="expression" dxfId="6" priority="9">
      <formula>H238&gt;H229</formula>
    </cfRule>
  </conditionalFormatting>
  <conditionalFormatting sqref="D238:M238">
    <cfRule type="expression" dxfId="5" priority="8">
      <formula>D238&gt;D229</formula>
    </cfRule>
  </conditionalFormatting>
  <conditionalFormatting sqref="D283:M283">
    <cfRule type="expression" dxfId="4" priority="7">
      <formula>D283&gt;C283</formula>
    </cfRule>
  </conditionalFormatting>
  <conditionalFormatting sqref="D282:M282">
    <cfRule type="expression" dxfId="3" priority="6">
      <formula>D282&lt;C282</formula>
    </cfRule>
  </conditionalFormatting>
  <conditionalFormatting sqref="C279:M279">
    <cfRule type="expression" dxfId="2" priority="4">
      <formula>C279&lt;&gt;0</formula>
    </cfRule>
  </conditionalFormatting>
  <conditionalFormatting sqref="A274">
    <cfRule type="expression" dxfId="1" priority="2">
      <formula>$A$1="C"</formula>
    </cfRule>
  </conditionalFormatting>
  <conditionalFormatting sqref="A280">
    <cfRule type="expression" dxfId="0" priority="1">
      <formula>$A$1="C"</formula>
    </cfRule>
  </conditionalFormatting>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E73CC-C4D8-49E0-8C6E-2173BB2C5C45}">
  <dimension ref="B2:O21"/>
  <sheetViews>
    <sheetView showGridLines="0" zoomScale="85" zoomScaleNormal="85" workbookViewId="0">
      <selection activeCell="B5" sqref="B5"/>
    </sheetView>
  </sheetViews>
  <sheetFormatPr baseColWidth="10" defaultRowHeight="14.5" x14ac:dyDescent="0.35"/>
  <cols>
    <col min="2" max="2" width="24.81640625" bestFit="1" customWidth="1"/>
    <col min="3" max="3" width="15.1796875" bestFit="1" customWidth="1"/>
    <col min="4" max="4" width="17" bestFit="1" customWidth="1"/>
    <col min="5" max="5" width="13.453125" bestFit="1" customWidth="1"/>
    <col min="6" max="6" width="4" customWidth="1"/>
    <col min="7" max="7" width="16.54296875" customWidth="1"/>
    <col min="8" max="10" width="13.453125" bestFit="1" customWidth="1"/>
    <col min="11" max="11" width="4.453125" customWidth="1"/>
    <col min="12" max="12" width="24.81640625" bestFit="1" customWidth="1"/>
    <col min="13" max="13" width="15.1796875" bestFit="1" customWidth="1"/>
    <col min="14" max="14" width="17" bestFit="1" customWidth="1"/>
    <col min="15" max="15" width="13.453125" bestFit="1" customWidth="1"/>
  </cols>
  <sheetData>
    <row r="2" spans="2:15" ht="15" thickBot="1" x14ac:dyDescent="0.4"/>
    <row r="3" spans="2:15" ht="16" thickBot="1" x14ac:dyDescent="0.4">
      <c r="B3" s="302" t="s">
        <v>381</v>
      </c>
      <c r="C3" s="303"/>
      <c r="D3" s="303"/>
      <c r="E3" s="304"/>
      <c r="G3" s="302" t="s">
        <v>382</v>
      </c>
      <c r="H3" s="303"/>
      <c r="I3" s="303"/>
      <c r="J3" s="304"/>
      <c r="L3" s="302" t="s">
        <v>383</v>
      </c>
      <c r="M3" s="303"/>
      <c r="N3" s="303"/>
      <c r="O3" s="304"/>
    </row>
    <row r="4" spans="2:15" ht="15" thickBot="1" x14ac:dyDescent="0.4"/>
    <row r="5" spans="2:15" ht="29.5" thickBot="1" x14ac:dyDescent="0.4">
      <c r="B5" s="232" t="s">
        <v>372</v>
      </c>
      <c r="C5" s="229">
        <v>2</v>
      </c>
      <c r="D5" s="227">
        <v>3</v>
      </c>
      <c r="E5" s="228">
        <v>4</v>
      </c>
      <c r="G5" s="260" t="s">
        <v>377</v>
      </c>
      <c r="H5" s="261" t="s">
        <v>14</v>
      </c>
      <c r="I5" s="262" t="s">
        <v>15</v>
      </c>
      <c r="J5" s="263" t="s">
        <v>16</v>
      </c>
      <c r="L5" s="270" t="s">
        <v>378</v>
      </c>
      <c r="M5" s="271">
        <v>0.6</v>
      </c>
      <c r="N5" s="272">
        <v>0.7</v>
      </c>
      <c r="O5" s="273">
        <v>0.8</v>
      </c>
    </row>
    <row r="6" spans="2:15" x14ac:dyDescent="0.35">
      <c r="B6" s="233" t="s">
        <v>371</v>
      </c>
      <c r="C6" s="241">
        <v>-117409114.94805503</v>
      </c>
      <c r="D6" s="249">
        <v>134255008.08133829</v>
      </c>
      <c r="E6" s="245">
        <v>385188623.81597459</v>
      </c>
      <c r="G6" s="233" t="s">
        <v>371</v>
      </c>
      <c r="H6" s="241">
        <v>-142076831.69465613</v>
      </c>
      <c r="I6" s="249">
        <v>134255008.08133829</v>
      </c>
      <c r="J6" s="245">
        <v>408469622.2559672</v>
      </c>
      <c r="L6" s="233" t="s">
        <v>371</v>
      </c>
      <c r="M6" s="241">
        <v>121281965.15795755</v>
      </c>
      <c r="N6" s="249">
        <v>134255008.08133829</v>
      </c>
      <c r="O6" s="245">
        <v>147208152.10341847</v>
      </c>
    </row>
    <row r="7" spans="2:15" ht="15" thickBot="1" x14ac:dyDescent="0.4">
      <c r="B7" s="235" t="s">
        <v>270</v>
      </c>
      <c r="C7" s="242">
        <v>0.10098082187435797</v>
      </c>
      <c r="D7" s="250">
        <v>0.22634688676671888</v>
      </c>
      <c r="E7" s="246">
        <v>0.29397821577944483</v>
      </c>
      <c r="G7" s="235" t="s">
        <v>270</v>
      </c>
      <c r="H7" s="242">
        <v>9.3740269933876297E-2</v>
      </c>
      <c r="I7" s="250">
        <v>0.22634688676671888</v>
      </c>
      <c r="J7" s="246">
        <v>0.31088046378329914</v>
      </c>
      <c r="L7" s="235" t="s">
        <v>270</v>
      </c>
      <c r="M7" s="242">
        <v>0.21998101216906862</v>
      </c>
      <c r="N7" s="250">
        <v>0.22634688676671888</v>
      </c>
      <c r="O7" s="246">
        <v>0.23291681047569512</v>
      </c>
    </row>
    <row r="8" spans="2:15" x14ac:dyDescent="0.35">
      <c r="B8" s="238" t="s">
        <v>374</v>
      </c>
      <c r="C8" s="243">
        <f>C6/$D$6-1</f>
        <v>-1.8745231677087444</v>
      </c>
      <c r="D8" s="251">
        <v>0</v>
      </c>
      <c r="E8" s="247">
        <f t="shared" ref="E8" si="0">E6/$D$6-1</f>
        <v>1.8690819755685268</v>
      </c>
      <c r="G8" s="238" t="s">
        <v>374</v>
      </c>
      <c r="H8" s="243">
        <f>H6/$I$6-1</f>
        <v>-2.0582609447878397</v>
      </c>
      <c r="I8" s="251">
        <f t="shared" ref="I8:J8" si="1">I6/$I$6-1</f>
        <v>0</v>
      </c>
      <c r="J8" s="247">
        <f t="shared" si="1"/>
        <v>2.0424907651005184</v>
      </c>
      <c r="L8" s="238" t="s">
        <v>374</v>
      </c>
      <c r="M8" s="243">
        <f>M6/$N$6-1</f>
        <v>-9.6629862146528134E-2</v>
      </c>
      <c r="N8" s="251">
        <f t="shared" ref="N8:O8" si="2">N6/$D$6-1</f>
        <v>0</v>
      </c>
      <c r="O8" s="247">
        <f t="shared" si="2"/>
        <v>9.6481644947148171E-2</v>
      </c>
    </row>
    <row r="9" spans="2:15" ht="15" thickBot="1" x14ac:dyDescent="0.4">
      <c r="B9" s="234" t="s">
        <v>375</v>
      </c>
      <c r="C9" s="244">
        <f>C7/$D$7-1</f>
        <v>-0.55386697242965666</v>
      </c>
      <c r="D9" s="252">
        <v>0</v>
      </c>
      <c r="E9" s="248">
        <f t="shared" ref="E9" si="3">E7/$D$7-1</f>
        <v>0.29879504851519867</v>
      </c>
      <c r="G9" s="234" t="s">
        <v>375</v>
      </c>
      <c r="H9" s="244">
        <f>H7/$I$7-1</f>
        <v>-0.58585571344531751</v>
      </c>
      <c r="I9" s="252">
        <f t="shared" ref="I9:J9" si="4">I7/$I$7-1</f>
        <v>0</v>
      </c>
      <c r="J9" s="248">
        <f t="shared" si="4"/>
        <v>0.37346913944393489</v>
      </c>
      <c r="L9" s="234" t="s">
        <v>375</v>
      </c>
      <c r="M9" s="244">
        <f>M7/$N$7-1</f>
        <v>-2.8124418623929004E-2</v>
      </c>
      <c r="N9" s="252">
        <f t="shared" ref="N9:O9" si="5">N7/$D$7-1</f>
        <v>0</v>
      </c>
      <c r="O9" s="248">
        <f t="shared" si="5"/>
        <v>2.9025907105793003E-2</v>
      </c>
    </row>
    <row r="10" spans="2:15" ht="15" thickBot="1" x14ac:dyDescent="0.4"/>
    <row r="11" spans="2:15" ht="15" thickBot="1" x14ac:dyDescent="0.4">
      <c r="B11" s="232" t="s">
        <v>373</v>
      </c>
      <c r="C11" s="253">
        <v>600000</v>
      </c>
      <c r="D11" s="254">
        <v>650000</v>
      </c>
      <c r="E11" s="255">
        <v>700000</v>
      </c>
      <c r="L11" s="232" t="s">
        <v>379</v>
      </c>
      <c r="M11" s="264">
        <v>4</v>
      </c>
      <c r="N11" s="265">
        <v>5</v>
      </c>
      <c r="O11" s="266">
        <v>6</v>
      </c>
    </row>
    <row r="12" spans="2:15" x14ac:dyDescent="0.35">
      <c r="B12" s="233" t="s">
        <v>371</v>
      </c>
      <c r="C12" s="230">
        <v>52870232.527845025</v>
      </c>
      <c r="D12" s="226">
        <v>93554527.365357578</v>
      </c>
      <c r="E12" s="259">
        <v>134255008.08133829</v>
      </c>
      <c r="L12" s="233" t="s">
        <v>371</v>
      </c>
      <c r="M12" s="241">
        <v>144407026.8863098</v>
      </c>
      <c r="N12" s="249">
        <v>134255008.08133829</v>
      </c>
      <c r="O12" s="245">
        <v>124633039.23706155</v>
      </c>
    </row>
    <row r="13" spans="2:15" ht="15" thickBot="1" x14ac:dyDescent="0.4">
      <c r="B13" s="235" t="s">
        <v>270</v>
      </c>
      <c r="C13" s="236">
        <v>0.19547561227205046</v>
      </c>
      <c r="D13" s="237">
        <v>0.21146753306781685</v>
      </c>
      <c r="E13" s="256">
        <v>0.22634688676671888</v>
      </c>
      <c r="L13" s="235" t="s">
        <v>270</v>
      </c>
      <c r="M13" s="242">
        <v>0.23003885567861326</v>
      </c>
      <c r="N13" s="250">
        <v>0.22634688676671888</v>
      </c>
      <c r="O13" s="246">
        <v>0.22303774350659977</v>
      </c>
    </row>
    <row r="14" spans="2:15" x14ac:dyDescent="0.35">
      <c r="B14" s="238" t="s">
        <v>374</v>
      </c>
      <c r="C14" s="239">
        <f>C12/$E$12-1</f>
        <v>-0.60619545383503581</v>
      </c>
      <c r="D14" s="240">
        <f t="shared" ref="D14" si="6">D12/$E$12-1</f>
        <v>-0.30315800727018205</v>
      </c>
      <c r="E14" s="257">
        <v>0</v>
      </c>
      <c r="L14" s="238" t="s">
        <v>374</v>
      </c>
      <c r="M14" s="243">
        <f>M12/$N$12-1</f>
        <v>7.5617430962582333E-2</v>
      </c>
      <c r="N14" s="251">
        <f t="shared" ref="N14:O14" si="7">N12/$N$12-1</f>
        <v>0</v>
      </c>
      <c r="O14" s="247">
        <f t="shared" si="7"/>
        <v>-7.1669347622751456E-2</v>
      </c>
    </row>
    <row r="15" spans="2:15" ht="15" thickBot="1" x14ac:dyDescent="0.4">
      <c r="B15" s="234" t="s">
        <v>375</v>
      </c>
      <c r="C15" s="231">
        <f>C13/$E$13-1</f>
        <v>-0.13638921628502654</v>
      </c>
      <c r="D15" s="225">
        <f t="shared" ref="D15" si="8">D13/$E$13-1</f>
        <v>-6.5736948766771497E-2</v>
      </c>
      <c r="E15" s="258">
        <v>0</v>
      </c>
      <c r="L15" s="234" t="s">
        <v>375</v>
      </c>
      <c r="M15" s="244">
        <f>M13/$N$13-1</f>
        <v>1.631110975119987E-2</v>
      </c>
      <c r="N15" s="252">
        <f t="shared" ref="N15:O15" si="9">N13/$N$13-1</f>
        <v>0</v>
      </c>
      <c r="O15" s="248">
        <f t="shared" si="9"/>
        <v>-1.4619786944671476E-2</v>
      </c>
    </row>
    <row r="16" spans="2:15" ht="15" thickBot="1" x14ac:dyDescent="0.4"/>
    <row r="17" spans="2:15" ht="15" thickBot="1" x14ac:dyDescent="0.4">
      <c r="B17" s="232" t="s">
        <v>376</v>
      </c>
      <c r="C17" s="253">
        <v>450000</v>
      </c>
      <c r="D17" s="254">
        <v>500000</v>
      </c>
      <c r="E17" s="255">
        <v>550000</v>
      </c>
      <c r="L17" s="232" t="s">
        <v>380</v>
      </c>
      <c r="M17" s="267">
        <v>1.7999999999999999E-2</v>
      </c>
      <c r="N17" s="268">
        <v>0.02</v>
      </c>
      <c r="O17" s="269">
        <v>2.1999999999999999E-2</v>
      </c>
    </row>
    <row r="18" spans="2:15" x14ac:dyDescent="0.35">
      <c r="B18" s="233" t="s">
        <v>371</v>
      </c>
      <c r="C18" s="230">
        <v>80302315.14728564</v>
      </c>
      <c r="D18" s="226">
        <v>107275423.27445313</v>
      </c>
      <c r="E18" s="259">
        <v>134255008.08133829</v>
      </c>
      <c r="L18" s="233" t="s">
        <v>371</v>
      </c>
      <c r="M18" s="241">
        <v>140549799.64359421</v>
      </c>
      <c r="N18" s="249">
        <v>134255008.08133829</v>
      </c>
      <c r="O18" s="245">
        <v>127896795.73478171</v>
      </c>
    </row>
    <row r="19" spans="2:15" ht="15" thickBot="1" x14ac:dyDescent="0.4">
      <c r="B19" s="235" t="s">
        <v>270</v>
      </c>
      <c r="C19" s="236">
        <v>0.20639402937277818</v>
      </c>
      <c r="D19" s="237">
        <v>0.21660148422046333</v>
      </c>
      <c r="E19" s="256">
        <v>0.22634688676671888</v>
      </c>
      <c r="L19" s="235" t="s">
        <v>270</v>
      </c>
      <c r="M19" s="242">
        <v>0.22573630268233402</v>
      </c>
      <c r="N19" s="250">
        <v>0.22634688676671888</v>
      </c>
      <c r="O19" s="246">
        <v>0.22698379918444389</v>
      </c>
    </row>
    <row r="20" spans="2:15" x14ac:dyDescent="0.35">
      <c r="B20" s="238" t="s">
        <v>374</v>
      </c>
      <c r="C20" s="239">
        <f>C18/$E$18-1</f>
        <v>-0.40186726517766436</v>
      </c>
      <c r="D20" s="240">
        <f t="shared" ref="D20" si="10">D18/$E$18-1</f>
        <v>-0.20095775340119593</v>
      </c>
      <c r="E20" s="257">
        <v>0</v>
      </c>
      <c r="L20" s="238" t="s">
        <v>374</v>
      </c>
      <c r="M20" s="243">
        <f>M18/$N$18-1</f>
        <v>4.6886828671912406E-2</v>
      </c>
      <c r="N20" s="251">
        <f t="shared" ref="N20:O20" si="11">N18/$N$18-1</f>
        <v>0</v>
      </c>
      <c r="O20" s="247">
        <f t="shared" si="11"/>
        <v>-4.7359219126518193E-2</v>
      </c>
    </row>
    <row r="21" spans="2:15" ht="15" thickBot="1" x14ac:dyDescent="0.4">
      <c r="B21" s="234" t="s">
        <v>375</v>
      </c>
      <c r="C21" s="231">
        <f>C19/$E$19-1</f>
        <v>-8.8151675858943124E-2</v>
      </c>
      <c r="D21" s="225">
        <f t="shared" ref="D21" si="12">D19/$E$19-1</f>
        <v>-4.3055164952630953E-2</v>
      </c>
      <c r="E21" s="258">
        <v>0</v>
      </c>
      <c r="L21" s="234" t="s">
        <v>375</v>
      </c>
      <c r="M21" s="244">
        <f>M19/$N$19-1</f>
        <v>-2.697559012659001E-3</v>
      </c>
      <c r="N21" s="252">
        <f t="shared" ref="N21:O21" si="13">N19/$N$19-1</f>
        <v>0</v>
      </c>
      <c r="O21" s="248">
        <f t="shared" si="13"/>
        <v>2.8138775258765847E-3</v>
      </c>
    </row>
  </sheetData>
  <mergeCells count="3">
    <mergeCell ref="B3:E3"/>
    <mergeCell ref="G3:J3"/>
    <mergeCell ref="L3:O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CA767109CB59A4F8C8DB2A1DAD4AA95" ma:contentTypeVersion="2" ma:contentTypeDescription="Crear nuevo documento." ma:contentTypeScope="" ma:versionID="a99d2c54fb7e932e8d503284e62c6848">
  <xsd:schema xmlns:xsd="http://www.w3.org/2001/XMLSchema" xmlns:xs="http://www.w3.org/2001/XMLSchema" xmlns:p="http://schemas.microsoft.com/office/2006/metadata/properties" xmlns:ns2="493bf077-0ffd-4e58-b8b8-a09d28377d29" targetNamespace="http://schemas.microsoft.com/office/2006/metadata/properties" ma:root="true" ma:fieldsID="86e31382858a84ff9b0d20aa3e4487c1" ns2:_="">
    <xsd:import namespace="493bf077-0ffd-4e58-b8b8-a09d28377d2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3bf077-0ffd-4e58-b8b8-a09d28377d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9ACDB7-0099-4735-8337-38420F00DB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3bf077-0ffd-4e58-b8b8-a09d28377d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C6E19C-0BBF-448B-9FAA-3EB760079663}">
  <ds:schemaRefs>
    <ds:schemaRef ds:uri="http://schemas.microsoft.com/sharepoint/v3/contenttype/forms"/>
  </ds:schemaRefs>
</ds:datastoreItem>
</file>

<file path=customXml/itemProps3.xml><?xml version="1.0" encoding="utf-8"?>
<ds:datastoreItem xmlns:ds="http://schemas.openxmlformats.org/officeDocument/2006/customXml" ds:itemID="{0D7AEF5F-5C97-4520-90A8-F34EA298240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CARÁTULA</vt:lpstr>
      <vt:lpstr>INPUTS</vt:lpstr>
      <vt:lpstr>CAPEX - OPEX</vt:lpstr>
      <vt:lpstr>INGRESOS</vt:lpstr>
      <vt:lpstr>Depreciación</vt:lpstr>
      <vt:lpstr>Deuda</vt:lpstr>
      <vt:lpstr>Modelo</vt:lpstr>
      <vt:lpstr>Sensibilidad</vt:lpstr>
      <vt:lpstr>Escenario</vt:lpstr>
      <vt:lpstr>FRaiz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Gerardo Cifuentes Correa</dc:creator>
  <cp:lastModifiedBy>Lady Johanna Corredor Saavedra</cp:lastModifiedBy>
  <dcterms:created xsi:type="dcterms:W3CDTF">2022-03-09T21:03:55Z</dcterms:created>
  <dcterms:modified xsi:type="dcterms:W3CDTF">2022-06-08T03:28:00Z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0x0101009CA767109CB59A4F8C8DB2A1DAD4AA95</vt:lpwstr>
  </property>
</Properties>
</file>