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rupomatrix365-my.sharepoint.com/personal/fausto_ramirez_grupomatrix_co/Documents/Documentos/FR/PERSONAL/PILOTO/"/>
    </mc:Choice>
  </mc:AlternateContent>
  <xr:revisionPtr revIDLastSave="10" documentId="8_{641AEE75-6C30-4AD0-BC57-217279549344}" xr6:coauthVersionLast="46" xr6:coauthVersionMax="47" xr10:uidLastSave="{FA2FEB6D-026C-446E-87C8-41F5F5F836E9}"/>
  <bookViews>
    <workbookView xWindow="-120" yWindow="-120" windowWidth="20730" windowHeight="11160" tabRatio="946" xr2:uid="{00000000-000D-0000-FFFF-FFFF00000000}"/>
  </bookViews>
  <sheets>
    <sheet name="PRESENTACION " sheetId="28" r:id="rId1"/>
    <sheet name="DATOS GENERALES" sheetId="23" r:id="rId2"/>
    <sheet name="Detalle escenarios" sheetId="22" r:id="rId3"/>
    <sheet name="Ppto Gral" sheetId="14" r:id="rId4"/>
    <sheet name="Nomina" sheetId="25" r:id="rId5"/>
    <sheet name="Ppto Aplic" sheetId="18" r:id="rId6"/>
    <sheet name="Balance" sheetId="24" r:id="rId7"/>
    <sheet name="Estado De Resultados" sheetId="1" r:id="rId8"/>
    <sheet name="INDICADORES" sheetId="26" r:id="rId9"/>
    <sheet name="Flujo de caja" sheetId="5" r:id="rId10"/>
    <sheet name="Gráficas" sheetId="4" r:id="rId11"/>
    <sheet name="Evaluacion de Proyecto" sheetId="17" r:id="rId12"/>
  </sheets>
  <externalReferences>
    <externalReference r:id="rId13"/>
  </externalReferences>
  <definedNames>
    <definedName name="_xlnm.Print_Area" localSheetId="5">'Ppto Aplic'!$A$5:$G$27</definedName>
    <definedName name="CFIJO">#REF!</definedName>
    <definedName name="CFIJOS">'Ppto Gral'!$E$21</definedName>
    <definedName name="COMISION">'Ppto Gral'!$C$7</definedName>
    <definedName name="COMISIÓN">'Ppto Gral'!$J$9</definedName>
    <definedName name="Comprobantes">'[1]Tabla de Comprobantes'!$A$3:$A$65</definedName>
    <definedName name="CVARIABLE">'Ppto Gral'!$E$32</definedName>
    <definedName name="GASTOS">'Ppto Gral'!$E$38</definedName>
    <definedName name="PARTICIPACION">'Ppto Gral'!#REF!</definedName>
    <definedName name="PC">'[1]Tabla de Comprobantes'!$E$3:$E$14</definedName>
    <definedName name="TIR">'Ppto Gral'!#REF!</definedName>
    <definedName name="VPN">'Ppto Gral'!#REF!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4" l="1"/>
  <c r="E47" i="14"/>
  <c r="D33" i="14"/>
  <c r="E15" i="22" s="1"/>
  <c r="H3" i="17"/>
  <c r="D28" i="14"/>
  <c r="D27" i="14"/>
  <c r="D26" i="14"/>
  <c r="D25" i="14"/>
  <c r="D24" i="14"/>
  <c r="D23" i="14"/>
  <c r="D22" i="14"/>
  <c r="R13" i="1"/>
  <c r="U13" i="1" l="1"/>
  <c r="U12" i="1"/>
  <c r="U9" i="1"/>
  <c r="H46" i="24"/>
  <c r="G46" i="24"/>
  <c r="F46" i="24"/>
  <c r="E46" i="24"/>
  <c r="D46" i="24"/>
  <c r="T46" i="24"/>
  <c r="S46" i="24"/>
  <c r="R46" i="24"/>
  <c r="Q46" i="24"/>
  <c r="P46" i="24"/>
  <c r="O46" i="24"/>
  <c r="N46" i="24"/>
  <c r="M46" i="24"/>
  <c r="L46" i="24"/>
  <c r="K46" i="24"/>
  <c r="J46" i="24"/>
  <c r="I46" i="24"/>
  <c r="O52" i="24"/>
  <c r="N52" i="24"/>
  <c r="M52" i="24"/>
  <c r="L52" i="24"/>
  <c r="K52" i="24"/>
  <c r="J52" i="24"/>
  <c r="I52" i="24"/>
  <c r="H52" i="24"/>
  <c r="G52" i="24"/>
  <c r="F52" i="24"/>
  <c r="E52" i="24"/>
  <c r="D52" i="24"/>
  <c r="P13" i="24"/>
  <c r="Q13" i="24" s="1"/>
  <c r="R13" i="24" s="1"/>
  <c r="S13" i="24" s="1"/>
  <c r="T13" i="24" s="1"/>
  <c r="P31" i="24"/>
  <c r="Q31" i="24" s="1"/>
  <c r="R31" i="24" s="1"/>
  <c r="S31" i="24" s="1"/>
  <c r="T31" i="24" s="1"/>
  <c r="P10" i="24"/>
  <c r="Q10" i="24" s="1"/>
  <c r="R10" i="24" s="1"/>
  <c r="S10" i="24" s="1"/>
  <c r="T10" i="24" s="1"/>
  <c r="P9" i="24"/>
  <c r="Q9" i="24" s="1"/>
  <c r="R9" i="24" s="1"/>
  <c r="S9" i="24" s="1"/>
  <c r="T9" i="24" s="1"/>
  <c r="C42" i="24"/>
  <c r="H24" i="22"/>
  <c r="G24" i="22"/>
  <c r="F24" i="22"/>
  <c r="E24" i="22"/>
  <c r="H23" i="22"/>
  <c r="G23" i="22"/>
  <c r="F23" i="22"/>
  <c r="E23" i="22"/>
  <c r="X15" i="25"/>
  <c r="X14" i="25"/>
  <c r="X13" i="25"/>
  <c r="X12" i="25"/>
  <c r="AD15" i="25"/>
  <c r="AD14" i="25"/>
  <c r="AD13" i="25"/>
  <c r="AD12" i="25"/>
  <c r="AD11" i="25"/>
  <c r="AD10" i="25"/>
  <c r="AB13" i="25"/>
  <c r="AB12" i="25"/>
  <c r="AB11" i="25"/>
  <c r="AB10" i="25"/>
  <c r="V13" i="25"/>
  <c r="V12" i="25"/>
  <c r="V11" i="25"/>
  <c r="V10" i="25"/>
  <c r="X11" i="25"/>
  <c r="X10" i="25"/>
  <c r="U13" i="25"/>
  <c r="U12" i="25"/>
  <c r="U11" i="25"/>
  <c r="U10" i="25"/>
  <c r="D19" i="24"/>
  <c r="E19" i="24" s="1"/>
  <c r="F19" i="24" s="1"/>
  <c r="G19" i="24" s="1"/>
  <c r="H19" i="24" s="1"/>
  <c r="I19" i="24" s="1"/>
  <c r="J19" i="24" s="1"/>
  <c r="K19" i="24" s="1"/>
  <c r="L19" i="24" s="1"/>
  <c r="M19" i="24" s="1"/>
  <c r="N19" i="24" s="1"/>
  <c r="O19" i="24" s="1"/>
  <c r="C21" i="24"/>
  <c r="D21" i="24" s="1"/>
  <c r="E21" i="24" s="1"/>
  <c r="F21" i="24" s="1"/>
  <c r="G21" i="24" s="1"/>
  <c r="H21" i="24" s="1"/>
  <c r="I21" i="24" s="1"/>
  <c r="J21" i="24" s="1"/>
  <c r="K21" i="24" s="1"/>
  <c r="L21" i="24" s="1"/>
  <c r="M21" i="24" s="1"/>
  <c r="N21" i="24" s="1"/>
  <c r="O21" i="24" s="1"/>
  <c r="P44" i="24"/>
  <c r="O44" i="24"/>
  <c r="N44" i="24"/>
  <c r="M44" i="24"/>
  <c r="L44" i="24"/>
  <c r="K44" i="24"/>
  <c r="J44" i="24"/>
  <c r="I44" i="24"/>
  <c r="H44" i="24"/>
  <c r="G44" i="24"/>
  <c r="F44" i="24"/>
  <c r="E44" i="24"/>
  <c r="D44" i="24"/>
  <c r="C44" i="24"/>
  <c r="R26" i="1"/>
  <c r="Q26" i="1"/>
  <c r="P26" i="1"/>
  <c r="P19" i="24" s="1"/>
  <c r="D18" i="24"/>
  <c r="E18" i="24" s="1"/>
  <c r="A1" i="1"/>
  <c r="D43" i="14"/>
  <c r="C23" i="24" l="1"/>
  <c r="D22" i="24"/>
  <c r="E22" i="24" s="1"/>
  <c r="P22" i="24"/>
  <c r="Q22" i="24" s="1"/>
  <c r="R22" i="24" s="1"/>
  <c r="S22" i="24" s="1"/>
  <c r="T22" i="24" s="1"/>
  <c r="F18" i="24"/>
  <c r="Q19" i="24"/>
  <c r="R19" i="24" s="1"/>
  <c r="S19" i="24" s="1"/>
  <c r="T19" i="24" s="1"/>
  <c r="E23" i="24" l="1"/>
  <c r="F22" i="24"/>
  <c r="G22" i="24" s="1"/>
  <c r="H22" i="24" s="1"/>
  <c r="I22" i="24" s="1"/>
  <c r="J22" i="24" s="1"/>
  <c r="K22" i="24" s="1"/>
  <c r="L22" i="24" s="1"/>
  <c r="M22" i="24" s="1"/>
  <c r="N22" i="24" s="1"/>
  <c r="O22" i="24" s="1"/>
  <c r="D23" i="24"/>
  <c r="G18" i="24"/>
  <c r="F23" i="24"/>
  <c r="H18" i="24"/>
  <c r="G23" i="24" l="1"/>
  <c r="I18" i="24"/>
  <c r="I23" i="24" s="1"/>
  <c r="H23" i="24"/>
  <c r="J18" i="24"/>
  <c r="J23" i="24" s="1"/>
  <c r="K18" i="24" l="1"/>
  <c r="K23" i="24" s="1"/>
  <c r="L18" i="24" l="1"/>
  <c r="L23" i="24" s="1"/>
  <c r="M18" i="24" l="1"/>
  <c r="M23" i="24" s="1"/>
  <c r="N18" i="24" l="1"/>
  <c r="N23" i="24" s="1"/>
  <c r="O18" i="24" l="1"/>
  <c r="O23" i="24" s="1"/>
  <c r="P18" i="24" l="1"/>
  <c r="P23" i="24" s="1"/>
  <c r="Q18" i="24" l="1"/>
  <c r="Q23" i="24" s="1"/>
  <c r="R18" i="24" l="1"/>
  <c r="R23" i="24" s="1"/>
  <c r="S18" i="24" l="1"/>
  <c r="S23" i="24" s="1"/>
  <c r="T18" i="24" l="1"/>
  <c r="T23" i="24" s="1"/>
  <c r="B8" i="14" l="1"/>
  <c r="D45" i="14"/>
  <c r="D44" i="14"/>
  <c r="D40" i="14"/>
  <c r="D39" i="14"/>
  <c r="E27" i="22"/>
  <c r="C7" i="14"/>
  <c r="B7" i="14"/>
  <c r="D1" i="14"/>
  <c r="H5" i="22"/>
  <c r="H4" i="22"/>
  <c r="H22" i="22"/>
  <c r="H21" i="22"/>
  <c r="H8" i="22"/>
  <c r="O45" i="24"/>
  <c r="N45" i="24"/>
  <c r="M45" i="24"/>
  <c r="L45" i="24"/>
  <c r="K45" i="24"/>
  <c r="J45" i="24"/>
  <c r="I45" i="24"/>
  <c r="H45" i="24"/>
  <c r="G45" i="24"/>
  <c r="F45" i="24"/>
  <c r="E45" i="24"/>
  <c r="D45" i="24"/>
  <c r="C11" i="24"/>
  <c r="D30" i="24"/>
  <c r="O6" i="22"/>
  <c r="P7" i="22"/>
  <c r="P39" i="24"/>
  <c r="Q66" i="22"/>
  <c r="Q65" i="22"/>
  <c r="Q64" i="22"/>
  <c r="Q63" i="22"/>
  <c r="Q62" i="22"/>
  <c r="Q61" i="22"/>
  <c r="Q60" i="22"/>
  <c r="Q59" i="22"/>
  <c r="Q58" i="22"/>
  <c r="Q57" i="22"/>
  <c r="Q56" i="22"/>
  <c r="Q55" i="22"/>
  <c r="Q39" i="24" l="1"/>
  <c r="R39" i="24" s="1"/>
  <c r="S39" i="24" s="1"/>
  <c r="T39" i="24" s="1"/>
  <c r="D39" i="24"/>
  <c r="E39" i="24" s="1"/>
  <c r="F39" i="24" s="1"/>
  <c r="G39" i="24" s="1"/>
  <c r="H39" i="24" s="1"/>
  <c r="I39" i="24" s="1"/>
  <c r="J39" i="24" s="1"/>
  <c r="K39" i="24" s="1"/>
  <c r="L39" i="24" s="1"/>
  <c r="M39" i="24" s="1"/>
  <c r="N39" i="24" s="1"/>
  <c r="O39" i="24" s="1"/>
  <c r="P18" i="1"/>
  <c r="Q18" i="1" s="1"/>
  <c r="R18" i="1" s="1"/>
  <c r="S18" i="1" s="1"/>
  <c r="T18" i="1" s="1"/>
  <c r="P40" i="24"/>
  <c r="C45" i="24"/>
  <c r="C46" i="24" s="1"/>
  <c r="Q54" i="22"/>
  <c r="Q53" i="22"/>
  <c r="Q52" i="22"/>
  <c r="Q51" i="22"/>
  <c r="Q50" i="22"/>
  <c r="Q49" i="22"/>
  <c r="Q48" i="22"/>
  <c r="Q47" i="22"/>
  <c r="Q46" i="22"/>
  <c r="Q45" i="22"/>
  <c r="Q44" i="22"/>
  <c r="Q43" i="22"/>
  <c r="Q42" i="22"/>
  <c r="Q41" i="22"/>
  <c r="Q40" i="22"/>
  <c r="Q39" i="22"/>
  <c r="Q38" i="22"/>
  <c r="Q37" i="22"/>
  <c r="Q36" i="22"/>
  <c r="Q35" i="22"/>
  <c r="Q34" i="22"/>
  <c r="Q33" i="22"/>
  <c r="Q32" i="22"/>
  <c r="Q31" i="22"/>
  <c r="Q30" i="22"/>
  <c r="Q29" i="22"/>
  <c r="Q28" i="22"/>
  <c r="Q27" i="22"/>
  <c r="Q26" i="22"/>
  <c r="Q25" i="22"/>
  <c r="Q24" i="22"/>
  <c r="Q23" i="22"/>
  <c r="Q22" i="22"/>
  <c r="Q21" i="22"/>
  <c r="Q20" i="22"/>
  <c r="Q19" i="22"/>
  <c r="Q18" i="22"/>
  <c r="Q17" i="22"/>
  <c r="Q16" i="22"/>
  <c r="Q15" i="22"/>
  <c r="Q14" i="22"/>
  <c r="Q13" i="22"/>
  <c r="Q12" i="22"/>
  <c r="Q11" i="22"/>
  <c r="Q10" i="22"/>
  <c r="Q9" i="22"/>
  <c r="Q8" i="22"/>
  <c r="Q7" i="22"/>
  <c r="R7" i="22" s="1"/>
  <c r="T52" i="24"/>
  <c r="S52" i="24"/>
  <c r="R52" i="24"/>
  <c r="Q52" i="24"/>
  <c r="P52" i="24"/>
  <c r="Q49" i="24"/>
  <c r="R49" i="24" s="1"/>
  <c r="S49" i="24" s="1"/>
  <c r="T49" i="24" s="1"/>
  <c r="C37" i="24"/>
  <c r="C34" i="24"/>
  <c r="Q27" i="24"/>
  <c r="R27" i="24" s="1"/>
  <c r="S27" i="24" s="1"/>
  <c r="T27" i="24" s="1"/>
  <c r="C14" i="24"/>
  <c r="Q6" i="24"/>
  <c r="R6" i="24" s="1"/>
  <c r="S6" i="24" s="1"/>
  <c r="T6" i="24" s="1"/>
  <c r="C52" i="24"/>
  <c r="C55" i="24" s="1"/>
  <c r="F13" i="23"/>
  <c r="F12" i="23"/>
  <c r="E14" i="23"/>
  <c r="E13" i="23"/>
  <c r="E5" i="23"/>
  <c r="E4" i="23"/>
  <c r="B8" i="23"/>
  <c r="C4" i="23"/>
  <c r="G8" i="22"/>
  <c r="F8" i="22"/>
  <c r="E8" i="22"/>
  <c r="G22" i="22"/>
  <c r="F22" i="22"/>
  <c r="E22" i="22"/>
  <c r="G21" i="22"/>
  <c r="F21" i="22"/>
  <c r="E21" i="22"/>
  <c r="Q13" i="25"/>
  <c r="P13" i="25"/>
  <c r="F13" i="25"/>
  <c r="W12" i="25"/>
  <c r="W10" i="25"/>
  <c r="P10" i="25"/>
  <c r="M16" i="25"/>
  <c r="L16" i="25"/>
  <c r="I16" i="25"/>
  <c r="H16" i="25"/>
  <c r="G16" i="25"/>
  <c r="E16" i="25"/>
  <c r="D16" i="25"/>
  <c r="S15" i="25"/>
  <c r="W15" i="25" s="1"/>
  <c r="J15" i="25"/>
  <c r="P15" i="25" s="1"/>
  <c r="F15" i="25"/>
  <c r="T14" i="25"/>
  <c r="S14" i="25"/>
  <c r="W14" i="25" s="1"/>
  <c r="J14" i="25"/>
  <c r="Q14" i="25" s="1"/>
  <c r="F14" i="25"/>
  <c r="S13" i="25"/>
  <c r="J13" i="25"/>
  <c r="N13" i="25" s="1"/>
  <c r="S12" i="25"/>
  <c r="J12" i="25"/>
  <c r="F12" i="25"/>
  <c r="S11" i="25"/>
  <c r="J11" i="25"/>
  <c r="N11" i="25" s="1"/>
  <c r="Z11" i="25" s="1"/>
  <c r="F11" i="25"/>
  <c r="S10" i="25"/>
  <c r="J10" i="25"/>
  <c r="Q10" i="25" s="1"/>
  <c r="F10" i="25"/>
  <c r="Q40" i="24" l="1"/>
  <c r="R40" i="24" s="1"/>
  <c r="S40" i="24" s="1"/>
  <c r="T40" i="24" s="1"/>
  <c r="D40" i="24"/>
  <c r="E40" i="24" s="1"/>
  <c r="F40" i="24" s="1"/>
  <c r="G40" i="24" s="1"/>
  <c r="H40" i="24" s="1"/>
  <c r="I40" i="24" s="1"/>
  <c r="J40" i="24" s="1"/>
  <c r="K40" i="24" s="1"/>
  <c r="L40" i="24" s="1"/>
  <c r="M40" i="24" s="1"/>
  <c r="N40" i="24" s="1"/>
  <c r="O40" i="24" s="1"/>
  <c r="I26" i="1"/>
  <c r="I37" i="1" s="1"/>
  <c r="M26" i="1"/>
  <c r="M37" i="1" s="1"/>
  <c r="H26" i="1"/>
  <c r="H37" i="1" s="1"/>
  <c r="E26" i="1"/>
  <c r="E37" i="1" s="1"/>
  <c r="O26" i="1"/>
  <c r="O37" i="1" s="1"/>
  <c r="G26" i="1"/>
  <c r="G37" i="1" s="1"/>
  <c r="N26" i="1"/>
  <c r="N37" i="1" s="1"/>
  <c r="F26" i="1"/>
  <c r="F37" i="1" s="1"/>
  <c r="L26" i="1"/>
  <c r="L37" i="1" s="1"/>
  <c r="P37" i="1"/>
  <c r="K26" i="1"/>
  <c r="K37" i="1" s="1"/>
  <c r="D26" i="1"/>
  <c r="D37" i="1" s="1"/>
  <c r="J26" i="1"/>
  <c r="J37" i="1" s="1"/>
  <c r="O7" i="22"/>
  <c r="P8" i="22" s="1"/>
  <c r="R8" i="22" s="1"/>
  <c r="O8" i="22" s="1"/>
  <c r="C47" i="24"/>
  <c r="C57" i="24" s="1"/>
  <c r="C15" i="24"/>
  <c r="C25" i="24" s="1"/>
  <c r="N12" i="25"/>
  <c r="P12" i="25"/>
  <c r="N14" i="25"/>
  <c r="AA14" i="25" s="1"/>
  <c r="Q12" i="25"/>
  <c r="P14" i="25"/>
  <c r="F16" i="25"/>
  <c r="U14" i="25"/>
  <c r="Q15" i="25"/>
  <c r="W11" i="25"/>
  <c r="AA11" i="25"/>
  <c r="P11" i="25"/>
  <c r="AB14" i="25"/>
  <c r="Q11" i="25"/>
  <c r="Q16" i="25" s="1"/>
  <c r="AA13" i="25"/>
  <c r="Z13" i="25"/>
  <c r="S16" i="25"/>
  <c r="N10" i="25"/>
  <c r="W13" i="25"/>
  <c r="V14" i="25"/>
  <c r="J16" i="25"/>
  <c r="T15" i="25"/>
  <c r="V15" i="25"/>
  <c r="Z14" i="25"/>
  <c r="N15" i="25"/>
  <c r="C59" i="24" l="1"/>
  <c r="P9" i="22"/>
  <c r="AA12" i="25"/>
  <c r="Z12" i="25"/>
  <c r="T16" i="25"/>
  <c r="V16" i="25"/>
  <c r="Z10" i="25"/>
  <c r="AA10" i="25"/>
  <c r="AA15" i="25"/>
  <c r="AA16" i="25" s="1"/>
  <c r="Z15" i="25"/>
  <c r="AB15" i="25"/>
  <c r="AC12" i="25"/>
  <c r="AF12" i="25" s="1"/>
  <c r="N16" i="25"/>
  <c r="AC11" i="25"/>
  <c r="AF11" i="25" s="1"/>
  <c r="P16" i="25"/>
  <c r="AC14" i="25"/>
  <c r="AF14" i="25" s="1"/>
  <c r="U15" i="25"/>
  <c r="W16" i="25"/>
  <c r="AC13" i="25"/>
  <c r="AF13" i="25" l="1"/>
  <c r="H10" i="22"/>
  <c r="E10" i="22"/>
  <c r="G10" i="22"/>
  <c r="F10" i="22"/>
  <c r="X16" i="25"/>
  <c r="H9" i="22"/>
  <c r="G9" i="22"/>
  <c r="F9" i="22"/>
  <c r="E9" i="22"/>
  <c r="D41" i="14"/>
  <c r="R9" i="22"/>
  <c r="U16" i="25"/>
  <c r="AB16" i="25"/>
  <c r="P41" i="24" s="1"/>
  <c r="Z16" i="25"/>
  <c r="AC10" i="25"/>
  <c r="AC15" i="25"/>
  <c r="AF15" i="25" s="1"/>
  <c r="D41" i="24" l="1"/>
  <c r="D42" i="24" s="1"/>
  <c r="Q41" i="24"/>
  <c r="R41" i="24" s="1"/>
  <c r="S41" i="24" s="1"/>
  <c r="T41" i="24" s="1"/>
  <c r="P42" i="24"/>
  <c r="H3" i="22"/>
  <c r="O9" i="22"/>
  <c r="P10" i="22" s="1"/>
  <c r="AC16" i="25"/>
  <c r="E41" i="24" l="1"/>
  <c r="AF10" i="25"/>
  <c r="Q42" i="24"/>
  <c r="R10" i="22"/>
  <c r="AD16" i="25"/>
  <c r="AF16" i="25"/>
  <c r="F41" i="24" l="1"/>
  <c r="E42" i="24"/>
  <c r="D42" i="14"/>
  <c r="H20" i="22"/>
  <c r="R42" i="24"/>
  <c r="O10" i="22"/>
  <c r="P11" i="22" s="1"/>
  <c r="E4" i="22"/>
  <c r="C3" i="17"/>
  <c r="J56" i="5"/>
  <c r="I56" i="5"/>
  <c r="H56" i="5"/>
  <c r="G56" i="5"/>
  <c r="F56" i="5"/>
  <c r="E56" i="5"/>
  <c r="J41" i="5"/>
  <c r="J43" i="5" s="1"/>
  <c r="J49" i="5" s="1"/>
  <c r="G34" i="5"/>
  <c r="G33" i="5"/>
  <c r="E42" i="5"/>
  <c r="E34" i="5" s="1"/>
  <c r="G41" i="24" l="1"/>
  <c r="F42" i="24"/>
  <c r="T42" i="24"/>
  <c r="S42" i="24"/>
  <c r="R11" i="22"/>
  <c r="E3" i="22"/>
  <c r="T27" i="1"/>
  <c r="T35" i="1" s="1"/>
  <c r="S27" i="1"/>
  <c r="S35" i="1" s="1"/>
  <c r="R27" i="1"/>
  <c r="R35" i="1" s="1"/>
  <c r="Q27" i="1"/>
  <c r="Q35" i="1" s="1"/>
  <c r="T37" i="1"/>
  <c r="S37" i="1"/>
  <c r="R37" i="1"/>
  <c r="Q37" i="1"/>
  <c r="P27" i="1"/>
  <c r="E5" i="22"/>
  <c r="G5" i="22" s="1"/>
  <c r="F4" i="22"/>
  <c r="O14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O17" i="18"/>
  <c r="N17" i="18"/>
  <c r="O16" i="18"/>
  <c r="N16" i="18"/>
  <c r="O15" i="18"/>
  <c r="N15" i="18"/>
  <c r="K12" i="18"/>
  <c r="G25" i="22"/>
  <c r="G7" i="22"/>
  <c r="G6" i="22"/>
  <c r="F25" i="22"/>
  <c r="F7" i="22"/>
  <c r="F6" i="22"/>
  <c r="G14" i="22"/>
  <c r="F14" i="22"/>
  <c r="B17" i="23"/>
  <c r="B7" i="23"/>
  <c r="H41" i="24" l="1"/>
  <c r="G42" i="24"/>
  <c r="N27" i="1"/>
  <c r="N35" i="1" s="1"/>
  <c r="F27" i="1"/>
  <c r="F35" i="1" s="1"/>
  <c r="M27" i="1"/>
  <c r="M35" i="1" s="1"/>
  <c r="E27" i="1"/>
  <c r="E35" i="1" s="1"/>
  <c r="L27" i="1"/>
  <c r="L35" i="1" s="1"/>
  <c r="K27" i="1"/>
  <c r="K35" i="1" s="1"/>
  <c r="J27" i="1"/>
  <c r="J35" i="1" s="1"/>
  <c r="I27" i="1"/>
  <c r="I35" i="1" s="1"/>
  <c r="D27" i="1"/>
  <c r="D35" i="1" s="1"/>
  <c r="O27" i="1"/>
  <c r="O35" i="1" s="1"/>
  <c r="H27" i="1"/>
  <c r="H35" i="1" s="1"/>
  <c r="G27" i="1"/>
  <c r="G35" i="1" s="1"/>
  <c r="P17" i="1"/>
  <c r="P35" i="1"/>
  <c r="O11" i="22"/>
  <c r="P12" i="22" s="1"/>
  <c r="P13" i="1"/>
  <c r="Q13" i="1" s="1"/>
  <c r="S13" i="1" s="1"/>
  <c r="T13" i="1" s="1"/>
  <c r="C7" i="23"/>
  <c r="F20" i="22"/>
  <c r="G20" i="22"/>
  <c r="F5" i="22"/>
  <c r="F3" i="22" s="1"/>
  <c r="G4" i="22"/>
  <c r="O24" i="18"/>
  <c r="O25" i="18" s="1"/>
  <c r="O27" i="18" s="1"/>
  <c r="I41" i="24" l="1"/>
  <c r="H42" i="24"/>
  <c r="E13" i="1"/>
  <c r="F13" i="1"/>
  <c r="O13" i="1"/>
  <c r="K13" i="1"/>
  <c r="I13" i="1"/>
  <c r="G13" i="1"/>
  <c r="N13" i="1"/>
  <c r="D13" i="1"/>
  <c r="L13" i="1"/>
  <c r="J13" i="1"/>
  <c r="H13" i="1"/>
  <c r="M13" i="1"/>
  <c r="M17" i="1"/>
  <c r="N17" i="1"/>
  <c r="D17" i="1"/>
  <c r="L17" i="1"/>
  <c r="J17" i="1"/>
  <c r="H17" i="1"/>
  <c r="F17" i="1"/>
  <c r="E17" i="1"/>
  <c r="O17" i="1"/>
  <c r="K17" i="1"/>
  <c r="I17" i="1"/>
  <c r="G17" i="1"/>
  <c r="R12" i="22"/>
  <c r="O12" i="22" s="1"/>
  <c r="P13" i="22" s="1"/>
  <c r="R13" i="22" s="1"/>
  <c r="O13" i="22" s="1"/>
  <c r="P14" i="22" s="1"/>
  <c r="R14" i="22" s="1"/>
  <c r="O14" i="22" s="1"/>
  <c r="P15" i="22" s="1"/>
  <c r="R15" i="22" s="1"/>
  <c r="O15" i="22" s="1"/>
  <c r="P16" i="22" s="1"/>
  <c r="R16" i="22" s="1"/>
  <c r="O16" i="22" s="1"/>
  <c r="C8" i="23"/>
  <c r="E21" i="14"/>
  <c r="E20" i="22"/>
  <c r="G3" i="22"/>
  <c r="G29" i="22" s="1"/>
  <c r="F29" i="22"/>
  <c r="J41" i="24" l="1"/>
  <c r="I42" i="24"/>
  <c r="P17" i="22"/>
  <c r="R17" i="22" s="1"/>
  <c r="O17" i="22" s="1"/>
  <c r="E12" i="23"/>
  <c r="E7" i="14" s="1"/>
  <c r="U7" i="1"/>
  <c r="Q7" i="1"/>
  <c r="R7" i="1" s="1"/>
  <c r="K41" i="24" l="1"/>
  <c r="J42" i="24"/>
  <c r="P18" i="22"/>
  <c r="P9" i="1"/>
  <c r="D34" i="14"/>
  <c r="P33" i="24"/>
  <c r="P34" i="24" s="1"/>
  <c r="S7" i="1"/>
  <c r="W7" i="1"/>
  <c r="V7" i="1"/>
  <c r="F17" i="18"/>
  <c r="C12" i="18"/>
  <c r="F14" i="18"/>
  <c r="G14" i="18"/>
  <c r="F15" i="18"/>
  <c r="G15" i="18" s="1"/>
  <c r="F16" i="18"/>
  <c r="G16" i="18" s="1"/>
  <c r="G17" i="18"/>
  <c r="F18" i="18"/>
  <c r="G18" i="18"/>
  <c r="F19" i="18"/>
  <c r="G19" i="18"/>
  <c r="F20" i="18"/>
  <c r="G20" i="18"/>
  <c r="F21" i="18"/>
  <c r="G21" i="18"/>
  <c r="F22" i="18"/>
  <c r="G22" i="18"/>
  <c r="F23" i="18"/>
  <c r="G23" i="18"/>
  <c r="L41" i="24" l="1"/>
  <c r="K42" i="24"/>
  <c r="Q33" i="24"/>
  <c r="Q34" i="24" s="1"/>
  <c r="D33" i="24"/>
  <c r="Q9" i="1"/>
  <c r="R9" i="1" s="1"/>
  <c r="S9" i="1" s="1"/>
  <c r="T9" i="1" s="1"/>
  <c r="E14" i="22"/>
  <c r="E29" i="22" s="1"/>
  <c r="H15" i="22"/>
  <c r="H14" i="22" s="1"/>
  <c r="H29" i="22" s="1"/>
  <c r="E9" i="1"/>
  <c r="L9" i="1"/>
  <c r="J9" i="1"/>
  <c r="H9" i="1"/>
  <c r="F9" i="1"/>
  <c r="D9" i="1"/>
  <c r="M9" i="1"/>
  <c r="N9" i="1"/>
  <c r="O9" i="1"/>
  <c r="K9" i="1"/>
  <c r="I9" i="1"/>
  <c r="G9" i="1"/>
  <c r="R18" i="22"/>
  <c r="T7" i="1"/>
  <c r="Y7" i="1" s="1"/>
  <c r="X7" i="1"/>
  <c r="G24" i="18"/>
  <c r="G25" i="18" s="1"/>
  <c r="M41" i="24" l="1"/>
  <c r="L42" i="24"/>
  <c r="R33" i="24"/>
  <c r="R34" i="24" s="1"/>
  <c r="E33" i="24"/>
  <c r="E34" i="24" s="1"/>
  <c r="E43" i="24" s="1"/>
  <c r="K14" i="24"/>
  <c r="N14" i="24"/>
  <c r="H14" i="24"/>
  <c r="M14" i="24"/>
  <c r="G14" i="24"/>
  <c r="O14" i="24"/>
  <c r="F14" i="24"/>
  <c r="L14" i="24"/>
  <c r="E14" i="24"/>
  <c r="J14" i="24"/>
  <c r="D14" i="24"/>
  <c r="I14" i="24"/>
  <c r="P14" i="24"/>
  <c r="O18" i="22"/>
  <c r="G27" i="18"/>
  <c r="N41" i="24" l="1"/>
  <c r="M42" i="24"/>
  <c r="S33" i="24"/>
  <c r="S34" i="24" s="1"/>
  <c r="E47" i="24"/>
  <c r="F33" i="24"/>
  <c r="F34" i="24" s="1"/>
  <c r="F43" i="24" s="1"/>
  <c r="P19" i="22"/>
  <c r="R19" i="22" s="1"/>
  <c r="O19" i="22" s="1"/>
  <c r="P20" i="22" s="1"/>
  <c r="R20" i="22" s="1"/>
  <c r="O20" i="22" s="1"/>
  <c r="P21" i="22" s="1"/>
  <c r="R21" i="22" s="1"/>
  <c r="O21" i="22" s="1"/>
  <c r="P45" i="24"/>
  <c r="Q14" i="24"/>
  <c r="O41" i="24" l="1"/>
  <c r="O42" i="24" s="1"/>
  <c r="N42" i="24"/>
  <c r="G33" i="24"/>
  <c r="G34" i="24" s="1"/>
  <c r="G43" i="24" s="1"/>
  <c r="F47" i="24"/>
  <c r="E30" i="26" s="1"/>
  <c r="T33" i="24"/>
  <c r="T34" i="24" s="1"/>
  <c r="D29" i="26"/>
  <c r="D30" i="26"/>
  <c r="R14" i="24"/>
  <c r="P22" i="22"/>
  <c r="R22" i="22" s="1"/>
  <c r="O22" i="22" s="1"/>
  <c r="E15" i="17"/>
  <c r="D15" i="17"/>
  <c r="C15" i="17"/>
  <c r="H5" i="17"/>
  <c r="E29" i="26" l="1"/>
  <c r="H33" i="24"/>
  <c r="H34" i="24" s="1"/>
  <c r="H43" i="24" s="1"/>
  <c r="T14" i="24"/>
  <c r="S14" i="24"/>
  <c r="P23" i="22"/>
  <c r="R23" i="22" s="1"/>
  <c r="O23" i="22" s="1"/>
  <c r="A3" i="4"/>
  <c r="A1" i="5"/>
  <c r="G16" i="5"/>
  <c r="H16" i="5"/>
  <c r="I16" i="5"/>
  <c r="J16" i="5"/>
  <c r="G17" i="5"/>
  <c r="G58" i="5" s="1"/>
  <c r="H17" i="5"/>
  <c r="H58" i="5" s="1"/>
  <c r="I17" i="5"/>
  <c r="I58" i="5" s="1"/>
  <c r="J17" i="5"/>
  <c r="J58" i="5" s="1"/>
  <c r="F17" i="5"/>
  <c r="F58" i="5" s="1"/>
  <c r="F16" i="5"/>
  <c r="I33" i="24" l="1"/>
  <c r="I34" i="24" s="1"/>
  <c r="I43" i="24" s="1"/>
  <c r="G47" i="24"/>
  <c r="F30" i="26" s="1"/>
  <c r="P24" i="22"/>
  <c r="R24" i="22" s="1"/>
  <c r="O24" i="22" s="1"/>
  <c r="T17" i="1"/>
  <c r="S17" i="1"/>
  <c r="R17" i="1"/>
  <c r="Q17" i="1"/>
  <c r="F29" i="26" l="1"/>
  <c r="J33" i="24"/>
  <c r="J34" i="24" s="1"/>
  <c r="J43" i="24" s="1"/>
  <c r="H47" i="24"/>
  <c r="G30" i="26" s="1"/>
  <c r="P25" i="22"/>
  <c r="R25" i="22" s="1"/>
  <c r="O25" i="22" s="1"/>
  <c r="V17" i="1"/>
  <c r="V9" i="1"/>
  <c r="U17" i="1"/>
  <c r="G29" i="26" l="1"/>
  <c r="I47" i="24"/>
  <c r="H30" i="26" s="1"/>
  <c r="K33" i="24"/>
  <c r="K34" i="24" s="1"/>
  <c r="K43" i="24" s="1"/>
  <c r="P26" i="22"/>
  <c r="R26" i="22" s="1"/>
  <c r="O26" i="22" s="1"/>
  <c r="G6" i="5"/>
  <c r="H6" i="5"/>
  <c r="I6" i="5"/>
  <c r="J6" i="5"/>
  <c r="F6" i="5"/>
  <c r="P25" i="1"/>
  <c r="P29" i="1" s="1"/>
  <c r="Q25" i="1"/>
  <c r="Q29" i="1" s="1"/>
  <c r="R25" i="1"/>
  <c r="R29" i="1" s="1"/>
  <c r="S25" i="1"/>
  <c r="S29" i="1" s="1"/>
  <c r="T25" i="1"/>
  <c r="T29" i="1" s="1"/>
  <c r="H29" i="26" l="1"/>
  <c r="J47" i="24"/>
  <c r="I30" i="26" s="1"/>
  <c r="L33" i="24"/>
  <c r="L34" i="24" s="1"/>
  <c r="L43" i="24" s="1"/>
  <c r="P27" i="22"/>
  <c r="R27" i="22" s="1"/>
  <c r="O27" i="22" s="1"/>
  <c r="J23" i="5"/>
  <c r="J39" i="5" s="1"/>
  <c r="J47" i="5" s="1"/>
  <c r="J54" i="5" s="1"/>
  <c r="F23" i="5"/>
  <c r="F39" i="5" s="1"/>
  <c r="I23" i="5"/>
  <c r="I39" i="5" s="1"/>
  <c r="I47" i="5" s="1"/>
  <c r="I54" i="5" s="1"/>
  <c r="H23" i="5"/>
  <c r="H39" i="5" s="1"/>
  <c r="H47" i="5" s="1"/>
  <c r="H54" i="5" s="1"/>
  <c r="G23" i="5"/>
  <c r="G39" i="5" s="1"/>
  <c r="V13" i="1"/>
  <c r="I29" i="26" l="1"/>
  <c r="K47" i="24"/>
  <c r="J30" i="26" s="1"/>
  <c r="M33" i="24"/>
  <c r="M34" i="24" s="1"/>
  <c r="M43" i="24" s="1"/>
  <c r="P28" i="22"/>
  <c r="R28" i="22" s="1"/>
  <c r="O28" i="22" s="1"/>
  <c r="G47" i="5"/>
  <c r="G54" i="5" s="1"/>
  <c r="F47" i="5"/>
  <c r="F54" i="5" s="1"/>
  <c r="W9" i="1"/>
  <c r="W17" i="1"/>
  <c r="W13" i="1"/>
  <c r="J29" i="26" l="1"/>
  <c r="L47" i="24"/>
  <c r="K30" i="26" s="1"/>
  <c r="N33" i="24"/>
  <c r="N34" i="24" s="1"/>
  <c r="N43" i="24" s="1"/>
  <c r="P29" i="22"/>
  <c r="R29" i="22" s="1"/>
  <c r="O29" i="22" s="1"/>
  <c r="X13" i="1"/>
  <c r="X17" i="1"/>
  <c r="X9" i="1"/>
  <c r="K29" i="26" l="1"/>
  <c r="M47" i="24"/>
  <c r="L30" i="26" s="1"/>
  <c r="O33" i="24"/>
  <c r="P30" i="22"/>
  <c r="R30" i="22" s="1"/>
  <c r="O30" i="22" s="1"/>
  <c r="Q44" i="24" s="1"/>
  <c r="Q45" i="24" s="1"/>
  <c r="Y9" i="1"/>
  <c r="Y13" i="1"/>
  <c r="Y17" i="1"/>
  <c r="O34" i="24" l="1"/>
  <c r="L29" i="26"/>
  <c r="N47" i="24"/>
  <c r="M30" i="26" s="1"/>
  <c r="P31" i="22"/>
  <c r="R31" i="22" s="1"/>
  <c r="O31" i="22" s="1"/>
  <c r="E12" i="14"/>
  <c r="E11" i="14" s="1"/>
  <c r="E13" i="14" s="1"/>
  <c r="M29" i="26" l="1"/>
  <c r="P16" i="1"/>
  <c r="Q16" i="1" s="1"/>
  <c r="R16" i="1" s="1"/>
  <c r="S16" i="1" s="1"/>
  <c r="T16" i="1" s="1"/>
  <c r="D16" i="1"/>
  <c r="N16" i="1"/>
  <c r="L16" i="1"/>
  <c r="J16" i="1"/>
  <c r="H16" i="1"/>
  <c r="F16" i="1"/>
  <c r="K16" i="1"/>
  <c r="E16" i="1"/>
  <c r="O16" i="1"/>
  <c r="I16" i="1"/>
  <c r="G16" i="1"/>
  <c r="P32" i="22"/>
  <c r="R32" i="22" s="1"/>
  <c r="O32" i="22" s="1"/>
  <c r="E32" i="14"/>
  <c r="P10" i="1" s="1"/>
  <c r="Q10" i="1" l="1"/>
  <c r="R10" i="1" s="1"/>
  <c r="S10" i="1" s="1"/>
  <c r="T10" i="1" s="1"/>
  <c r="U10" i="1"/>
  <c r="M16" i="1"/>
  <c r="E38" i="14"/>
  <c r="L10" i="1"/>
  <c r="L30" i="1" s="1"/>
  <c r="L31" i="1" s="1"/>
  <c r="J10" i="1"/>
  <c r="J30" i="1" s="1"/>
  <c r="J31" i="1" s="1"/>
  <c r="H10" i="1"/>
  <c r="H30" i="1" s="1"/>
  <c r="H31" i="1" s="1"/>
  <c r="M10" i="1"/>
  <c r="M30" i="1" s="1"/>
  <c r="M31" i="1" s="1"/>
  <c r="K10" i="1"/>
  <c r="K30" i="1" s="1"/>
  <c r="K31" i="1" s="1"/>
  <c r="I10" i="1"/>
  <c r="I30" i="1" s="1"/>
  <c r="I31" i="1" s="1"/>
  <c r="E10" i="1"/>
  <c r="E30" i="1" s="1"/>
  <c r="E31" i="1" s="1"/>
  <c r="D10" i="1"/>
  <c r="O10" i="1"/>
  <c r="O30" i="1" s="1"/>
  <c r="O31" i="1" s="1"/>
  <c r="G10" i="1"/>
  <c r="G30" i="1" s="1"/>
  <c r="G31" i="1" s="1"/>
  <c r="N10" i="1"/>
  <c r="N30" i="1" s="1"/>
  <c r="N31" i="1" s="1"/>
  <c r="F10" i="1"/>
  <c r="F30" i="1" s="1"/>
  <c r="F31" i="1" s="1"/>
  <c r="P30" i="1"/>
  <c r="P31" i="1" s="1"/>
  <c r="P33" i="22"/>
  <c r="R33" i="22" s="1"/>
  <c r="O33" i="22" s="1"/>
  <c r="F24" i="5"/>
  <c r="F25" i="5" s="1"/>
  <c r="F26" i="5" s="1"/>
  <c r="F27" i="5" s="1"/>
  <c r="E28" i="5" s="1"/>
  <c r="E41" i="5" s="1"/>
  <c r="P12" i="1"/>
  <c r="Q12" i="1" s="1"/>
  <c r="R12" i="1" s="1"/>
  <c r="S12" i="1" s="1"/>
  <c r="T12" i="1" s="1"/>
  <c r="P11" i="1"/>
  <c r="U11" i="1" s="1"/>
  <c r="D30" i="1" l="1"/>
  <c r="D31" i="1" s="1"/>
  <c r="D18" i="1"/>
  <c r="E18" i="1"/>
  <c r="F18" i="1"/>
  <c r="M18" i="1"/>
  <c r="N18" i="1"/>
  <c r="L18" i="1"/>
  <c r="P38" i="1"/>
  <c r="O18" i="1"/>
  <c r="K18" i="1"/>
  <c r="I18" i="1"/>
  <c r="P43" i="1"/>
  <c r="G18" i="1"/>
  <c r="J18" i="1"/>
  <c r="H18" i="1"/>
  <c r="M11" i="1"/>
  <c r="E11" i="1"/>
  <c r="O11" i="1"/>
  <c r="K11" i="1"/>
  <c r="I11" i="1"/>
  <c r="G11" i="1"/>
  <c r="D11" i="1"/>
  <c r="J11" i="1"/>
  <c r="H11" i="1"/>
  <c r="N11" i="1"/>
  <c r="F11" i="1"/>
  <c r="L11" i="1"/>
  <c r="M12" i="1"/>
  <c r="E12" i="1"/>
  <c r="O12" i="1"/>
  <c r="K12" i="1"/>
  <c r="I12" i="1"/>
  <c r="G12" i="1"/>
  <c r="D12" i="1"/>
  <c r="D31" i="24" s="1"/>
  <c r="D34" i="24" s="1"/>
  <c r="N12" i="1"/>
  <c r="F12" i="1"/>
  <c r="L12" i="1"/>
  <c r="J12" i="1"/>
  <c r="H12" i="1"/>
  <c r="Q38" i="1"/>
  <c r="Q43" i="1"/>
  <c r="W10" i="1"/>
  <c r="Q30" i="1"/>
  <c r="Q31" i="1" s="1"/>
  <c r="P34" i="22"/>
  <c r="R34" i="22" s="1"/>
  <c r="O34" i="22" s="1"/>
  <c r="E43" i="5"/>
  <c r="G24" i="5"/>
  <c r="G25" i="5" s="1"/>
  <c r="G26" i="5" s="1"/>
  <c r="G27" i="5" s="1"/>
  <c r="F28" i="5" s="1"/>
  <c r="F41" i="5" s="1"/>
  <c r="F43" i="5" s="1"/>
  <c r="F49" i="5" s="1"/>
  <c r="U18" i="1"/>
  <c r="F9" i="5"/>
  <c r="F57" i="5" s="1"/>
  <c r="F59" i="5" s="1"/>
  <c r="Q11" i="1"/>
  <c r="V10" i="1"/>
  <c r="V18" i="1"/>
  <c r="G9" i="5"/>
  <c r="G57" i="5" s="1"/>
  <c r="G59" i="5" s="1"/>
  <c r="O43" i="1" l="1"/>
  <c r="O38" i="1"/>
  <c r="H43" i="1"/>
  <c r="H38" i="1"/>
  <c r="L38" i="1"/>
  <c r="L43" i="1"/>
  <c r="J38" i="1"/>
  <c r="J43" i="1"/>
  <c r="N38" i="1"/>
  <c r="N43" i="1"/>
  <c r="G43" i="1"/>
  <c r="G38" i="1"/>
  <c r="M43" i="1"/>
  <c r="M38" i="1"/>
  <c r="F43" i="1"/>
  <c r="F38" i="1"/>
  <c r="I38" i="1"/>
  <c r="I43" i="1"/>
  <c r="E43" i="1"/>
  <c r="E38" i="1"/>
  <c r="K43" i="1"/>
  <c r="K38" i="1"/>
  <c r="D43" i="1"/>
  <c r="D38" i="1"/>
  <c r="R38" i="1"/>
  <c r="R43" i="1"/>
  <c r="S11" i="1"/>
  <c r="R30" i="1"/>
  <c r="R31" i="1" s="1"/>
  <c r="P35" i="22"/>
  <c r="R35" i="22" s="1"/>
  <c r="O35" i="22" s="1"/>
  <c r="V12" i="1"/>
  <c r="P14" i="1"/>
  <c r="U14" i="1" s="1"/>
  <c r="Q14" i="1"/>
  <c r="V14" i="1" s="1"/>
  <c r="R11" i="1"/>
  <c r="E33" i="5"/>
  <c r="E35" i="5" s="1"/>
  <c r="F33" i="5" s="1"/>
  <c r="E49" i="5"/>
  <c r="E50" i="5" s="1"/>
  <c r="E55" i="5" s="1"/>
  <c r="E60" i="5" s="1"/>
  <c r="H24" i="5"/>
  <c r="H25" i="5" s="1"/>
  <c r="H26" i="5" s="1"/>
  <c r="H27" i="5" s="1"/>
  <c r="G28" i="5" s="1"/>
  <c r="G41" i="5" s="1"/>
  <c r="G43" i="5" s="1"/>
  <c r="G49" i="5" s="1"/>
  <c r="V11" i="1"/>
  <c r="H9" i="5"/>
  <c r="H57" i="5" s="1"/>
  <c r="H59" i="5" s="1"/>
  <c r="W18" i="1"/>
  <c r="O14" i="1" l="1"/>
  <c r="K14" i="1"/>
  <c r="I14" i="1"/>
  <c r="G14" i="1"/>
  <c r="F14" i="1"/>
  <c r="L14" i="1"/>
  <c r="J14" i="1"/>
  <c r="H14" i="1"/>
  <c r="E14" i="1"/>
  <c r="D14" i="1"/>
  <c r="N14" i="1"/>
  <c r="M14" i="1"/>
  <c r="S43" i="1"/>
  <c r="S38" i="1"/>
  <c r="S30" i="1"/>
  <c r="S31" i="1" s="1"/>
  <c r="P36" i="22"/>
  <c r="R36" i="22" s="1"/>
  <c r="O36" i="22" s="1"/>
  <c r="W12" i="1"/>
  <c r="P20" i="1"/>
  <c r="Q20" i="1"/>
  <c r="Q21" i="1" s="1"/>
  <c r="Q36" i="24" s="1"/>
  <c r="R14" i="1"/>
  <c r="R20" i="1" s="1"/>
  <c r="R21" i="1" s="1"/>
  <c r="R36" i="24" s="1"/>
  <c r="W11" i="1"/>
  <c r="X10" i="1"/>
  <c r="F35" i="5"/>
  <c r="F34" i="5"/>
  <c r="I24" i="5"/>
  <c r="I25" i="5" s="1"/>
  <c r="I26" i="5" s="1"/>
  <c r="I27" i="5" s="1"/>
  <c r="H28" i="5" s="1"/>
  <c r="H41" i="5" s="1"/>
  <c r="H43" i="5" s="1"/>
  <c r="H49" i="5" s="1"/>
  <c r="Y12" i="1"/>
  <c r="X12" i="1"/>
  <c r="I9" i="5"/>
  <c r="I57" i="5" s="1"/>
  <c r="I59" i="5" s="1"/>
  <c r="X18" i="1"/>
  <c r="S14" i="1"/>
  <c r="X11" i="1"/>
  <c r="Q37" i="24" l="1"/>
  <c r="Q43" i="24"/>
  <c r="R37" i="24"/>
  <c r="R43" i="24"/>
  <c r="P21" i="1"/>
  <c r="L20" i="1"/>
  <c r="J20" i="1"/>
  <c r="H20" i="1"/>
  <c r="F20" i="1"/>
  <c r="O20" i="1"/>
  <c r="K20" i="1"/>
  <c r="I20" i="1"/>
  <c r="G20" i="1"/>
  <c r="M20" i="1"/>
  <c r="E20" i="1"/>
  <c r="N20" i="1"/>
  <c r="D20" i="1"/>
  <c r="T30" i="1"/>
  <c r="T31" i="1" s="1"/>
  <c r="J24" i="5"/>
  <c r="J25" i="5" s="1"/>
  <c r="J26" i="5" s="1"/>
  <c r="J27" i="5" s="1"/>
  <c r="I28" i="5" s="1"/>
  <c r="I41" i="5" s="1"/>
  <c r="I43" i="5" s="1"/>
  <c r="I49" i="5" s="1"/>
  <c r="T43" i="1"/>
  <c r="T38" i="1"/>
  <c r="P37" i="22"/>
  <c r="R37" i="22" s="1"/>
  <c r="O37" i="22" s="1"/>
  <c r="U20" i="1"/>
  <c r="W14" i="1"/>
  <c r="V20" i="1"/>
  <c r="T11" i="1"/>
  <c r="Y11" i="1" s="1"/>
  <c r="Y10" i="1"/>
  <c r="V21" i="1"/>
  <c r="G8" i="5"/>
  <c r="Q22" i="1"/>
  <c r="Q32" i="1" s="1"/>
  <c r="Y18" i="1"/>
  <c r="J9" i="5"/>
  <c r="J57" i="5" s="1"/>
  <c r="J59" i="5" s="1"/>
  <c r="X14" i="1"/>
  <c r="S20" i="1"/>
  <c r="S21" i="1" s="1"/>
  <c r="S36" i="24" s="1"/>
  <c r="W20" i="1"/>
  <c r="U21" i="1" l="1"/>
  <c r="P36" i="24"/>
  <c r="S37" i="24"/>
  <c r="S43" i="24"/>
  <c r="Q47" i="24"/>
  <c r="P29" i="26" s="1"/>
  <c r="F8" i="5"/>
  <c r="P22" i="1"/>
  <c r="F7" i="5" s="1"/>
  <c r="M21" i="1"/>
  <c r="E21" i="1"/>
  <c r="O21" i="1"/>
  <c r="K21" i="1"/>
  <c r="I21" i="1"/>
  <c r="G21" i="1"/>
  <c r="L21" i="1"/>
  <c r="F21" i="1"/>
  <c r="N21" i="1"/>
  <c r="D21" i="1"/>
  <c r="J21" i="1"/>
  <c r="H21" i="1"/>
  <c r="Q53" i="24"/>
  <c r="Q34" i="1"/>
  <c r="Q39" i="1" s="1"/>
  <c r="Q40" i="1" s="1"/>
  <c r="Q33" i="1"/>
  <c r="Q41" i="1"/>
  <c r="Q44" i="1" s="1"/>
  <c r="Q45" i="1" s="1"/>
  <c r="P38" i="22"/>
  <c r="R38" i="22" s="1"/>
  <c r="O38" i="22" s="1"/>
  <c r="T14" i="1"/>
  <c r="T20" i="1" s="1"/>
  <c r="T21" i="1" s="1"/>
  <c r="T36" i="24" s="1"/>
  <c r="G7" i="5"/>
  <c r="G10" i="5" s="1"/>
  <c r="G13" i="5" s="1"/>
  <c r="V22" i="1"/>
  <c r="H8" i="5"/>
  <c r="W21" i="1"/>
  <c r="R22" i="1"/>
  <c r="R32" i="1" s="1"/>
  <c r="S22" i="1"/>
  <c r="S32" i="1" s="1"/>
  <c r="X20" i="1"/>
  <c r="P30" i="26" l="1"/>
  <c r="O36" i="24"/>
  <c r="D36" i="24"/>
  <c r="D43" i="24" s="1"/>
  <c r="P37" i="24"/>
  <c r="P43" i="24"/>
  <c r="T37" i="24"/>
  <c r="T43" i="24"/>
  <c r="M22" i="1"/>
  <c r="E22" i="1"/>
  <c r="O22" i="1"/>
  <c r="K22" i="1"/>
  <c r="I22" i="1"/>
  <c r="G22" i="1"/>
  <c r="N22" i="1"/>
  <c r="D22" i="1"/>
  <c r="L22" i="1"/>
  <c r="J22" i="1"/>
  <c r="H22" i="1"/>
  <c r="F22" i="1"/>
  <c r="U22" i="1"/>
  <c r="F10" i="5"/>
  <c r="P34" i="1"/>
  <c r="P39" i="1" s="1"/>
  <c r="P40" i="1" s="1"/>
  <c r="P41" i="1"/>
  <c r="P44" i="1" s="1"/>
  <c r="P45" i="1" s="1"/>
  <c r="P32" i="1"/>
  <c r="P33" i="1" s="1"/>
  <c r="P53" i="24"/>
  <c r="Q55" i="24"/>
  <c r="Q23" i="1"/>
  <c r="S53" i="24"/>
  <c r="S33" i="1"/>
  <c r="S41" i="1"/>
  <c r="S44" i="1" s="1"/>
  <c r="S45" i="1" s="1"/>
  <c r="S34" i="1"/>
  <c r="S39" i="1" s="1"/>
  <c r="S40" i="1" s="1"/>
  <c r="R53" i="24"/>
  <c r="R34" i="1"/>
  <c r="R39" i="1" s="1"/>
  <c r="R40" i="1" s="1"/>
  <c r="R33" i="1"/>
  <c r="R41" i="1"/>
  <c r="R44" i="1" s="1"/>
  <c r="R45" i="1" s="1"/>
  <c r="P39" i="22"/>
  <c r="R39" i="22" s="1"/>
  <c r="O39" i="22" s="1"/>
  <c r="Y14" i="1"/>
  <c r="G14" i="5"/>
  <c r="G19" i="5" s="1"/>
  <c r="G11" i="5"/>
  <c r="X22" i="1"/>
  <c r="I7" i="5"/>
  <c r="Y20" i="1"/>
  <c r="X21" i="1"/>
  <c r="I8" i="5"/>
  <c r="W22" i="1"/>
  <c r="H7" i="5"/>
  <c r="H10" i="5" s="1"/>
  <c r="H13" i="5" s="1"/>
  <c r="F13" i="5" l="1"/>
  <c r="F14" i="5" s="1"/>
  <c r="P47" i="24"/>
  <c r="O29" i="26" s="1"/>
  <c r="D47" i="24"/>
  <c r="C29" i="26" s="1"/>
  <c r="O37" i="24"/>
  <c r="O43" i="24"/>
  <c r="Q57" i="24"/>
  <c r="P28" i="26"/>
  <c r="G41" i="1"/>
  <c r="G44" i="1" s="1"/>
  <c r="G45" i="1" s="1"/>
  <c r="G34" i="1"/>
  <c r="G39" i="1" s="1"/>
  <c r="G40" i="1" s="1"/>
  <c r="G32" i="1"/>
  <c r="G33" i="1" s="1"/>
  <c r="I41" i="1"/>
  <c r="I44" i="1" s="1"/>
  <c r="I45" i="1" s="1"/>
  <c r="I32" i="1"/>
  <c r="I33" i="1" s="1"/>
  <c r="I34" i="1"/>
  <c r="I39" i="1" s="1"/>
  <c r="I40" i="1" s="1"/>
  <c r="F34" i="1"/>
  <c r="F39" i="1" s="1"/>
  <c r="F40" i="1" s="1"/>
  <c r="F41" i="1"/>
  <c r="F44" i="1" s="1"/>
  <c r="F45" i="1" s="1"/>
  <c r="F32" i="1"/>
  <c r="F33" i="1" s="1"/>
  <c r="K32" i="1"/>
  <c r="K33" i="1" s="1"/>
  <c r="K34" i="1"/>
  <c r="K39" i="1" s="1"/>
  <c r="K40" i="1" s="1"/>
  <c r="K41" i="1"/>
  <c r="K44" i="1" s="1"/>
  <c r="K45" i="1" s="1"/>
  <c r="D41" i="1"/>
  <c r="D44" i="1" s="1"/>
  <c r="D45" i="1" s="1"/>
  <c r="D32" i="1"/>
  <c r="D33" i="1" s="1"/>
  <c r="D34" i="1"/>
  <c r="D39" i="1" s="1"/>
  <c r="D40" i="1" s="1"/>
  <c r="D53" i="24"/>
  <c r="D55" i="24" s="1"/>
  <c r="N34" i="1"/>
  <c r="N39" i="1" s="1"/>
  <c r="N40" i="1" s="1"/>
  <c r="N41" i="1"/>
  <c r="N44" i="1" s="1"/>
  <c r="N45" i="1" s="1"/>
  <c r="N32" i="1"/>
  <c r="N33" i="1" s="1"/>
  <c r="H41" i="1"/>
  <c r="H44" i="1" s="1"/>
  <c r="H45" i="1" s="1"/>
  <c r="H32" i="1"/>
  <c r="H33" i="1" s="1"/>
  <c r="H34" i="1"/>
  <c r="H39" i="1" s="1"/>
  <c r="H40" i="1" s="1"/>
  <c r="O41" i="1"/>
  <c r="O44" i="1" s="1"/>
  <c r="O45" i="1" s="1"/>
  <c r="O32" i="1"/>
  <c r="O33" i="1" s="1"/>
  <c r="O34" i="1"/>
  <c r="O39" i="1" s="1"/>
  <c r="O40" i="1" s="1"/>
  <c r="F11" i="5"/>
  <c r="P55" i="24"/>
  <c r="P23" i="1"/>
  <c r="J34" i="1"/>
  <c r="J39" i="1" s="1"/>
  <c r="J40" i="1" s="1"/>
  <c r="J32" i="1"/>
  <c r="J33" i="1" s="1"/>
  <c r="J41" i="1"/>
  <c r="J44" i="1" s="1"/>
  <c r="J45" i="1" s="1"/>
  <c r="E32" i="1"/>
  <c r="E33" i="1" s="1"/>
  <c r="E34" i="1"/>
  <c r="E39" i="1" s="1"/>
  <c r="E40" i="1" s="1"/>
  <c r="E41" i="1"/>
  <c r="E44" i="1" s="1"/>
  <c r="E45" i="1" s="1"/>
  <c r="L32" i="1"/>
  <c r="L33" i="1" s="1"/>
  <c r="L34" i="1"/>
  <c r="L39" i="1" s="1"/>
  <c r="L40" i="1" s="1"/>
  <c r="L41" i="1"/>
  <c r="L44" i="1" s="1"/>
  <c r="L45" i="1" s="1"/>
  <c r="M32" i="1"/>
  <c r="M33" i="1" s="1"/>
  <c r="M34" i="1"/>
  <c r="M39" i="1" s="1"/>
  <c r="M40" i="1" s="1"/>
  <c r="M41" i="1"/>
  <c r="M44" i="1" s="1"/>
  <c r="M45" i="1" s="1"/>
  <c r="R55" i="24"/>
  <c r="R23" i="1"/>
  <c r="S55" i="24"/>
  <c r="S23" i="1"/>
  <c r="P40" i="22"/>
  <c r="R40" i="22" s="1"/>
  <c r="O40" i="22" s="1"/>
  <c r="C5" i="17"/>
  <c r="D5" i="17" s="1"/>
  <c r="G48" i="5"/>
  <c r="G50" i="5" s="1"/>
  <c r="G55" i="5" s="1"/>
  <c r="G60" i="5" s="1"/>
  <c r="J8" i="5"/>
  <c r="Y21" i="1"/>
  <c r="T22" i="1"/>
  <c r="T32" i="1" s="1"/>
  <c r="I10" i="5"/>
  <c r="I13" i="5" s="1"/>
  <c r="H14" i="5"/>
  <c r="H19" i="5" s="1"/>
  <c r="H11" i="5"/>
  <c r="C28" i="26" l="1"/>
  <c r="F19" i="5"/>
  <c r="C30" i="26"/>
  <c r="O30" i="26"/>
  <c r="O47" i="24"/>
  <c r="N29" i="26" s="1"/>
  <c r="E53" i="24"/>
  <c r="E23" i="1" s="1"/>
  <c r="P57" i="24"/>
  <c r="O28" i="26"/>
  <c r="D23" i="1"/>
  <c r="D57" i="24"/>
  <c r="T53" i="24"/>
  <c r="T34" i="1"/>
  <c r="T39" i="1" s="1"/>
  <c r="T33" i="1"/>
  <c r="T41" i="1"/>
  <c r="T44" i="1" s="1"/>
  <c r="T45" i="1" s="1"/>
  <c r="P41" i="22"/>
  <c r="R41" i="22" s="1"/>
  <c r="O41" i="22" s="1"/>
  <c r="D17" i="17"/>
  <c r="C6" i="17"/>
  <c r="D18" i="17" s="1"/>
  <c r="H48" i="5"/>
  <c r="H50" i="5" s="1"/>
  <c r="H55" i="5" s="1"/>
  <c r="H60" i="5" s="1"/>
  <c r="I14" i="5"/>
  <c r="I19" i="5" s="1"/>
  <c r="I11" i="5"/>
  <c r="J7" i="5"/>
  <c r="J10" i="5" s="1"/>
  <c r="J13" i="5" s="1"/>
  <c r="Y22" i="1"/>
  <c r="C4" i="17" l="1"/>
  <c r="F48" i="5"/>
  <c r="F50" i="5" s="1"/>
  <c r="F55" i="5" s="1"/>
  <c r="F60" i="5" s="1"/>
  <c r="E17" i="17"/>
  <c r="C17" i="17"/>
  <c r="N30" i="26"/>
  <c r="E55" i="24"/>
  <c r="F53" i="24"/>
  <c r="T40" i="1"/>
  <c r="T55" i="24"/>
  <c r="T23" i="1"/>
  <c r="P42" i="22"/>
  <c r="R42" i="22" s="1"/>
  <c r="O42" i="22" s="1"/>
  <c r="R44" i="24" s="1"/>
  <c r="R45" i="24" s="1"/>
  <c r="R47" i="24" s="1"/>
  <c r="D6" i="17"/>
  <c r="C7" i="17"/>
  <c r="D19" i="17" s="1"/>
  <c r="I48" i="5"/>
  <c r="I50" i="5" s="1"/>
  <c r="I55" i="5" s="1"/>
  <c r="I60" i="5" s="1"/>
  <c r="J11" i="5"/>
  <c r="J14" i="5"/>
  <c r="J19" i="5" s="1"/>
  <c r="C18" i="17"/>
  <c r="E18" i="17"/>
  <c r="D4" i="17" l="1"/>
  <c r="E4" i="17" s="1"/>
  <c r="E5" i="17" s="1"/>
  <c r="E6" i="17" s="1"/>
  <c r="D16" i="17"/>
  <c r="G53" i="24"/>
  <c r="F55" i="24"/>
  <c r="F23" i="1"/>
  <c r="D28" i="26"/>
  <c r="E57" i="24"/>
  <c r="P43" i="22"/>
  <c r="R43" i="22" s="1"/>
  <c r="O43" i="22" s="1"/>
  <c r="D7" i="17"/>
  <c r="C8" i="17"/>
  <c r="D8" i="17" s="1"/>
  <c r="J48" i="5"/>
  <c r="J50" i="5" s="1"/>
  <c r="J55" i="5" s="1"/>
  <c r="J60" i="5" s="1"/>
  <c r="C19" i="17"/>
  <c r="E19" i="17"/>
  <c r="E16" i="17" l="1"/>
  <c r="C16" i="17"/>
  <c r="E7" i="17"/>
  <c r="E8" i="17" s="1"/>
  <c r="H9" i="17" s="1"/>
  <c r="E28" i="26"/>
  <c r="F57" i="24"/>
  <c r="H53" i="24"/>
  <c r="G23" i="1"/>
  <c r="G55" i="24"/>
  <c r="Q29" i="26"/>
  <c r="Q30" i="26"/>
  <c r="Q28" i="26"/>
  <c r="R57" i="24"/>
  <c r="P44" i="22"/>
  <c r="R44" i="22" s="1"/>
  <c r="O44" i="22" s="1"/>
  <c r="H7" i="17"/>
  <c r="H4" i="17"/>
  <c r="H6" i="17" s="1"/>
  <c r="H8" i="17"/>
  <c r="D20" i="17"/>
  <c r="E20" i="17" s="1"/>
  <c r="H33" i="5"/>
  <c r="H34" i="5"/>
  <c r="G57" i="24" l="1"/>
  <c r="F28" i="26"/>
  <c r="I53" i="24"/>
  <c r="H55" i="24"/>
  <c r="H23" i="1"/>
  <c r="P45" i="22"/>
  <c r="R45" i="22" s="1"/>
  <c r="O45" i="22" s="1"/>
  <c r="C20" i="17"/>
  <c r="H35" i="5"/>
  <c r="G28" i="26" l="1"/>
  <c r="H57" i="24"/>
  <c r="J53" i="24"/>
  <c r="I55" i="24"/>
  <c r="I23" i="1"/>
  <c r="P46" i="22"/>
  <c r="R46" i="22" s="1"/>
  <c r="O46" i="22" s="1"/>
  <c r="I57" i="24" l="1"/>
  <c r="H28" i="26"/>
  <c r="K53" i="24"/>
  <c r="J55" i="24"/>
  <c r="J23" i="1"/>
  <c r="P47" i="22"/>
  <c r="R47" i="22" s="1"/>
  <c r="O47" i="22" s="1"/>
  <c r="L53" i="24" l="1"/>
  <c r="K55" i="24"/>
  <c r="K23" i="1"/>
  <c r="J57" i="24"/>
  <c r="I28" i="26"/>
  <c r="P48" i="22"/>
  <c r="R48" i="22" s="1"/>
  <c r="O48" i="22" s="1"/>
  <c r="K57" i="24" l="1"/>
  <c r="J28" i="26"/>
  <c r="M53" i="24"/>
  <c r="L23" i="1"/>
  <c r="L55" i="24"/>
  <c r="P49" i="22"/>
  <c r="R49" i="22" s="1"/>
  <c r="O49" i="22" s="1"/>
  <c r="L57" i="24" l="1"/>
  <c r="K28" i="26"/>
  <c r="N53" i="24"/>
  <c r="M55" i="24"/>
  <c r="M23" i="1"/>
  <c r="P50" i="22"/>
  <c r="R50" i="22" s="1"/>
  <c r="O50" i="22" s="1"/>
  <c r="M57" i="24" l="1"/>
  <c r="L28" i="26"/>
  <c r="O53" i="24"/>
  <c r="N55" i="24"/>
  <c r="N23" i="1"/>
  <c r="P51" i="22"/>
  <c r="R51" i="22" s="1"/>
  <c r="O51" i="22" s="1"/>
  <c r="N57" i="24" l="1"/>
  <c r="M28" i="26"/>
  <c r="O55" i="24"/>
  <c r="O23" i="1"/>
  <c r="P52" i="22"/>
  <c r="R52" i="22" s="1"/>
  <c r="O52" i="22" s="1"/>
  <c r="N28" i="26" l="1"/>
  <c r="O57" i="24"/>
  <c r="P53" i="22"/>
  <c r="R53" i="22" s="1"/>
  <c r="O53" i="22" s="1"/>
  <c r="P54" i="22" l="1"/>
  <c r="R54" i="22" s="1"/>
  <c r="O54" i="22" s="1"/>
  <c r="P55" i="22" l="1"/>
  <c r="R55" i="22" s="1"/>
  <c r="O55" i="22" s="1"/>
  <c r="P56" i="22" s="1"/>
  <c r="R56" i="22" s="1"/>
  <c r="O56" i="22" s="1"/>
  <c r="P57" i="22" s="1"/>
  <c r="R57" i="22" s="1"/>
  <c r="O57" i="22" s="1"/>
  <c r="P58" i="22" s="1"/>
  <c r="R58" i="22" s="1"/>
  <c r="O58" i="22" s="1"/>
  <c r="P59" i="22" s="1"/>
  <c r="R59" i="22" s="1"/>
  <c r="O59" i="22" s="1"/>
  <c r="P60" i="22" s="1"/>
  <c r="R60" i="22" s="1"/>
  <c r="O60" i="22" s="1"/>
  <c r="P61" i="22" s="1"/>
  <c r="R61" i="22" s="1"/>
  <c r="O61" i="22" s="1"/>
  <c r="P62" i="22" s="1"/>
  <c r="R62" i="22" s="1"/>
  <c r="O62" i="22" s="1"/>
  <c r="P63" i="22" s="1"/>
  <c r="R63" i="22" s="1"/>
  <c r="O63" i="22" s="1"/>
  <c r="P64" i="22" s="1"/>
  <c r="R64" i="22" s="1"/>
  <c r="O64" i="22" s="1"/>
  <c r="S44" i="24"/>
  <c r="S45" i="24" s="1"/>
  <c r="S47" i="24" s="1"/>
  <c r="P65" i="22" l="1"/>
  <c r="R65" i="22" s="1"/>
  <c r="O65" i="22" s="1"/>
  <c r="R29" i="26" l="1"/>
  <c r="R30" i="26"/>
  <c r="R28" i="26"/>
  <c r="S57" i="24"/>
  <c r="P66" i="22"/>
  <c r="R66" i="22" s="1"/>
  <c r="O66" i="22" s="1"/>
  <c r="T44" i="24" s="1"/>
  <c r="T45" i="24" s="1"/>
  <c r="T47" i="24" s="1"/>
  <c r="S29" i="26" l="1"/>
  <c r="S30" i="26"/>
  <c r="S28" i="26"/>
  <c r="T57" i="24"/>
  <c r="Q11" i="24" l="1"/>
  <c r="Q15" i="24" s="1"/>
  <c r="Q25" i="24" l="1"/>
  <c r="P24" i="26"/>
  <c r="P25" i="26" s="1"/>
  <c r="P22" i="26"/>
  <c r="S11" i="24"/>
  <c r="S15" i="24" s="1"/>
  <c r="T11" i="24"/>
  <c r="T15" i="24" s="1"/>
  <c r="R11" i="24"/>
  <c r="R15" i="24" s="1"/>
  <c r="R25" i="24" l="1"/>
  <c r="Q24" i="26"/>
  <c r="Q25" i="26" s="1"/>
  <c r="Q22" i="26"/>
  <c r="T25" i="24"/>
  <c r="S24" i="26"/>
  <c r="S25" i="26" s="1"/>
  <c r="S22" i="26"/>
  <c r="S25" i="24"/>
  <c r="R24" i="26"/>
  <c r="R25" i="26" s="1"/>
  <c r="R22" i="26"/>
  <c r="Q59" i="24"/>
  <c r="P26" i="26"/>
  <c r="T59" i="24" l="1"/>
  <c r="S26" i="26"/>
  <c r="R59" i="24"/>
  <c r="Q26" i="26"/>
  <c r="S59" i="24"/>
  <c r="R26" i="26"/>
  <c r="H11" i="24"/>
  <c r="H15" i="24" s="1"/>
  <c r="O11" i="24"/>
  <c r="O15" i="24" s="1"/>
  <c r="N11" i="24"/>
  <c r="N15" i="24" s="1"/>
  <c r="J11" i="24"/>
  <c r="J15" i="24" s="1"/>
  <c r="K11" i="24"/>
  <c r="K15" i="24" s="1"/>
  <c r="M11" i="24"/>
  <c r="M15" i="24" s="1"/>
  <c r="G11" i="24"/>
  <c r="G15" i="24" s="1"/>
  <c r="I11" i="24"/>
  <c r="I15" i="24" s="1"/>
  <c r="P11" i="24"/>
  <c r="P15" i="24" s="1"/>
  <c r="O22" i="26" s="1"/>
  <c r="E11" i="24"/>
  <c r="E15" i="24" s="1"/>
  <c r="L11" i="24"/>
  <c r="L15" i="24" s="1"/>
  <c r="D11" i="24"/>
  <c r="D15" i="24" s="1"/>
  <c r="F11" i="24"/>
  <c r="F15" i="24" s="1"/>
  <c r="N25" i="24" l="1"/>
  <c r="M22" i="26"/>
  <c r="M24" i="26"/>
  <c r="M25" i="26" s="1"/>
  <c r="E22" i="26"/>
  <c r="F25" i="24"/>
  <c r="E24" i="26"/>
  <c r="E25" i="26" s="1"/>
  <c r="H22" i="26"/>
  <c r="I25" i="24"/>
  <c r="H24" i="26"/>
  <c r="H25" i="26" s="1"/>
  <c r="L24" i="26"/>
  <c r="L25" i="26" s="1"/>
  <c r="M25" i="24"/>
  <c r="L22" i="26"/>
  <c r="N24" i="26"/>
  <c r="N25" i="26" s="1"/>
  <c r="O25" i="24"/>
  <c r="N22" i="26"/>
  <c r="K22" i="26"/>
  <c r="K24" i="26"/>
  <c r="K25" i="26" s="1"/>
  <c r="L25" i="24"/>
  <c r="C24" i="26"/>
  <c r="C25" i="26" s="1"/>
  <c r="D25" i="24"/>
  <c r="C22" i="26"/>
  <c r="H25" i="24"/>
  <c r="G24" i="26"/>
  <c r="G25" i="26" s="1"/>
  <c r="G22" i="26"/>
  <c r="D22" i="26"/>
  <c r="E25" i="24"/>
  <c r="D24" i="26"/>
  <c r="D25" i="26" s="1"/>
  <c r="I24" i="26"/>
  <c r="I25" i="26" s="1"/>
  <c r="I22" i="26"/>
  <c r="J25" i="24"/>
  <c r="F22" i="26"/>
  <c r="G25" i="24"/>
  <c r="F24" i="26"/>
  <c r="F25" i="26" s="1"/>
  <c r="J22" i="26"/>
  <c r="K25" i="24"/>
  <c r="J24" i="26"/>
  <c r="J25" i="26" s="1"/>
  <c r="P25" i="24"/>
  <c r="O24" i="26"/>
  <c r="O25" i="26" s="1"/>
  <c r="F26" i="26" l="1"/>
  <c r="G59" i="24"/>
  <c r="H26" i="26"/>
  <c r="I59" i="24"/>
  <c r="G26" i="26"/>
  <c r="H59" i="24"/>
  <c r="O59" i="24"/>
  <c r="N26" i="26"/>
  <c r="F59" i="24"/>
  <c r="E26" i="26"/>
  <c r="C26" i="26"/>
  <c r="D59" i="24"/>
  <c r="D62" i="24" s="1"/>
  <c r="L26" i="26"/>
  <c r="M59" i="24"/>
  <c r="P59" i="24"/>
  <c r="O26" i="26"/>
  <c r="E59" i="24"/>
  <c r="D26" i="26"/>
  <c r="L59" i="24"/>
  <c r="K26" i="26"/>
  <c r="J59" i="24"/>
  <c r="I26" i="26"/>
  <c r="K59" i="24"/>
  <c r="J26" i="26"/>
  <c r="N59" i="24"/>
  <c r="M26" i="26"/>
</calcChain>
</file>

<file path=xl/sharedStrings.xml><?xml version="1.0" encoding="utf-8"?>
<sst xmlns="http://schemas.openxmlformats.org/spreadsheetml/2006/main" count="487" uniqueCount="295">
  <si>
    <t>a 31 de Diciembre</t>
  </si>
  <si>
    <t xml:space="preserve"> Pesos Colombianos</t>
  </si>
  <si>
    <t>ESTADO DE RESULTADO</t>
  </si>
  <si>
    <t>UTILIDAD BRUTA</t>
  </si>
  <si>
    <t>UTILIDAD OPERACIONAL</t>
  </si>
  <si>
    <t>UTILIDAD ANTES DE IMPUESTOS</t>
  </si>
  <si>
    <t>Operacional</t>
  </si>
  <si>
    <t>No Operacional</t>
  </si>
  <si>
    <t>Resultados Netos</t>
  </si>
  <si>
    <t xml:space="preserve">CUENTAS DE RESULTADO </t>
  </si>
  <si>
    <t>ESTADOS FINANCIEROS PROYECTADOS</t>
  </si>
  <si>
    <t>GRÁFICAS</t>
  </si>
  <si>
    <t>UTILIDAD DEL EJERCICIO</t>
  </si>
  <si>
    <t>(+) Impuestos CAUSADOS</t>
  </si>
  <si>
    <t>(+) Gastos financiero</t>
  </si>
  <si>
    <t>EBIT</t>
  </si>
  <si>
    <t>(-) Impuestos AJUSTADOS
Impuestos operacionales</t>
  </si>
  <si>
    <t>UODI   RODI   NOPAT  NOPLAT   EBIT (1 - tx)</t>
  </si>
  <si>
    <t>(+) Depreciación</t>
  </si>
  <si>
    <t>(+) Amortizacion</t>
  </si>
  <si>
    <t>(+) Provisiones</t>
  </si>
  <si>
    <t>Ventas, Ingresos de actividades ordinarias</t>
  </si>
  <si>
    <t>Costo de Ventas</t>
  </si>
  <si>
    <t>Gastos de administración</t>
  </si>
  <si>
    <t>Otros ingresos</t>
  </si>
  <si>
    <t>Gasto Financiero</t>
  </si>
  <si>
    <t>Gasto por impuesto</t>
  </si>
  <si>
    <t>UTILIDAD NETA</t>
  </si>
  <si>
    <t>Detalles de Depreciación y Amortización</t>
  </si>
  <si>
    <t>Depreciaciones</t>
  </si>
  <si>
    <t>Amortizaciones</t>
  </si>
  <si>
    <t>Depreciaciones y amortizaciones</t>
  </si>
  <si>
    <t>DETALLE DEL INGRESO</t>
  </si>
  <si>
    <t>DETALLE DE LOS COSTOS</t>
  </si>
  <si>
    <t>AMORTIZACION DESARROLLO APLICACIÓN</t>
  </si>
  <si>
    <t>ALQUILER MENSUAL SERVIDOR (NUBE)</t>
  </si>
  <si>
    <t>SOPORTE TECNOLOGICO DE LA PLATAFORMA</t>
  </si>
  <si>
    <t>PROYECCIONES DE ACUERDO A ESTUDIO DE MERCADO</t>
  </si>
  <si>
    <t>SEGURO</t>
  </si>
  <si>
    <t>DEPRECIACION COMPUTADOR</t>
  </si>
  <si>
    <t>DETALLE DE LOS GASTOS</t>
  </si>
  <si>
    <t>SUELDOS</t>
  </si>
  <si>
    <t>SEGURIDAD SOCIAL</t>
  </si>
  <si>
    <t>COSTOS FIJOS:</t>
  </si>
  <si>
    <t>COSTOS VARIABLES</t>
  </si>
  <si>
    <t>PUBLICIDAD</t>
  </si>
  <si>
    <t>Flujo operativo o flujo bruto</t>
  </si>
  <si>
    <t>MARGEN EBIT</t>
  </si>
  <si>
    <t>AÑOS</t>
  </si>
  <si>
    <t>FLUJO</t>
  </si>
  <si>
    <t>MESES AMORTIZACION</t>
  </si>
  <si>
    <t>MESES DEPRECIACIÓN</t>
  </si>
  <si>
    <t>VPN</t>
  </si>
  <si>
    <t>CAUE</t>
  </si>
  <si>
    <t>B/C</t>
  </si>
  <si>
    <t>TIR</t>
  </si>
  <si>
    <t>TIRM</t>
  </si>
  <si>
    <t>PB</t>
  </si>
  <si>
    <t>TIO</t>
  </si>
  <si>
    <t>EVALUACION DEL PROYECTO</t>
  </si>
  <si>
    <t>AÑO</t>
  </si>
  <si>
    <t>PESIMISTA</t>
  </si>
  <si>
    <t>REALISTA</t>
  </si>
  <si>
    <t>OPTIMISTA</t>
  </si>
  <si>
    <t>PROBABILIDAD</t>
  </si>
  <si>
    <t>SUBSIDIO DE TRANSPORTE</t>
  </si>
  <si>
    <t>PRIMA, CESNTIAS, INTERESES, VACACIONES</t>
  </si>
  <si>
    <t>TOTAL</t>
  </si>
  <si>
    <t>I.V.A. %</t>
  </si>
  <si>
    <t>TOTAL BRUTO</t>
  </si>
  <si>
    <t>PRECIO DTO.</t>
  </si>
  <si>
    <t>% DTO.</t>
  </si>
  <si>
    <t>PRECIO</t>
  </si>
  <si>
    <t>DESCRIPCIÓN</t>
  </si>
  <si>
    <t xml:space="preserve">Validez: </t>
  </si>
  <si>
    <t>Fecha presupuesto:</t>
  </si>
  <si>
    <t>555-1111</t>
  </si>
  <si>
    <t>Teléfono:</t>
  </si>
  <si>
    <t>555-3211</t>
  </si>
  <si>
    <t>Cl 68 #19-45</t>
  </si>
  <si>
    <t>Dirección:</t>
  </si>
  <si>
    <t>Cl 145 #9-23</t>
  </si>
  <si>
    <t>QWZ</t>
  </si>
  <si>
    <t>Nombre:</t>
  </si>
  <si>
    <t>S.T (Soluciones Tecnologicas)</t>
  </si>
  <si>
    <t>Datos cliente:</t>
  </si>
  <si>
    <t>Datos Empresa:</t>
  </si>
  <si>
    <t>Presupuesto</t>
  </si>
  <si>
    <t>FUENTE MINISTERIO DE COMERCIO / MERCADO DE COMERCIO-RESTAURANTES-HOTELES</t>
  </si>
  <si>
    <t>Desarrollo de Plataforma</t>
  </si>
  <si>
    <t>Programación y Diseño</t>
  </si>
  <si>
    <t>Puesta en Marcha y Soporte</t>
  </si>
  <si>
    <t>TOTAL COSTOS FIJOS</t>
  </si>
  <si>
    <t>TOTAL COSTOS VARIABLES</t>
  </si>
  <si>
    <t>TOTAL GASTOS</t>
  </si>
  <si>
    <t>TOTAL EGRESOS</t>
  </si>
  <si>
    <t>GASTO x PRESTAMOS</t>
  </si>
  <si>
    <t>GRAVAMEN FINANCIERO</t>
  </si>
  <si>
    <t>VALOR DE LA PARTICIPACIÓN DE VENTAS SECTOR</t>
  </si>
  <si>
    <t>ESCENARIO PARTICIPACIÓN</t>
  </si>
  <si>
    <t>CONCEPTO</t>
  </si>
  <si>
    <t>PARTICIPACIÓN EN PIB BARES-RESTAURANTES</t>
  </si>
  <si>
    <t>TASA DE CAMBIO EUR A COP</t>
  </si>
  <si>
    <t>PROVISIÓN PLAN DE PREMIOS MENSUAL</t>
  </si>
  <si>
    <t>CONVERSOR A COP</t>
  </si>
  <si>
    <t>EUROS (M€)</t>
  </si>
  <si>
    <t>TARIFA</t>
  </si>
  <si>
    <t>PARTICIPACIÓN MERCADO</t>
  </si>
  <si>
    <t>*</t>
  </si>
  <si>
    <t>**</t>
  </si>
  <si>
    <t>* https://datosmacro.expansion.com/pib/colombia</t>
  </si>
  <si>
    <t>** https://statistics.cepal.org/portal/cepalstat/perfil-nacional.html?theme=2&amp;country=col&amp;lang=es</t>
  </si>
  <si>
    <t>TASA DE INTERES BANCARIO</t>
  </si>
  <si>
    <t>% COMISIÓN</t>
  </si>
  <si>
    <t>COMISION TOTAL</t>
  </si>
  <si>
    <t>OTROS INGRESOS</t>
  </si>
  <si>
    <t>ESTADISTICAS DE DATOS</t>
  </si>
  <si>
    <t>N/A</t>
  </si>
  <si>
    <t>TOTAL OTROS INGRESOS</t>
  </si>
  <si>
    <t>Equipo de computo</t>
  </si>
  <si>
    <t>CANTIDAD</t>
  </si>
  <si>
    <t>TOTAL COSTOS</t>
  </si>
  <si>
    <t>INGENIERO DE SISTEMAS</t>
  </si>
  <si>
    <t>AÑO 0</t>
  </si>
  <si>
    <t>INVERSION FIJA</t>
  </si>
  <si>
    <t>INVERSION CAPITAL W</t>
  </si>
  <si>
    <t xml:space="preserve">PRESTAMOS </t>
  </si>
  <si>
    <t>FLLUJO NETO DE INVERSION</t>
  </si>
  <si>
    <t>FLUJO DE CAJA ACCIONISTA (FCA)</t>
  </si>
  <si>
    <t xml:space="preserve">FLUJO DE CAJA OPERATIVO </t>
  </si>
  <si>
    <t>(-) FLUJO NETO DE INVERSION</t>
  </si>
  <si>
    <t>FLUJO DE CAJA LIBRE (FCL)</t>
  </si>
  <si>
    <t xml:space="preserve">FLUJO DE CAJA DE ACCIONISTA </t>
  </si>
  <si>
    <t xml:space="preserve">(-) PRESTAMOS </t>
  </si>
  <si>
    <t xml:space="preserve">(+) GASTOS FINANCIEROS </t>
  </si>
  <si>
    <t>(+) AMORTIZACION</t>
  </si>
  <si>
    <t>(-) AHORRO IMPUESTO</t>
  </si>
  <si>
    <t>FLUJO NETO DE INVERSIÓN</t>
  </si>
  <si>
    <t xml:space="preserve">COSTOS TOTALES </t>
  </si>
  <si>
    <t>INVERSION CAPITAL DE W</t>
  </si>
  <si>
    <t>FLUJO DE CAJA OPERATIVO PROYECTADO</t>
  </si>
  <si>
    <t>COSTOS PROYECTADOS</t>
  </si>
  <si>
    <t>COSTO CAPITAL DE TRABAJO</t>
  </si>
  <si>
    <t>FUENTE DE FINANCIACION</t>
  </si>
  <si>
    <t xml:space="preserve">MONTO </t>
  </si>
  <si>
    <t>Wi</t>
  </si>
  <si>
    <t>Ci</t>
  </si>
  <si>
    <t xml:space="preserve">Wi X Ci </t>
  </si>
  <si>
    <t xml:space="preserve">Aporte </t>
  </si>
  <si>
    <t>Credito 1</t>
  </si>
  <si>
    <t>Costos Fijos</t>
  </si>
  <si>
    <t>Capital de Trabajo</t>
  </si>
  <si>
    <t>Necesidad capital de W</t>
  </si>
  <si>
    <t>FLUJO DE CAJA DEL ACCIONISTA</t>
  </si>
  <si>
    <t>FLUJO DE CAJA LIBRE</t>
  </si>
  <si>
    <t xml:space="preserve">INDICADORES FINANCIEROS </t>
  </si>
  <si>
    <t xml:space="preserve">IPC </t>
  </si>
  <si>
    <t xml:space="preserve">PIB </t>
  </si>
  <si>
    <t xml:space="preserve">ACTIVO </t>
  </si>
  <si>
    <t xml:space="preserve">CAJA </t>
  </si>
  <si>
    <t xml:space="preserve">TOTAL ACTIVO </t>
  </si>
  <si>
    <t>ACTIVO NO CORRIENTE</t>
  </si>
  <si>
    <t>PRIMA, CESANTIAS, INTERESES, VACACIONES</t>
  </si>
  <si>
    <t>A&amp;P</t>
  </si>
  <si>
    <t>PERIODO DE LIQUIDACION ENERO  2022</t>
  </si>
  <si>
    <t xml:space="preserve"> </t>
  </si>
  <si>
    <t>NOMBRE DEL EMPLEADO</t>
  </si>
  <si>
    <t>SUELDO BASICO</t>
  </si>
  <si>
    <t xml:space="preserve">DIAS TRABAJADOS </t>
  </si>
  <si>
    <t>IBC PRESTACIONES</t>
  </si>
  <si>
    <t xml:space="preserve">DESCUENTO EMPLEADOS </t>
  </si>
  <si>
    <t xml:space="preserve">EMPLEADOR </t>
  </si>
  <si>
    <t xml:space="preserve">PRESTACIONES SOCIALES </t>
  </si>
  <si>
    <t>HORAS EXTRAS 26-10</t>
  </si>
  <si>
    <t>HORAS EXTRAS 11-25</t>
  </si>
  <si>
    <t xml:space="preserve">TOTAL HORAS EXTRAS </t>
  </si>
  <si>
    <t xml:space="preserve">TOTAL BASE </t>
  </si>
  <si>
    <t>AUX ALIMENTACION</t>
  </si>
  <si>
    <t xml:space="preserve">AUX TRANS </t>
  </si>
  <si>
    <t xml:space="preserve">TOTAL </t>
  </si>
  <si>
    <t>DESCUENTO SALUD 4%</t>
  </si>
  <si>
    <t xml:space="preserve">DESCUENTO PENSION 4% </t>
  </si>
  <si>
    <t xml:space="preserve">IBC ARL, CAJA </t>
  </si>
  <si>
    <t xml:space="preserve">ARL </t>
  </si>
  <si>
    <t>CESANTIAS 8,33%</t>
  </si>
  <si>
    <t>PRIMA SERVI 8,33%</t>
  </si>
  <si>
    <t>VAC// 4,17%</t>
  </si>
  <si>
    <t>INTE/CESANTIAS 12%</t>
  </si>
  <si>
    <t xml:space="preserve">VALOR C/EMPLEADO </t>
  </si>
  <si>
    <t>TOTALES</t>
  </si>
  <si>
    <t>ASESOR 1</t>
  </si>
  <si>
    <t>ASESOR 2</t>
  </si>
  <si>
    <t>ASESOR 3</t>
  </si>
  <si>
    <t xml:space="preserve">ING SISTEMAS </t>
  </si>
  <si>
    <t>MERCADO ENERO - DICIEMBRE 2021 BARES-RESTAURANTES</t>
  </si>
  <si>
    <t xml:space="preserve">PIB ENE-DIC 2021 FUENTE DATOS MACRO EXPRESADO </t>
  </si>
  <si>
    <t xml:space="preserve">MERCADO MENSUAL PROMEDIO EXP </t>
  </si>
  <si>
    <t xml:space="preserve">ACTIVO CORRIENTE </t>
  </si>
  <si>
    <t xml:space="preserve">TOTAL ACTIVO CORRIENTE </t>
  </si>
  <si>
    <t xml:space="preserve">PASIVO CORRIENTE </t>
  </si>
  <si>
    <t xml:space="preserve">Capital autorizado </t>
  </si>
  <si>
    <t xml:space="preserve">Capital por suscribir </t>
  </si>
  <si>
    <t>Capital suscrito y pagado</t>
  </si>
  <si>
    <t xml:space="preserve">TOTAL PASIVO Y PATRIMONIO </t>
  </si>
  <si>
    <t xml:space="preserve">TOTAL PATRIMONIO </t>
  </si>
  <si>
    <t xml:space="preserve">TOTAL ACTIVO NO CORRIENTE </t>
  </si>
  <si>
    <t xml:space="preserve">ESTADO DE SITUACION FINANCIERA </t>
  </si>
  <si>
    <t>A&amp;P SAS</t>
  </si>
  <si>
    <t>(Expresado en pesos Colombianos)</t>
  </si>
  <si>
    <t xml:space="preserve">31 de diciembre </t>
  </si>
  <si>
    <t xml:space="preserve">Efectivo y equivalentes del efectivo </t>
  </si>
  <si>
    <t xml:space="preserve">Caja </t>
  </si>
  <si>
    <t xml:space="preserve">Bancos </t>
  </si>
  <si>
    <t xml:space="preserve">Total disponible </t>
  </si>
  <si>
    <t xml:space="preserve">Deudores comerciales y otras cuentas por cobrar </t>
  </si>
  <si>
    <t xml:space="preserve">Clientes Nacionales </t>
  </si>
  <si>
    <t xml:space="preserve">Total deudores </t>
  </si>
  <si>
    <t xml:space="preserve">PASIVO   </t>
  </si>
  <si>
    <t xml:space="preserve">Cuentas por pagar comerciales y otras cuentas por pagar </t>
  </si>
  <si>
    <t xml:space="preserve">Proveedores Nacionales </t>
  </si>
  <si>
    <t xml:space="preserve">Impuestos Corrientes por pagar </t>
  </si>
  <si>
    <t xml:space="preserve">Retenciones por pagar </t>
  </si>
  <si>
    <t xml:space="preserve">Total cuentas por pagar </t>
  </si>
  <si>
    <t xml:space="preserve">Total impuestos y gravemenes </t>
  </si>
  <si>
    <t xml:space="preserve">Beneficios a empleados </t>
  </si>
  <si>
    <t xml:space="preserve">Cesantias consolidadas </t>
  </si>
  <si>
    <t xml:space="preserve">Int cesantias </t>
  </si>
  <si>
    <t xml:space="preserve">Vacaciones Consolidadas </t>
  </si>
  <si>
    <t xml:space="preserve">Total obligaciones laborales </t>
  </si>
  <si>
    <t xml:space="preserve">TOTAL PASIVO </t>
  </si>
  <si>
    <t xml:space="preserve">PATRIMONIO </t>
  </si>
  <si>
    <t xml:space="preserve">SALDO </t>
  </si>
  <si>
    <t xml:space="preserve">AMORTIZACION </t>
  </si>
  <si>
    <t>EA</t>
  </si>
  <si>
    <t xml:space="preserve">tasa de usura FEBRERO </t>
  </si>
  <si>
    <t>EM</t>
  </si>
  <si>
    <t xml:space="preserve">CUOTA </t>
  </si>
  <si>
    <t xml:space="preserve">INT </t>
  </si>
  <si>
    <t>N CUOTAS</t>
  </si>
  <si>
    <t xml:space="preserve">Bancos Nacionales </t>
  </si>
  <si>
    <t xml:space="preserve">Total obligaciones financieras </t>
  </si>
  <si>
    <t xml:space="preserve">TOTAL PASIVO NO CORRIENTE </t>
  </si>
  <si>
    <t xml:space="preserve">Gastos de ventas </t>
  </si>
  <si>
    <t xml:space="preserve">Propiedad, planta y equipo de operación </t>
  </si>
  <si>
    <t>MARGEN BRUTO %</t>
  </si>
  <si>
    <t>MARGEN BRUTO $</t>
  </si>
  <si>
    <t>MARGEN OPERACIONAL %</t>
  </si>
  <si>
    <t>MARGEN OPERACIONAL $</t>
  </si>
  <si>
    <t>UTILIDAD</t>
  </si>
  <si>
    <t>AMORTIZACIONES</t>
  </si>
  <si>
    <t>DETERIORO</t>
  </si>
  <si>
    <t>DEPRECIACIONES</t>
  </si>
  <si>
    <t>INTERESES</t>
  </si>
  <si>
    <t>EBITDA</t>
  </si>
  <si>
    <t>EBITDA %</t>
  </si>
  <si>
    <t xml:space="preserve">CHECK POINT </t>
  </si>
  <si>
    <t xml:space="preserve">ENERO </t>
  </si>
  <si>
    <t xml:space="preserve">FEBRERO </t>
  </si>
  <si>
    <t xml:space="preserve">MARZO </t>
  </si>
  <si>
    <t xml:space="preserve">ABRIL 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</si>
  <si>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</si>
  <si>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</si>
  <si>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</si>
  <si>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</si>
  <si>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</si>
  <si>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</si>
  <si>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</si>
  <si>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</si>
  <si>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FEBRERO</t>
  </si>
  <si>
    <t>MARZO</t>
  </si>
  <si>
    <t>ABRIL</t>
  </si>
  <si>
    <t xml:space="preserve">EBIT % </t>
  </si>
  <si>
    <t>INDICADORES</t>
  </si>
  <si>
    <t>RAZON CORRIENTE</t>
  </si>
  <si>
    <t>PRUEBA ACIDA</t>
  </si>
  <si>
    <t>CAPITAL NETO DE TRABAJO</t>
  </si>
  <si>
    <t>COSTO CAPITAL %</t>
  </si>
  <si>
    <t>ENDEUDAMIENTO= PASIVO /ACTIVO</t>
  </si>
  <si>
    <t>ENDEUDAMIENTO PASIVO/PATRIMONIO</t>
  </si>
  <si>
    <t xml:space="preserve">PASIVO NO  CORRIENTE /PASIVO </t>
  </si>
  <si>
    <t>PASIVO CORRIENTE /PASIVO</t>
  </si>
  <si>
    <t>IPC HISTORICO</t>
  </si>
  <si>
    <t>Equipos de Computo</t>
  </si>
  <si>
    <t>Depreciacion Acumulada</t>
  </si>
  <si>
    <t>Intangibles</t>
  </si>
  <si>
    <t>Software - Plataforma</t>
  </si>
  <si>
    <t>Amortización Software</t>
  </si>
  <si>
    <t>APORTE PENSIÓN</t>
  </si>
  <si>
    <t>APORTE SALUD</t>
  </si>
  <si>
    <t>Costos y gastos por pagar</t>
  </si>
  <si>
    <t>Utilidad del ejercicio Acumulada</t>
  </si>
  <si>
    <t>Cuentas por pagar redención premios</t>
  </si>
  <si>
    <t xml:space="preserve">Liliana Cardenas -Fausto Ramirez </t>
  </si>
  <si>
    <t xml:space="preserve">Programa de fidelizacion de puntos,  los cuales se pueden redimir por medio de apuestas deportivas, en locales de comercio asociados. </t>
  </si>
  <si>
    <t xml:space="preserve">PROPUESTA FINANCIERA A&amp;P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</si>
</sst>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8" formatCode="&quot;$&quot;\ #,##0.00;[Red]\-&quot;$&quot;\ #,##0.00"/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* #,##0_);_(* \(#,##0\);_(* &quot;-&quot;_);_(@_)"/>
    <numFmt numFmtId="166" formatCode="_-* #,##0_-;\-* #,##0_-;_-* &quot;-&quot;??_-;_-@_-"/>
    <numFmt numFmtId="167" formatCode="_(&quot;$&quot;* #,##0_);_(&quot;$&quot;* \(#,##0\);_(&quot;$&quot;* &quot;-&quot;??_);_(@_)"/>
    <numFmt numFmtId="168" formatCode="&quot;$&quot;\ #,##0"/>
    <numFmt numFmtId="169" formatCode="0%&quot; EA&quot;"/>
    <numFmt numFmtId="170" formatCode="0.00%\ &quot;EA&quot;"/>
    <numFmt numFmtId="171" formatCode="#,##0.00\ &quot;AÑOS&quot;"/>
    <numFmt numFmtId="172" formatCode="&quot;$&quot;#,##0_);[Red]\(&quot;$&quot;#,##0\)"/>
    <numFmt numFmtId="173" formatCode="_ &quot;$&quot;\ * #,##0.00_ ;_ &quot;$&quot;\ * \-#,##0.00_ ;_ &quot;$&quot;\ * &quot;-&quot;??_ ;_ @_ "/>
    <numFmt numFmtId="174" formatCode="dd\-mm\-yyyy;@"/>
    <numFmt numFmtId="175" formatCode="0.0%"/>
    <numFmt numFmtId="176" formatCode="0.0000%"/>
    <numFmt numFmtId="177" formatCode="_-[$€-2]\ * #,##0.00_-;\-[$€-2]\ * #,##0.00_-;_-[$€-2]\ * &quot;-&quot;??_-;_-@_-"/>
    <numFmt numFmtId="178" formatCode="[$$-240A]\ #,##0;[Red]\-[$$-240A]\ #,##0"/>
    <numFmt numFmtId="179" formatCode="0.00%\ &quot;EM&quot;"/>
    <numFmt numFmtId="180" formatCode="_-* #,##0\ _€_-;\-* #,##0\ _€_-;_-* &quot;-&quot;??\ _€_-;_-@_-"/>
    <numFmt numFmtId="181" formatCode="_-* #,##0.00\ _€_-;\-* #,##0.00\ _€_-;_-* &quot;-&quot;??\ _€_-;_-@_-"/>
    <numFmt numFmtId="182" formatCode="_-&quot;$&quot;* #,##0_-;\-&quot;$&quot;* #,##0_-;_-&quot;$&quot;* &quot;-&quot;??_-;_-@_-"/>
    <numFmt numFmtId="183" formatCode="_-* #,##0.00\ _P_t_s_-;\-* #,##0.00\ _P_t_s_-;_-* &quot;-&quot;??\ _P_t_s_-;_-@_-"/>
    <numFmt numFmtId="184" formatCode="_-* #,##0\ _P_t_s_-;\-* #,##0\ _P_t_s_-;_-* &quot;-&quot;??\ _P_t_s_-;_-@_-"/>
    <numFmt numFmtId="185" formatCode="0.000%"/>
    <numFmt numFmtId="186" formatCode="_(* #,##0.000_);_(* \(#,##0.000\);_(* &quot;-&quot;??_);_(@_)"/>
    <numFmt numFmtId="187" formatCode="_(* #,##0_);_(* \(#,##0\);_(* &quot;-&quot;??_);_(@_)"/>
    <numFmt numFmtId="188" formatCode="_-&quot;$&quot;\ * #,##0_-;\-&quot;$&quot;\ * #,##0_-;_-&quot;$&quot;\ * &quot;-&quot;??_-;_-@_-"/>
  </numFmts>
  <fonts count="6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 tint="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14BD89"/>
      <name val="Calibri"/>
      <family val="2"/>
      <scheme val="minor"/>
    </font>
    <font>
      <b/>
      <sz val="10"/>
      <name val="Arial"/>
      <family val="2"/>
    </font>
    <font>
      <sz val="14"/>
      <color theme="0" tint="-0.34998626667073579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0"/>
      <name val="Calibri cuerpo"/>
    </font>
    <font>
      <sz val="12"/>
      <color theme="0"/>
      <name val="Calibri cuerpo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0"/>
      <name val="Times New Roman"/>
      <family val="1"/>
    </font>
    <font>
      <b/>
      <sz val="12"/>
      <color theme="0"/>
      <name val="Calibri"/>
      <family val="2"/>
      <scheme val="minor"/>
    </font>
    <font>
      <sz val="10"/>
      <color rgb="FF222222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0"/>
      <name val="Times New Roman"/>
      <family val="1"/>
    </font>
    <font>
      <sz val="10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"/>
      <color theme="0"/>
      <name val="Calibri"/>
      <family val="2"/>
      <scheme val="minor"/>
    </font>
    <font>
      <b/>
      <sz val="9"/>
      <color theme="1"/>
      <name val="Arial Narrow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b/>
      <sz val="5"/>
      <color theme="1"/>
      <name val="Arial"/>
      <family val="2"/>
    </font>
    <font>
      <b/>
      <sz val="8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0"/>
      <name val="Calibri cuerpo"/>
    </font>
    <font>
      <b/>
      <sz val="9"/>
      <color theme="1"/>
      <name val="Times New Roman"/>
      <family val="1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u/>
      <sz val="9"/>
      <color theme="1"/>
      <name val="Arial Narrow"/>
      <family val="2"/>
    </font>
    <font>
      <u/>
      <sz val="9"/>
      <color theme="1"/>
      <name val="Arial Narrow"/>
      <family val="2"/>
    </font>
    <font>
      <b/>
      <u val="singleAccounting"/>
      <sz val="9"/>
      <color theme="1"/>
      <name val="Arial Narrow"/>
      <family val="2"/>
    </font>
    <font>
      <b/>
      <sz val="8"/>
      <color theme="0"/>
      <name val="Arial Narrow"/>
      <family val="2"/>
    </font>
    <font>
      <sz val="8"/>
      <color theme="1"/>
      <name val="Arial Narrow"/>
      <family val="2"/>
    </font>
    <font>
      <sz val="1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20"/>
      <color theme="8" tint="-0.249977111117893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-0.499984740745262"/>
        <bgColor indexed="64"/>
      </patternFill>
    </fill>
  </fills>
  <borders count="10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/>
      <right/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/>
      <right/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/>
      </left>
      <right style="medium">
        <color theme="0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/>
      </right>
      <top style="medium">
        <color theme="0" tint="-4.9989318521683403E-2"/>
      </top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/>
      <top/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medium">
        <color theme="0"/>
      </right>
      <top style="medium">
        <color theme="0"/>
      </top>
      <bottom/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medium">
        <color indexed="64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4" borderId="0" applyNumberFormat="0" applyBorder="0" applyAlignment="0" applyProtection="0"/>
    <xf numFmtId="0" fontId="8" fillId="0" borderId="0"/>
    <xf numFmtId="181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83" fontId="8" fillId="0" borderId="0" applyFont="0" applyFill="0" applyBorder="0" applyAlignment="0" applyProtection="0"/>
  </cellStyleXfs>
  <cellXfs count="756">
    <xf numFmtId="0" fontId="0" fillId="0" borderId="0" xfId="0"/>
    <xf numFmtId="0" fontId="0" fillId="2" borderId="0" xfId="0" applyFont="1" applyFill="1"/>
    <xf numFmtId="0" fontId="0" fillId="0" borderId="4" xfId="0" applyBorder="1"/>
    <xf numFmtId="168" fontId="0" fillId="0" borderId="5" xfId="0" applyNumberFormat="1" applyBorder="1"/>
    <xf numFmtId="0" fontId="0" fillId="0" borderId="6" xfId="0" applyBorder="1"/>
    <xf numFmtId="168" fontId="0" fillId="0" borderId="8" xfId="0" applyNumberFormat="1" applyBorder="1"/>
    <xf numFmtId="168" fontId="0" fillId="0" borderId="0" xfId="0" applyNumberFormat="1" applyBorder="1"/>
    <xf numFmtId="168" fontId="0" fillId="0" borderId="7" xfId="0" applyNumberFormat="1" applyBorder="1"/>
    <xf numFmtId="8" fontId="0" fillId="0" borderId="5" xfId="0" applyNumberFormat="1" applyBorder="1"/>
    <xf numFmtId="2" fontId="0" fillId="0" borderId="5" xfId="0" applyNumberFormat="1" applyBorder="1"/>
    <xf numFmtId="170" fontId="0" fillId="0" borderId="5" xfId="0" applyNumberFormat="1" applyBorder="1"/>
    <xf numFmtId="171" fontId="0" fillId="0" borderId="8" xfId="0" applyNumberFormat="1" applyBorder="1"/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68" fontId="0" fillId="0" borderId="0" xfId="0" applyNumberFormat="1" applyBorder="1" applyAlignment="1">
      <alignment horizontal="right" vertical="center"/>
    </xf>
    <xf numFmtId="168" fontId="0" fillId="0" borderId="5" xfId="0" applyNumberFormat="1" applyBorder="1" applyAlignment="1">
      <alignment horizontal="right" vertical="center"/>
    </xf>
    <xf numFmtId="168" fontId="0" fillId="0" borderId="7" xfId="0" applyNumberFormat="1" applyBorder="1" applyAlignment="1">
      <alignment horizontal="right" vertical="center"/>
    </xf>
    <xf numFmtId="168" fontId="0" fillId="0" borderId="8" xfId="0" applyNumberFormat="1" applyBorder="1" applyAlignment="1">
      <alignment horizontal="right" vertical="center"/>
    </xf>
    <xf numFmtId="0" fontId="2" fillId="7" borderId="2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9" fontId="2" fillId="7" borderId="0" xfId="0" applyNumberFormat="1" applyFont="1" applyFill="1" applyBorder="1" applyAlignment="1">
      <alignment horizontal="center" vertical="center"/>
    </xf>
    <xf numFmtId="9" fontId="2" fillId="7" borderId="5" xfId="0" applyNumberFormat="1" applyFont="1" applyFill="1" applyBorder="1" applyAlignment="1">
      <alignment horizontal="center" vertical="center"/>
    </xf>
    <xf numFmtId="169" fontId="27" fillId="0" borderId="5" xfId="0" applyNumberFormat="1" applyFont="1" applyFill="1" applyBorder="1"/>
    <xf numFmtId="0" fontId="34" fillId="2" borderId="0" xfId="0" applyFont="1" applyFill="1" applyAlignment="1" applyProtection="1">
      <alignment horizontal="center"/>
      <protection hidden="1"/>
    </xf>
    <xf numFmtId="180" fontId="34" fillId="2" borderId="0" xfId="7" applyNumberFormat="1" applyFont="1" applyFill="1" applyAlignment="1" applyProtection="1">
      <alignment horizontal="center"/>
      <protection hidden="1"/>
    </xf>
    <xf numFmtId="0" fontId="38" fillId="13" borderId="11" xfId="0" applyFont="1" applyFill="1" applyBorder="1" applyAlignment="1" applyProtection="1">
      <alignment horizontal="center" vertical="center" wrapText="1"/>
      <protection hidden="1"/>
    </xf>
    <xf numFmtId="0" fontId="38" fillId="13" borderId="61" xfId="0" applyFont="1" applyFill="1" applyBorder="1" applyAlignment="1" applyProtection="1">
      <alignment horizontal="center" vertical="center" wrapText="1"/>
      <protection hidden="1"/>
    </xf>
    <xf numFmtId="0" fontId="38" fillId="13" borderId="15" xfId="0" applyFont="1" applyFill="1" applyBorder="1" applyAlignment="1" applyProtection="1">
      <alignment horizontal="center" vertical="center" wrapText="1"/>
      <protection hidden="1"/>
    </xf>
    <xf numFmtId="168" fontId="44" fillId="2" borderId="64" xfId="0" applyNumberFormat="1" applyFont="1" applyFill="1" applyBorder="1" applyAlignment="1" applyProtection="1">
      <alignment horizontal="center" vertical="center" shrinkToFit="1"/>
      <protection hidden="1"/>
    </xf>
    <xf numFmtId="180" fontId="35" fillId="2" borderId="71" xfId="7" applyNumberFormat="1" applyFont="1" applyFill="1" applyBorder="1" applyAlignment="1" applyProtection="1">
      <alignment horizontal="center" wrapText="1"/>
      <protection hidden="1"/>
    </xf>
    <xf numFmtId="180" fontId="35" fillId="2" borderId="60" xfId="7" applyNumberFormat="1" applyFont="1" applyFill="1" applyBorder="1" applyAlignment="1" applyProtection="1">
      <alignment horizontal="center" wrapText="1"/>
      <protection hidden="1"/>
    </xf>
    <xf numFmtId="180" fontId="35" fillId="2" borderId="72" xfId="7" applyNumberFormat="1" applyFont="1" applyFill="1" applyBorder="1" applyAlignment="1" applyProtection="1">
      <alignment horizontal="center" wrapText="1"/>
      <protection hidden="1"/>
    </xf>
    <xf numFmtId="42" fontId="35" fillId="2" borderId="82" xfId="6" applyFont="1" applyFill="1" applyBorder="1" applyAlignment="1" applyProtection="1">
      <alignment horizontal="center"/>
      <protection hidden="1"/>
    </xf>
    <xf numFmtId="180" fontId="35" fillId="2" borderId="0" xfId="7" applyNumberFormat="1" applyFont="1" applyFill="1" applyBorder="1" applyAlignment="1" applyProtection="1">
      <alignment horizontal="left"/>
      <protection hidden="1"/>
    </xf>
    <xf numFmtId="180" fontId="35" fillId="2" borderId="83" xfId="7" applyNumberFormat="1" applyFont="1" applyFill="1" applyBorder="1" applyAlignment="1" applyProtection="1">
      <alignment horizontal="center" wrapText="1"/>
      <protection hidden="1"/>
    </xf>
    <xf numFmtId="42" fontId="35" fillId="2" borderId="72" xfId="6" applyFont="1" applyFill="1" applyBorder="1" applyAlignment="1" applyProtection="1">
      <alignment horizontal="left"/>
      <protection hidden="1"/>
    </xf>
    <xf numFmtId="180" fontId="35" fillId="2" borderId="71" xfId="7" applyNumberFormat="1" applyFont="1" applyFill="1" applyBorder="1" applyAlignment="1" applyProtection="1">
      <alignment horizontal="left"/>
      <protection hidden="1"/>
    </xf>
    <xf numFmtId="180" fontId="35" fillId="2" borderId="72" xfId="7" applyNumberFormat="1" applyFont="1" applyFill="1" applyBorder="1" applyAlignment="1" applyProtection="1">
      <alignment horizontal="left"/>
      <protection hidden="1"/>
    </xf>
    <xf numFmtId="180" fontId="35" fillId="2" borderId="0" xfId="7" applyNumberFormat="1" applyFont="1" applyFill="1" applyAlignment="1" applyProtection="1">
      <alignment horizontal="left"/>
      <protection hidden="1"/>
    </xf>
    <xf numFmtId="42" fontId="35" fillId="2" borderId="63" xfId="6" applyFont="1" applyFill="1" applyBorder="1" applyAlignment="1" applyProtection="1">
      <alignment horizontal="left"/>
      <protection hidden="1"/>
    </xf>
    <xf numFmtId="42" fontId="35" fillId="2" borderId="73" xfId="6" applyFont="1" applyFill="1" applyBorder="1" applyAlignment="1" applyProtection="1">
      <alignment horizontal="left"/>
      <protection hidden="1"/>
    </xf>
    <xf numFmtId="180" fontId="35" fillId="2" borderId="24" xfId="7" applyNumberFormat="1" applyFont="1" applyFill="1" applyBorder="1" applyAlignment="1" applyProtection="1">
      <alignment horizontal="left"/>
      <protection hidden="1"/>
    </xf>
    <xf numFmtId="180" fontId="35" fillId="2" borderId="69" xfId="7" applyNumberFormat="1" applyFont="1" applyFill="1" applyBorder="1" applyAlignment="1" applyProtection="1">
      <alignment horizontal="left"/>
      <protection hidden="1"/>
    </xf>
    <xf numFmtId="0" fontId="43" fillId="2" borderId="75" xfId="0" applyFont="1" applyFill="1" applyBorder="1" applyAlignment="1" applyProtection="1">
      <alignment horizontal="left"/>
      <protection hidden="1"/>
    </xf>
    <xf numFmtId="168" fontId="44" fillId="2" borderId="76" xfId="0" applyNumberFormat="1" applyFont="1" applyFill="1" applyBorder="1" applyAlignment="1" applyProtection="1">
      <alignment horizontal="center" vertical="center" shrinkToFit="1"/>
      <protection hidden="1"/>
    </xf>
    <xf numFmtId="0" fontId="44" fillId="2" borderId="75" xfId="0" applyFont="1" applyFill="1" applyBorder="1" applyAlignment="1" applyProtection="1">
      <alignment horizontal="center" vertical="center" shrinkToFit="1"/>
      <protection hidden="1"/>
    </xf>
    <xf numFmtId="180" fontId="35" fillId="2" borderId="17" xfId="7" applyNumberFormat="1" applyFont="1" applyFill="1" applyBorder="1" applyAlignment="1" applyProtection="1">
      <alignment horizontal="center" wrapText="1"/>
      <protection hidden="1"/>
    </xf>
    <xf numFmtId="180" fontId="35" fillId="2" borderId="9" xfId="7" applyNumberFormat="1" applyFont="1" applyFill="1" applyBorder="1" applyAlignment="1" applyProtection="1">
      <alignment horizontal="center" wrapText="1"/>
      <protection hidden="1"/>
    </xf>
    <xf numFmtId="180" fontId="35" fillId="2" borderId="22" xfId="7" applyNumberFormat="1" applyFont="1" applyFill="1" applyBorder="1" applyAlignment="1" applyProtection="1">
      <alignment horizontal="center" wrapText="1"/>
      <protection hidden="1"/>
    </xf>
    <xf numFmtId="42" fontId="35" fillId="2" borderId="70" xfId="6" applyFont="1" applyFill="1" applyBorder="1" applyAlignment="1" applyProtection="1">
      <alignment horizontal="center"/>
      <protection hidden="1"/>
    </xf>
    <xf numFmtId="180" fontId="35" fillId="2" borderId="77" xfId="7" applyNumberFormat="1" applyFont="1" applyFill="1" applyBorder="1" applyAlignment="1" applyProtection="1">
      <alignment horizontal="center" wrapText="1"/>
      <protection hidden="1"/>
    </xf>
    <xf numFmtId="42" fontId="35" fillId="2" borderId="22" xfId="6" applyFont="1" applyFill="1" applyBorder="1" applyAlignment="1" applyProtection="1">
      <alignment horizontal="left"/>
      <protection hidden="1"/>
    </xf>
    <xf numFmtId="180" fontId="35" fillId="2" borderId="78" xfId="7" applyNumberFormat="1" applyFont="1" applyFill="1" applyBorder="1" applyAlignment="1" applyProtection="1">
      <alignment horizontal="left"/>
      <protection hidden="1"/>
    </xf>
    <xf numFmtId="42" fontId="35" fillId="2" borderId="75" xfId="6" applyFont="1" applyFill="1" applyBorder="1" applyAlignment="1" applyProtection="1">
      <alignment horizontal="left"/>
      <protection hidden="1"/>
    </xf>
    <xf numFmtId="42" fontId="35" fillId="2" borderId="79" xfId="6" applyFont="1" applyFill="1" applyBorder="1" applyAlignment="1" applyProtection="1">
      <alignment horizontal="left"/>
      <protection hidden="1"/>
    </xf>
    <xf numFmtId="180" fontId="35" fillId="2" borderId="9" xfId="7" applyNumberFormat="1" applyFont="1" applyFill="1" applyBorder="1" applyAlignment="1" applyProtection="1">
      <alignment horizontal="left"/>
      <protection hidden="1"/>
    </xf>
    <xf numFmtId="180" fontId="35" fillId="2" borderId="22" xfId="7" applyNumberFormat="1" applyFont="1" applyFill="1" applyBorder="1" applyAlignment="1" applyProtection="1">
      <alignment horizontal="left"/>
      <protection hidden="1"/>
    </xf>
    <xf numFmtId="0" fontId="43" fillId="2" borderId="75" xfId="0" applyFont="1" applyFill="1" applyBorder="1" applyAlignment="1" applyProtection="1">
      <alignment horizontal="left" vertical="center"/>
      <protection hidden="1"/>
    </xf>
    <xf numFmtId="0" fontId="43" fillId="2" borderId="64" xfId="0" applyFont="1" applyFill="1" applyBorder="1" applyAlignment="1" applyProtection="1">
      <alignment horizontal="left" vertical="center"/>
      <protection hidden="1"/>
    </xf>
    <xf numFmtId="168" fontId="44" fillId="2" borderId="20" xfId="0" applyNumberFormat="1" applyFont="1" applyFill="1" applyBorder="1" applyAlignment="1" applyProtection="1">
      <alignment horizontal="center" vertical="center" shrinkToFit="1"/>
      <protection hidden="1"/>
    </xf>
    <xf numFmtId="0" fontId="44" fillId="2" borderId="64" xfId="0" applyFont="1" applyFill="1" applyBorder="1" applyAlignment="1" applyProtection="1">
      <alignment horizontal="center" vertical="center" shrinkToFit="1"/>
      <protection hidden="1"/>
    </xf>
    <xf numFmtId="180" fontId="35" fillId="2" borderId="80" xfId="7" applyNumberFormat="1" applyFont="1" applyFill="1" applyBorder="1" applyAlignment="1" applyProtection="1">
      <alignment horizontal="center" wrapText="1"/>
      <protection hidden="1"/>
    </xf>
    <xf numFmtId="180" fontId="35" fillId="2" borderId="59" xfId="7" applyNumberFormat="1" applyFont="1" applyFill="1" applyBorder="1" applyAlignment="1" applyProtection="1">
      <alignment horizontal="center" wrapText="1"/>
      <protection hidden="1"/>
    </xf>
    <xf numFmtId="180" fontId="35" fillId="2" borderId="81" xfId="7" applyNumberFormat="1" applyFont="1" applyFill="1" applyBorder="1" applyAlignment="1" applyProtection="1">
      <alignment horizontal="center" wrapText="1"/>
      <protection hidden="1"/>
    </xf>
    <xf numFmtId="42" fontId="35" fillId="2" borderId="28" xfId="6" applyFont="1" applyFill="1" applyBorder="1" applyAlignment="1" applyProtection="1">
      <alignment horizontal="center"/>
      <protection hidden="1"/>
    </xf>
    <xf numFmtId="168" fontId="45" fillId="2" borderId="0" xfId="0" applyNumberFormat="1" applyFont="1" applyFill="1" applyAlignment="1" applyProtection="1">
      <alignment horizontal="right" vertical="center" shrinkToFit="1"/>
      <protection hidden="1"/>
    </xf>
    <xf numFmtId="168" fontId="45" fillId="2" borderId="6" xfId="0" applyNumberFormat="1" applyFont="1" applyFill="1" applyBorder="1" applyAlignment="1" applyProtection="1">
      <alignment horizontal="right" vertical="center" shrinkToFit="1"/>
      <protection hidden="1"/>
    </xf>
    <xf numFmtId="168" fontId="44" fillId="2" borderId="0" xfId="0" applyNumberFormat="1" applyFont="1" applyFill="1" applyAlignment="1" applyProtection="1">
      <alignment horizontal="center" vertical="center" shrinkToFit="1"/>
      <protection hidden="1"/>
    </xf>
    <xf numFmtId="0" fontId="45" fillId="12" borderId="61" xfId="0" applyFont="1" applyFill="1" applyBorder="1" applyAlignment="1" applyProtection="1">
      <alignment horizontal="center" vertical="center" shrinkToFit="1"/>
      <protection hidden="1"/>
    </xf>
    <xf numFmtId="168" fontId="45" fillId="12" borderId="15" xfId="0" applyNumberFormat="1" applyFont="1" applyFill="1" applyBorder="1" applyAlignment="1" applyProtection="1">
      <alignment horizontal="right" vertical="center" shrinkToFit="1"/>
      <protection hidden="1"/>
    </xf>
    <xf numFmtId="168" fontId="45" fillId="12" borderId="57" xfId="0" applyNumberFormat="1" applyFont="1" applyFill="1" applyBorder="1" applyAlignment="1" applyProtection="1">
      <alignment horizontal="center" vertical="center" shrinkToFit="1"/>
      <protection hidden="1"/>
    </xf>
    <xf numFmtId="168" fontId="45" fillId="12" borderId="55" xfId="0" applyNumberFormat="1" applyFont="1" applyFill="1" applyBorder="1" applyAlignment="1" applyProtection="1">
      <alignment horizontal="right" vertical="center" shrinkToFit="1"/>
      <protection hidden="1"/>
    </xf>
    <xf numFmtId="168" fontId="45" fillId="12" borderId="61" xfId="0" applyNumberFormat="1" applyFont="1" applyFill="1" applyBorder="1" applyAlignment="1" applyProtection="1">
      <alignment horizontal="right" vertical="center" shrinkToFit="1"/>
      <protection hidden="1"/>
    </xf>
    <xf numFmtId="0" fontId="0" fillId="2" borderId="0" xfId="0" applyFill="1"/>
    <xf numFmtId="0" fontId="0" fillId="2" borderId="0" xfId="0" applyFill="1" applyBorder="1"/>
    <xf numFmtId="165" fontId="49" fillId="2" borderId="0" xfId="5" applyFont="1" applyFill="1" applyBorder="1"/>
    <xf numFmtId="10" fontId="49" fillId="2" borderId="0" xfId="8" applyNumberFormat="1" applyFont="1" applyFill="1" applyBorder="1"/>
    <xf numFmtId="182" fontId="49" fillId="2" borderId="0" xfId="1" applyNumberFormat="1" applyFont="1" applyFill="1" applyBorder="1"/>
    <xf numFmtId="164" fontId="49" fillId="2" borderId="0" xfId="1" applyFont="1" applyFill="1" applyBorder="1"/>
    <xf numFmtId="185" fontId="49" fillId="2" borderId="0" xfId="8" applyNumberFormat="1" applyFont="1" applyFill="1" applyBorder="1"/>
    <xf numFmtId="0" fontId="44" fillId="2" borderId="0" xfId="0" applyFont="1" applyFill="1"/>
    <xf numFmtId="42" fontId="44" fillId="0" borderId="9" xfId="3" applyNumberFormat="1" applyFont="1" applyFill="1" applyBorder="1"/>
    <xf numFmtId="9" fontId="44" fillId="2" borderId="9" xfId="0" applyNumberFormat="1" applyFont="1" applyFill="1" applyBorder="1"/>
    <xf numFmtId="9" fontId="44" fillId="2" borderId="22" xfId="0" applyNumberFormat="1" applyFont="1" applyFill="1" applyBorder="1"/>
    <xf numFmtId="10" fontId="44" fillId="2" borderId="9" xfId="0" applyNumberFormat="1" applyFont="1" applyFill="1" applyBorder="1"/>
    <xf numFmtId="10" fontId="44" fillId="2" borderId="22" xfId="0" applyNumberFormat="1" applyFont="1" applyFill="1" applyBorder="1"/>
    <xf numFmtId="42" fontId="45" fillId="2" borderId="9" xfId="0" applyNumberFormat="1" applyFont="1" applyFill="1" applyBorder="1"/>
    <xf numFmtId="10" fontId="45" fillId="2" borderId="9" xfId="0" applyNumberFormat="1" applyFont="1" applyFill="1" applyBorder="1"/>
    <xf numFmtId="10" fontId="45" fillId="2" borderId="22" xfId="0" applyNumberFormat="1" applyFont="1" applyFill="1" applyBorder="1"/>
    <xf numFmtId="42" fontId="49" fillId="2" borderId="9" xfId="4" applyNumberFormat="1" applyFont="1" applyFill="1" applyBorder="1"/>
    <xf numFmtId="42" fontId="51" fillId="11" borderId="9" xfId="0" applyNumberFormat="1" applyFont="1" applyFill="1" applyBorder="1"/>
    <xf numFmtId="42" fontId="51" fillId="11" borderId="22" xfId="0" applyNumberFormat="1" applyFont="1" applyFill="1" applyBorder="1"/>
    <xf numFmtId="10" fontId="44" fillId="11" borderId="9" xfId="0" applyNumberFormat="1" applyFont="1" applyFill="1" applyBorder="1"/>
    <xf numFmtId="10" fontId="44" fillId="11" borderId="22" xfId="0" applyNumberFormat="1" applyFont="1" applyFill="1" applyBorder="1"/>
    <xf numFmtId="42" fontId="49" fillId="0" borderId="9" xfId="4" applyNumberFormat="1" applyFont="1" applyFill="1" applyBorder="1"/>
    <xf numFmtId="42" fontId="45" fillId="2" borderId="18" xfId="0" applyNumberFormat="1" applyFont="1" applyFill="1" applyBorder="1"/>
    <xf numFmtId="10" fontId="45" fillId="2" borderId="18" xfId="0" applyNumberFormat="1" applyFont="1" applyFill="1" applyBorder="1"/>
    <xf numFmtId="10" fontId="45" fillId="2" borderId="23" xfId="0" applyNumberFormat="1" applyFont="1" applyFill="1" applyBorder="1"/>
    <xf numFmtId="3" fontId="44" fillId="2" borderId="0" xfId="0" applyNumberFormat="1" applyFont="1" applyFill="1"/>
    <xf numFmtId="176" fontId="44" fillId="2" borderId="0" xfId="8" applyNumberFormat="1" applyFont="1" applyFill="1"/>
    <xf numFmtId="0" fontId="50" fillId="11" borderId="11" xfId="0" applyFont="1" applyFill="1" applyBorder="1"/>
    <xf numFmtId="0" fontId="51" fillId="11" borderId="12" xfId="0" applyFont="1" applyFill="1" applyBorder="1"/>
    <xf numFmtId="0" fontId="44" fillId="2" borderId="4" xfId="0" applyFont="1" applyFill="1" applyBorder="1"/>
    <xf numFmtId="0" fontId="44" fillId="2" borderId="0" xfId="0" applyFont="1" applyFill="1" applyBorder="1"/>
    <xf numFmtId="166" fontId="44" fillId="2" borderId="10" xfId="3" applyNumberFormat="1" applyFont="1" applyFill="1" applyBorder="1"/>
    <xf numFmtId="166" fontId="44" fillId="2" borderId="29" xfId="3" applyNumberFormat="1" applyFont="1" applyFill="1" applyBorder="1"/>
    <xf numFmtId="0" fontId="44" fillId="2" borderId="6" xfId="0" applyFont="1" applyFill="1" applyBorder="1"/>
    <xf numFmtId="0" fontId="44" fillId="2" borderId="7" xfId="0" applyFont="1" applyFill="1" applyBorder="1"/>
    <xf numFmtId="165" fontId="49" fillId="2" borderId="30" xfId="5" applyFont="1" applyFill="1" applyBorder="1"/>
    <xf numFmtId="165" fontId="49" fillId="2" borderId="31" xfId="5" applyFont="1" applyFill="1" applyBorder="1"/>
    <xf numFmtId="166" fontId="44" fillId="2" borderId="0" xfId="0" applyNumberFormat="1" applyFont="1" applyFill="1"/>
    <xf numFmtId="0" fontId="45" fillId="2" borderId="0" xfId="0" applyFont="1" applyFill="1"/>
    <xf numFmtId="0" fontId="45" fillId="20" borderId="0" xfId="0" applyFont="1" applyFill="1"/>
    <xf numFmtId="164" fontId="45" fillId="20" borderId="0" xfId="0" applyNumberFormat="1" applyFont="1" applyFill="1"/>
    <xf numFmtId="0" fontId="50" fillId="11" borderId="24" xfId="0" applyFont="1" applyFill="1" applyBorder="1" applyAlignment="1">
      <alignment horizontal="center"/>
    </xf>
    <xf numFmtId="0" fontId="50" fillId="11" borderId="9" xfId="0" applyFont="1" applyFill="1" applyBorder="1" applyAlignment="1">
      <alignment horizontal="left"/>
    </xf>
    <xf numFmtId="0" fontId="50" fillId="11" borderId="9" xfId="0" applyFont="1" applyFill="1" applyBorder="1" applyAlignment="1">
      <alignment horizontal="center"/>
    </xf>
    <xf numFmtId="164" fontId="44" fillId="2" borderId="9" xfId="1" applyFont="1" applyFill="1" applyBorder="1" applyAlignment="1">
      <alignment horizontal="left"/>
    </xf>
    <xf numFmtId="164" fontId="44" fillId="2" borderId="18" xfId="1" applyFont="1" applyFill="1" applyBorder="1" applyAlignment="1">
      <alignment horizontal="left"/>
    </xf>
    <xf numFmtId="164" fontId="44" fillId="2" borderId="2" xfId="1" applyFont="1" applyFill="1" applyBorder="1"/>
    <xf numFmtId="164" fontId="44" fillId="2" borderId="67" xfId="1" applyFont="1" applyFill="1" applyBorder="1"/>
    <xf numFmtId="164" fontId="44" fillId="2" borderId="7" xfId="1" applyFont="1" applyFill="1" applyBorder="1"/>
    <xf numFmtId="164" fontId="44" fillId="2" borderId="86" xfId="1" applyFont="1" applyFill="1" applyBorder="1"/>
    <xf numFmtId="164" fontId="44" fillId="2" borderId="10" xfId="1" applyFont="1" applyFill="1" applyBorder="1"/>
    <xf numFmtId="164" fontId="49" fillId="2" borderId="30" xfId="1" applyFont="1" applyFill="1" applyBorder="1"/>
    <xf numFmtId="0" fontId="50" fillId="11" borderId="14" xfId="0" applyNumberFormat="1" applyFont="1" applyFill="1" applyBorder="1" applyAlignment="1">
      <alignment horizontal="center"/>
    </xf>
    <xf numFmtId="0" fontId="50" fillId="11" borderId="15" xfId="0" applyNumberFormat="1" applyFont="1" applyFill="1" applyBorder="1" applyAlignment="1">
      <alignment horizontal="center"/>
    </xf>
    <xf numFmtId="42" fontId="51" fillId="11" borderId="79" xfId="0" applyNumberFormat="1" applyFont="1" applyFill="1" applyBorder="1"/>
    <xf numFmtId="0" fontId="50" fillId="11" borderId="17" xfId="0" applyFont="1" applyFill="1" applyBorder="1" applyAlignment="1">
      <alignment horizontal="center"/>
    </xf>
    <xf numFmtId="0" fontId="50" fillId="11" borderId="22" xfId="0" applyFont="1" applyFill="1" applyBorder="1" applyAlignment="1">
      <alignment horizontal="center"/>
    </xf>
    <xf numFmtId="164" fontId="44" fillId="2" borderId="17" xfId="1" applyFont="1" applyFill="1" applyBorder="1" applyAlignment="1">
      <alignment horizontal="left"/>
    </xf>
    <xf numFmtId="164" fontId="44" fillId="2" borderId="22" xfId="1" applyFont="1" applyFill="1" applyBorder="1" applyAlignment="1">
      <alignment horizontal="left"/>
    </xf>
    <xf numFmtId="0" fontId="50" fillId="11" borderId="22" xfId="0" applyFont="1" applyFill="1" applyBorder="1" applyAlignment="1">
      <alignment horizontal="left"/>
    </xf>
    <xf numFmtId="164" fontId="44" fillId="2" borderId="19" xfId="1" applyFont="1" applyFill="1" applyBorder="1" applyAlignment="1">
      <alignment horizontal="left"/>
    </xf>
    <xf numFmtId="164" fontId="44" fillId="2" borderId="23" xfId="1" applyFont="1" applyFill="1" applyBorder="1" applyAlignment="1">
      <alignment horizontal="left"/>
    </xf>
    <xf numFmtId="10" fontId="44" fillId="2" borderId="79" xfId="0" applyNumberFormat="1" applyFont="1" applyFill="1" applyBorder="1"/>
    <xf numFmtId="10" fontId="45" fillId="2" borderId="79" xfId="0" applyNumberFormat="1" applyFont="1" applyFill="1" applyBorder="1"/>
    <xf numFmtId="10" fontId="44" fillId="11" borderId="79" xfId="0" applyNumberFormat="1" applyFont="1" applyFill="1" applyBorder="1"/>
    <xf numFmtId="10" fontId="45" fillId="2" borderId="54" xfId="0" applyNumberFormat="1" applyFont="1" applyFill="1" applyBorder="1"/>
    <xf numFmtId="42" fontId="44" fillId="0" borderId="17" xfId="3" applyNumberFormat="1" applyFont="1" applyFill="1" applyBorder="1"/>
    <xf numFmtId="42" fontId="44" fillId="0" borderId="22" xfId="3" applyNumberFormat="1" applyFont="1" applyFill="1" applyBorder="1"/>
    <xf numFmtId="42" fontId="45" fillId="2" borderId="17" xfId="0" applyNumberFormat="1" applyFont="1" applyFill="1" applyBorder="1"/>
    <xf numFmtId="42" fontId="45" fillId="2" borderId="22" xfId="0" applyNumberFormat="1" applyFont="1" applyFill="1" applyBorder="1"/>
    <xf numFmtId="42" fontId="49" fillId="2" borderId="17" xfId="4" applyNumberFormat="1" applyFont="1" applyFill="1" applyBorder="1"/>
    <xf numFmtId="42" fontId="51" fillId="11" borderId="17" xfId="0" applyNumberFormat="1" applyFont="1" applyFill="1" applyBorder="1"/>
    <xf numFmtId="42" fontId="44" fillId="2" borderId="17" xfId="3" applyNumberFormat="1" applyFont="1" applyFill="1" applyBorder="1"/>
    <xf numFmtId="42" fontId="49" fillId="2" borderId="22" xfId="4" applyNumberFormat="1" applyFont="1" applyFill="1" applyBorder="1"/>
    <xf numFmtId="42" fontId="49" fillId="0" borderId="17" xfId="4" applyNumberFormat="1" applyFont="1" applyFill="1" applyBorder="1"/>
    <xf numFmtId="42" fontId="49" fillId="0" borderId="22" xfId="4" applyNumberFormat="1" applyFont="1" applyFill="1" applyBorder="1"/>
    <xf numFmtId="42" fontId="45" fillId="2" borderId="19" xfId="0" applyNumberFormat="1" applyFont="1" applyFill="1" applyBorder="1"/>
    <xf numFmtId="42" fontId="45" fillId="2" borderId="23" xfId="0" applyNumberFormat="1" applyFont="1" applyFill="1" applyBorder="1"/>
    <xf numFmtId="164" fontId="45" fillId="2" borderId="17" xfId="1" applyFont="1" applyFill="1" applyBorder="1" applyAlignment="1">
      <alignment horizontal="left"/>
    </xf>
    <xf numFmtId="164" fontId="45" fillId="2" borderId="9" xfId="1" applyFont="1" applyFill="1" applyBorder="1" applyAlignment="1">
      <alignment horizontal="left"/>
    </xf>
    <xf numFmtId="164" fontId="45" fillId="2" borderId="22" xfId="1" applyFont="1" applyFill="1" applyBorder="1" applyAlignment="1">
      <alignment horizontal="left"/>
    </xf>
    <xf numFmtId="165" fontId="50" fillId="21" borderId="2" xfId="5" applyFont="1" applyFill="1" applyBorder="1"/>
    <xf numFmtId="165" fontId="50" fillId="21" borderId="3" xfId="5" applyFont="1" applyFill="1" applyBorder="1"/>
    <xf numFmtId="10" fontId="49" fillId="2" borderId="4" xfId="8" applyNumberFormat="1" applyFont="1" applyFill="1" applyBorder="1"/>
    <xf numFmtId="10" fontId="49" fillId="2" borderId="5" xfId="8" applyNumberFormat="1" applyFont="1" applyFill="1" applyBorder="1"/>
    <xf numFmtId="182" fontId="49" fillId="2" borderId="4" xfId="1" applyNumberFormat="1" applyFont="1" applyFill="1" applyBorder="1"/>
    <xf numFmtId="182" fontId="49" fillId="2" borderId="5" xfId="1" applyNumberFormat="1" applyFont="1" applyFill="1" applyBorder="1"/>
    <xf numFmtId="185" fontId="49" fillId="2" borderId="4" xfId="8" applyNumberFormat="1" applyFont="1" applyFill="1" applyBorder="1"/>
    <xf numFmtId="185" fontId="49" fillId="2" borderId="5" xfId="8" applyNumberFormat="1" applyFont="1" applyFill="1" applyBorder="1"/>
    <xf numFmtId="164" fontId="49" fillId="2" borderId="4" xfId="1" applyFont="1" applyFill="1" applyBorder="1"/>
    <xf numFmtId="164" fontId="49" fillId="2" borderId="5" xfId="1" applyFont="1" applyFill="1" applyBorder="1"/>
    <xf numFmtId="165" fontId="49" fillId="2" borderId="4" xfId="5" applyFont="1" applyFill="1" applyBorder="1"/>
    <xf numFmtId="165" fontId="49" fillId="2" borderId="5" xfId="5" applyFont="1" applyFill="1" applyBorder="1"/>
    <xf numFmtId="165" fontId="49" fillId="2" borderId="7" xfId="5" applyFont="1" applyFill="1" applyBorder="1"/>
    <xf numFmtId="165" fontId="49" fillId="2" borderId="8" xfId="5" applyFont="1" applyFill="1" applyBorder="1"/>
    <xf numFmtId="0" fontId="50" fillId="11" borderId="69" xfId="0" applyFont="1" applyFill="1" applyBorder="1" applyAlignment="1">
      <alignment horizontal="center"/>
    </xf>
    <xf numFmtId="0" fontId="44" fillId="2" borderId="5" xfId="0" applyFont="1" applyFill="1" applyBorder="1"/>
    <xf numFmtId="0" fontId="44" fillId="2" borderId="8" xfId="0" applyFont="1" applyFill="1" applyBorder="1"/>
    <xf numFmtId="0" fontId="45" fillId="2" borderId="1" xfId="0" applyFont="1" applyFill="1" applyBorder="1"/>
    <xf numFmtId="0" fontId="44" fillId="2" borderId="3" xfId="0" applyFont="1" applyFill="1" applyBorder="1"/>
    <xf numFmtId="0" fontId="48" fillId="21" borderId="93" xfId="0" applyFont="1" applyFill="1" applyBorder="1" applyAlignment="1">
      <alignment horizontal="center" vertical="center"/>
    </xf>
    <xf numFmtId="0" fontId="48" fillId="21" borderId="94" xfId="0" applyFont="1" applyFill="1" applyBorder="1" applyAlignment="1">
      <alignment horizontal="center" vertical="center"/>
    </xf>
    <xf numFmtId="184" fontId="48" fillId="22" borderId="95" xfId="13" applyNumberFormat="1" applyFont="1" applyFill="1" applyBorder="1" applyAlignment="1">
      <alignment vertical="center"/>
    </xf>
    <xf numFmtId="184" fontId="48" fillId="22" borderId="96" xfId="13" applyNumberFormat="1" applyFont="1" applyFill="1" applyBorder="1" applyAlignment="1">
      <alignment vertical="center"/>
    </xf>
    <xf numFmtId="0" fontId="48" fillId="21" borderId="97" xfId="0" applyFont="1" applyFill="1" applyBorder="1" applyAlignment="1">
      <alignment horizontal="center" vertical="center"/>
    </xf>
    <xf numFmtId="165" fontId="50" fillId="21" borderId="65" xfId="5" applyFont="1" applyFill="1" applyBorder="1"/>
    <xf numFmtId="10" fontId="49" fillId="2" borderId="98" xfId="8" applyNumberFormat="1" applyFont="1" applyFill="1" applyBorder="1"/>
    <xf numFmtId="182" fontId="49" fillId="2" borderId="98" xfId="1" applyNumberFormat="1" applyFont="1" applyFill="1" applyBorder="1"/>
    <xf numFmtId="185" fontId="49" fillId="2" borderId="98" xfId="8" applyNumberFormat="1" applyFont="1" applyFill="1" applyBorder="1"/>
    <xf numFmtId="164" fontId="49" fillId="2" borderId="98" xfId="1" applyFont="1" applyFill="1" applyBorder="1"/>
    <xf numFmtId="165" fontId="49" fillId="2" borderId="98" xfId="5" applyFont="1" applyFill="1" applyBorder="1"/>
    <xf numFmtId="165" fontId="49" fillId="2" borderId="99" xfId="5" applyFont="1" applyFill="1" applyBorder="1"/>
    <xf numFmtId="0" fontId="58" fillId="0" borderId="0" xfId="0" applyFont="1"/>
    <xf numFmtId="186" fontId="43" fillId="22" borderId="100" xfId="7" applyNumberFormat="1" applyFont="1" applyFill="1" applyBorder="1" applyAlignment="1">
      <alignment vertical="center"/>
    </xf>
    <xf numFmtId="186" fontId="43" fillId="22" borderId="102" xfId="7" applyNumberFormat="1" applyFont="1" applyFill="1" applyBorder="1" applyAlignment="1">
      <alignment vertical="center"/>
    </xf>
    <xf numFmtId="0" fontId="0" fillId="0" borderId="100" xfId="0" applyBorder="1"/>
    <xf numFmtId="0" fontId="57" fillId="23" borderId="100" xfId="0" applyFont="1" applyFill="1" applyBorder="1" applyAlignment="1">
      <alignment horizontal="left" vertical="center"/>
    </xf>
    <xf numFmtId="186" fontId="57" fillId="23" borderId="100" xfId="7" applyNumberFormat="1" applyFont="1" applyFill="1" applyBorder="1" applyAlignment="1">
      <alignment horizontal="center" vertical="center"/>
    </xf>
    <xf numFmtId="187" fontId="57" fillId="23" borderId="100" xfId="7" applyNumberFormat="1" applyFont="1" applyFill="1" applyBorder="1" applyAlignment="1">
      <alignment vertical="center"/>
    </xf>
    <xf numFmtId="10" fontId="43" fillId="22" borderId="100" xfId="8" applyNumberFormat="1" applyFont="1" applyFill="1" applyBorder="1" applyAlignment="1">
      <alignment vertical="center"/>
    </xf>
    <xf numFmtId="182" fontId="43" fillId="22" borderId="100" xfId="1" applyNumberFormat="1" applyFont="1" applyFill="1" applyBorder="1" applyAlignment="1">
      <alignment horizontal="center" vertical="center"/>
    </xf>
    <xf numFmtId="185" fontId="43" fillId="22" borderId="100" xfId="8" applyNumberFormat="1" applyFont="1" applyFill="1" applyBorder="1" applyAlignment="1">
      <alignment vertical="center"/>
    </xf>
    <xf numFmtId="164" fontId="43" fillId="22" borderId="100" xfId="1" applyFont="1" applyFill="1" applyBorder="1" applyAlignment="1">
      <alignment horizontal="center" vertical="center"/>
    </xf>
    <xf numFmtId="186" fontId="43" fillId="22" borderId="100" xfId="7" applyNumberFormat="1" applyFont="1" applyFill="1" applyBorder="1" applyAlignment="1">
      <alignment horizontal="center" vertical="center"/>
    </xf>
    <xf numFmtId="10" fontId="43" fillId="22" borderId="100" xfId="8" applyNumberFormat="1" applyFont="1" applyFill="1" applyBorder="1" applyAlignment="1">
      <alignment horizontal="right" vertical="center"/>
    </xf>
    <xf numFmtId="164" fontId="43" fillId="22" borderId="100" xfId="1" applyNumberFormat="1" applyFont="1" applyFill="1" applyBorder="1" applyAlignment="1">
      <alignment horizontal="center" vertical="center"/>
    </xf>
    <xf numFmtId="185" fontId="43" fillId="22" borderId="100" xfId="8" applyNumberFormat="1" applyFont="1" applyFill="1" applyBorder="1" applyAlignment="1">
      <alignment horizontal="right" vertical="center"/>
    </xf>
    <xf numFmtId="0" fontId="0" fillId="2" borderId="100" xfId="0" applyFill="1" applyBorder="1"/>
    <xf numFmtId="0" fontId="0" fillId="0" borderId="101" xfId="0" applyBorder="1"/>
    <xf numFmtId="187" fontId="57" fillId="23" borderId="103" xfId="7" applyNumberFormat="1" applyFont="1" applyFill="1" applyBorder="1" applyAlignment="1">
      <alignment horizontal="center" vertical="center"/>
    </xf>
    <xf numFmtId="10" fontId="44" fillId="2" borderId="79" xfId="8" applyNumberFormat="1" applyFont="1" applyFill="1" applyBorder="1"/>
    <xf numFmtId="10" fontId="44" fillId="2" borderId="9" xfId="8" applyNumberFormat="1" applyFont="1" applyFill="1" applyBorder="1"/>
    <xf numFmtId="10" fontId="44" fillId="2" borderId="22" xfId="8" applyNumberFormat="1" applyFont="1" applyFill="1" applyBorder="1"/>
    <xf numFmtId="9" fontId="43" fillId="22" borderId="100" xfId="8" applyFont="1" applyFill="1" applyBorder="1" applyAlignment="1">
      <alignment horizontal="center" vertical="center"/>
    </xf>
    <xf numFmtId="2" fontId="43" fillId="22" borderId="100" xfId="8" applyNumberFormat="1" applyFont="1" applyFill="1" applyBorder="1" applyAlignment="1">
      <alignment horizontal="center" vertical="center"/>
    </xf>
    <xf numFmtId="10" fontId="43" fillId="22" borderId="100" xfId="8" applyNumberFormat="1" applyFont="1" applyFill="1" applyBorder="1" applyAlignment="1">
      <alignment horizontal="center" vertical="center"/>
    </xf>
    <xf numFmtId="42" fontId="44" fillId="0" borderId="84" xfId="3" applyNumberFormat="1" applyFont="1" applyFill="1" applyBorder="1"/>
    <xf numFmtId="10" fontId="44" fillId="2" borderId="17" xfId="0" applyNumberFormat="1" applyFont="1" applyFill="1" applyBorder="1"/>
    <xf numFmtId="188" fontId="35" fillId="2" borderId="9" xfId="7" applyNumberFormat="1" applyFont="1" applyFill="1" applyBorder="1" applyAlignment="1" applyProtection="1">
      <alignment horizontal="left"/>
      <protection hidden="1"/>
    </xf>
    <xf numFmtId="0" fontId="43" fillId="2" borderId="74" xfId="0" applyFont="1" applyFill="1" applyBorder="1" applyAlignment="1" applyProtection="1">
      <alignment horizontal="left"/>
      <protection hidden="1"/>
    </xf>
    <xf numFmtId="168" fontId="44" fillId="2" borderId="78" xfId="0" applyNumberFormat="1" applyFont="1" applyFill="1" applyBorder="1" applyAlignment="1" applyProtection="1">
      <alignment horizontal="center" vertical="center" shrinkToFit="1"/>
      <protection hidden="1"/>
    </xf>
    <xf numFmtId="0" fontId="44" fillId="2" borderId="74" xfId="0" applyFont="1" applyFill="1" applyBorder="1" applyAlignment="1" applyProtection="1">
      <alignment horizontal="center" vertical="center" shrinkToFit="1"/>
      <protection hidden="1"/>
    </xf>
    <xf numFmtId="168" fontId="44" fillId="2" borderId="98" xfId="0" applyNumberFormat="1" applyFont="1" applyFill="1" applyBorder="1" applyAlignment="1" applyProtection="1">
      <alignment horizontal="center" vertical="center" shrinkToFit="1"/>
      <protection hidden="1"/>
    </xf>
    <xf numFmtId="0" fontId="50" fillId="11" borderId="16" xfId="0" applyFont="1" applyFill="1" applyBorder="1" applyAlignment="1">
      <alignment horizontal="center"/>
    </xf>
    <xf numFmtId="0" fontId="50" fillId="11" borderId="17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32" fillId="2" borderId="1" xfId="0" applyFont="1" applyFill="1" applyBorder="1" applyAlignment="1" applyProtection="1">
      <alignment horizontal="center" vertical="center"/>
      <protection hidden="1"/>
    </xf>
    <xf numFmtId="0" fontId="32" fillId="2" borderId="2" xfId="0" applyFont="1" applyFill="1" applyBorder="1" applyAlignment="1" applyProtection="1">
      <alignment horizontal="center" vertical="center"/>
      <protection hidden="1"/>
    </xf>
    <xf numFmtId="0" fontId="32" fillId="2" borderId="3" xfId="0" applyFont="1" applyFill="1" applyBorder="1" applyAlignment="1" applyProtection="1">
      <alignment horizontal="center" vertical="center"/>
      <protection hidden="1"/>
    </xf>
    <xf numFmtId="0" fontId="32" fillId="2" borderId="4" xfId="0" applyFont="1" applyFill="1" applyBorder="1" applyAlignment="1" applyProtection="1">
      <alignment horizontal="center" vertical="center"/>
      <protection hidden="1"/>
    </xf>
    <xf numFmtId="0" fontId="32" fillId="2" borderId="0" xfId="0" applyFont="1" applyFill="1" applyAlignment="1" applyProtection="1">
      <alignment horizontal="center" vertical="center"/>
      <protection hidden="1"/>
    </xf>
    <xf numFmtId="0" fontId="32" fillId="2" borderId="5" xfId="0" applyFont="1" applyFill="1" applyBorder="1" applyAlignment="1" applyProtection="1">
      <alignment horizontal="center" vertical="center"/>
      <protection hidden="1"/>
    </xf>
    <xf numFmtId="0" fontId="32" fillId="2" borderId="6" xfId="0" applyFont="1" applyFill="1" applyBorder="1" applyAlignment="1" applyProtection="1">
      <alignment horizontal="center" vertical="center"/>
      <protection hidden="1"/>
    </xf>
    <xf numFmtId="0" fontId="32" fillId="2" borderId="7" xfId="0" applyFont="1" applyFill="1" applyBorder="1" applyAlignment="1" applyProtection="1">
      <alignment horizontal="center" vertical="center"/>
      <protection hidden="1"/>
    </xf>
    <xf numFmtId="0" fontId="32" fillId="2" borderId="8" xfId="0" applyFont="1" applyFill="1" applyBorder="1" applyAlignment="1" applyProtection="1">
      <alignment horizontal="center" vertical="center"/>
      <protection hidden="1"/>
    </xf>
    <xf numFmtId="0" fontId="35" fillId="13" borderId="1" xfId="0" applyFont="1" applyFill="1" applyBorder="1" applyAlignment="1" applyProtection="1">
      <alignment horizontal="center" vertical="center"/>
      <protection hidden="1"/>
    </xf>
    <xf numFmtId="0" fontId="35" fillId="13" borderId="3" xfId="0" applyFont="1" applyFill="1" applyBorder="1" applyAlignment="1" applyProtection="1">
      <alignment horizontal="center" vertical="center"/>
      <protection hidden="1"/>
    </xf>
    <xf numFmtId="0" fontId="35" fillId="13" borderId="6" xfId="0" applyFont="1" applyFill="1" applyBorder="1" applyAlignment="1" applyProtection="1">
      <alignment horizontal="center" vertical="center"/>
      <protection hidden="1"/>
    </xf>
    <xf numFmtId="0" fontId="35" fillId="13" borderId="8" xfId="0" applyFont="1" applyFill="1" applyBorder="1" applyAlignment="1" applyProtection="1">
      <alignment horizontal="center" vertical="center"/>
      <protection hidden="1"/>
    </xf>
    <xf numFmtId="0" fontId="35" fillId="13" borderId="25" xfId="0" applyFont="1" applyFill="1" applyBorder="1" applyAlignment="1" applyProtection="1">
      <alignment horizontal="center" vertical="center" wrapText="1"/>
      <protection hidden="1"/>
    </xf>
    <xf numFmtId="0" fontId="35" fillId="13" borderId="92" xfId="0" applyFont="1" applyFill="1" applyBorder="1" applyAlignment="1" applyProtection="1">
      <alignment horizontal="center" vertical="center" wrapText="1"/>
      <protection hidden="1"/>
    </xf>
    <xf numFmtId="0" fontId="35" fillId="13" borderId="63" xfId="0" applyFont="1" applyFill="1" applyBorder="1" applyAlignment="1" applyProtection="1">
      <alignment horizontal="center" vertical="center" wrapText="1"/>
      <protection hidden="1"/>
    </xf>
    <xf numFmtId="0" fontId="35" fillId="13" borderId="90" xfId="0" applyFont="1" applyFill="1" applyBorder="1" applyAlignment="1" applyProtection="1">
      <alignment horizontal="center" vertical="center" wrapText="1"/>
      <protection hidden="1"/>
    </xf>
    <xf numFmtId="0" fontId="35" fillId="13" borderId="1" xfId="0" applyFont="1" applyFill="1" applyBorder="1" applyAlignment="1" applyProtection="1">
      <alignment horizontal="center"/>
      <protection hidden="1"/>
    </xf>
    <xf numFmtId="0" fontId="35" fillId="13" borderId="2" xfId="0" applyFont="1" applyFill="1" applyBorder="1" applyAlignment="1" applyProtection="1">
      <alignment horizontal="center"/>
      <protection hidden="1"/>
    </xf>
    <xf numFmtId="0" fontId="35" fillId="13" borderId="3" xfId="0" applyFont="1" applyFill="1" applyBorder="1" applyAlignment="1" applyProtection="1">
      <alignment horizontal="center"/>
      <protection hidden="1"/>
    </xf>
    <xf numFmtId="0" fontId="50" fillId="11" borderId="4" xfId="0" applyFont="1" applyFill="1" applyBorder="1" applyAlignment="1">
      <alignment horizontal="center" vertical="center"/>
    </xf>
    <xf numFmtId="0" fontId="50" fillId="11" borderId="0" xfId="0" applyFont="1" applyFill="1" applyBorder="1" applyAlignment="1">
      <alignment horizontal="center" vertical="center"/>
    </xf>
    <xf numFmtId="0" fontId="44" fillId="2" borderId="17" xfId="0" applyFont="1" applyFill="1" applyBorder="1" applyAlignment="1">
      <alignment horizontal="left"/>
    </xf>
    <xf numFmtId="0" fontId="44" fillId="2" borderId="84" xfId="0" applyFont="1" applyFill="1" applyBorder="1" applyAlignment="1">
      <alignment horizontal="left"/>
    </xf>
    <xf numFmtId="0" fontId="45" fillId="2" borderId="19" xfId="0" applyFont="1" applyFill="1" applyBorder="1" applyAlignment="1">
      <alignment horizontal="left"/>
    </xf>
    <xf numFmtId="0" fontId="45" fillId="2" borderId="89" xfId="0" applyFont="1" applyFill="1" applyBorder="1" applyAlignment="1">
      <alignment horizontal="left"/>
    </xf>
    <xf numFmtId="0" fontId="50" fillId="11" borderId="16" xfId="0" applyFont="1" applyFill="1" applyBorder="1" applyAlignment="1">
      <alignment horizontal="center"/>
    </xf>
    <xf numFmtId="0" fontId="50" fillId="11" borderId="85" xfId="0" applyFont="1" applyFill="1" applyBorder="1" applyAlignment="1">
      <alignment horizontal="center"/>
    </xf>
    <xf numFmtId="0" fontId="50" fillId="11" borderId="17" xfId="0" applyFont="1" applyFill="1" applyBorder="1" applyAlignment="1">
      <alignment horizontal="left"/>
    </xf>
    <xf numFmtId="0" fontId="50" fillId="11" borderId="84" xfId="0" applyFont="1" applyFill="1" applyBorder="1" applyAlignment="1">
      <alignment horizontal="left"/>
    </xf>
    <xf numFmtId="0" fontId="45" fillId="2" borderId="17" xfId="0" applyFont="1" applyFill="1" applyBorder="1" applyAlignment="1">
      <alignment horizontal="left"/>
    </xf>
    <xf numFmtId="0" fontId="45" fillId="2" borderId="84" xfId="0" applyFont="1" applyFill="1" applyBorder="1" applyAlignment="1">
      <alignment horizontal="left"/>
    </xf>
    <xf numFmtId="0" fontId="45" fillId="2" borderId="4" xfId="0" applyFont="1" applyFill="1" applyBorder="1" applyAlignment="1">
      <alignment horizontal="center"/>
    </xf>
    <xf numFmtId="0" fontId="45" fillId="2" borderId="0" xfId="0" applyFont="1" applyFill="1" applyBorder="1" applyAlignment="1">
      <alignment horizontal="center"/>
    </xf>
    <xf numFmtId="0" fontId="50" fillId="11" borderId="26" xfId="0" applyFont="1" applyFill="1" applyBorder="1" applyAlignment="1">
      <alignment horizontal="center"/>
    </xf>
    <xf numFmtId="0" fontId="50" fillId="11" borderId="25" xfId="0" applyFont="1" applyFill="1" applyBorder="1" applyAlignment="1">
      <alignment horizontal="center"/>
    </xf>
    <xf numFmtId="0" fontId="50" fillId="11" borderId="27" xfId="0" applyFont="1" applyFill="1" applyBorder="1" applyAlignment="1">
      <alignment horizontal="center"/>
    </xf>
    <xf numFmtId="0" fontId="50" fillId="11" borderId="56" xfId="0" applyNumberFormat="1" applyFont="1" applyFill="1" applyBorder="1" applyAlignment="1">
      <alignment horizontal="center" vertical="center"/>
    </xf>
    <xf numFmtId="0" fontId="50" fillId="11" borderId="71" xfId="0" applyNumberFormat="1" applyFont="1" applyFill="1" applyBorder="1" applyAlignment="1">
      <alignment horizontal="center" vertical="center"/>
    </xf>
    <xf numFmtId="0" fontId="50" fillId="11" borderId="68" xfId="0" applyNumberFormat="1" applyFont="1" applyFill="1" applyBorder="1" applyAlignment="1">
      <alignment horizontal="center" vertical="center"/>
    </xf>
    <xf numFmtId="0" fontId="50" fillId="11" borderId="60" xfId="0" applyNumberFormat="1" applyFont="1" applyFill="1" applyBorder="1" applyAlignment="1">
      <alignment horizontal="center" vertical="center"/>
    </xf>
    <xf numFmtId="0" fontId="50" fillId="11" borderId="66" xfId="0" applyNumberFormat="1" applyFont="1" applyFill="1" applyBorder="1" applyAlignment="1">
      <alignment horizontal="center" vertical="center"/>
    </xf>
    <xf numFmtId="0" fontId="50" fillId="11" borderId="72" xfId="0" applyNumberFormat="1" applyFont="1" applyFill="1" applyBorder="1" applyAlignment="1">
      <alignment horizontal="center" vertical="center"/>
    </xf>
    <xf numFmtId="0" fontId="50" fillId="11" borderId="67" xfId="0" applyNumberFormat="1" applyFont="1" applyFill="1" applyBorder="1" applyAlignment="1">
      <alignment horizontal="center" vertical="center"/>
    </xf>
    <xf numFmtId="0" fontId="50" fillId="11" borderId="62" xfId="0" applyNumberFormat="1" applyFont="1" applyFill="1" applyBorder="1" applyAlignment="1">
      <alignment horizontal="center" vertical="center"/>
    </xf>
    <xf numFmtId="0" fontId="50" fillId="11" borderId="87" xfId="0" applyNumberFormat="1" applyFont="1" applyFill="1" applyBorder="1" applyAlignment="1">
      <alignment horizontal="center" vertical="center"/>
    </xf>
    <xf numFmtId="0" fontId="50" fillId="11" borderId="88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0" fillId="2" borderId="0" xfId="0" applyFill="1" applyProtection="1">
      <protection hidden="1"/>
    </xf>
    <xf numFmtId="0" fontId="63" fillId="2" borderId="0" xfId="0" applyFont="1" applyFill="1" applyAlignment="1" applyProtection="1">
      <alignment horizontal="center" vertical="center" wrapText="1"/>
      <protection hidden="1"/>
    </xf>
    <xf numFmtId="0" fontId="61" fillId="2" borderId="0" xfId="0" applyFont="1" applyFill="1" applyAlignment="1" applyProtection="1">
      <alignment vertical="center"/>
      <protection hidden="1"/>
    </xf>
    <xf numFmtId="0" fontId="0" fillId="0" borderId="0" xfId="0" applyProtection="1">
      <protection hidden="1"/>
    </xf>
    <xf numFmtId="0" fontId="59" fillId="2" borderId="0" xfId="0" applyFont="1" applyFill="1" applyAlignment="1" applyProtection="1">
      <alignment horizontal="center" vertical="center"/>
      <protection hidden="1"/>
    </xf>
    <xf numFmtId="0" fontId="62" fillId="2" borderId="0" xfId="0" applyFont="1" applyFill="1" applyAlignment="1" applyProtection="1">
      <alignment vertical="center"/>
      <protection hidden="1"/>
    </xf>
    <xf numFmtId="0" fontId="60" fillId="2" borderId="0" xfId="0" applyFont="1" applyFill="1" applyAlignment="1" applyProtection="1">
      <alignment horizontal="center" vertical="center"/>
      <protection hidden="1"/>
    </xf>
    <xf numFmtId="0" fontId="59" fillId="2" borderId="0" xfId="0" applyFont="1" applyFill="1" applyAlignment="1" applyProtection="1">
      <alignment horizontal="center" vertical="center" wrapText="1"/>
      <protection hidden="1"/>
    </xf>
    <xf numFmtId="0" fontId="28" fillId="0" borderId="0" xfId="0" applyFont="1" applyProtection="1">
      <protection hidden="1"/>
    </xf>
    <xf numFmtId="0" fontId="24" fillId="0" borderId="0" xfId="0" applyFont="1" applyProtection="1">
      <protection hidden="1"/>
    </xf>
    <xf numFmtId="0" fontId="29" fillId="0" borderId="0" xfId="0" applyFont="1" applyProtection="1">
      <protection hidden="1"/>
    </xf>
    <xf numFmtId="0" fontId="30" fillId="8" borderId="9" xfId="9" applyFont="1" applyFill="1" applyBorder="1" applyProtection="1">
      <protection hidden="1"/>
    </xf>
    <xf numFmtId="0" fontId="25" fillId="8" borderId="9" xfId="9" applyFont="1" applyFill="1" applyBorder="1" applyAlignment="1" applyProtection="1">
      <alignment horizontal="center"/>
      <protection hidden="1"/>
    </xf>
    <xf numFmtId="0" fontId="47" fillId="14" borderId="9" xfId="0" applyFont="1" applyFill="1" applyBorder="1" applyAlignment="1" applyProtection="1">
      <alignment horizontal="left" vertical="center" wrapText="1"/>
      <protection hidden="1"/>
    </xf>
    <xf numFmtId="177" fontId="24" fillId="0" borderId="9" xfId="7" applyNumberFormat="1" applyFont="1" applyBorder="1" applyAlignment="1" applyProtection="1">
      <alignment vertical="center"/>
      <protection hidden="1"/>
    </xf>
    <xf numFmtId="178" fontId="24" fillId="14" borderId="9" xfId="0" applyNumberFormat="1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top"/>
      <protection hidden="1"/>
    </xf>
    <xf numFmtId="43" fontId="0" fillId="0" borderId="0" xfId="7" applyFont="1" applyProtection="1">
      <protection hidden="1"/>
    </xf>
    <xf numFmtId="0" fontId="47" fillId="0" borderId="9" xfId="0" applyFont="1" applyBorder="1" applyAlignment="1" applyProtection="1">
      <alignment horizontal="left" vertical="center" wrapText="1"/>
      <protection hidden="1"/>
    </xf>
    <xf numFmtId="0" fontId="24" fillId="0" borderId="9" xfId="0" applyFont="1" applyBorder="1" applyAlignment="1" applyProtection="1">
      <alignment vertical="center"/>
      <protection hidden="1"/>
    </xf>
    <xf numFmtId="178" fontId="24" fillId="12" borderId="9" xfId="7" applyNumberFormat="1" applyFont="1" applyFill="1" applyBorder="1" applyAlignment="1" applyProtection="1">
      <alignment vertical="center"/>
      <protection hidden="1"/>
    </xf>
    <xf numFmtId="175" fontId="24" fillId="0" borderId="9" xfId="8" applyNumberFormat="1" applyFont="1" applyBorder="1" applyAlignment="1" applyProtection="1">
      <alignment vertical="center"/>
      <protection hidden="1"/>
    </xf>
    <xf numFmtId="10" fontId="24" fillId="0" borderId="9" xfId="8" applyNumberFormat="1" applyFont="1" applyBorder="1" applyAlignment="1" applyProtection="1">
      <alignment vertical="center"/>
      <protection hidden="1"/>
    </xf>
    <xf numFmtId="43" fontId="0" fillId="0" borderId="0" xfId="0" applyNumberFormat="1" applyProtection="1">
      <protection hidden="1"/>
    </xf>
    <xf numFmtId="178" fontId="24" fillId="0" borderId="9" xfId="0" applyNumberFormat="1" applyFont="1" applyBorder="1" applyAlignment="1" applyProtection="1">
      <alignment vertical="center"/>
      <protection hidden="1"/>
    </xf>
    <xf numFmtId="0" fontId="28" fillId="0" borderId="0" xfId="0" applyFont="1" applyFill="1" applyBorder="1" applyAlignment="1" applyProtection="1">
      <alignment horizontal="left"/>
      <protection hidden="1"/>
    </xf>
    <xf numFmtId="43" fontId="24" fillId="0" borderId="0" xfId="7" applyFont="1" applyProtection="1">
      <protection hidden="1"/>
    </xf>
    <xf numFmtId="0" fontId="30" fillId="8" borderId="9" xfId="9" applyFont="1" applyFill="1" applyBorder="1" applyAlignment="1" applyProtection="1">
      <alignment horizontal="center" vertical="center"/>
      <protection hidden="1"/>
    </xf>
    <xf numFmtId="0" fontId="25" fillId="8" borderId="9" xfId="9" applyFont="1" applyFill="1" applyBorder="1" applyAlignment="1" applyProtection="1">
      <alignment horizontal="center" vertical="center" wrapText="1"/>
      <protection hidden="1"/>
    </xf>
    <xf numFmtId="0" fontId="25" fillId="8" borderId="9" xfId="9" applyFont="1" applyFill="1" applyBorder="1" applyAlignment="1" applyProtection="1">
      <alignment horizontal="center" vertical="center"/>
      <protection hidden="1"/>
    </xf>
    <xf numFmtId="0" fontId="0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8" fillId="0" borderId="9" xfId="0" applyFont="1" applyBorder="1" applyProtection="1">
      <protection hidden="1"/>
    </xf>
    <xf numFmtId="10" fontId="24" fillId="0" borderId="9" xfId="0" applyNumberFormat="1" applyFont="1" applyBorder="1" applyAlignment="1" applyProtection="1">
      <alignment vertical="center"/>
      <protection hidden="1"/>
    </xf>
    <xf numFmtId="0" fontId="0" fillId="0" borderId="0" xfId="0" applyFont="1" applyProtection="1">
      <protection hidden="1"/>
    </xf>
    <xf numFmtId="43" fontId="24" fillId="0" borderId="9" xfId="7" applyFont="1" applyBorder="1" applyAlignment="1" applyProtection="1">
      <alignment vertical="center"/>
      <protection hidden="1"/>
    </xf>
    <xf numFmtId="0" fontId="28" fillId="0" borderId="9" xfId="0" applyFont="1" applyBorder="1" applyAlignment="1" applyProtection="1">
      <alignment horizontal="left" vertical="center"/>
      <protection hidden="1"/>
    </xf>
    <xf numFmtId="169" fontId="0" fillId="0" borderId="9" xfId="0" applyNumberFormat="1" applyFont="1" applyBorder="1" applyProtection="1">
      <protection hidden="1"/>
    </xf>
    <xf numFmtId="179" fontId="0" fillId="0" borderId="9" xfId="8" applyNumberFormat="1" applyFont="1" applyBorder="1" applyProtection="1">
      <protection hidden="1"/>
    </xf>
    <xf numFmtId="0" fontId="28" fillId="0" borderId="9" xfId="0" applyFont="1" applyBorder="1" applyAlignment="1" applyProtection="1">
      <alignment horizontal="left" vertical="center"/>
      <protection hidden="1"/>
    </xf>
    <xf numFmtId="169" fontId="0" fillId="21" borderId="9" xfId="0" applyNumberFormat="1" applyFont="1" applyFill="1" applyBorder="1" applyProtection="1">
      <protection hidden="1"/>
    </xf>
    <xf numFmtId="10" fontId="0" fillId="0" borderId="9" xfId="0" applyNumberFormat="1" applyFont="1" applyBorder="1" applyProtection="1">
      <protection hidden="1"/>
    </xf>
    <xf numFmtId="0" fontId="28" fillId="0" borderId="0" xfId="0" applyFont="1" applyBorder="1" applyAlignment="1" applyProtection="1">
      <alignment horizontal="left" vertical="center"/>
      <protection hidden="1"/>
    </xf>
    <xf numFmtId="169" fontId="0" fillId="0" borderId="0" xfId="0" applyNumberFormat="1" applyFont="1" applyBorder="1" applyProtection="1">
      <protection hidden="1"/>
    </xf>
    <xf numFmtId="0" fontId="29" fillId="0" borderId="0" xfId="0" applyFont="1" applyBorder="1" applyAlignment="1" applyProtection="1">
      <alignment horizontal="left" vertical="center"/>
      <protection hidden="1"/>
    </xf>
    <xf numFmtId="166" fontId="0" fillId="0" borderId="9" xfId="7" applyNumberFormat="1" applyFont="1" applyBorder="1" applyProtection="1">
      <protection hidden="1"/>
    </xf>
    <xf numFmtId="166" fontId="0" fillId="0" borderId="0" xfId="7" applyNumberFormat="1" applyFont="1" applyBorder="1" applyProtection="1">
      <protection hidden="1"/>
    </xf>
    <xf numFmtId="0" fontId="31" fillId="0" borderId="0" xfId="0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164" fontId="0" fillId="0" borderId="0" xfId="1" applyFont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10" fontId="0" fillId="0" borderId="0" xfId="0" applyNumberFormat="1" applyProtection="1">
      <protection hidden="1"/>
    </xf>
    <xf numFmtId="0" fontId="23" fillId="0" borderId="9" xfId="0" applyFont="1" applyFill="1" applyBorder="1" applyAlignment="1" applyProtection="1">
      <alignment horizontal="left" vertical="center"/>
      <protection hidden="1"/>
    </xf>
    <xf numFmtId="0" fontId="0" fillId="0" borderId="9" xfId="0" applyBorder="1" applyProtection="1">
      <protection hidden="1"/>
    </xf>
    <xf numFmtId="0" fontId="46" fillId="6" borderId="76" xfId="10" applyFont="1" applyFill="1" applyBorder="1" applyAlignment="1" applyProtection="1">
      <alignment vertical="center"/>
      <protection hidden="1"/>
    </xf>
    <xf numFmtId="0" fontId="46" fillId="6" borderId="76" xfId="1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3" fillId="0" borderId="58" xfId="0" applyFont="1" applyFill="1" applyBorder="1" applyAlignment="1" applyProtection="1">
      <alignment horizontal="left"/>
      <protection hidden="1"/>
    </xf>
    <xf numFmtId="0" fontId="3" fillId="0" borderId="14" xfId="0" applyFont="1" applyFill="1" applyBorder="1" applyAlignment="1" applyProtection="1">
      <alignment horizontal="left"/>
      <protection hidden="1"/>
    </xf>
    <xf numFmtId="182" fontId="3" fillId="0" borderId="14" xfId="1" applyNumberFormat="1" applyFont="1" applyBorder="1" applyProtection="1">
      <protection hidden="1"/>
    </xf>
    <xf numFmtId="164" fontId="3" fillId="0" borderId="0" xfId="1" applyFont="1" applyAlignment="1" applyProtection="1">
      <alignment horizontal="center"/>
      <protection hidden="1"/>
    </xf>
    <xf numFmtId="0" fontId="0" fillId="0" borderId="62" xfId="0" applyFont="1" applyFill="1" applyBorder="1" applyProtection="1">
      <protection hidden="1"/>
    </xf>
    <xf numFmtId="0" fontId="0" fillId="0" borderId="60" xfId="0" applyFont="1" applyFill="1" applyBorder="1" applyProtection="1">
      <protection hidden="1"/>
    </xf>
    <xf numFmtId="42" fontId="0" fillId="0" borderId="60" xfId="0" applyNumberFormat="1" applyFont="1" applyFill="1" applyBorder="1" applyProtection="1">
      <protection hidden="1"/>
    </xf>
    <xf numFmtId="0" fontId="0" fillId="0" borderId="9" xfId="0" applyFont="1" applyFill="1" applyBorder="1" applyProtection="1">
      <protection hidden="1"/>
    </xf>
    <xf numFmtId="42" fontId="0" fillId="0" borderId="9" xfId="0" applyNumberFormat="1" applyFont="1" applyFill="1" applyBorder="1" applyProtection="1">
      <protection hidden="1"/>
    </xf>
    <xf numFmtId="0" fontId="2" fillId="16" borderId="0" xfId="0" applyFont="1" applyFill="1" applyAlignment="1" applyProtection="1">
      <alignment horizontal="center"/>
      <protection hidden="1"/>
    </xf>
    <xf numFmtId="0" fontId="2" fillId="16" borderId="0" xfId="0" applyFont="1" applyFill="1" applyProtection="1">
      <protection hidden="1"/>
    </xf>
    <xf numFmtId="164" fontId="0" fillId="0" borderId="0" xfId="1" applyFont="1" applyProtection="1">
      <protection hidden="1"/>
    </xf>
    <xf numFmtId="0" fontId="0" fillId="12" borderId="0" xfId="0" applyFill="1" applyAlignment="1" applyProtection="1">
      <alignment horizontal="center"/>
      <protection hidden="1"/>
    </xf>
    <xf numFmtId="43" fontId="8" fillId="12" borderId="0" xfId="7" applyFont="1" applyFill="1" applyAlignment="1" applyProtection="1">
      <alignment horizontal="center"/>
      <protection hidden="1"/>
    </xf>
    <xf numFmtId="164" fontId="0" fillId="12" borderId="0" xfId="1" applyFont="1" applyFill="1" applyProtection="1">
      <protection hidden="1"/>
    </xf>
    <xf numFmtId="0" fontId="0" fillId="0" borderId="9" xfId="0" applyFont="1" applyBorder="1" applyProtection="1">
      <protection hidden="1"/>
    </xf>
    <xf numFmtId="42" fontId="0" fillId="0" borderId="9" xfId="0" applyNumberFormat="1" applyFont="1" applyBorder="1" applyProtection="1">
      <protection hidden="1"/>
    </xf>
    <xf numFmtId="3" fontId="0" fillId="0" borderId="9" xfId="0" applyNumberFormat="1" applyFont="1" applyBorder="1" applyProtection="1">
      <protection hidden="1"/>
    </xf>
    <xf numFmtId="0" fontId="20" fillId="6" borderId="91" xfId="10" applyFont="1" applyFill="1" applyBorder="1" applyAlignment="1" applyProtection="1">
      <alignment horizontal="center" vertical="center"/>
      <protection hidden="1"/>
    </xf>
    <xf numFmtId="0" fontId="20" fillId="6" borderId="20" xfId="10" applyFont="1" applyFill="1" applyBorder="1" applyAlignment="1" applyProtection="1">
      <alignment horizontal="center" vertical="center"/>
      <protection hidden="1"/>
    </xf>
    <xf numFmtId="0" fontId="0" fillId="0" borderId="59" xfId="0" applyFont="1" applyFill="1" applyBorder="1" applyAlignment="1" applyProtection="1">
      <alignment horizontal="center"/>
      <protection hidden="1"/>
    </xf>
    <xf numFmtId="0" fontId="0" fillId="0" borderId="59" xfId="0" applyBorder="1" applyProtection="1">
      <protection hidden="1"/>
    </xf>
    <xf numFmtId="0" fontId="3" fillId="0" borderId="61" xfId="0" applyFont="1" applyFill="1" applyBorder="1" applyAlignment="1" applyProtection="1">
      <alignment horizontal="left"/>
      <protection hidden="1"/>
    </xf>
    <xf numFmtId="182" fontId="3" fillId="0" borderId="15" xfId="1" applyNumberFormat="1" applyFont="1" applyBorder="1" applyProtection="1">
      <protection hidden="1"/>
    </xf>
    <xf numFmtId="0" fontId="0" fillId="2" borderId="0" xfId="0" applyFill="1" applyBorder="1" applyProtection="1">
      <protection hidden="1"/>
    </xf>
    <xf numFmtId="164" fontId="0" fillId="2" borderId="0" xfId="1" applyFont="1" applyFill="1" applyBorder="1" applyProtection="1">
      <protection hidden="1"/>
    </xf>
    <xf numFmtId="0" fontId="20" fillId="6" borderId="104" xfId="10" applyFont="1" applyFill="1" applyBorder="1" applyAlignment="1" applyProtection="1">
      <alignment horizontal="center" vertical="center"/>
      <protection hidden="1"/>
    </xf>
    <xf numFmtId="0" fontId="20" fillId="6" borderId="0" xfId="10" applyFont="1" applyFill="1" applyBorder="1" applyAlignment="1" applyProtection="1">
      <alignment horizontal="center" vertical="center"/>
      <protection hidden="1"/>
    </xf>
    <xf numFmtId="0" fontId="0" fillId="0" borderId="59" xfId="0" applyFont="1" applyBorder="1" applyProtection="1">
      <protection hidden="1"/>
    </xf>
    <xf numFmtId="42" fontId="0" fillId="0" borderId="59" xfId="0" applyNumberFormat="1" applyFont="1" applyBorder="1" applyProtection="1">
      <protection hidden="1"/>
    </xf>
    <xf numFmtId="0" fontId="0" fillId="17" borderId="0" xfId="0" applyFill="1" applyAlignment="1" applyProtection="1">
      <alignment horizontal="center"/>
      <protection hidden="1"/>
    </xf>
    <xf numFmtId="43" fontId="8" fillId="17" borderId="0" xfId="7" applyFont="1" applyFill="1" applyAlignment="1" applyProtection="1">
      <alignment horizontal="center"/>
      <protection hidden="1"/>
    </xf>
    <xf numFmtId="164" fontId="0" fillId="17" borderId="0" xfId="1" applyFont="1" applyFill="1" applyProtection="1">
      <protection hidden="1"/>
    </xf>
    <xf numFmtId="164" fontId="0" fillId="2" borderId="0" xfId="1" applyFont="1" applyFill="1" applyProtection="1">
      <protection hidden="1"/>
    </xf>
    <xf numFmtId="3" fontId="3" fillId="0" borderId="14" xfId="0" applyNumberFormat="1" applyFont="1" applyBorder="1" applyProtection="1">
      <protection hidden="1"/>
    </xf>
    <xf numFmtId="3" fontId="3" fillId="0" borderId="15" xfId="0" applyNumberFormat="1" applyFont="1" applyBorder="1" applyProtection="1">
      <protection hidden="1"/>
    </xf>
    <xf numFmtId="0" fontId="0" fillId="18" borderId="0" xfId="0" applyFill="1" applyAlignment="1" applyProtection="1">
      <alignment horizontal="center"/>
      <protection hidden="1"/>
    </xf>
    <xf numFmtId="43" fontId="8" fillId="18" borderId="0" xfId="7" applyFont="1" applyFill="1" applyAlignment="1" applyProtection="1">
      <alignment horizontal="center"/>
      <protection hidden="1"/>
    </xf>
    <xf numFmtId="164" fontId="0" fillId="18" borderId="0" xfId="1" applyFont="1" applyFill="1" applyProtection="1">
      <protection hidden="1"/>
    </xf>
    <xf numFmtId="0" fontId="0" fillId="19" borderId="0" xfId="0" applyFill="1" applyAlignment="1" applyProtection="1">
      <alignment horizontal="center"/>
      <protection hidden="1"/>
    </xf>
    <xf numFmtId="43" fontId="8" fillId="19" borderId="0" xfId="7" applyFont="1" applyFill="1" applyAlignment="1" applyProtection="1">
      <alignment horizontal="center"/>
      <protection hidden="1"/>
    </xf>
    <xf numFmtId="164" fontId="0" fillId="19" borderId="0" xfId="1" applyFont="1" applyFill="1" applyProtection="1">
      <protection hidden="1"/>
    </xf>
    <xf numFmtId="0" fontId="0" fillId="20" borderId="0" xfId="0" applyFill="1" applyAlignment="1" applyProtection="1">
      <alignment horizontal="center"/>
      <protection hidden="1"/>
    </xf>
    <xf numFmtId="43" fontId="8" fillId="20" borderId="0" xfId="7" applyFont="1" applyFill="1" applyAlignment="1" applyProtection="1">
      <alignment horizontal="center"/>
      <protection hidden="1"/>
    </xf>
    <xf numFmtId="164" fontId="0" fillId="20" borderId="0" xfId="1" applyFont="1" applyFill="1" applyProtection="1">
      <protection hidden="1"/>
    </xf>
    <xf numFmtId="10" fontId="3" fillId="0" borderId="0" xfId="0" applyNumberFormat="1" applyFont="1" applyProtection="1">
      <protection hidden="1"/>
    </xf>
    <xf numFmtId="0" fontId="20" fillId="8" borderId="53" xfId="10" applyFont="1" applyFill="1" applyBorder="1" applyAlignment="1" applyProtection="1">
      <alignment horizontal="center" vertical="center"/>
      <protection hidden="1"/>
    </xf>
    <xf numFmtId="0" fontId="20" fillId="8" borderId="52" xfId="10" applyFont="1" applyFill="1" applyBorder="1" applyAlignment="1" applyProtection="1">
      <alignment horizontal="center" vertical="center"/>
      <protection hidden="1"/>
    </xf>
    <xf numFmtId="0" fontId="21" fillId="8" borderId="56" xfId="9" applyFont="1" applyFill="1" applyBorder="1" applyAlignment="1" applyProtection="1">
      <alignment horizontal="center"/>
      <protection hidden="1"/>
    </xf>
    <xf numFmtId="0" fontId="21" fillId="8" borderId="57" xfId="9" applyFont="1" applyFill="1" applyBorder="1" applyAlignment="1" applyProtection="1">
      <alignment horizontal="center"/>
      <protection hidden="1"/>
    </xf>
    <xf numFmtId="0" fontId="21" fillId="8" borderId="58" xfId="9" applyFont="1" applyFill="1" applyBorder="1" applyAlignment="1" applyProtection="1">
      <alignment horizontal="center"/>
      <protection hidden="1"/>
    </xf>
    <xf numFmtId="0" fontId="21" fillId="8" borderId="24" xfId="9" applyFont="1" applyFill="1" applyBorder="1" applyAlignment="1" applyProtection="1">
      <alignment horizontal="center"/>
      <protection hidden="1"/>
    </xf>
    <xf numFmtId="3" fontId="0" fillId="0" borderId="0" xfId="0" applyNumberFormat="1" applyFont="1" applyProtection="1">
      <protection hidden="1"/>
    </xf>
    <xf numFmtId="42" fontId="3" fillId="0" borderId="55" xfId="0" applyNumberFormat="1" applyFont="1" applyBorder="1" applyAlignment="1" applyProtection="1">
      <alignment horizontal="center"/>
      <protection hidden="1"/>
    </xf>
    <xf numFmtId="175" fontId="0" fillId="0" borderId="11" xfId="8" applyNumberFormat="1" applyFont="1" applyBorder="1" applyAlignment="1" applyProtection="1">
      <alignment horizontal="center"/>
      <protection hidden="1"/>
    </xf>
    <xf numFmtId="175" fontId="0" fillId="0" borderId="13" xfId="8" applyNumberFormat="1" applyFont="1" applyBorder="1" applyAlignment="1" applyProtection="1">
      <alignment horizontal="center"/>
      <protection hidden="1"/>
    </xf>
    <xf numFmtId="3" fontId="26" fillId="10" borderId="55" xfId="0" applyNumberFormat="1" applyFont="1" applyFill="1" applyBorder="1" applyProtection="1">
      <protection hidden="1"/>
    </xf>
    <xf numFmtId="42" fontId="0" fillId="0" borderId="0" xfId="0" applyNumberFormat="1" applyFont="1" applyProtection="1">
      <protection hidden="1"/>
    </xf>
    <xf numFmtId="0" fontId="22" fillId="0" borderId="0" xfId="0" applyNumberFormat="1" applyFont="1" applyProtection="1">
      <protection hidden="1"/>
    </xf>
    <xf numFmtId="0" fontId="0" fillId="0" borderId="0" xfId="0" applyNumberFormat="1" applyFont="1" applyProtection="1">
      <protection hidden="1"/>
    </xf>
    <xf numFmtId="42" fontId="0" fillId="0" borderId="54" xfId="0" applyNumberFormat="1" applyFont="1" applyBorder="1" applyProtection="1">
      <protection hidden="1"/>
    </xf>
    <xf numFmtId="42" fontId="3" fillId="0" borderId="11" xfId="0" applyNumberFormat="1" applyFont="1" applyBorder="1" applyAlignment="1" applyProtection="1">
      <alignment horizontal="center"/>
      <protection hidden="1"/>
    </xf>
    <xf numFmtId="42" fontId="3" fillId="0" borderId="12" xfId="0" applyNumberFormat="1" applyFont="1" applyBorder="1" applyAlignment="1" applyProtection="1">
      <alignment horizontal="center"/>
      <protection hidden="1"/>
    </xf>
    <xf numFmtId="42" fontId="3" fillId="0" borderId="13" xfId="0" applyNumberFormat="1" applyFont="1" applyBorder="1" applyAlignment="1" applyProtection="1">
      <alignment horizontal="center"/>
      <protection hidden="1"/>
    </xf>
    <xf numFmtId="9" fontId="0" fillId="0" borderId="0" xfId="8" applyFont="1" applyProtection="1">
      <protection hidden="1"/>
    </xf>
    <xf numFmtId="0" fontId="22" fillId="0" borderId="11" xfId="0" applyFont="1" applyFill="1" applyBorder="1" applyAlignment="1" applyProtection="1">
      <alignment horizontal="left"/>
      <protection hidden="1"/>
    </xf>
    <xf numFmtId="0" fontId="0" fillId="0" borderId="12" xfId="0" applyFont="1" applyFill="1" applyBorder="1" applyAlignment="1" applyProtection="1">
      <alignment horizontal="center"/>
      <protection hidden="1"/>
    </xf>
    <xf numFmtId="0" fontId="22" fillId="0" borderId="0" xfId="0" applyFont="1" applyFill="1" applyBorder="1" applyAlignment="1" applyProtection="1">
      <alignment horizontal="left"/>
      <protection hidden="1"/>
    </xf>
    <xf numFmtId="0" fontId="0" fillId="0" borderId="0" xfId="0" applyFont="1" applyFill="1" applyBorder="1" applyAlignment="1" applyProtection="1">
      <alignment horizontal="center"/>
      <protection hidden="1"/>
    </xf>
    <xf numFmtId="3" fontId="22" fillId="0" borderId="0" xfId="0" applyNumberFormat="1" applyFont="1" applyBorder="1" applyProtection="1">
      <protection hidden="1"/>
    </xf>
    <xf numFmtId="0" fontId="0" fillId="0" borderId="0" xfId="0" applyFont="1" applyFill="1" applyAlignment="1" applyProtection="1">
      <alignment horizontal="center"/>
      <protection hidden="1"/>
    </xf>
    <xf numFmtId="3" fontId="3" fillId="0" borderId="0" xfId="0" applyNumberFormat="1" applyFont="1" applyBorder="1" applyProtection="1">
      <protection hidden="1"/>
    </xf>
    <xf numFmtId="0" fontId="22" fillId="0" borderId="0" xfId="0" applyFont="1" applyFill="1" applyAlignment="1" applyProtection="1">
      <alignment horizontal="left"/>
      <protection hidden="1"/>
    </xf>
    <xf numFmtId="0" fontId="23" fillId="0" borderId="0" xfId="0" applyFont="1" applyFill="1" applyAlignment="1" applyProtection="1">
      <alignment horizontal="center"/>
      <protection hidden="1"/>
    </xf>
    <xf numFmtId="0" fontId="0" fillId="0" borderId="0" xfId="0" applyFont="1" applyBorder="1" applyProtection="1">
      <protection hidden="1"/>
    </xf>
    <xf numFmtId="42" fontId="0" fillId="0" borderId="0" xfId="0" applyNumberFormat="1" applyFont="1" applyFill="1" applyBorder="1" applyProtection="1">
      <protection hidden="1"/>
    </xf>
    <xf numFmtId="3" fontId="0" fillId="0" borderId="0" xfId="0" applyNumberFormat="1" applyFont="1" applyBorder="1" applyProtection="1">
      <protection hidden="1"/>
    </xf>
    <xf numFmtId="42" fontId="0" fillId="0" borderId="0" xfId="0" applyNumberFormat="1" applyFont="1" applyBorder="1" applyProtection="1">
      <protection hidden="1"/>
    </xf>
    <xf numFmtId="9" fontId="0" fillId="0" borderId="0" xfId="0" applyNumberFormat="1" applyFont="1" applyProtection="1">
      <protection hidden="1"/>
    </xf>
    <xf numFmtId="10" fontId="0" fillId="0" borderId="0" xfId="0" applyNumberFormat="1" applyFont="1" applyProtection="1">
      <protection hidden="1"/>
    </xf>
    <xf numFmtId="42" fontId="0" fillId="0" borderId="0" xfId="0" applyNumberFormat="1" applyFont="1" applyFill="1" applyProtection="1">
      <protection hidden="1"/>
    </xf>
    <xf numFmtId="0" fontId="0" fillId="0" borderId="0" xfId="0" applyFont="1" applyFill="1" applyProtection="1">
      <protection hidden="1"/>
    </xf>
    <xf numFmtId="3" fontId="22" fillId="9" borderId="55" xfId="0" applyNumberFormat="1" applyFont="1" applyFill="1" applyBorder="1" applyProtection="1"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1" fillId="2" borderId="0" xfId="0" applyFont="1" applyFill="1" applyProtection="1">
      <protection hidden="1"/>
    </xf>
    <xf numFmtId="180" fontId="1" fillId="2" borderId="0" xfId="7" applyNumberFormat="1" applyFont="1" applyFill="1" applyProtection="1"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Alignment="1" applyProtection="1">
      <alignment horizontal="center" vertical="center" wrapText="1"/>
      <protection hidden="1"/>
    </xf>
    <xf numFmtId="0" fontId="3" fillId="2" borderId="5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Protection="1">
      <protection hidden="1"/>
    </xf>
    <xf numFmtId="180" fontId="3" fillId="2" borderId="0" xfId="7" applyNumberFormat="1" applyFont="1" applyFill="1" applyProtection="1"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33" fillId="2" borderId="0" xfId="0" applyFont="1" applyFill="1" applyAlignment="1" applyProtection="1">
      <alignment wrapText="1"/>
      <protection hidden="1"/>
    </xf>
    <xf numFmtId="180" fontId="36" fillId="15" borderId="0" xfId="7" applyNumberFormat="1" applyFont="1" applyFill="1" applyProtection="1">
      <protection hidden="1"/>
    </xf>
    <xf numFmtId="180" fontId="3" fillId="15" borderId="0" xfId="7" applyNumberFormat="1" applyFont="1" applyFill="1" applyProtection="1">
      <protection hidden="1"/>
    </xf>
    <xf numFmtId="180" fontId="3" fillId="13" borderId="0" xfId="7" applyNumberFormat="1" applyFont="1" applyFill="1" applyProtection="1">
      <protection hidden="1"/>
    </xf>
    <xf numFmtId="180" fontId="3" fillId="13" borderId="7" xfId="7" applyNumberFormat="1" applyFont="1" applyFill="1" applyBorder="1" applyAlignment="1" applyProtection="1">
      <alignment horizontal="center"/>
      <protection hidden="1"/>
    </xf>
    <xf numFmtId="0" fontId="3" fillId="15" borderId="0" xfId="0" applyFont="1" applyFill="1" applyAlignment="1" applyProtection="1">
      <alignment horizontal="center"/>
      <protection hidden="1"/>
    </xf>
    <xf numFmtId="0" fontId="1" fillId="12" borderId="0" xfId="0" applyFont="1" applyFill="1" applyProtection="1">
      <protection hidden="1"/>
    </xf>
    <xf numFmtId="180" fontId="37" fillId="13" borderId="61" xfId="11" applyNumberFormat="1" applyFont="1" applyFill="1" applyBorder="1" applyAlignment="1" applyProtection="1">
      <alignment horizontal="center" vertical="center" wrapText="1"/>
      <protection hidden="1"/>
    </xf>
    <xf numFmtId="180" fontId="37" fillId="13" borderId="11" xfId="11" applyNumberFormat="1" applyFont="1" applyFill="1" applyBorder="1" applyAlignment="1" applyProtection="1">
      <alignment horizontal="center" vertical="center" wrapText="1"/>
      <protection hidden="1"/>
    </xf>
    <xf numFmtId="180" fontId="37" fillId="13" borderId="55" xfId="11" applyNumberFormat="1" applyFont="1" applyFill="1" applyBorder="1" applyAlignment="1" applyProtection="1">
      <alignment horizontal="center" vertical="center" wrapText="1"/>
      <protection hidden="1"/>
    </xf>
    <xf numFmtId="180" fontId="37" fillId="13" borderId="13" xfId="11" applyNumberFormat="1" applyFont="1" applyFill="1" applyBorder="1" applyAlignment="1" applyProtection="1">
      <alignment horizontal="center" wrapText="1"/>
      <protection hidden="1"/>
    </xf>
    <xf numFmtId="0" fontId="1" fillId="13" borderId="7" xfId="0" applyFont="1" applyFill="1" applyBorder="1" applyProtection="1">
      <protection hidden="1"/>
    </xf>
    <xf numFmtId="180" fontId="39" fillId="15" borderId="61" xfId="7" applyNumberFormat="1" applyFont="1" applyFill="1" applyBorder="1" applyAlignment="1" applyProtection="1">
      <alignment horizontal="center" wrapText="1"/>
      <protection hidden="1"/>
    </xf>
    <xf numFmtId="180" fontId="39" fillId="15" borderId="15" xfId="7" applyNumberFormat="1" applyFont="1" applyFill="1" applyBorder="1" applyAlignment="1" applyProtection="1">
      <alignment horizontal="center" wrapText="1"/>
      <protection hidden="1"/>
    </xf>
    <xf numFmtId="180" fontId="39" fillId="2" borderId="0" xfId="7" applyNumberFormat="1" applyFont="1" applyFill="1" applyAlignment="1" applyProtection="1">
      <alignment horizontal="center" vertical="center" wrapText="1"/>
      <protection hidden="1"/>
    </xf>
    <xf numFmtId="180" fontId="39" fillId="13" borderId="65" xfId="11" applyNumberFormat="1" applyFont="1" applyFill="1" applyBorder="1" applyAlignment="1" applyProtection="1">
      <alignment horizontal="center" vertical="center" wrapText="1"/>
      <protection hidden="1"/>
    </xf>
    <xf numFmtId="180" fontId="37" fillId="13" borderId="67" xfId="7" applyNumberFormat="1" applyFont="1" applyFill="1" applyBorder="1" applyAlignment="1" applyProtection="1">
      <alignment horizontal="center" wrapText="1"/>
      <protection hidden="1"/>
    </xf>
    <xf numFmtId="180" fontId="37" fillId="13" borderId="68" xfId="7" applyNumberFormat="1" applyFont="1" applyFill="1" applyBorder="1" applyAlignment="1" applyProtection="1">
      <alignment horizontal="center" vertical="center" wrapText="1"/>
      <protection hidden="1"/>
    </xf>
    <xf numFmtId="0" fontId="3" fillId="13" borderId="68" xfId="0" applyFont="1" applyFill="1" applyBorder="1" applyAlignment="1" applyProtection="1">
      <alignment horizontal="center" vertical="center"/>
      <protection hidden="1"/>
    </xf>
    <xf numFmtId="0" fontId="3" fillId="13" borderId="66" xfId="0" applyFont="1" applyFill="1" applyBorder="1" applyAlignment="1" applyProtection="1">
      <alignment horizontal="center" vertical="center"/>
      <protection hidden="1"/>
    </xf>
    <xf numFmtId="0" fontId="40" fillId="15" borderId="56" xfId="0" applyFont="1" applyFill="1" applyBorder="1" applyAlignment="1" applyProtection="1">
      <alignment horizontal="center" vertical="center" wrapText="1"/>
      <protection hidden="1"/>
    </xf>
    <xf numFmtId="0" fontId="40" fillId="15" borderId="68" xfId="0" applyFont="1" applyFill="1" applyBorder="1" applyAlignment="1" applyProtection="1">
      <alignment horizontal="center" vertical="center" wrapText="1"/>
      <protection hidden="1"/>
    </xf>
    <xf numFmtId="0" fontId="41" fillId="15" borderId="68" xfId="0" applyFont="1" applyFill="1" applyBorder="1" applyAlignment="1" applyProtection="1">
      <alignment horizontal="center" vertical="center" wrapText="1"/>
      <protection hidden="1"/>
    </xf>
    <xf numFmtId="0" fontId="42" fillId="15" borderId="68" xfId="0" applyFont="1" applyFill="1" applyBorder="1" applyAlignment="1" applyProtection="1">
      <alignment horizontal="center" vertical="center" wrapText="1"/>
      <protection hidden="1"/>
    </xf>
    <xf numFmtId="0" fontId="35" fillId="15" borderId="66" xfId="0" applyFont="1" applyFill="1" applyBorder="1" applyAlignment="1" applyProtection="1">
      <alignment horizontal="center" vertical="center" wrapText="1"/>
      <protection hidden="1"/>
    </xf>
    <xf numFmtId="0" fontId="1" fillId="2" borderId="12" xfId="0" applyFont="1" applyFill="1" applyBorder="1" applyProtection="1">
      <protection hidden="1"/>
    </xf>
    <xf numFmtId="0" fontId="43" fillId="12" borderId="55" xfId="0" applyFont="1" applyFill="1" applyBorder="1" applyAlignment="1" applyProtection="1">
      <alignment horizontal="center" vertical="center" wrapText="1"/>
      <protection hidden="1"/>
    </xf>
    <xf numFmtId="0" fontId="3" fillId="2" borderId="74" xfId="0" applyFont="1" applyFill="1" applyBorder="1" applyAlignment="1" applyProtection="1">
      <alignment horizontal="center"/>
      <protection hidden="1"/>
    </xf>
    <xf numFmtId="180" fontId="35" fillId="2" borderId="16" xfId="7" applyNumberFormat="1" applyFont="1" applyFill="1" applyBorder="1" applyProtection="1">
      <protection hidden="1"/>
    </xf>
    <xf numFmtId="180" fontId="35" fillId="2" borderId="24" xfId="7" applyNumberFormat="1" applyFont="1" applyFill="1" applyBorder="1" applyProtection="1">
      <protection hidden="1"/>
    </xf>
    <xf numFmtId="180" fontId="35" fillId="2" borderId="69" xfId="0" applyNumberFormat="1" applyFont="1" applyFill="1" applyBorder="1" applyAlignment="1" applyProtection="1">
      <alignment horizontal="center" vertical="center" wrapText="1"/>
      <protection hidden="1"/>
    </xf>
    <xf numFmtId="180" fontId="35" fillId="2" borderId="74" xfId="0" applyNumberFormat="1" applyFont="1" applyFill="1" applyBorder="1" applyProtection="1">
      <protection hidden="1"/>
    </xf>
    <xf numFmtId="164" fontId="1" fillId="2" borderId="0" xfId="0" applyNumberFormat="1" applyFont="1" applyFill="1" applyProtection="1">
      <protection hidden="1"/>
    </xf>
    <xf numFmtId="0" fontId="3" fillId="2" borderId="75" xfId="0" applyFont="1" applyFill="1" applyBorder="1" applyAlignment="1" applyProtection="1">
      <alignment horizontal="center"/>
      <protection hidden="1"/>
    </xf>
    <xf numFmtId="0" fontId="1" fillId="2" borderId="78" xfId="0" applyFont="1" applyFill="1" applyBorder="1" applyProtection="1">
      <protection hidden="1"/>
    </xf>
    <xf numFmtId="180" fontId="35" fillId="2" borderId="17" xfId="7" applyNumberFormat="1" applyFont="1" applyFill="1" applyBorder="1" applyProtection="1">
      <protection hidden="1"/>
    </xf>
    <xf numFmtId="180" fontId="35" fillId="2" borderId="9" xfId="7" applyNumberFormat="1" applyFont="1" applyFill="1" applyBorder="1" applyProtection="1">
      <protection hidden="1"/>
    </xf>
    <xf numFmtId="180" fontId="35" fillId="2" borderId="22" xfId="0" applyNumberFormat="1" applyFont="1" applyFill="1" applyBorder="1" applyAlignment="1" applyProtection="1">
      <alignment horizontal="center" vertical="center" wrapText="1"/>
      <protection hidden="1"/>
    </xf>
    <xf numFmtId="180" fontId="35" fillId="2" borderId="75" xfId="0" applyNumberFormat="1" applyFont="1" applyFill="1" applyBorder="1" applyProtection="1">
      <protection hidden="1"/>
    </xf>
    <xf numFmtId="0" fontId="31" fillId="2" borderId="0" xfId="0" applyFont="1" applyFill="1" applyAlignment="1" applyProtection="1">
      <alignment horizontal="center"/>
      <protection hidden="1"/>
    </xf>
    <xf numFmtId="0" fontId="31" fillId="2" borderId="0" xfId="0" applyFont="1" applyFill="1" applyProtection="1">
      <protection hidden="1"/>
    </xf>
    <xf numFmtId="180" fontId="39" fillId="2" borderId="0" xfId="7" applyNumberFormat="1" applyFont="1" applyFill="1" applyAlignment="1" applyProtection="1">
      <alignment horizontal="center"/>
      <protection hidden="1"/>
    </xf>
    <xf numFmtId="180" fontId="1" fillId="2" borderId="0" xfId="7" applyNumberFormat="1" applyFont="1" applyFill="1" applyBorder="1" applyProtection="1">
      <protection hidden="1"/>
    </xf>
    <xf numFmtId="0" fontId="8" fillId="0" borderId="0" xfId="10" applyProtection="1">
      <protection hidden="1"/>
    </xf>
    <xf numFmtId="0" fontId="19" fillId="8" borderId="53" xfId="10" applyFont="1" applyFill="1" applyBorder="1" applyAlignment="1" applyProtection="1">
      <alignment horizontal="center" vertical="center"/>
      <protection hidden="1"/>
    </xf>
    <xf numFmtId="0" fontId="19" fillId="8" borderId="52" xfId="10" applyFont="1" applyFill="1" applyBorder="1" applyAlignment="1" applyProtection="1">
      <alignment horizontal="center" vertical="center"/>
      <protection hidden="1"/>
    </xf>
    <xf numFmtId="0" fontId="20" fillId="8" borderId="53" xfId="10" applyFont="1" applyFill="1" applyBorder="1" applyAlignment="1" applyProtection="1">
      <alignment horizontal="center" vertical="center"/>
      <protection hidden="1"/>
    </xf>
    <xf numFmtId="0" fontId="19" fillId="0" borderId="0" xfId="10" applyFont="1" applyAlignment="1" applyProtection="1">
      <alignment horizontal="center"/>
      <protection hidden="1"/>
    </xf>
    <xf numFmtId="0" fontId="18" fillId="5" borderId="51" xfId="10" applyFont="1" applyFill="1" applyBorder="1" applyAlignment="1" applyProtection="1">
      <alignment horizontal="left" vertical="center"/>
      <protection hidden="1"/>
    </xf>
    <xf numFmtId="0" fontId="18" fillId="5" borderId="50" xfId="10" applyFont="1" applyFill="1" applyBorder="1" applyAlignment="1" applyProtection="1">
      <alignment horizontal="left" vertical="center"/>
      <protection hidden="1"/>
    </xf>
    <xf numFmtId="0" fontId="18" fillId="5" borderId="49" xfId="10" applyFont="1" applyFill="1" applyBorder="1" applyAlignment="1" applyProtection="1">
      <alignment horizontal="left" vertical="center"/>
      <protection hidden="1"/>
    </xf>
    <xf numFmtId="0" fontId="18" fillId="5" borderId="48" xfId="10" applyFont="1" applyFill="1" applyBorder="1" applyAlignment="1" applyProtection="1">
      <alignment horizontal="left" vertical="center"/>
      <protection hidden="1"/>
    </xf>
    <xf numFmtId="0" fontId="18" fillId="0" borderId="47" xfId="10" applyFont="1" applyBorder="1" applyAlignment="1" applyProtection="1">
      <alignment horizontal="left" vertical="center" indent="1"/>
      <protection hidden="1"/>
    </xf>
    <xf numFmtId="0" fontId="15" fillId="0" borderId="0" xfId="10" applyFont="1" applyAlignment="1" applyProtection="1">
      <alignment horizontal="center" vertical="center"/>
      <protection hidden="1"/>
    </xf>
    <xf numFmtId="0" fontId="15" fillId="0" borderId="46" xfId="10" applyFont="1" applyBorder="1" applyAlignment="1" applyProtection="1">
      <alignment horizontal="center" vertical="center"/>
      <protection hidden="1"/>
    </xf>
    <xf numFmtId="0" fontId="18" fillId="0" borderId="0" xfId="10" applyFont="1" applyAlignment="1" applyProtection="1">
      <alignment horizontal="left" vertical="center" indent="1"/>
      <protection hidden="1"/>
    </xf>
    <xf numFmtId="0" fontId="18" fillId="0" borderId="45" xfId="10" applyFont="1" applyBorder="1" applyAlignment="1" applyProtection="1">
      <alignment horizontal="left" vertical="center" indent="1"/>
      <protection hidden="1"/>
    </xf>
    <xf numFmtId="0" fontId="15" fillId="0" borderId="44" xfId="10" applyFont="1" applyBorder="1" applyAlignment="1" applyProtection="1">
      <alignment horizontal="center" vertical="center"/>
      <protection hidden="1"/>
    </xf>
    <xf numFmtId="0" fontId="15" fillId="0" borderId="43" xfId="10" applyFont="1" applyBorder="1" applyAlignment="1" applyProtection="1">
      <alignment horizontal="center" vertical="center"/>
      <protection hidden="1"/>
    </xf>
    <xf numFmtId="0" fontId="18" fillId="0" borderId="44" xfId="10" applyFont="1" applyBorder="1" applyAlignment="1" applyProtection="1">
      <alignment horizontal="left" vertical="center" indent="1"/>
      <protection hidden="1"/>
    </xf>
    <xf numFmtId="0" fontId="13" fillId="0" borderId="0" xfId="10" applyFont="1" applyAlignment="1" applyProtection="1">
      <alignment vertical="center"/>
      <protection hidden="1"/>
    </xf>
    <xf numFmtId="0" fontId="17" fillId="0" borderId="0" xfId="10" applyFont="1" applyAlignment="1" applyProtection="1">
      <alignment horizontal="left" vertical="center" indent="1"/>
      <protection hidden="1"/>
    </xf>
    <xf numFmtId="0" fontId="12" fillId="0" borderId="36" xfId="10" applyFont="1" applyBorder="1" applyAlignment="1" applyProtection="1">
      <alignment horizontal="left" vertical="center" indent="1"/>
      <protection hidden="1"/>
    </xf>
    <xf numFmtId="0" fontId="12" fillId="0" borderId="35" xfId="10" applyFont="1" applyBorder="1" applyAlignment="1" applyProtection="1">
      <alignment horizontal="left" vertical="center" indent="1"/>
      <protection hidden="1"/>
    </xf>
    <xf numFmtId="174" fontId="12" fillId="0" borderId="35" xfId="10" applyNumberFormat="1" applyFont="1" applyBorder="1" applyAlignment="1" applyProtection="1">
      <alignment horizontal="left" vertical="center" indent="1"/>
      <protection hidden="1"/>
    </xf>
    <xf numFmtId="174" fontId="12" fillId="0" borderId="36" xfId="10" applyNumberFormat="1" applyFont="1" applyBorder="1" applyAlignment="1" applyProtection="1">
      <alignment horizontal="left" vertical="center" indent="1"/>
      <protection hidden="1"/>
    </xf>
    <xf numFmtId="174" fontId="12" fillId="0" borderId="35" xfId="10" applyNumberFormat="1" applyFont="1" applyBorder="1" applyAlignment="1" applyProtection="1">
      <alignment horizontal="center" vertical="center"/>
      <protection hidden="1"/>
    </xf>
    <xf numFmtId="174" fontId="12" fillId="0" borderId="32" xfId="10" applyNumberFormat="1" applyFont="1" applyBorder="1" applyAlignment="1" applyProtection="1">
      <alignment horizontal="center" vertical="center"/>
      <protection hidden="1"/>
    </xf>
    <xf numFmtId="0" fontId="16" fillId="5" borderId="42" xfId="10" applyFont="1" applyFill="1" applyBorder="1" applyAlignment="1" applyProtection="1">
      <alignment horizontal="center" vertical="center"/>
      <protection hidden="1"/>
    </xf>
    <xf numFmtId="0" fontId="16" fillId="5" borderId="41" xfId="10" applyFont="1" applyFill="1" applyBorder="1" applyAlignment="1" applyProtection="1">
      <alignment horizontal="center" vertical="center"/>
      <protection hidden="1"/>
    </xf>
    <xf numFmtId="0" fontId="16" fillId="5" borderId="40" xfId="10" applyFont="1" applyFill="1" applyBorder="1" applyAlignment="1" applyProtection="1">
      <alignment horizontal="center" vertical="center"/>
      <protection hidden="1"/>
    </xf>
    <xf numFmtId="0" fontId="16" fillId="5" borderId="39" xfId="10" applyFont="1" applyFill="1" applyBorder="1" applyAlignment="1" applyProtection="1">
      <alignment horizontal="center" vertical="center"/>
      <protection hidden="1"/>
    </xf>
    <xf numFmtId="0" fontId="16" fillId="5" borderId="38" xfId="10" applyFont="1" applyFill="1" applyBorder="1" applyAlignment="1" applyProtection="1">
      <alignment horizontal="center" vertical="center"/>
      <protection hidden="1"/>
    </xf>
    <xf numFmtId="0" fontId="16" fillId="5" borderId="38" xfId="10" applyFont="1" applyFill="1" applyBorder="1" applyAlignment="1" applyProtection="1">
      <alignment horizontal="center" vertical="center" wrapText="1"/>
      <protection hidden="1"/>
    </xf>
    <xf numFmtId="0" fontId="16" fillId="5" borderId="37" xfId="10" applyFont="1" applyFill="1" applyBorder="1" applyAlignment="1" applyProtection="1">
      <alignment horizontal="center" vertical="center"/>
      <protection hidden="1"/>
    </xf>
    <xf numFmtId="0" fontId="12" fillId="0" borderId="36" xfId="10" applyFont="1" applyBorder="1" applyAlignment="1" applyProtection="1">
      <alignment horizontal="center" vertical="center"/>
      <protection hidden="1"/>
    </xf>
    <xf numFmtId="0" fontId="12" fillId="0" borderId="35" xfId="10" applyFont="1" applyBorder="1" applyAlignment="1" applyProtection="1">
      <alignment horizontal="center" vertical="center"/>
      <protection hidden="1"/>
    </xf>
    <xf numFmtId="0" fontId="12" fillId="0" borderId="32" xfId="10" applyFont="1" applyBorder="1" applyAlignment="1" applyProtection="1">
      <alignment horizontal="center" vertical="center"/>
      <protection hidden="1"/>
    </xf>
    <xf numFmtId="173" fontId="12" fillId="0" borderId="34" xfId="10" applyNumberFormat="1" applyFont="1" applyBorder="1" applyAlignment="1" applyProtection="1">
      <alignment horizontal="center" vertical="center"/>
      <protection hidden="1"/>
    </xf>
    <xf numFmtId="9" fontId="12" fillId="0" borderId="34" xfId="8" applyFont="1" applyBorder="1" applyAlignment="1" applyProtection="1">
      <alignment horizontal="center" vertical="center"/>
      <protection hidden="1"/>
    </xf>
    <xf numFmtId="173" fontId="12" fillId="0" borderId="34" xfId="10" applyNumberFormat="1" applyFont="1" applyBorder="1" applyAlignment="1" applyProtection="1">
      <alignment horizontal="left" vertical="center" indent="1"/>
      <protection hidden="1"/>
    </xf>
    <xf numFmtId="43" fontId="12" fillId="0" borderId="34" xfId="7" applyFont="1" applyBorder="1" applyAlignment="1" applyProtection="1">
      <alignment horizontal="center" vertical="center"/>
      <protection hidden="1"/>
    </xf>
    <xf numFmtId="0" fontId="12" fillId="0" borderId="0" xfId="10" applyFont="1" applyAlignment="1" applyProtection="1">
      <alignment horizontal="center" vertical="center"/>
      <protection hidden="1"/>
    </xf>
    <xf numFmtId="0" fontId="14" fillId="0" borderId="0" xfId="10" applyFont="1" applyProtection="1">
      <protection hidden="1"/>
    </xf>
    <xf numFmtId="0" fontId="7" fillId="8" borderId="33" xfId="10" applyFont="1" applyFill="1" applyBorder="1" applyAlignment="1" applyProtection="1">
      <alignment horizontal="center" vertical="center"/>
      <protection hidden="1"/>
    </xf>
    <xf numFmtId="172" fontId="11" fillId="5" borderId="0" xfId="10" applyNumberFormat="1" applyFont="1" applyFill="1" applyAlignment="1" applyProtection="1">
      <alignment horizontal="center" vertical="center"/>
      <protection hidden="1"/>
    </xf>
    <xf numFmtId="0" fontId="7" fillId="8" borderId="0" xfId="10" applyFont="1" applyFill="1" applyAlignment="1" applyProtection="1">
      <alignment horizontal="center" vertical="center"/>
      <protection hidden="1"/>
    </xf>
    <xf numFmtId="9" fontId="12" fillId="0" borderId="32" xfId="8" applyFont="1" applyBorder="1" applyAlignment="1" applyProtection="1">
      <alignment horizontal="center" vertical="center"/>
      <protection hidden="1"/>
    </xf>
    <xf numFmtId="0" fontId="7" fillId="8" borderId="0" xfId="10" applyFont="1" applyFill="1" applyAlignment="1" applyProtection="1">
      <alignment horizontal="center" vertical="center"/>
      <protection hidden="1"/>
    </xf>
    <xf numFmtId="43" fontId="8" fillId="0" borderId="0" xfId="7" applyFont="1" applyProtection="1">
      <protection hidden="1"/>
    </xf>
    <xf numFmtId="8" fontId="8" fillId="0" borderId="0" xfId="10" applyNumberFormat="1" applyProtection="1">
      <protection hidden="1"/>
    </xf>
    <xf numFmtId="0" fontId="52" fillId="2" borderId="0" xfId="0" applyFont="1" applyFill="1" applyAlignment="1" applyProtection="1">
      <alignment horizontal="center"/>
      <protection hidden="1"/>
    </xf>
    <xf numFmtId="0" fontId="52" fillId="2" borderId="0" xfId="0" applyFont="1" applyFill="1" applyProtection="1">
      <protection hidden="1"/>
    </xf>
    <xf numFmtId="0" fontId="35" fillId="2" borderId="0" xfId="0" applyFont="1" applyFill="1" applyAlignment="1" applyProtection="1">
      <alignment horizontal="center"/>
      <protection hidden="1"/>
    </xf>
    <xf numFmtId="0" fontId="35" fillId="2" borderId="7" xfId="0" applyFont="1" applyFill="1" applyBorder="1" applyAlignment="1" applyProtection="1">
      <alignment horizontal="center"/>
      <protection hidden="1"/>
    </xf>
    <xf numFmtId="0" fontId="53" fillId="11" borderId="68" xfId="0" applyNumberFormat="1" applyFont="1" applyFill="1" applyBorder="1" applyAlignment="1" applyProtection="1">
      <alignment horizontal="center"/>
      <protection hidden="1"/>
    </xf>
    <xf numFmtId="0" fontId="53" fillId="11" borderId="87" xfId="0" applyNumberFormat="1" applyFont="1" applyFill="1" applyBorder="1" applyAlignment="1" applyProtection="1">
      <alignment horizontal="center"/>
      <protection hidden="1"/>
    </xf>
    <xf numFmtId="0" fontId="53" fillId="11" borderId="65" xfId="0" applyNumberFormat="1" applyFont="1" applyFill="1" applyBorder="1" applyAlignment="1" applyProtection="1">
      <alignment horizontal="center"/>
      <protection hidden="1"/>
    </xf>
    <xf numFmtId="0" fontId="53" fillId="11" borderId="2" xfId="0" applyNumberFormat="1" applyFont="1" applyFill="1" applyBorder="1" applyAlignment="1" applyProtection="1">
      <alignment horizontal="center"/>
      <protection hidden="1"/>
    </xf>
    <xf numFmtId="0" fontId="35" fillId="2" borderId="0" xfId="0" applyFont="1" applyFill="1" applyProtection="1">
      <protection hidden="1"/>
    </xf>
    <xf numFmtId="0" fontId="35" fillId="12" borderId="16" xfId="0" applyFont="1" applyFill="1" applyBorder="1" applyProtection="1">
      <protection hidden="1"/>
    </xf>
    <xf numFmtId="164" fontId="35" fillId="12" borderId="24" xfId="1" applyFont="1" applyFill="1" applyBorder="1" applyProtection="1">
      <protection hidden="1"/>
    </xf>
    <xf numFmtId="164" fontId="35" fillId="12" borderId="85" xfId="1" applyFont="1" applyFill="1" applyBorder="1" applyProtection="1">
      <protection hidden="1"/>
    </xf>
    <xf numFmtId="0" fontId="35" fillId="12" borderId="63" xfId="0" applyFont="1" applyFill="1" applyBorder="1" applyAlignment="1" applyProtection="1">
      <protection hidden="1"/>
    </xf>
    <xf numFmtId="0" fontId="35" fillId="12" borderId="25" xfId="0" applyFont="1" applyFill="1" applyBorder="1" applyProtection="1">
      <protection hidden="1"/>
    </xf>
    <xf numFmtId="0" fontId="35" fillId="12" borderId="63" xfId="0" applyFont="1" applyFill="1" applyBorder="1" applyProtection="1">
      <protection hidden="1"/>
    </xf>
    <xf numFmtId="0" fontId="35" fillId="2" borderId="17" xfId="0" applyFont="1" applyFill="1" applyBorder="1" applyProtection="1">
      <protection hidden="1"/>
    </xf>
    <xf numFmtId="164" fontId="35" fillId="2" borderId="9" xfId="1" applyFont="1" applyFill="1" applyBorder="1" applyProtection="1">
      <protection hidden="1"/>
    </xf>
    <xf numFmtId="164" fontId="35" fillId="2" borderId="84" xfId="1" applyFont="1" applyFill="1" applyBorder="1" applyProtection="1">
      <protection hidden="1"/>
    </xf>
    <xf numFmtId="0" fontId="35" fillId="2" borderId="75" xfId="0" applyFont="1" applyFill="1" applyBorder="1" applyAlignment="1" applyProtection="1">
      <protection hidden="1"/>
    </xf>
    <xf numFmtId="0" fontId="35" fillId="2" borderId="76" xfId="0" applyFont="1" applyFill="1" applyBorder="1" applyProtection="1">
      <protection hidden="1"/>
    </xf>
    <xf numFmtId="0" fontId="35" fillId="2" borderId="75" xfId="0" applyFont="1" applyFill="1" applyBorder="1" applyProtection="1">
      <protection hidden="1"/>
    </xf>
    <xf numFmtId="0" fontId="52" fillId="2" borderId="17" xfId="0" applyFont="1" applyFill="1" applyBorder="1" applyAlignment="1" applyProtection="1">
      <alignment horizontal="center"/>
      <protection hidden="1"/>
    </xf>
    <xf numFmtId="164" fontId="52" fillId="2" borderId="9" xfId="1" applyFont="1" applyFill="1" applyBorder="1" applyProtection="1">
      <protection hidden="1"/>
    </xf>
    <xf numFmtId="164" fontId="52" fillId="2" borderId="75" xfId="1" applyFont="1" applyFill="1" applyBorder="1" applyAlignment="1" applyProtection="1">
      <protection hidden="1"/>
    </xf>
    <xf numFmtId="164" fontId="52" fillId="2" borderId="76" xfId="0" applyNumberFormat="1" applyFont="1" applyFill="1" applyBorder="1" applyProtection="1">
      <protection hidden="1"/>
    </xf>
    <xf numFmtId="164" fontId="52" fillId="2" borderId="76" xfId="1" applyFont="1" applyFill="1" applyBorder="1" applyAlignment="1" applyProtection="1">
      <protection hidden="1"/>
    </xf>
    <xf numFmtId="164" fontId="52" fillId="2" borderId="75" xfId="0" applyNumberFormat="1" applyFont="1" applyFill="1" applyBorder="1" applyProtection="1">
      <protection hidden="1"/>
    </xf>
    <xf numFmtId="0" fontId="54" fillId="2" borderId="17" xfId="0" applyFont="1" applyFill="1" applyBorder="1" applyAlignment="1" applyProtection="1">
      <alignment horizontal="center"/>
      <protection hidden="1"/>
    </xf>
    <xf numFmtId="164" fontId="54" fillId="2" borderId="9" xfId="1" applyFont="1" applyFill="1" applyBorder="1" applyProtection="1">
      <protection hidden="1"/>
    </xf>
    <xf numFmtId="164" fontId="54" fillId="2" borderId="84" xfId="1" applyFont="1" applyFill="1" applyBorder="1" applyProtection="1">
      <protection hidden="1"/>
    </xf>
    <xf numFmtId="164" fontId="54" fillId="2" borderId="75" xfId="1" applyFont="1" applyFill="1" applyBorder="1" applyProtection="1">
      <protection hidden="1"/>
    </xf>
    <xf numFmtId="164" fontId="54" fillId="2" borderId="76" xfId="1" applyFont="1" applyFill="1" applyBorder="1" applyProtection="1">
      <protection hidden="1"/>
    </xf>
    <xf numFmtId="0" fontId="55" fillId="2" borderId="0" xfId="0" applyFont="1" applyFill="1" applyProtection="1">
      <protection hidden="1"/>
    </xf>
    <xf numFmtId="0" fontId="35" fillId="2" borderId="17" xfId="0" applyFont="1" applyFill="1" applyBorder="1" applyAlignment="1" applyProtection="1">
      <alignment horizontal="left"/>
      <protection hidden="1"/>
    </xf>
    <xf numFmtId="164" fontId="52" fillId="2" borderId="84" xfId="1" applyFont="1" applyFill="1" applyBorder="1" applyProtection="1">
      <protection hidden="1"/>
    </xf>
    <xf numFmtId="0" fontId="52" fillId="2" borderId="75" xfId="0" applyFont="1" applyFill="1" applyBorder="1" applyAlignment="1" applyProtection="1">
      <protection hidden="1"/>
    </xf>
    <xf numFmtId="0" fontId="52" fillId="2" borderId="76" xfId="0" applyFont="1" applyFill="1" applyBorder="1" applyProtection="1">
      <protection hidden="1"/>
    </xf>
    <xf numFmtId="0" fontId="52" fillId="2" borderId="75" xfId="0" applyFont="1" applyFill="1" applyBorder="1" applyProtection="1">
      <protection hidden="1"/>
    </xf>
    <xf numFmtId="0" fontId="54" fillId="2" borderId="0" xfId="0" applyFont="1" applyFill="1" applyProtection="1">
      <protection hidden="1"/>
    </xf>
    <xf numFmtId="0" fontId="35" fillId="12" borderId="80" xfId="0" applyFont="1" applyFill="1" applyBorder="1" applyProtection="1">
      <protection hidden="1"/>
    </xf>
    <xf numFmtId="164" fontId="35" fillId="12" borderId="59" xfId="1" applyFont="1" applyFill="1" applyBorder="1" applyProtection="1">
      <protection hidden="1"/>
    </xf>
    <xf numFmtId="164" fontId="35" fillId="12" borderId="91" xfId="1" applyFont="1" applyFill="1" applyBorder="1" applyProtection="1">
      <protection hidden="1"/>
    </xf>
    <xf numFmtId="164" fontId="35" fillId="12" borderId="64" xfId="1" applyFont="1" applyFill="1" applyBorder="1" applyAlignment="1" applyProtection="1">
      <protection hidden="1"/>
    </xf>
    <xf numFmtId="164" fontId="35" fillId="12" borderId="20" xfId="1" applyFont="1" applyFill="1" applyBorder="1" applyProtection="1">
      <protection hidden="1"/>
    </xf>
    <xf numFmtId="164" fontId="35" fillId="12" borderId="64" xfId="1" applyFont="1" applyFill="1" applyBorder="1" applyProtection="1">
      <protection hidden="1"/>
    </xf>
    <xf numFmtId="0" fontId="35" fillId="12" borderId="61" xfId="0" applyFont="1" applyFill="1" applyBorder="1" applyAlignment="1" applyProtection="1">
      <alignment horizontal="center"/>
      <protection hidden="1"/>
    </xf>
    <xf numFmtId="164" fontId="35" fillId="12" borderId="14" xfId="1" applyFont="1" applyFill="1" applyBorder="1" applyProtection="1">
      <protection hidden="1"/>
    </xf>
    <xf numFmtId="164" fontId="35" fillId="12" borderId="57" xfId="1" applyFont="1" applyFill="1" applyBorder="1" applyProtection="1">
      <protection hidden="1"/>
    </xf>
    <xf numFmtId="0" fontId="35" fillId="12" borderId="55" xfId="0" applyFont="1" applyFill="1" applyBorder="1" applyAlignment="1" applyProtection="1">
      <protection hidden="1"/>
    </xf>
    <xf numFmtId="0" fontId="35" fillId="12" borderId="12" xfId="0" applyFont="1" applyFill="1" applyBorder="1" applyProtection="1">
      <protection hidden="1"/>
    </xf>
    <xf numFmtId="0" fontId="35" fillId="12" borderId="55" xfId="0" applyFont="1" applyFill="1" applyBorder="1" applyProtection="1">
      <protection hidden="1"/>
    </xf>
    <xf numFmtId="0" fontId="35" fillId="2" borderId="71" xfId="0" applyFont="1" applyFill="1" applyBorder="1" applyProtection="1">
      <protection hidden="1"/>
    </xf>
    <xf numFmtId="164" fontId="35" fillId="2" borderId="60" xfId="1" applyFont="1" applyFill="1" applyBorder="1" applyProtection="1">
      <protection hidden="1"/>
    </xf>
    <xf numFmtId="164" fontId="35" fillId="2" borderId="88" xfId="1" applyFont="1" applyFill="1" applyBorder="1" applyProtection="1">
      <protection hidden="1"/>
    </xf>
    <xf numFmtId="0" fontId="35" fillId="2" borderId="74" xfId="0" applyFont="1" applyFill="1" applyBorder="1" applyAlignment="1" applyProtection="1">
      <protection hidden="1"/>
    </xf>
    <xf numFmtId="0" fontId="35" fillId="2" borderId="78" xfId="0" applyFont="1" applyFill="1" applyBorder="1" applyProtection="1">
      <protection hidden="1"/>
    </xf>
    <xf numFmtId="0" fontId="35" fillId="2" borderId="74" xfId="0" applyFont="1" applyFill="1" applyBorder="1" applyProtection="1">
      <protection hidden="1"/>
    </xf>
    <xf numFmtId="0" fontId="52" fillId="2" borderId="71" xfId="0" applyFont="1" applyFill="1" applyBorder="1" applyAlignment="1" applyProtection="1">
      <alignment horizontal="center"/>
      <protection hidden="1"/>
    </xf>
    <xf numFmtId="164" fontId="52" fillId="2" borderId="60" xfId="1" applyFont="1" applyFill="1" applyBorder="1" applyProtection="1">
      <protection hidden="1"/>
    </xf>
    <xf numFmtId="164" fontId="52" fillId="2" borderId="88" xfId="1" applyFont="1" applyFill="1" applyBorder="1" applyProtection="1">
      <protection hidden="1"/>
    </xf>
    <xf numFmtId="164" fontId="52" fillId="2" borderId="77" xfId="1" applyFont="1" applyFill="1" applyBorder="1" applyProtection="1">
      <protection hidden="1"/>
    </xf>
    <xf numFmtId="0" fontId="52" fillId="2" borderId="4" xfId="0" applyFont="1" applyFill="1" applyBorder="1" applyProtection="1">
      <protection hidden="1"/>
    </xf>
    <xf numFmtId="0" fontId="52" fillId="2" borderId="9" xfId="0" applyFont="1" applyFill="1" applyBorder="1" applyProtection="1">
      <protection hidden="1"/>
    </xf>
    <xf numFmtId="0" fontId="52" fillId="2" borderId="84" xfId="0" applyFont="1" applyFill="1" applyBorder="1" applyProtection="1">
      <protection hidden="1"/>
    </xf>
    <xf numFmtId="164" fontId="52" fillId="2" borderId="75" xfId="1" applyFont="1" applyFill="1" applyBorder="1" applyProtection="1">
      <protection hidden="1"/>
    </xf>
    <xf numFmtId="164" fontId="52" fillId="2" borderId="9" xfId="1" applyFont="1" applyFill="1" applyBorder="1" applyAlignment="1" applyProtection="1">
      <alignment vertical="center"/>
      <protection hidden="1"/>
    </xf>
    <xf numFmtId="0" fontId="35" fillId="12" borderId="17" xfId="0" applyFont="1" applyFill="1" applyBorder="1" applyProtection="1">
      <protection hidden="1"/>
    </xf>
    <xf numFmtId="164" fontId="35" fillId="12" borderId="9" xfId="1" applyFont="1" applyFill="1" applyBorder="1" applyProtection="1">
      <protection hidden="1"/>
    </xf>
    <xf numFmtId="164" fontId="35" fillId="12" borderId="75" xfId="1" applyFont="1" applyFill="1" applyBorder="1" applyProtection="1">
      <protection hidden="1"/>
    </xf>
    <xf numFmtId="164" fontId="35" fillId="12" borderId="76" xfId="1" applyFont="1" applyFill="1" applyBorder="1" applyProtection="1">
      <protection hidden="1"/>
    </xf>
    <xf numFmtId="0" fontId="35" fillId="12" borderId="19" xfId="0" applyNumberFormat="1" applyFont="1" applyFill="1" applyBorder="1" applyAlignment="1" applyProtection="1">
      <alignment horizontal="left"/>
      <protection hidden="1"/>
    </xf>
    <xf numFmtId="164" fontId="35" fillId="12" borderId="18" xfId="1" applyFont="1" applyFill="1" applyBorder="1" applyAlignment="1" applyProtection="1">
      <alignment horizontal="center"/>
      <protection hidden="1"/>
    </xf>
    <xf numFmtId="164" fontId="35" fillId="12" borderId="89" xfId="1" applyFont="1" applyFill="1" applyBorder="1" applyAlignment="1" applyProtection="1">
      <alignment horizontal="center"/>
      <protection hidden="1"/>
    </xf>
    <xf numFmtId="164" fontId="35" fillId="12" borderId="90" xfId="1" applyFont="1" applyFill="1" applyBorder="1" applyAlignment="1" applyProtection="1">
      <alignment horizontal="center"/>
      <protection hidden="1"/>
    </xf>
    <xf numFmtId="164" fontId="35" fillId="12" borderId="92" xfId="1" applyFont="1" applyFill="1" applyBorder="1" applyAlignment="1" applyProtection="1">
      <alignment horizontal="center"/>
      <protection hidden="1"/>
    </xf>
    <xf numFmtId="0" fontId="35" fillId="2" borderId="0" xfId="0" applyNumberFormat="1" applyFont="1" applyFill="1" applyBorder="1" applyAlignment="1" applyProtection="1">
      <alignment horizontal="left"/>
      <protection hidden="1"/>
    </xf>
    <xf numFmtId="164" fontId="35" fillId="2" borderId="0" xfId="1" applyFont="1" applyFill="1" applyBorder="1" applyAlignment="1" applyProtection="1">
      <alignment horizontal="center"/>
      <protection hidden="1"/>
    </xf>
    <xf numFmtId="0" fontId="53" fillId="11" borderId="71" xfId="0" applyNumberFormat="1" applyFont="1" applyFill="1" applyBorder="1" applyAlignment="1" applyProtection="1">
      <alignment horizontal="center"/>
      <protection hidden="1"/>
    </xf>
    <xf numFmtId="0" fontId="53" fillId="11" borderId="60" xfId="0" applyNumberFormat="1" applyFont="1" applyFill="1" applyBorder="1" applyAlignment="1" applyProtection="1">
      <alignment horizontal="center"/>
      <protection hidden="1"/>
    </xf>
    <xf numFmtId="0" fontId="53" fillId="11" borderId="72" xfId="0" applyNumberFormat="1" applyFont="1" applyFill="1" applyBorder="1" applyAlignment="1" applyProtection="1">
      <alignment horizontal="center"/>
      <protection hidden="1"/>
    </xf>
    <xf numFmtId="164" fontId="52" fillId="12" borderId="9" xfId="1" applyFont="1" applyFill="1" applyBorder="1" applyProtection="1">
      <protection hidden="1"/>
    </xf>
    <xf numFmtId="0" fontId="52" fillId="12" borderId="9" xfId="0" applyFont="1" applyFill="1" applyBorder="1" applyAlignment="1" applyProtection="1">
      <protection hidden="1"/>
    </xf>
    <xf numFmtId="0" fontId="52" fillId="12" borderId="9" xfId="0" applyFont="1" applyFill="1" applyBorder="1" applyProtection="1">
      <protection hidden="1"/>
    </xf>
    <xf numFmtId="0" fontId="52" fillId="12" borderId="22" xfId="0" applyFont="1" applyFill="1" applyBorder="1" applyProtection="1">
      <protection hidden="1"/>
    </xf>
    <xf numFmtId="0" fontId="35" fillId="2" borderId="9" xfId="0" applyFont="1" applyFill="1" applyBorder="1" applyAlignment="1" applyProtection="1">
      <protection hidden="1"/>
    </xf>
    <xf numFmtId="0" fontId="35" fillId="2" borderId="9" xfId="0" applyFont="1" applyFill="1" applyBorder="1" applyProtection="1">
      <protection hidden="1"/>
    </xf>
    <xf numFmtId="0" fontId="35" fillId="2" borderId="22" xfId="0" applyFont="1" applyFill="1" applyBorder="1" applyProtection="1">
      <protection hidden="1"/>
    </xf>
    <xf numFmtId="0" fontId="52" fillId="2" borderId="9" xfId="0" applyFont="1" applyFill="1" applyBorder="1" applyAlignment="1" applyProtection="1">
      <protection hidden="1"/>
    </xf>
    <xf numFmtId="0" fontId="52" fillId="2" borderId="22" xfId="0" applyFont="1" applyFill="1" applyBorder="1" applyProtection="1">
      <protection hidden="1"/>
    </xf>
    <xf numFmtId="164" fontId="52" fillId="2" borderId="9" xfId="1" applyFont="1" applyFill="1" applyBorder="1" applyAlignment="1" applyProtection="1">
      <protection hidden="1"/>
    </xf>
    <xf numFmtId="164" fontId="52" fillId="2" borderId="22" xfId="1" applyFont="1" applyFill="1" applyBorder="1" applyAlignment="1" applyProtection="1">
      <protection hidden="1"/>
    </xf>
    <xf numFmtId="0" fontId="52" fillId="0" borderId="17" xfId="0" applyFont="1" applyFill="1" applyBorder="1" applyAlignment="1" applyProtection="1">
      <alignment horizontal="center"/>
      <protection hidden="1"/>
    </xf>
    <xf numFmtId="164" fontId="35" fillId="0" borderId="9" xfId="1" applyFont="1" applyFill="1" applyBorder="1" applyProtection="1">
      <protection hidden="1"/>
    </xf>
    <xf numFmtId="164" fontId="52" fillId="0" borderId="9" xfId="1" applyFont="1" applyFill="1" applyBorder="1" applyProtection="1">
      <protection hidden="1"/>
    </xf>
    <xf numFmtId="164" fontId="52" fillId="0" borderId="9" xfId="1" applyFont="1" applyFill="1" applyBorder="1" applyAlignment="1" applyProtection="1">
      <protection hidden="1"/>
    </xf>
    <xf numFmtId="42" fontId="44" fillId="0" borderId="9" xfId="3" applyNumberFormat="1" applyFont="1" applyFill="1" applyBorder="1" applyProtection="1">
      <protection hidden="1"/>
    </xf>
    <xf numFmtId="164" fontId="52" fillId="0" borderId="22" xfId="1" applyFont="1" applyFill="1" applyBorder="1" applyProtection="1">
      <protection hidden="1"/>
    </xf>
    <xf numFmtId="0" fontId="35" fillId="2" borderId="17" xfId="0" applyFont="1" applyFill="1" applyBorder="1" applyAlignment="1" applyProtection="1">
      <alignment horizontal="center"/>
      <protection hidden="1"/>
    </xf>
    <xf numFmtId="164" fontId="35" fillId="2" borderId="9" xfId="1" applyFont="1" applyFill="1" applyBorder="1" applyAlignment="1" applyProtection="1">
      <protection hidden="1"/>
    </xf>
    <xf numFmtId="164" fontId="35" fillId="2" borderId="22" xfId="1" applyFont="1" applyFill="1" applyBorder="1" applyProtection="1">
      <protection hidden="1"/>
    </xf>
    <xf numFmtId="164" fontId="52" fillId="2" borderId="9" xfId="1" applyFont="1" applyFill="1" applyBorder="1" applyAlignment="1" applyProtection="1">
      <alignment horizontal="center"/>
      <protection hidden="1"/>
    </xf>
    <xf numFmtId="164" fontId="52" fillId="2" borderId="84" xfId="1" applyFont="1" applyFill="1" applyBorder="1" applyAlignment="1" applyProtection="1">
      <alignment horizontal="center"/>
      <protection hidden="1"/>
    </xf>
    <xf numFmtId="164" fontId="56" fillId="2" borderId="9" xfId="1" applyFont="1" applyFill="1" applyBorder="1" applyProtection="1">
      <protection hidden="1"/>
    </xf>
    <xf numFmtId="164" fontId="56" fillId="2" borderId="9" xfId="1" applyFont="1" applyFill="1" applyBorder="1" applyAlignment="1" applyProtection="1">
      <protection hidden="1"/>
    </xf>
    <xf numFmtId="164" fontId="56" fillId="2" borderId="9" xfId="1" applyFont="1" applyFill="1" applyBorder="1" applyAlignment="1" applyProtection="1">
      <alignment vertical="center"/>
      <protection hidden="1"/>
    </xf>
    <xf numFmtId="164" fontId="56" fillId="2" borderId="22" xfId="1" applyFont="1" applyFill="1" applyBorder="1" applyProtection="1">
      <protection hidden="1"/>
    </xf>
    <xf numFmtId="0" fontId="56" fillId="2" borderId="0" xfId="0" applyFont="1" applyFill="1" applyProtection="1">
      <protection hidden="1"/>
    </xf>
    <xf numFmtId="164" fontId="52" fillId="2" borderId="22" xfId="1" applyFont="1" applyFill="1" applyBorder="1" applyAlignment="1" applyProtection="1">
      <alignment vertical="center"/>
      <protection hidden="1"/>
    </xf>
    <xf numFmtId="0" fontId="52" fillId="2" borderId="17" xfId="0" applyFont="1" applyFill="1" applyBorder="1" applyAlignment="1" applyProtection="1">
      <alignment horizontal="center" vertical="center"/>
      <protection hidden="1"/>
    </xf>
    <xf numFmtId="0" fontId="35" fillId="2" borderId="17" xfId="0" applyFont="1" applyFill="1" applyBorder="1" applyAlignment="1" applyProtection="1">
      <alignment horizontal="center" vertical="center"/>
      <protection hidden="1"/>
    </xf>
    <xf numFmtId="164" fontId="35" fillId="2" borderId="9" xfId="1" applyFont="1" applyFill="1" applyBorder="1" applyAlignment="1" applyProtection="1">
      <alignment vertical="center"/>
      <protection hidden="1"/>
    </xf>
    <xf numFmtId="164" fontId="56" fillId="2" borderId="84" xfId="1" applyFont="1" applyFill="1" applyBorder="1" applyAlignment="1" applyProtection="1">
      <alignment vertical="center"/>
      <protection hidden="1"/>
    </xf>
    <xf numFmtId="0" fontId="56" fillId="2" borderId="4" xfId="0" applyFont="1" applyFill="1" applyBorder="1" applyProtection="1">
      <protection hidden="1"/>
    </xf>
    <xf numFmtId="0" fontId="35" fillId="12" borderId="17" xfId="0" applyFont="1" applyFill="1" applyBorder="1" applyAlignment="1" applyProtection="1">
      <alignment horizontal="center" vertical="center"/>
      <protection hidden="1"/>
    </xf>
    <xf numFmtId="164" fontId="35" fillId="12" borderId="9" xfId="1" applyFont="1" applyFill="1" applyBorder="1" applyAlignment="1" applyProtection="1">
      <alignment vertical="center"/>
      <protection hidden="1"/>
    </xf>
    <xf numFmtId="164" fontId="56" fillId="12" borderId="9" xfId="1" applyFont="1" applyFill="1" applyBorder="1" applyAlignment="1" applyProtection="1">
      <alignment vertical="center"/>
      <protection hidden="1"/>
    </xf>
    <xf numFmtId="0" fontId="56" fillId="2" borderId="0" xfId="0" applyFont="1" applyFill="1" applyAlignment="1" applyProtection="1">
      <protection hidden="1"/>
    </xf>
    <xf numFmtId="164" fontId="56" fillId="12" borderId="22" xfId="1" applyFont="1" applyFill="1" applyBorder="1" applyAlignment="1" applyProtection="1">
      <alignment vertical="center"/>
      <protection hidden="1"/>
    </xf>
    <xf numFmtId="0" fontId="35" fillId="12" borderId="17" xfId="0" applyNumberFormat="1" applyFont="1" applyFill="1" applyBorder="1" applyAlignment="1" applyProtection="1">
      <alignment horizontal="center" vertical="center"/>
      <protection hidden="1"/>
    </xf>
    <xf numFmtId="164" fontId="35" fillId="12" borderId="9" xfId="1" applyFont="1" applyFill="1" applyBorder="1" applyAlignment="1" applyProtection="1">
      <alignment horizontal="center" vertical="center"/>
      <protection hidden="1"/>
    </xf>
    <xf numFmtId="0" fontId="56" fillId="2" borderId="0" xfId="0" applyFont="1" applyFill="1" applyAlignment="1" applyProtection="1">
      <alignment vertical="center"/>
      <protection hidden="1"/>
    </xf>
    <xf numFmtId="0" fontId="54" fillId="2" borderId="17" xfId="0" applyFont="1" applyFill="1" applyBorder="1" applyAlignment="1" applyProtection="1">
      <alignment horizontal="center" vertical="center"/>
      <protection hidden="1"/>
    </xf>
    <xf numFmtId="0" fontId="53" fillId="11" borderId="17" xfId="0" applyNumberFormat="1" applyFont="1" applyFill="1" applyBorder="1" applyAlignment="1" applyProtection="1">
      <alignment horizontal="center" vertical="center"/>
      <protection hidden="1"/>
    </xf>
    <xf numFmtId="0" fontId="53" fillId="11" borderId="9" xfId="0" applyNumberFormat="1" applyFont="1" applyFill="1" applyBorder="1" applyAlignment="1" applyProtection="1">
      <alignment horizontal="center" vertical="center"/>
      <protection hidden="1"/>
    </xf>
    <xf numFmtId="0" fontId="53" fillId="11" borderId="9" xfId="0" applyNumberFormat="1" applyFont="1" applyFill="1" applyBorder="1" applyAlignment="1" applyProtection="1">
      <alignment horizontal="center"/>
      <protection hidden="1"/>
    </xf>
    <xf numFmtId="0" fontId="53" fillId="11" borderId="22" xfId="0" applyNumberFormat="1" applyFont="1" applyFill="1" applyBorder="1" applyAlignment="1" applyProtection="1">
      <alignment horizontal="center" vertical="center"/>
      <protection hidden="1"/>
    </xf>
    <xf numFmtId="0" fontId="53" fillId="11" borderId="19" xfId="0" applyNumberFormat="1" applyFont="1" applyFill="1" applyBorder="1" applyAlignment="1" applyProtection="1">
      <alignment horizontal="center" vertical="center"/>
      <protection hidden="1"/>
    </xf>
    <xf numFmtId="164" fontId="53" fillId="11" borderId="18" xfId="1" applyFont="1" applyFill="1" applyBorder="1" applyAlignment="1" applyProtection="1">
      <alignment horizontal="center" vertical="center"/>
      <protection hidden="1"/>
    </xf>
    <xf numFmtId="164" fontId="53" fillId="11" borderId="18" xfId="1" applyFont="1" applyFill="1" applyBorder="1" applyAlignment="1" applyProtection="1">
      <alignment horizontal="center"/>
      <protection hidden="1"/>
    </xf>
    <xf numFmtId="164" fontId="53" fillId="11" borderId="23" xfId="1" applyFont="1" applyFill="1" applyBorder="1" applyAlignment="1" applyProtection="1">
      <alignment horizontal="center" vertical="center"/>
      <protection hidden="1"/>
    </xf>
    <xf numFmtId="0" fontId="52" fillId="2" borderId="0" xfId="0" applyFont="1" applyFill="1" applyAlignment="1" applyProtection="1">
      <alignment vertical="center"/>
      <protection hidden="1"/>
    </xf>
    <xf numFmtId="0" fontId="52" fillId="2" borderId="0" xfId="0" applyFont="1" applyFill="1" applyAlignment="1" applyProtection="1">
      <protection hidden="1"/>
    </xf>
    <xf numFmtId="0" fontId="53" fillId="11" borderId="24" xfId="0" applyNumberFormat="1" applyFont="1" applyFill="1" applyBorder="1" applyAlignment="1" applyProtection="1">
      <alignment horizontal="center" vertical="center"/>
      <protection hidden="1"/>
    </xf>
    <xf numFmtId="164" fontId="53" fillId="11" borderId="24" xfId="1" applyFont="1" applyFill="1" applyBorder="1" applyAlignment="1" applyProtection="1">
      <alignment horizontal="center" vertical="center"/>
      <protection hidden="1"/>
    </xf>
    <xf numFmtId="164" fontId="53" fillId="11" borderId="24" xfId="1" applyFont="1" applyFill="1" applyBorder="1" applyAlignment="1" applyProtection="1">
      <alignment horizontal="center"/>
      <protection hidden="1"/>
    </xf>
    <xf numFmtId="0" fontId="35" fillId="20" borderId="0" xfId="0" applyFont="1" applyFill="1" applyAlignment="1" applyProtection="1">
      <alignment vertical="center"/>
      <protection hidden="1"/>
    </xf>
    <xf numFmtId="164" fontId="52" fillId="20" borderId="0" xfId="1" applyFont="1" applyFill="1" applyProtection="1">
      <protection hidden="1"/>
    </xf>
    <xf numFmtId="164" fontId="52" fillId="20" borderId="0" xfId="1" applyFont="1" applyFill="1" applyAlignment="1" applyProtection="1">
      <protection hidden="1"/>
    </xf>
    <xf numFmtId="164" fontId="52" fillId="2" borderId="0" xfId="1" applyFont="1" applyFill="1" applyProtection="1">
      <protection hidden="1"/>
    </xf>
    <xf numFmtId="44" fontId="52" fillId="2" borderId="0" xfId="0" applyNumberFormat="1" applyFont="1" applyFill="1" applyProtection="1">
      <protection hidden="1"/>
    </xf>
    <xf numFmtId="164" fontId="52" fillId="2" borderId="0" xfId="0" applyNumberFormat="1" applyFont="1" applyFill="1" applyProtection="1">
      <protection hidden="1"/>
    </xf>
    <xf numFmtId="0" fontId="3" fillId="2" borderId="1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0" fontId="0" fillId="2" borderId="0" xfId="0" applyFont="1" applyFill="1" applyProtection="1"/>
    <xf numFmtId="0" fontId="3" fillId="2" borderId="4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"/>
    </xf>
    <xf numFmtId="0" fontId="3" fillId="2" borderId="6" xfId="0" applyFont="1" applyFill="1" applyBorder="1" applyAlignment="1" applyProtection="1">
      <alignment horizontal="center"/>
    </xf>
    <xf numFmtId="0" fontId="3" fillId="2" borderId="7" xfId="0" applyFont="1" applyFill="1" applyBorder="1" applyAlignment="1" applyProtection="1">
      <alignment horizontal="center"/>
    </xf>
    <xf numFmtId="0" fontId="2" fillId="11" borderId="12" xfId="0" applyFont="1" applyFill="1" applyBorder="1" applyAlignment="1" applyProtection="1">
      <alignment horizontal="center" vertical="center"/>
    </xf>
    <xf numFmtId="0" fontId="2" fillId="11" borderId="13" xfId="0" applyFont="1" applyFill="1" applyBorder="1" applyAlignment="1" applyProtection="1">
      <alignment horizontal="center" vertical="center"/>
    </xf>
    <xf numFmtId="0" fontId="3" fillId="3" borderId="26" xfId="0" applyFont="1" applyFill="1" applyBorder="1" applyAlignment="1" applyProtection="1">
      <alignment horizontal="center" vertical="center"/>
    </xf>
    <xf numFmtId="0" fontId="3" fillId="3" borderId="25" xfId="0" applyFont="1" applyFill="1" applyBorder="1" applyAlignment="1" applyProtection="1">
      <alignment horizontal="center" vertical="center"/>
    </xf>
    <xf numFmtId="1" fontId="3" fillId="3" borderId="25" xfId="0" applyNumberFormat="1" applyFont="1" applyFill="1" applyBorder="1" applyAlignment="1" applyProtection="1">
      <alignment horizontal="center" vertical="center" wrapText="1"/>
    </xf>
    <xf numFmtId="1" fontId="3" fillId="3" borderId="27" xfId="0" applyNumberFormat="1" applyFont="1" applyFill="1" applyBorder="1" applyAlignment="1" applyProtection="1">
      <alignment horizontal="center" vertical="center" wrapText="1"/>
    </xf>
    <xf numFmtId="0" fontId="0" fillId="18" borderId="21" xfId="0" quotePrefix="1" applyFont="1" applyFill="1" applyBorder="1" applyAlignment="1" applyProtection="1">
      <alignment horizontal="left" vertical="center"/>
    </xf>
    <xf numFmtId="0" fontId="0" fillId="18" borderId="20" xfId="0" quotePrefix="1" applyFont="1" applyFill="1" applyBorder="1" applyAlignment="1" applyProtection="1">
      <alignment horizontal="left" vertical="center"/>
    </xf>
    <xf numFmtId="166" fontId="3" fillId="18" borderId="20" xfId="7" applyNumberFormat="1" applyFont="1" applyFill="1" applyBorder="1" applyAlignment="1" applyProtection="1">
      <alignment horizontal="right" vertical="center" wrapText="1"/>
    </xf>
    <xf numFmtId="166" fontId="3" fillId="18" borderId="28" xfId="7" applyNumberFormat="1" applyFont="1" applyFill="1" applyBorder="1" applyAlignment="1" applyProtection="1">
      <alignment horizontal="right" vertical="center" wrapText="1"/>
    </xf>
    <xf numFmtId="0" fontId="0" fillId="5" borderId="4" xfId="0" quotePrefix="1" applyFont="1" applyFill="1" applyBorder="1" applyAlignment="1" applyProtection="1">
      <alignment horizontal="left" vertical="center"/>
    </xf>
    <xf numFmtId="0" fontId="0" fillId="5" borderId="0" xfId="0" quotePrefix="1" applyFont="1" applyFill="1" applyBorder="1" applyAlignment="1" applyProtection="1">
      <alignment horizontal="left" vertical="center"/>
    </xf>
    <xf numFmtId="167" fontId="0" fillId="5" borderId="0" xfId="1" applyNumberFormat="1" applyFont="1" applyFill="1" applyBorder="1" applyAlignment="1" applyProtection="1">
      <alignment vertical="center"/>
    </xf>
    <xf numFmtId="167" fontId="0" fillId="5" borderId="5" xfId="1" applyNumberFormat="1" applyFont="1" applyFill="1" applyBorder="1" applyAlignment="1" applyProtection="1">
      <alignment vertical="center"/>
    </xf>
    <xf numFmtId="0" fontId="0" fillId="5" borderId="6" xfId="0" quotePrefix="1" applyFont="1" applyFill="1" applyBorder="1" applyAlignment="1" applyProtection="1">
      <alignment horizontal="left" vertical="center"/>
    </xf>
    <xf numFmtId="0" fontId="0" fillId="5" borderId="7" xfId="0" quotePrefix="1" applyFont="1" applyFill="1" applyBorder="1" applyAlignment="1" applyProtection="1">
      <alignment horizontal="left" vertical="center"/>
    </xf>
    <xf numFmtId="167" fontId="0" fillId="5" borderId="7" xfId="1" applyNumberFormat="1" applyFont="1" applyFill="1" applyBorder="1" applyAlignment="1" applyProtection="1">
      <alignment vertical="center"/>
    </xf>
    <xf numFmtId="167" fontId="0" fillId="5" borderId="8" xfId="1" applyNumberFormat="1" applyFont="1" applyFill="1" applyBorder="1" applyAlignment="1" applyProtection="1">
      <alignment vertical="center"/>
    </xf>
    <xf numFmtId="0" fontId="3" fillId="5" borderId="6" xfId="0" quotePrefix="1" applyFont="1" applyFill="1" applyBorder="1" applyAlignment="1" applyProtection="1">
      <alignment horizontal="left" vertical="center" wrapText="1"/>
    </xf>
    <xf numFmtId="0" fontId="3" fillId="5" borderId="7" xfId="0" quotePrefix="1" applyFont="1" applyFill="1" applyBorder="1" applyAlignment="1" applyProtection="1">
      <alignment horizontal="left" vertical="center" wrapText="1"/>
    </xf>
    <xf numFmtId="166" fontId="3" fillId="5" borderId="7" xfId="7" applyNumberFormat="1" applyFont="1" applyFill="1" applyBorder="1" applyAlignment="1" applyProtection="1">
      <alignment vertical="center"/>
    </xf>
    <xf numFmtId="166" fontId="3" fillId="5" borderId="12" xfId="7" applyNumberFormat="1" applyFont="1" applyFill="1" applyBorder="1" applyAlignment="1" applyProtection="1">
      <alignment vertical="center"/>
    </xf>
    <xf numFmtId="166" fontId="3" fillId="5" borderId="13" xfId="7" applyNumberFormat="1" applyFont="1" applyFill="1" applyBorder="1" applyAlignment="1" applyProtection="1">
      <alignment vertical="center"/>
    </xf>
    <xf numFmtId="0" fontId="3" fillId="5" borderId="11" xfId="0" quotePrefix="1" applyFont="1" applyFill="1" applyBorder="1" applyAlignment="1" applyProtection="1">
      <alignment horizontal="left" vertical="center" wrapText="1"/>
    </xf>
    <xf numFmtId="0" fontId="3" fillId="5" borderId="12" xfId="0" quotePrefix="1" applyFont="1" applyFill="1" applyBorder="1" applyAlignment="1" applyProtection="1">
      <alignment horizontal="left" vertical="center" wrapText="1"/>
    </xf>
    <xf numFmtId="10" fontId="3" fillId="5" borderId="12" xfId="8" applyNumberFormat="1" applyFont="1" applyFill="1" applyBorder="1" applyAlignment="1" applyProtection="1">
      <alignment vertical="center"/>
    </xf>
    <xf numFmtId="10" fontId="3" fillId="5" borderId="13" xfId="8" applyNumberFormat="1" applyFont="1" applyFill="1" applyBorder="1" applyAlignment="1" applyProtection="1">
      <alignment vertical="center"/>
    </xf>
    <xf numFmtId="0" fontId="0" fillId="5" borderId="4" xfId="0" applyFont="1" applyFill="1" applyBorder="1" applyAlignment="1" applyProtection="1">
      <alignment vertical="center"/>
    </xf>
    <xf numFmtId="0" fontId="0" fillId="5" borderId="0" xfId="0" applyFont="1" applyFill="1" applyBorder="1" applyAlignment="1" applyProtection="1">
      <alignment vertical="center"/>
    </xf>
    <xf numFmtId="42" fontId="9" fillId="5" borderId="0" xfId="6" applyFont="1" applyFill="1" applyBorder="1" applyAlignment="1" applyProtection="1">
      <alignment vertical="center"/>
    </xf>
    <xf numFmtId="0" fontId="31" fillId="5" borderId="1" xfId="0" quotePrefix="1" applyFont="1" applyFill="1" applyBorder="1" applyAlignment="1" applyProtection="1">
      <alignment horizontal="left" vertical="center" wrapText="1"/>
    </xf>
    <xf numFmtId="0" fontId="31" fillId="5" borderId="2" xfId="0" quotePrefix="1" applyFont="1" applyFill="1" applyBorder="1" applyAlignment="1" applyProtection="1">
      <alignment horizontal="left" vertical="center" wrapText="1"/>
    </xf>
    <xf numFmtId="167" fontId="0" fillId="5" borderId="2" xfId="1" applyNumberFormat="1" applyFont="1" applyFill="1" applyBorder="1" applyAlignment="1" applyProtection="1">
      <alignment vertical="center"/>
    </xf>
    <xf numFmtId="167" fontId="0" fillId="5" borderId="3" xfId="1" applyNumberFormat="1" applyFont="1" applyFill="1" applyBorder="1" applyAlignment="1" applyProtection="1">
      <alignment vertical="center"/>
    </xf>
    <xf numFmtId="0" fontId="3" fillId="18" borderId="6" xfId="0" quotePrefix="1" applyFont="1" applyFill="1" applyBorder="1" applyAlignment="1" applyProtection="1">
      <alignment horizontal="left" vertical="center"/>
    </xf>
    <xf numFmtId="0" fontId="3" fillId="18" borderId="7" xfId="0" quotePrefix="1" applyFont="1" applyFill="1" applyBorder="1" applyAlignment="1" applyProtection="1">
      <alignment horizontal="left" vertical="center"/>
    </xf>
    <xf numFmtId="167" fontId="3" fillId="18" borderId="7" xfId="1" applyNumberFormat="1" applyFont="1" applyFill="1" applyBorder="1" applyAlignment="1" applyProtection="1">
      <alignment vertical="center"/>
    </xf>
    <xf numFmtId="167" fontId="3" fillId="18" borderId="8" xfId="1" applyNumberFormat="1" applyFont="1" applyFill="1" applyBorder="1" applyAlignment="1" applyProtection="1">
      <alignment vertical="center"/>
    </xf>
    <xf numFmtId="0" fontId="0" fillId="5" borderId="1" xfId="0" quotePrefix="1" applyFont="1" applyFill="1" applyBorder="1" applyAlignment="1" applyProtection="1">
      <alignment horizontal="left" vertical="center"/>
    </xf>
    <xf numFmtId="0" fontId="0" fillId="5" borderId="2" xfId="0" quotePrefix="1" applyFont="1" applyFill="1" applyBorder="1" applyAlignment="1" applyProtection="1">
      <alignment horizontal="left" vertical="center"/>
    </xf>
    <xf numFmtId="0" fontId="3" fillId="5" borderId="6" xfId="0" quotePrefix="1" applyFont="1" applyFill="1" applyBorder="1" applyAlignment="1" applyProtection="1">
      <alignment horizontal="left" vertical="center"/>
    </xf>
    <xf numFmtId="0" fontId="3" fillId="5" borderId="7" xfId="0" quotePrefix="1" applyFont="1" applyFill="1" applyBorder="1" applyAlignment="1" applyProtection="1">
      <alignment horizontal="left" vertical="center"/>
    </xf>
    <xf numFmtId="167" fontId="3" fillId="5" borderId="7" xfId="1" applyNumberFormat="1" applyFont="1" applyFill="1" applyBorder="1" applyAlignment="1" applyProtection="1">
      <alignment vertical="center"/>
    </xf>
    <xf numFmtId="167" fontId="3" fillId="5" borderId="8" xfId="1" applyNumberFormat="1" applyFont="1" applyFill="1" applyBorder="1" applyAlignment="1" applyProtection="1">
      <alignment vertical="center"/>
    </xf>
    <xf numFmtId="0" fontId="0" fillId="2" borderId="4" xfId="0" applyFont="1" applyFill="1" applyBorder="1" applyAlignment="1" applyProtection="1">
      <alignment vertical="center"/>
    </xf>
    <xf numFmtId="0" fontId="0" fillId="2" borderId="0" xfId="0" applyFont="1" applyFill="1" applyBorder="1" applyAlignment="1" applyProtection="1">
      <alignment vertical="center"/>
    </xf>
    <xf numFmtId="42" fontId="9" fillId="2" borderId="0" xfId="6" applyFont="1" applyFill="1" applyBorder="1" applyAlignment="1" applyProtection="1">
      <alignment vertical="center"/>
    </xf>
    <xf numFmtId="1" fontId="3" fillId="3" borderId="26" xfId="0" applyNumberFormat="1" applyFont="1" applyFill="1" applyBorder="1" applyAlignment="1" applyProtection="1">
      <alignment horizontal="center" vertical="center" wrapText="1"/>
    </xf>
    <xf numFmtId="167" fontId="0" fillId="5" borderId="28" xfId="1" applyNumberFormat="1" applyFont="1" applyFill="1" applyBorder="1" applyAlignment="1" applyProtection="1">
      <alignment vertical="center"/>
    </xf>
    <xf numFmtId="0" fontId="3" fillId="5" borderId="4" xfId="0" quotePrefix="1" applyFont="1" applyFill="1" applyBorder="1" applyAlignment="1" applyProtection="1">
      <alignment horizontal="left" vertical="center"/>
    </xf>
    <xf numFmtId="0" fontId="3" fillId="5" borderId="0" xfId="0" quotePrefix="1" applyFont="1" applyFill="1" applyBorder="1" applyAlignment="1" applyProtection="1">
      <alignment horizontal="left" vertical="center"/>
    </xf>
    <xf numFmtId="167" fontId="3" fillId="5" borderId="0" xfId="1" applyNumberFormat="1" applyFont="1" applyFill="1" applyBorder="1" applyAlignment="1" applyProtection="1">
      <alignment vertical="center"/>
    </xf>
    <xf numFmtId="167" fontId="3" fillId="5" borderId="5" xfId="1" applyNumberFormat="1" applyFont="1" applyFill="1" applyBorder="1" applyAlignment="1" applyProtection="1">
      <alignment vertical="center"/>
    </xf>
    <xf numFmtId="0" fontId="0" fillId="5" borderId="4" xfId="0" quotePrefix="1" applyFont="1" applyFill="1" applyBorder="1" applyAlignment="1" applyProtection="1">
      <alignment vertical="center"/>
    </xf>
    <xf numFmtId="0" fontId="0" fillId="5" borderId="0" xfId="0" quotePrefix="1" applyFont="1" applyFill="1" applyBorder="1" applyAlignment="1" applyProtection="1">
      <alignment vertical="center"/>
    </xf>
    <xf numFmtId="9" fontId="0" fillId="5" borderId="0" xfId="0" quotePrefix="1" applyNumberFormat="1" applyFont="1" applyFill="1" applyBorder="1" applyAlignment="1" applyProtection="1">
      <alignment vertical="center"/>
    </xf>
    <xf numFmtId="0" fontId="0" fillId="2" borderId="12" xfId="0" applyFont="1" applyFill="1" applyBorder="1" applyAlignment="1" applyProtection="1">
      <alignment vertical="center"/>
    </xf>
    <xf numFmtId="0" fontId="3" fillId="5" borderId="1" xfId="0" quotePrefix="1" applyFont="1" applyFill="1" applyBorder="1" applyAlignment="1" applyProtection="1">
      <alignment horizontal="left" vertical="center"/>
    </xf>
    <xf numFmtId="0" fontId="3" fillId="5" borderId="2" xfId="0" quotePrefix="1" applyFont="1" applyFill="1" applyBorder="1" applyAlignment="1" applyProtection="1">
      <alignment horizontal="left" vertical="center"/>
    </xf>
    <xf numFmtId="167" fontId="3" fillId="5" borderId="2" xfId="1" applyNumberFormat="1" applyFont="1" applyFill="1" applyBorder="1" applyAlignment="1" applyProtection="1">
      <alignment horizontal="center" vertical="center"/>
    </xf>
    <xf numFmtId="167" fontId="3" fillId="5" borderId="3" xfId="1" applyNumberFormat="1" applyFont="1" applyFill="1" applyBorder="1" applyAlignment="1" applyProtection="1">
      <alignment horizontal="center" vertical="center"/>
    </xf>
    <xf numFmtId="10" fontId="0" fillId="5" borderId="0" xfId="8" applyNumberFormat="1" applyFont="1" applyFill="1" applyBorder="1" applyAlignment="1" applyProtection="1">
      <alignment vertical="center"/>
    </xf>
    <xf numFmtId="10" fontId="0" fillId="5" borderId="5" xfId="8" applyNumberFormat="1" applyFont="1" applyFill="1" applyBorder="1" applyAlignment="1" applyProtection="1">
      <alignment vertical="center"/>
    </xf>
    <xf numFmtId="10" fontId="0" fillId="5" borderId="7" xfId="8" applyNumberFormat="1" applyFont="1" applyFill="1" applyBorder="1" applyAlignment="1" applyProtection="1">
      <alignment vertical="center"/>
    </xf>
    <xf numFmtId="10" fontId="0" fillId="5" borderId="8" xfId="8" applyNumberFormat="1" applyFont="1" applyFill="1" applyBorder="1" applyAlignment="1" applyProtection="1">
      <alignment vertical="center"/>
    </xf>
    <xf numFmtId="1" fontId="3" fillId="3" borderId="1" xfId="0" applyNumberFormat="1" applyFont="1" applyFill="1" applyBorder="1" applyAlignment="1" applyProtection="1">
      <alignment horizontal="center" vertical="center" wrapText="1"/>
    </xf>
    <xf numFmtId="1" fontId="3" fillId="3" borderId="2" xfId="0" applyNumberFormat="1" applyFont="1" applyFill="1" applyBorder="1" applyAlignment="1" applyProtection="1">
      <alignment horizontal="center" vertical="center" wrapText="1"/>
    </xf>
    <xf numFmtId="0" fontId="0" fillId="5" borderId="21" xfId="0" quotePrefix="1" applyFont="1" applyFill="1" applyBorder="1" applyAlignment="1" applyProtection="1">
      <alignment horizontal="left" vertical="center"/>
    </xf>
    <xf numFmtId="0" fontId="0" fillId="5" borderId="20" xfId="0" quotePrefix="1" applyFont="1" applyFill="1" applyBorder="1" applyAlignment="1" applyProtection="1">
      <alignment horizontal="left" vertical="center"/>
    </xf>
    <xf numFmtId="167" fontId="0" fillId="5" borderId="20" xfId="1" applyNumberFormat="1" applyFont="1" applyFill="1" applyBorder="1" applyAlignment="1" applyProtection="1">
      <alignment vertical="center"/>
    </xf>
    <xf numFmtId="0" fontId="0" fillId="5" borderId="0" xfId="0" applyFont="1" applyFill="1" applyBorder="1" applyProtection="1"/>
    <xf numFmtId="0" fontId="0" fillId="5" borderId="5" xfId="0" applyFont="1" applyFill="1" applyBorder="1" applyProtection="1"/>
    <xf numFmtId="167" fontId="0" fillId="5" borderId="0" xfId="0" applyNumberFormat="1" applyFont="1" applyFill="1" applyBorder="1" applyProtection="1"/>
    <xf numFmtId="167" fontId="0" fillId="5" borderId="5" xfId="0" applyNumberFormat="1" applyFont="1" applyFill="1" applyBorder="1" applyProtection="1"/>
    <xf numFmtId="167" fontId="3" fillId="5" borderId="7" xfId="0" quotePrefix="1" applyNumberFormat="1" applyFont="1" applyFill="1" applyBorder="1" applyAlignment="1" applyProtection="1">
      <alignment vertical="center"/>
    </xf>
    <xf numFmtId="167" fontId="3" fillId="5" borderId="8" xfId="0" quotePrefix="1" applyNumberFormat="1" applyFont="1" applyFill="1" applyBorder="1" applyAlignment="1" applyProtection="1">
      <alignment vertical="center"/>
    </xf>
  </cellXfs>
  <cellStyles count="14">
    <cellStyle name="Énfasis6" xfId="9" builtinId="49"/>
    <cellStyle name="Millares" xfId="7" builtinId="3"/>
    <cellStyle name="Millares [0] 2" xfId="4" xr:uid="{00000000-0005-0000-0000-000001000000}"/>
    <cellStyle name="Millares [0] 2 2" xfId="5" xr:uid="{00000000-0005-0000-0000-000002000000}"/>
    <cellStyle name="Millares 11" xfId="13" xr:uid="{57E283A8-0546-4082-9701-931BF7F17F30}"/>
    <cellStyle name="Millares 2" xfId="3" xr:uid="{00000000-0005-0000-0000-000003000000}"/>
    <cellStyle name="Millares 3" xfId="11" xr:uid="{E78FEF85-5AAD-4B90-AD15-8C33DE281426}"/>
    <cellStyle name="Moneda" xfId="1" builtinId="4"/>
    <cellStyle name="Moneda [0]" xfId="6" builtinId="7"/>
    <cellStyle name="Moneda 2" xfId="12" xr:uid="{F2830A4F-7C89-4866-8C8B-EB35AC02C32F}"/>
    <cellStyle name="Normal" xfId="0" builtinId="0"/>
    <cellStyle name="Normal 2" xfId="10" xr:uid="{2B62E734-9325-4A82-9F5B-17EE1071B2E3}"/>
    <cellStyle name="Normal 2 2" xfId="2" xr:uid="{00000000-0005-0000-0000-000007000000}"/>
    <cellStyle name="Porcentaje" xfId="8" builtinId="5"/>
  </cellStyles>
  <dxfs count="0"/>
  <tableStyles count="0" defaultTableStyle="TableStyleMedium2" defaultPivotStyle="PivotStyleLight16"/>
  <colors>
    <mruColors>
      <color rgb="FF401B5B"/>
      <color rgb="FF5E1506"/>
      <color rgb="FFFF6600"/>
      <color rgb="FFEFFE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Ventas - Costo</a:t>
            </a:r>
            <a:r>
              <a:rPr lang="es-CO" baseline="0"/>
              <a:t> de Ventas</a:t>
            </a:r>
            <a:endParaRPr lang="es-CO"/>
          </a:p>
        </c:rich>
      </c:tx>
      <c:layout>
        <c:manualLayout>
          <c:xMode val="edge"/>
          <c:yMode val="edge"/>
          <c:x val="0.23815289693265956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Ventas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'Estado De Resultados'!$P$7:$T$7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'Estado De Resultados'!$P$9:$T$9</c:f>
              <c:numCache>
                <c:formatCode>_("$"* #,##0_);_("$"* \(#,##0\);_("$"* "-"_);_(@_)</c:formatCode>
                <c:ptCount val="5"/>
                <c:pt idx="0">
                  <c:v>375171840</c:v>
                </c:pt>
                <c:pt idx="1">
                  <c:v>388302854.39999998</c:v>
                </c:pt>
                <c:pt idx="2">
                  <c:v>404106780.57407993</c:v>
                </c:pt>
                <c:pt idx="3">
                  <c:v>420553926.54344499</c:v>
                </c:pt>
                <c:pt idx="4">
                  <c:v>437670471.35376316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38-41AB-B96C-5F2FFA5137A4}"/>
            </c:ext>
          </c:extLst>
        </c:ser>
        <c:ser>
          <c:idx val="0"/>
          <c:order val="1"/>
          <c:tx>
            <c:v>Costo de Ventas</c:v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'Estado De Resultados'!$P$7:$T$7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'Estado De Resultados'!$P$10:$T$10</c:f>
              <c:numCache>
                <c:formatCode>_("$"* #,##0_);_("$"* \(#,##0\);_("$"* "-"_);_(@_)</c:formatCode>
                <c:ptCount val="5"/>
                <c:pt idx="0">
                  <c:v>220096099.19999999</c:v>
                </c:pt>
                <c:pt idx="1">
                  <c:v>227799462.67199996</c:v>
                </c:pt>
                <c:pt idx="2">
                  <c:v>234633446.55215997</c:v>
                </c:pt>
                <c:pt idx="3">
                  <c:v>241203183.05562046</c:v>
                </c:pt>
                <c:pt idx="4">
                  <c:v>247233262.63201097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B9-4A34-AC9B-62D185AB631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917824"/>
        <c:axId val="249918384"/>
      </c:lineChart>
      <c:catAx>
        <c:axId val="249917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9918384"/>
        <c:crosses val="autoZero"/>
        <c:auto val="1"/>
        <c:lblAlgn val="ctr"/>
        <c:lblOffset val="100"/>
        <c:noMultiLvlLbl val="0"/>
      </c:catAx>
      <c:valAx>
        <c:axId val="249918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99178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Comportamiento EBIT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Ebit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'Flujo de caja'!$F$6:$J$6</c:f>
              <c:numCache>
                <c:formatCode>0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'Flujo de caja'!$F$10:$J$10</c:f>
              <c:numCache>
                <c:formatCode>_-* #,##0_-;\-* #,##0_-;_-* "-"??_-;_-@_-</c:formatCode>
                <c:ptCount val="5"/>
                <c:pt idx="0">
                  <c:v>19870301.98621868</c:v>
                </c:pt>
                <c:pt idx="1">
                  <c:v>25795886.722403012</c:v>
                </c:pt>
                <c:pt idx="2">
                  <c:v>37973576.863677263</c:v>
                </c:pt>
                <c:pt idx="3">
                  <c:v>53072135.642944656</c:v>
                </c:pt>
                <c:pt idx="4">
                  <c:v>66114065.360411972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4D-4466-92AF-270A71C3B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48968304"/>
        <c:axId val="248967744"/>
      </c:barChart>
      <c:catAx>
        <c:axId val="24896830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8967744"/>
        <c:crosses val="autoZero"/>
        <c:auto val="1"/>
        <c:lblAlgn val="ctr"/>
        <c:lblOffset val="100"/>
        <c:noMultiLvlLbl val="0"/>
      </c:catAx>
      <c:valAx>
        <c:axId val="248967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8968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UODI - UTILIDAD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UODI</c:v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'Flujo de caja'!$F$6:$J$6</c:f>
              <c:numCache>
                <c:formatCode>0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'Flujo de caja'!$F$14:$J$14</c:f>
              <c:numCache>
                <c:formatCode>_("$"* #,##0_);_("$"* \(#,##0\);_("$"* "-"??_);_(@_)</c:formatCode>
                <c:ptCount val="5"/>
                <c:pt idx="0">
                  <c:v>13511805.350628702</c:v>
                </c:pt>
                <c:pt idx="1">
                  <c:v>17541202.971234046</c:v>
                </c:pt>
                <c:pt idx="2">
                  <c:v>25822032.267300539</c:v>
                </c:pt>
                <c:pt idx="3">
                  <c:v>36089052.237202361</c:v>
                </c:pt>
                <c:pt idx="4">
                  <c:v>44957564.445080139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C4-47CD-9494-B3F22BAAA906}"/>
            </c:ext>
          </c:extLst>
        </c:ser>
        <c:ser>
          <c:idx val="1"/>
          <c:order val="1"/>
          <c:tx>
            <c:v>UTILIDAD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'Flujo de caja'!$F$6:$J$6</c:f>
              <c:numCache>
                <c:formatCode>0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'Flujo de caja'!$F$7:$J$7</c:f>
              <c:numCache>
                <c:formatCode>_-* #,##0_-;\-* #,##0_-;_-* "-"??_-;_-@_-</c:formatCode>
                <c:ptCount val="5"/>
                <c:pt idx="0">
                  <c:v>2496776.6809508502</c:v>
                </c:pt>
                <c:pt idx="1">
                  <c:v>7857418.9802658083</c:v>
                </c:pt>
                <c:pt idx="2">
                  <c:v>17881386.945502311</c:v>
                </c:pt>
                <c:pt idx="3">
                  <c:v>30370037.149261326</c:v>
                </c:pt>
                <c:pt idx="4">
                  <c:v>42070017.090190083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6C4-47CD-9494-B3F22BAAA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669280"/>
        <c:axId val="176668720"/>
      </c:lineChart>
      <c:catAx>
        <c:axId val="17666928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6668720"/>
        <c:crosses val="autoZero"/>
        <c:auto val="1"/>
        <c:lblAlgn val="ctr"/>
        <c:lblOffset val="100"/>
        <c:noMultiLvlLbl val="0"/>
      </c:catAx>
      <c:valAx>
        <c:axId val="176668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6669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Ventas - Ebit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Ventas</c:v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#REF!</c:f>
            </c:multiLvlStrRef>
          </c:cat>
          <c:val>
            <c:numRef>
              <c:f>'Estado De Resultados'!$P$9:$T$9</c:f>
              <c:numCache>
                <c:formatCode>_("$"* #,##0_);_("$"* \(#,##0\);_("$"* "-"_);_(@_)</c:formatCode>
                <c:ptCount val="5"/>
                <c:pt idx="0">
                  <c:v>375171840</c:v>
                </c:pt>
                <c:pt idx="1">
                  <c:v>388302854.39999998</c:v>
                </c:pt>
                <c:pt idx="2">
                  <c:v>404106780.57407993</c:v>
                </c:pt>
                <c:pt idx="3">
                  <c:v>420553926.54344499</c:v>
                </c:pt>
                <c:pt idx="4">
                  <c:v>437670471.35376316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9F-411A-ABBA-434E0E3B9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1260720"/>
        <c:axId val="251263520"/>
      </c:lineChart>
      <c:lineChart>
        <c:grouping val="standard"/>
        <c:varyColors val="0"/>
        <c:ser>
          <c:idx val="1"/>
          <c:order val="1"/>
          <c:tx>
            <c:v>Ebit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'Estado De Resultados'!$P$7:$T$7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'Flujo de caja'!$F$10:$J$10</c:f>
              <c:numCache>
                <c:formatCode>_-* #,##0_-;\-* #,##0_-;_-* "-"??_-;_-@_-</c:formatCode>
                <c:ptCount val="5"/>
                <c:pt idx="0">
                  <c:v>19870301.98621868</c:v>
                </c:pt>
                <c:pt idx="1">
                  <c:v>25795886.722403012</c:v>
                </c:pt>
                <c:pt idx="2">
                  <c:v>37973576.863677263</c:v>
                </c:pt>
                <c:pt idx="3">
                  <c:v>53072135.642944656</c:v>
                </c:pt>
                <c:pt idx="4">
                  <c:v>66114065.360411972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9F-411A-ABBA-434E0E3B9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7267520"/>
        <c:axId val="248623040"/>
      </c:lineChart>
      <c:catAx>
        <c:axId val="251260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51263520"/>
        <c:crosses val="autoZero"/>
        <c:auto val="1"/>
        <c:lblAlgn val="ctr"/>
        <c:lblOffset val="100"/>
        <c:noMultiLvlLbl val="0"/>
      </c:catAx>
      <c:valAx>
        <c:axId val="251263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51260720"/>
        <c:crosses val="autoZero"/>
        <c:crossBetween val="between"/>
      </c:valAx>
      <c:valAx>
        <c:axId val="248623040"/>
        <c:scaling>
          <c:orientation val="minMax"/>
        </c:scaling>
        <c:delete val="0"/>
        <c:axPos val="r"/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57267520"/>
        <c:crosses val="max"/>
        <c:crossBetween val="between"/>
      </c:valAx>
      <c:catAx>
        <c:axId val="2572675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486230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Márgenes de Utilidad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M. Bruto</c:v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'Estado De Resultados'!$U$7:$Y$7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'Estado De Resultados'!$U$11:$Y$11</c:f>
              <c:numCache>
                <c:formatCode>0.00%</c:formatCode>
                <c:ptCount val="5"/>
                <c:pt idx="0">
                  <c:v>0.41334589717607806</c:v>
                </c:pt>
                <c:pt idx="1">
                  <c:v>0.41334589717607811</c:v>
                </c:pt>
                <c:pt idx="2">
                  <c:v>0.41937760554565229</c:v>
                </c:pt>
                <c:pt idx="3">
                  <c:v>0.42646312914473966</c:v>
                </c:pt>
                <c:pt idx="4">
                  <c:v>0.43511550626824069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91-445E-BF9B-72F07E654E91}"/>
            </c:ext>
          </c:extLst>
        </c:ser>
        <c:ser>
          <c:idx val="1"/>
          <c:order val="1"/>
          <c:tx>
            <c:v>M. Operacional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'Estado De Resultados'!$U$7:$Y$7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'Estado De Resultados'!$U$14:$Y$14</c:f>
              <c:numCache>
                <c:formatCode>0.00%</c:formatCode>
                <c:ptCount val="5"/>
                <c:pt idx="0">
                  <c:v>1.8872883315421571E-2</c:v>
                </c:pt>
                <c:pt idx="1">
                  <c:v>3.2006961373849598E-2</c:v>
                </c:pt>
                <c:pt idx="2">
                  <c:v>5.9169291388239446E-2</c:v>
                </c:pt>
                <c:pt idx="3">
                  <c:v>8.46952728142467E-2</c:v>
                </c:pt>
                <c:pt idx="4">
                  <c:v>0.10946073455522173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91-445E-BF9B-72F07E654E91}"/>
            </c:ext>
          </c:extLst>
        </c:ser>
        <c:ser>
          <c:idx val="2"/>
          <c:order val="2"/>
          <c:tx>
            <c:v>M. Neto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'Estado De Resultados'!$U$7:$Y$7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'Estado De Resultados'!$U$22:$Y$22</c:f>
              <c:numCache>
                <c:formatCode>0.00%</c:formatCode>
                <c:ptCount val="5"/>
                <c:pt idx="0">
                  <c:v>6.6550215521262212E-3</c:v>
                </c:pt>
                <c:pt idx="1">
                  <c:v>2.0235285142075454E-2</c:v>
                </c:pt>
                <c:pt idx="2">
                  <c:v>4.4249163352566748E-2</c:v>
                </c:pt>
                <c:pt idx="3">
                  <c:v>7.2214370696462804E-2</c:v>
                </c:pt>
                <c:pt idx="4">
                  <c:v>9.6122585012561781E-2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91-445E-BF9B-72F07E654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7270880"/>
        <c:axId val="257271440"/>
      </c:lineChart>
      <c:catAx>
        <c:axId val="257270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57271440"/>
        <c:crosses val="autoZero"/>
        <c:auto val="1"/>
        <c:lblAlgn val="ctr"/>
        <c:lblOffset val="100"/>
        <c:noMultiLvlLbl val="0"/>
      </c:catAx>
      <c:valAx>
        <c:axId val="257271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57270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hyperlink" Target="#'Datos Modelo Financiero'!A1"/><Relationship Id="rId4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Datos Modelo Financiero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67617</xdr:colOff>
      <xdr:row>1</xdr:row>
      <xdr:rowOff>115231</xdr:rowOff>
    </xdr:from>
    <xdr:to>
      <xdr:col>14</xdr:col>
      <xdr:colOff>662363</xdr:colOff>
      <xdr:row>17</xdr:row>
      <xdr:rowOff>57150</xdr:rowOff>
    </xdr:to>
    <xdr:pic>
      <xdr:nvPicPr>
        <xdr:cNvPr id="3" name="Imagen 2" descr="Formulario de inscripción V Encuentro de Saberes Sociales Unipiloto 2021">
          <a:extLst>
            <a:ext uri="{FF2B5EF4-FFF2-40B4-BE49-F238E27FC236}">
              <a16:creationId xmlns:a16="http://schemas.microsoft.com/office/drawing/2014/main" id="{4EB33177-084F-4E78-8623-646FE1226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9617" y="305731"/>
          <a:ext cx="2880746" cy="29899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48</xdr:row>
      <xdr:rowOff>23810</xdr:rowOff>
    </xdr:from>
    <xdr:to>
      <xdr:col>17</xdr:col>
      <xdr:colOff>535781</xdr:colOff>
      <xdr:row>67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5826507-ABEA-4525-9E35-DF750C3F09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</xdr:colOff>
      <xdr:row>6</xdr:row>
      <xdr:rowOff>140492</xdr:rowOff>
    </xdr:from>
    <xdr:to>
      <xdr:col>7</xdr:col>
      <xdr:colOff>785812</xdr:colOff>
      <xdr:row>26</xdr:row>
      <xdr:rowOff>-1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74613</xdr:colOff>
      <xdr:row>27</xdr:row>
      <xdr:rowOff>72230</xdr:rowOff>
    </xdr:from>
    <xdr:to>
      <xdr:col>7</xdr:col>
      <xdr:colOff>773906</xdr:colOff>
      <xdr:row>46</xdr:row>
      <xdr:rowOff>157955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845344</xdr:colOff>
      <xdr:row>6</xdr:row>
      <xdr:rowOff>170656</xdr:rowOff>
    </xdr:from>
    <xdr:to>
      <xdr:col>15</xdr:col>
      <xdr:colOff>666749</xdr:colOff>
      <xdr:row>26</xdr:row>
      <xdr:rowOff>23811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848518</xdr:colOff>
      <xdr:row>27</xdr:row>
      <xdr:rowOff>91281</xdr:rowOff>
    </xdr:from>
    <xdr:to>
      <xdr:col>15</xdr:col>
      <xdr:colOff>631031</xdr:colOff>
      <xdr:row>46</xdr:row>
      <xdr:rowOff>178592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345281</xdr:colOff>
      <xdr:row>1</xdr:row>
      <xdr:rowOff>35719</xdr:rowOff>
    </xdr:from>
    <xdr:to>
      <xdr:col>17</xdr:col>
      <xdr:colOff>271197</xdr:colOff>
      <xdr:row>3</xdr:row>
      <xdr:rowOff>182563</xdr:rowOff>
    </xdr:to>
    <xdr:sp macro="" textlink="">
      <xdr:nvSpPr>
        <xdr:cNvPr id="6" name="Flecha: curvada hacia la izquierda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F73227F-7DBA-43DB-948F-D2BDB7574FED}"/>
            </a:ext>
          </a:extLst>
        </xdr:cNvPr>
        <xdr:cNvSpPr/>
      </xdr:nvSpPr>
      <xdr:spPr>
        <a:xfrm>
          <a:off x="14442281" y="226219"/>
          <a:ext cx="687916" cy="539750"/>
        </a:xfrm>
        <a:prstGeom prst="curved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>
            <a:solidFill>
              <a:schemeClr val="tx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9</xdr:col>
      <xdr:colOff>687916</xdr:colOff>
      <xdr:row>3</xdr:row>
      <xdr:rowOff>158750</xdr:rowOff>
    </xdr:to>
    <xdr:sp macro="" textlink="">
      <xdr:nvSpPr>
        <xdr:cNvPr id="2" name="Flecha: curvada hacia la izqui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AC428E-3596-4F0C-9B3D-3C53258A4921}"/>
            </a:ext>
          </a:extLst>
        </xdr:cNvPr>
        <xdr:cNvSpPr/>
      </xdr:nvSpPr>
      <xdr:spPr>
        <a:xfrm>
          <a:off x="8943975" y="200025"/>
          <a:ext cx="687916" cy="539750"/>
        </a:xfrm>
        <a:prstGeom prst="curved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>
            <a:solidFill>
              <a:schemeClr val="tx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santiago/Downloads/planilla-de-excel-para-el-aplicativo-de-compras-y-vent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de Comprobant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54A03-33CD-4A2E-8BFD-39497F5295B0}">
  <dimension ref="B3:O19"/>
  <sheetViews>
    <sheetView tabSelected="1" workbookViewId="0">
      <selection activeCell="D10" sqref="D10:J12"/>
    </sheetView>
  </sheetViews>
  <sheetFormatPr baseColWidth="10" defaultRowHeight="15"/>
  <cols>
    <col min="1" max="16384" width="11.42578125" style="287"/>
  </cols>
  <sheetData>
    <row r="3" spans="2:15" ht="15" customHeight="1">
      <c r="C3" s="288" t="s">
        <v>293</v>
      </c>
      <c r="D3" s="288"/>
      <c r="E3" s="288"/>
      <c r="F3" s="288"/>
      <c r="G3" s="288"/>
      <c r="H3" s="288"/>
      <c r="I3" s="288"/>
      <c r="J3" s="288"/>
      <c r="K3" s="288"/>
      <c r="L3" s="289"/>
      <c r="M3" s="289"/>
      <c r="N3" s="289"/>
      <c r="O3" s="289"/>
    </row>
    <row r="4" spans="2:15" ht="15" customHeight="1">
      <c r="C4" s="288"/>
      <c r="D4" s="288"/>
      <c r="E4" s="288"/>
      <c r="F4" s="288"/>
      <c r="G4" s="288"/>
      <c r="H4" s="288"/>
      <c r="I4" s="288"/>
      <c r="J4" s="288"/>
      <c r="K4" s="288"/>
      <c r="L4" s="289"/>
      <c r="M4" s="289"/>
      <c r="N4" s="289"/>
      <c r="O4" s="289"/>
    </row>
    <row r="5" spans="2:15" ht="15" customHeight="1">
      <c r="C5" s="288"/>
      <c r="D5" s="288"/>
      <c r="E5" s="288"/>
      <c r="F5" s="288"/>
      <c r="G5" s="288"/>
      <c r="H5" s="288"/>
      <c r="I5" s="288"/>
      <c r="J5" s="288"/>
      <c r="K5" s="288"/>
      <c r="L5" s="289"/>
      <c r="M5" s="289"/>
      <c r="N5" s="289"/>
      <c r="O5" s="289"/>
    </row>
    <row r="6" spans="2:15" ht="15" customHeight="1">
      <c r="B6" s="290"/>
      <c r="C6" s="288"/>
      <c r="D6" s="288"/>
      <c r="E6" s="288"/>
      <c r="F6" s="288"/>
      <c r="G6" s="288"/>
      <c r="H6" s="288"/>
      <c r="I6" s="288"/>
      <c r="J6" s="288"/>
      <c r="K6" s="288"/>
      <c r="L6" s="289"/>
      <c r="M6" s="289"/>
      <c r="N6" s="289"/>
      <c r="O6" s="289"/>
    </row>
    <row r="7" spans="2:15" ht="15" customHeight="1">
      <c r="C7" s="288"/>
      <c r="D7" s="288"/>
      <c r="E7" s="288"/>
      <c r="F7" s="288"/>
      <c r="G7" s="288"/>
      <c r="H7" s="288"/>
      <c r="I7" s="288"/>
      <c r="J7" s="288"/>
      <c r="K7" s="288"/>
      <c r="L7" s="289"/>
      <c r="M7" s="289"/>
      <c r="N7" s="289"/>
      <c r="O7" s="289"/>
    </row>
    <row r="8" spans="2:15" ht="15" customHeight="1"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</row>
    <row r="9" spans="2:15" ht="15" customHeight="1">
      <c r="C9" s="289"/>
      <c r="D9" s="289"/>
      <c r="E9" s="289"/>
      <c r="F9" s="289"/>
      <c r="G9" s="289"/>
      <c r="H9" s="289"/>
      <c r="I9" s="289"/>
      <c r="J9" s="289"/>
      <c r="K9" s="289"/>
      <c r="L9" s="289"/>
      <c r="M9" s="289"/>
      <c r="N9" s="289"/>
      <c r="O9" s="289"/>
    </row>
    <row r="10" spans="2:15" ht="15" customHeight="1">
      <c r="D10" s="291" t="s">
        <v>294</v>
      </c>
      <c r="E10" s="291"/>
      <c r="F10" s="291"/>
      <c r="G10" s="291"/>
      <c r="H10" s="291"/>
      <c r="I10" s="291"/>
      <c r="J10" s="291"/>
      <c r="L10" s="289"/>
      <c r="M10" s="289"/>
      <c r="N10" s="292"/>
      <c r="O10" s="289"/>
    </row>
    <row r="11" spans="2:15" ht="15" customHeight="1">
      <c r="D11" s="291"/>
      <c r="E11" s="291"/>
      <c r="F11" s="291"/>
      <c r="G11" s="291"/>
      <c r="H11" s="291"/>
      <c r="I11" s="291"/>
      <c r="J11" s="291"/>
      <c r="L11" s="289"/>
      <c r="M11" s="289"/>
      <c r="N11" s="292"/>
      <c r="O11" s="289"/>
    </row>
    <row r="12" spans="2:15" ht="15" customHeight="1">
      <c r="D12" s="291"/>
      <c r="E12" s="291"/>
      <c r="F12" s="291"/>
      <c r="G12" s="291"/>
      <c r="H12" s="291"/>
      <c r="I12" s="291"/>
      <c r="J12" s="291"/>
      <c r="L12" s="289"/>
      <c r="M12" s="289"/>
      <c r="N12" s="289"/>
      <c r="O12" s="289"/>
    </row>
    <row r="13" spans="2:15" ht="15" customHeight="1"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</row>
    <row r="14" spans="2:15" ht="15" customHeight="1"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</row>
    <row r="15" spans="2:15" ht="15" customHeight="1">
      <c r="C15" s="293" t="s">
        <v>292</v>
      </c>
      <c r="D15" s="293"/>
      <c r="E15" s="293"/>
      <c r="F15" s="293"/>
      <c r="G15" s="293"/>
      <c r="H15" s="293"/>
      <c r="I15" s="293"/>
      <c r="J15" s="293"/>
      <c r="K15" s="293"/>
      <c r="L15" s="289"/>
      <c r="M15" s="289"/>
    </row>
    <row r="16" spans="2:15" ht="15" customHeight="1">
      <c r="C16" s="293"/>
      <c r="D16" s="293"/>
      <c r="E16" s="293"/>
      <c r="F16" s="293"/>
      <c r="G16" s="293"/>
      <c r="H16" s="293"/>
      <c r="I16" s="293"/>
      <c r="J16" s="293"/>
      <c r="K16" s="293"/>
      <c r="L16" s="289"/>
      <c r="M16" s="289"/>
    </row>
    <row r="17" spans="3:13" ht="15" customHeight="1">
      <c r="C17" s="293"/>
      <c r="D17" s="293"/>
      <c r="E17" s="293"/>
      <c r="F17" s="293"/>
      <c r="G17" s="293"/>
      <c r="H17" s="293"/>
      <c r="I17" s="293"/>
      <c r="J17" s="293"/>
      <c r="K17" s="293"/>
      <c r="L17" s="289"/>
      <c r="M17" s="289"/>
    </row>
    <row r="18" spans="3:13" ht="15" customHeight="1">
      <c r="C18" s="294"/>
      <c r="D18" s="294"/>
      <c r="E18" s="294"/>
      <c r="F18" s="294"/>
      <c r="G18" s="294"/>
      <c r="H18" s="294"/>
      <c r="I18" s="294"/>
      <c r="J18" s="294"/>
      <c r="K18" s="294"/>
      <c r="L18" s="289"/>
      <c r="M18" s="289"/>
    </row>
    <row r="19" spans="3:13" ht="15" customHeight="1">
      <c r="C19" s="294"/>
      <c r="D19" s="294"/>
      <c r="E19" s="294"/>
      <c r="F19" s="294"/>
      <c r="G19" s="294"/>
      <c r="H19" s="294"/>
      <c r="I19" s="294"/>
      <c r="J19" s="294"/>
      <c r="K19" s="294"/>
    </row>
  </sheetData>
  <sheetProtection algorithmName="SHA-512" hashValue="3RnQ3Jr0CFDMWQkewqTrbewF2ePp9bbZc8pVIRlRc+g5DeR1XFqGZW+OgrG1py76DgsiznwJGkIDsflXVPDTNA==" saltValue="vhkU68WyDjxThvEaKrH5zw==" spinCount="100000" sheet="1" objects="1" scenarios="1"/>
  <mergeCells count="3">
    <mergeCell ref="C3:K7"/>
    <mergeCell ref="C15:K17"/>
    <mergeCell ref="D10:J1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tabColor rgb="FF002060"/>
  </sheetPr>
  <dimension ref="A1:J61"/>
  <sheetViews>
    <sheetView showGridLines="0" zoomScale="85" zoomScaleNormal="85" workbookViewId="0">
      <selection activeCell="H15" sqref="H15"/>
    </sheetView>
  </sheetViews>
  <sheetFormatPr baseColWidth="10" defaultColWidth="0" defaultRowHeight="15" zeroHeight="1"/>
  <cols>
    <col min="1" max="4" width="11.42578125" style="675" customWidth="1"/>
    <col min="5" max="5" width="24.5703125" style="675" customWidth="1"/>
    <col min="6" max="10" width="21" style="675" customWidth="1"/>
    <col min="11" max="11" width="11.42578125" style="675" customWidth="1"/>
    <col min="12" max="12" width="0" style="675" hidden="1" customWidth="1"/>
    <col min="13" max="16384" width="0" style="675" hidden="1"/>
  </cols>
  <sheetData>
    <row r="1" spans="1:10">
      <c r="A1" s="673" t="str">
        <f>'Estado De Resultados'!B3</f>
        <v>A&amp;P SAS</v>
      </c>
      <c r="B1" s="674"/>
      <c r="C1" s="674"/>
      <c r="D1" s="674"/>
      <c r="E1" s="674"/>
      <c r="F1" s="674"/>
      <c r="G1" s="674"/>
      <c r="H1" s="674"/>
      <c r="I1" s="674"/>
      <c r="J1" s="674"/>
    </row>
    <row r="2" spans="1:10">
      <c r="A2" s="676" t="s">
        <v>1</v>
      </c>
      <c r="B2" s="677"/>
      <c r="C2" s="677"/>
      <c r="D2" s="677"/>
      <c r="E2" s="677"/>
      <c r="F2" s="677"/>
      <c r="G2" s="677"/>
      <c r="H2" s="677"/>
      <c r="I2" s="677"/>
      <c r="J2" s="677"/>
    </row>
    <row r="3" spans="1:10" ht="15.75" thickBot="1">
      <c r="A3" s="678" t="s">
        <v>0</v>
      </c>
      <c r="B3" s="679"/>
      <c r="C3" s="679"/>
      <c r="D3" s="679"/>
      <c r="E3" s="679"/>
      <c r="F3" s="679"/>
      <c r="G3" s="679"/>
      <c r="H3" s="679"/>
      <c r="I3" s="679"/>
      <c r="J3" s="679"/>
    </row>
    <row r="4" spans="1:10" ht="15.75" thickBot="1">
      <c r="A4" s="680" t="s">
        <v>140</v>
      </c>
      <c r="B4" s="680"/>
      <c r="C4" s="680"/>
      <c r="D4" s="680"/>
      <c r="E4" s="680"/>
      <c r="F4" s="680"/>
      <c r="G4" s="680"/>
      <c r="H4" s="680"/>
      <c r="I4" s="680"/>
      <c r="J4" s="681"/>
    </row>
    <row r="5" spans="1:10" ht="15.75" thickBot="1"/>
    <row r="6" spans="1:10">
      <c r="A6" s="682"/>
      <c r="B6" s="683"/>
      <c r="C6" s="683"/>
      <c r="D6" s="683"/>
      <c r="E6" s="683"/>
      <c r="F6" s="684">
        <f>'Estado De Resultados'!P7</f>
        <v>2022</v>
      </c>
      <c r="G6" s="684">
        <f>'Estado De Resultados'!Q7</f>
        <v>2023</v>
      </c>
      <c r="H6" s="684">
        <f>'Estado De Resultados'!R7</f>
        <v>2024</v>
      </c>
      <c r="I6" s="684">
        <f>'Estado De Resultados'!S7</f>
        <v>2025</v>
      </c>
      <c r="J6" s="685">
        <f>'Estado De Resultados'!T7</f>
        <v>2026</v>
      </c>
    </row>
    <row r="7" spans="1:10">
      <c r="A7" s="686" t="s">
        <v>12</v>
      </c>
      <c r="B7" s="687"/>
      <c r="C7" s="687"/>
      <c r="D7" s="687"/>
      <c r="E7" s="687"/>
      <c r="F7" s="688">
        <f>'Estado De Resultados'!P22</f>
        <v>2496776.6809508502</v>
      </c>
      <c r="G7" s="688">
        <f>'Estado De Resultados'!Q22</f>
        <v>7857418.9802658083</v>
      </c>
      <c r="H7" s="688">
        <f>'Estado De Resultados'!R22</f>
        <v>17881386.945502311</v>
      </c>
      <c r="I7" s="688">
        <f>'Estado De Resultados'!S22</f>
        <v>30370037.149261326</v>
      </c>
      <c r="J7" s="689">
        <f>'Estado De Resultados'!T22</f>
        <v>42070017.090190083</v>
      </c>
    </row>
    <row r="8" spans="1:10">
      <c r="A8" s="690" t="s">
        <v>13</v>
      </c>
      <c r="B8" s="691"/>
      <c r="C8" s="691"/>
      <c r="D8" s="691"/>
      <c r="E8" s="691"/>
      <c r="F8" s="692">
        <f>'Estado De Resultados'!P21</f>
        <v>1174953.7322121651</v>
      </c>
      <c r="G8" s="692">
        <f>'Estado De Resultados'!Q21</f>
        <v>3697608.931889792</v>
      </c>
      <c r="H8" s="692">
        <f>'Estado De Resultados'!R21</f>
        <v>8414770.3272952046</v>
      </c>
      <c r="I8" s="692">
        <f>'Estado De Resultados'!S21</f>
        <v>14291782.187887684</v>
      </c>
      <c r="J8" s="693">
        <f>'Estado De Resultados'!T21</f>
        <v>19797655.101265918</v>
      </c>
    </row>
    <row r="9" spans="1:10" ht="15.75" thickBot="1">
      <c r="A9" s="694" t="s">
        <v>14</v>
      </c>
      <c r="B9" s="695"/>
      <c r="C9" s="695"/>
      <c r="D9" s="695"/>
      <c r="E9" s="695"/>
      <c r="F9" s="696">
        <f>'Estado De Resultados'!P18</f>
        <v>16198571.573055664</v>
      </c>
      <c r="G9" s="692">
        <f>'Estado De Resultados'!Q18</f>
        <v>14240858.810247412</v>
      </c>
      <c r="H9" s="692">
        <f>'Estado De Resultados'!R18</f>
        <v>11677419.590879742</v>
      </c>
      <c r="I9" s="696">
        <f>'Estado De Resultados'!S18</f>
        <v>8410316.3057956453</v>
      </c>
      <c r="J9" s="697">
        <f>'Estado De Resultados'!T18</f>
        <v>4246393.1689559687</v>
      </c>
    </row>
    <row r="10" spans="1:10" ht="15.75" thickBot="1">
      <c r="A10" s="698" t="s">
        <v>15</v>
      </c>
      <c r="B10" s="699"/>
      <c r="C10" s="699"/>
      <c r="D10" s="699"/>
      <c r="E10" s="699"/>
      <c r="F10" s="700">
        <f>+F7+F8+F9</f>
        <v>19870301.98621868</v>
      </c>
      <c r="G10" s="701">
        <f t="shared" ref="G10:J10" si="0">+G7+G8+G9</f>
        <v>25795886.722403012</v>
      </c>
      <c r="H10" s="701">
        <f t="shared" si="0"/>
        <v>37973576.863677263</v>
      </c>
      <c r="I10" s="700">
        <f t="shared" si="0"/>
        <v>53072135.642944656</v>
      </c>
      <c r="J10" s="702">
        <f t="shared" si="0"/>
        <v>66114065.360411972</v>
      </c>
    </row>
    <row r="11" spans="1:10" ht="15.75" thickBot="1">
      <c r="A11" s="703" t="s">
        <v>47</v>
      </c>
      <c r="B11" s="704"/>
      <c r="C11" s="704"/>
      <c r="D11" s="704"/>
      <c r="E11" s="704"/>
      <c r="F11" s="705">
        <f>F10/'Estado De Resultados'!P9</f>
        <v>5.2963202105516978E-2</v>
      </c>
      <c r="G11" s="705">
        <f>G10/'Estado De Resultados'!Q9</f>
        <v>6.6432390156550475E-2</v>
      </c>
      <c r="H11" s="705">
        <f>H10/'Estado De Resultados'!R9</f>
        <v>9.3969165302624849E-2</v>
      </c>
      <c r="I11" s="705">
        <f>I10/'Estado De Resultados'!S9</f>
        <v>0.12619579153414962</v>
      </c>
      <c r="J11" s="706">
        <f>J10/'Estado De Resultados'!T9</f>
        <v>0.15105900372011358</v>
      </c>
    </row>
    <row r="12" spans="1:10" ht="15.75" thickBot="1">
      <c r="A12" s="707"/>
      <c r="B12" s="708"/>
      <c r="C12" s="708"/>
      <c r="D12" s="708"/>
      <c r="E12" s="708"/>
      <c r="F12" s="709"/>
      <c r="G12" s="708"/>
      <c r="H12" s="708"/>
      <c r="I12" s="708"/>
      <c r="J12" s="708"/>
    </row>
    <row r="13" spans="1:10" ht="23.25" customHeight="1">
      <c r="A13" s="710" t="s">
        <v>16</v>
      </c>
      <c r="B13" s="711"/>
      <c r="C13" s="711"/>
      <c r="D13" s="711"/>
      <c r="E13" s="711"/>
      <c r="F13" s="712">
        <f>+F10*32%</f>
        <v>6358496.6355899777</v>
      </c>
      <c r="G13" s="712">
        <f>+G10*32%</f>
        <v>8254683.7511689644</v>
      </c>
      <c r="H13" s="712">
        <f>+H10*32%</f>
        <v>12151544.596376725</v>
      </c>
      <c r="I13" s="712">
        <f>+I10*32%</f>
        <v>16983083.405742291</v>
      </c>
      <c r="J13" s="713">
        <f>+J10*32%</f>
        <v>21156500.915331833</v>
      </c>
    </row>
    <row r="14" spans="1:10" ht="15.75" thickBot="1">
      <c r="A14" s="714" t="s">
        <v>17</v>
      </c>
      <c r="B14" s="715"/>
      <c r="C14" s="715"/>
      <c r="D14" s="715"/>
      <c r="E14" s="715"/>
      <c r="F14" s="716">
        <f>+F10-F13</f>
        <v>13511805.350628702</v>
      </c>
      <c r="G14" s="716">
        <f t="shared" ref="G14:J14" si="1">+G10-G13</f>
        <v>17541202.971234046</v>
      </c>
      <c r="H14" s="716">
        <f t="shared" si="1"/>
        <v>25822032.267300539</v>
      </c>
      <c r="I14" s="716">
        <f t="shared" si="1"/>
        <v>36089052.237202361</v>
      </c>
      <c r="J14" s="717">
        <f t="shared" si="1"/>
        <v>44957564.445080139</v>
      </c>
    </row>
    <row r="15" spans="1:10" ht="15.75" thickBot="1">
      <c r="A15" s="707"/>
      <c r="B15" s="708"/>
      <c r="C15" s="708"/>
      <c r="D15" s="708"/>
      <c r="E15" s="708"/>
      <c r="F15" s="709"/>
      <c r="G15" s="708"/>
      <c r="H15" s="708"/>
      <c r="I15" s="708"/>
      <c r="J15" s="708"/>
    </row>
    <row r="16" spans="1:10">
      <c r="A16" s="718" t="s">
        <v>18</v>
      </c>
      <c r="B16" s="719"/>
      <c r="C16" s="719"/>
      <c r="D16" s="719"/>
      <c r="E16" s="719"/>
      <c r="F16" s="712">
        <f>'Estado De Resultados'!P26</f>
        <v>2666666.6666666665</v>
      </c>
      <c r="G16" s="712">
        <f>'Estado De Resultados'!Q26</f>
        <v>2666666.6666666665</v>
      </c>
      <c r="H16" s="712">
        <f>'Estado De Resultados'!R26</f>
        <v>2666666.6666666665</v>
      </c>
      <c r="I16" s="712">
        <f>'Estado De Resultados'!S26</f>
        <v>0</v>
      </c>
      <c r="J16" s="713">
        <f>'Estado De Resultados'!T26</f>
        <v>0</v>
      </c>
    </row>
    <row r="17" spans="1:10">
      <c r="A17" s="690" t="s">
        <v>19</v>
      </c>
      <c r="B17" s="691"/>
      <c r="C17" s="691"/>
      <c r="D17" s="691"/>
      <c r="E17" s="691"/>
      <c r="F17" s="692">
        <f>'Estado De Resultados'!P27</f>
        <v>1051166.6666666667</v>
      </c>
      <c r="G17" s="692">
        <f>'Estado De Resultados'!Q27</f>
        <v>1051166.6666666667</v>
      </c>
      <c r="H17" s="692">
        <f>'Estado De Resultados'!R27</f>
        <v>1051166.6666666667</v>
      </c>
      <c r="I17" s="692">
        <f>'Estado De Resultados'!S27</f>
        <v>1051166.6666666667</v>
      </c>
      <c r="J17" s="693">
        <f>'Estado De Resultados'!T27</f>
        <v>1051166.6666666667</v>
      </c>
    </row>
    <row r="18" spans="1:10">
      <c r="A18" s="690" t="s">
        <v>20</v>
      </c>
      <c r="B18" s="691"/>
      <c r="C18" s="691"/>
      <c r="D18" s="691"/>
      <c r="E18" s="691"/>
      <c r="F18" s="692"/>
      <c r="G18" s="692"/>
      <c r="H18" s="692"/>
      <c r="I18" s="692"/>
      <c r="J18" s="693"/>
    </row>
    <row r="19" spans="1:10" ht="15.75" thickBot="1">
      <c r="A19" s="720" t="s">
        <v>46</v>
      </c>
      <c r="B19" s="721"/>
      <c r="C19" s="721"/>
      <c r="D19" s="721"/>
      <c r="E19" s="721"/>
      <c r="F19" s="722">
        <f>+F14+F16+F17+F18</f>
        <v>17229638.683962036</v>
      </c>
      <c r="G19" s="722">
        <f t="shared" ref="G19:J19" si="2">+G14+G16+G17+G18</f>
        <v>21259036.304567382</v>
      </c>
      <c r="H19" s="722">
        <f t="shared" si="2"/>
        <v>29539865.600633875</v>
      </c>
      <c r="I19" s="722">
        <f t="shared" si="2"/>
        <v>37140218.903869025</v>
      </c>
      <c r="J19" s="723">
        <f t="shared" si="2"/>
        <v>46008731.111746803</v>
      </c>
    </row>
    <row r="20" spans="1:10" ht="15.75" thickBot="1">
      <c r="A20" s="724"/>
      <c r="B20" s="725"/>
      <c r="C20" s="725"/>
      <c r="D20" s="725"/>
      <c r="E20" s="725"/>
      <c r="F20" s="726"/>
      <c r="G20" s="725"/>
      <c r="H20" s="725"/>
      <c r="I20" s="725"/>
      <c r="J20" s="725"/>
    </row>
    <row r="21" spans="1:10" ht="15.75" thickBot="1">
      <c r="A21" s="680" t="s">
        <v>141</v>
      </c>
      <c r="B21" s="680"/>
      <c r="C21" s="680"/>
      <c r="D21" s="680"/>
      <c r="E21" s="680"/>
      <c r="F21" s="680"/>
      <c r="G21" s="680"/>
      <c r="H21" s="680"/>
      <c r="I21" s="680"/>
      <c r="J21" s="681"/>
    </row>
    <row r="22" spans="1:10" ht="15.75" thickBot="1">
      <c r="A22" s="725"/>
      <c r="B22" s="725"/>
      <c r="C22" s="725"/>
      <c r="D22" s="725"/>
      <c r="E22" s="725"/>
      <c r="F22" s="726"/>
      <c r="G22" s="725"/>
      <c r="H22" s="725"/>
      <c r="I22" s="725"/>
      <c r="J22" s="725"/>
    </row>
    <row r="23" spans="1:10">
      <c r="A23" s="727"/>
      <c r="B23" s="684"/>
      <c r="C23" s="684"/>
      <c r="D23" s="684"/>
      <c r="E23" s="684" t="s">
        <v>123</v>
      </c>
      <c r="F23" s="684">
        <f>+F6</f>
        <v>2022</v>
      </c>
      <c r="G23" s="684">
        <f t="shared" ref="G23:J23" si="3">+G6</f>
        <v>2023</v>
      </c>
      <c r="H23" s="684">
        <f t="shared" si="3"/>
        <v>2024</v>
      </c>
      <c r="I23" s="684">
        <f t="shared" si="3"/>
        <v>2025</v>
      </c>
      <c r="J23" s="685">
        <f t="shared" si="3"/>
        <v>2026</v>
      </c>
    </row>
    <row r="24" spans="1:10">
      <c r="A24" s="690" t="s">
        <v>150</v>
      </c>
      <c r="B24" s="691"/>
      <c r="C24" s="691"/>
      <c r="D24" s="691"/>
      <c r="E24" s="692"/>
      <c r="F24" s="692">
        <f>+'Estado De Resultados'!P10</f>
        <v>220096099.19999999</v>
      </c>
      <c r="G24" s="692">
        <f>+'Estado De Resultados'!Q10</f>
        <v>227799462.67199996</v>
      </c>
      <c r="H24" s="692">
        <f>+'Estado De Resultados'!R10</f>
        <v>234633446.55215997</v>
      </c>
      <c r="I24" s="692">
        <f>+'Estado De Resultados'!S10</f>
        <v>241203183.05562046</v>
      </c>
      <c r="J24" s="728">
        <f>+'Estado De Resultados'!T10</f>
        <v>247233262.63201097</v>
      </c>
    </row>
    <row r="25" spans="1:10">
      <c r="A25" s="729" t="s">
        <v>138</v>
      </c>
      <c r="B25" s="730"/>
      <c r="C25" s="730"/>
      <c r="D25" s="730"/>
      <c r="E25" s="692"/>
      <c r="F25" s="731">
        <f>+C45+F24</f>
        <v>220096099.19999999</v>
      </c>
      <c r="G25" s="731">
        <f>+D45+G24</f>
        <v>227799462.67199996</v>
      </c>
      <c r="H25" s="731">
        <f>+E45+H24</f>
        <v>234633446.55215997</v>
      </c>
      <c r="I25" s="731">
        <f>+F45+I24</f>
        <v>241203183.05562046</v>
      </c>
      <c r="J25" s="732">
        <f>+G45+J24</f>
        <v>247233262.63201097</v>
      </c>
    </row>
    <row r="26" spans="1:10">
      <c r="A26" s="690" t="s">
        <v>151</v>
      </c>
      <c r="B26" s="691"/>
      <c r="C26" s="691"/>
      <c r="D26" s="691"/>
      <c r="E26" s="692">
        <v>0</v>
      </c>
      <c r="F26" s="692">
        <f>+F25</f>
        <v>220096099.19999999</v>
      </c>
      <c r="G26" s="692">
        <f t="shared" ref="G26:J26" si="4">+G25</f>
        <v>227799462.67199996</v>
      </c>
      <c r="H26" s="692">
        <f t="shared" si="4"/>
        <v>234633446.55215997</v>
      </c>
      <c r="I26" s="692">
        <f t="shared" si="4"/>
        <v>241203183.05562046</v>
      </c>
      <c r="J26" s="693">
        <f t="shared" si="4"/>
        <v>247233262.63201097</v>
      </c>
    </row>
    <row r="27" spans="1:10">
      <c r="A27" s="733" t="s">
        <v>152</v>
      </c>
      <c r="B27" s="734"/>
      <c r="C27" s="734"/>
      <c r="D27" s="735">
        <v>0.12</v>
      </c>
      <c r="E27" s="692">
        <v>0</v>
      </c>
      <c r="F27" s="692">
        <f>+F26*$D$27</f>
        <v>26411531.903999999</v>
      </c>
      <c r="G27" s="692">
        <f>+G26*$D$27</f>
        <v>27335935.520639993</v>
      </c>
      <c r="H27" s="692">
        <f>+H26*$D$27</f>
        <v>28156013.586259194</v>
      </c>
      <c r="I27" s="692">
        <f>+I26*$D$27</f>
        <v>28944381.966674455</v>
      </c>
      <c r="J27" s="693">
        <f>+J26*$D$27</f>
        <v>29667991.515841316</v>
      </c>
    </row>
    <row r="28" spans="1:10" ht="15.75" thickBot="1">
      <c r="A28" s="720" t="s">
        <v>139</v>
      </c>
      <c r="B28" s="721"/>
      <c r="C28" s="721"/>
      <c r="D28" s="721"/>
      <c r="E28" s="731">
        <f>+E27+F27</f>
        <v>26411531.903999999</v>
      </c>
      <c r="F28" s="722">
        <f>ROUND((G27-F27),0)</f>
        <v>924404</v>
      </c>
      <c r="G28" s="722">
        <f>ROUND((H27-G27),0)</f>
        <v>820078</v>
      </c>
      <c r="H28" s="722">
        <f>ROUND((I27-H27),0)</f>
        <v>788368</v>
      </c>
      <c r="I28" s="722">
        <f>ROUND((J27-I27),0)</f>
        <v>723610</v>
      </c>
      <c r="J28" s="723"/>
    </row>
    <row r="29" spans="1:10" ht="15.75" thickBot="1">
      <c r="A29" s="725"/>
      <c r="B29" s="725"/>
      <c r="C29" s="725"/>
      <c r="D29" s="725"/>
      <c r="E29" s="736"/>
      <c r="F29" s="726"/>
      <c r="G29" s="725"/>
      <c r="H29" s="725"/>
      <c r="I29" s="725"/>
      <c r="J29" s="725"/>
    </row>
    <row r="30" spans="1:10" ht="15.75" thickBot="1">
      <c r="A30" s="680" t="s">
        <v>142</v>
      </c>
      <c r="B30" s="680"/>
      <c r="C30" s="680"/>
      <c r="D30" s="680"/>
      <c r="E30" s="680"/>
      <c r="F30" s="680"/>
      <c r="G30" s="680"/>
      <c r="H30" s="680"/>
      <c r="I30" s="680"/>
      <c r="J30" s="681"/>
    </row>
    <row r="31" spans="1:10" ht="15.75" thickBot="1">
      <c r="A31" s="725"/>
      <c r="B31" s="725"/>
      <c r="C31" s="725"/>
      <c r="D31" s="725"/>
      <c r="E31" s="725"/>
      <c r="F31" s="726"/>
      <c r="G31" s="725"/>
      <c r="H31" s="725"/>
      <c r="I31" s="725"/>
      <c r="J31" s="725"/>
    </row>
    <row r="32" spans="1:10">
      <c r="A32" s="737" t="s">
        <v>143</v>
      </c>
      <c r="B32" s="738"/>
      <c r="C32" s="738"/>
      <c r="D32" s="738"/>
      <c r="E32" s="739" t="s">
        <v>144</v>
      </c>
      <c r="F32" s="739" t="s">
        <v>145</v>
      </c>
      <c r="G32" s="739" t="s">
        <v>146</v>
      </c>
      <c r="H32" s="740" t="s">
        <v>147</v>
      </c>
      <c r="I32" s="725"/>
      <c r="J32" s="725"/>
    </row>
    <row r="33" spans="1:10">
      <c r="A33" s="690" t="s">
        <v>148</v>
      </c>
      <c r="B33" s="691"/>
      <c r="C33" s="691"/>
      <c r="D33" s="691"/>
      <c r="E33" s="692">
        <f>+E43</f>
        <v>12251030.903999999</v>
      </c>
      <c r="F33" s="741">
        <f>+E33/$E$35</f>
        <v>0.16265086599271966</v>
      </c>
      <c r="G33" s="741">
        <f>+'DATOS GENERALES'!B18</f>
        <v>0.15</v>
      </c>
      <c r="H33" s="742">
        <f>+F33*G33</f>
        <v>2.4397629898907949E-2</v>
      </c>
      <c r="I33" s="725"/>
      <c r="J33" s="725"/>
    </row>
    <row r="34" spans="1:10">
      <c r="A34" s="690" t="s">
        <v>149</v>
      </c>
      <c r="B34" s="691"/>
      <c r="C34" s="691"/>
      <c r="D34" s="691"/>
      <c r="E34" s="692">
        <f>+E42</f>
        <v>63070000</v>
      </c>
      <c r="F34" s="741">
        <f>+E34/$E$35</f>
        <v>0.83734913400728039</v>
      </c>
      <c r="G34" s="741">
        <f>+'DATOS GENERALES'!B16</f>
        <v>0.27</v>
      </c>
      <c r="H34" s="742">
        <f>+F34*G34</f>
        <v>0.22608426618196573</v>
      </c>
      <c r="I34" s="725"/>
      <c r="J34" s="725"/>
    </row>
    <row r="35" spans="1:10" ht="15.75" thickBot="1">
      <c r="A35" s="720" t="s">
        <v>67</v>
      </c>
      <c r="B35" s="721"/>
      <c r="C35" s="721"/>
      <c r="D35" s="721"/>
      <c r="E35" s="696">
        <f>SUM(E33:E34)</f>
        <v>75321030.903999999</v>
      </c>
      <c r="F35" s="743">
        <f>+E35/$E$35</f>
        <v>1</v>
      </c>
      <c r="G35" s="743"/>
      <c r="H35" s="744">
        <f>SUM(H33:H34)</f>
        <v>0.25048189608087368</v>
      </c>
      <c r="I35" s="725"/>
      <c r="J35" s="725"/>
    </row>
    <row r="36" spans="1:10" ht="15.75" thickBot="1">
      <c r="A36" s="725"/>
      <c r="B36" s="725"/>
      <c r="C36" s="725"/>
      <c r="D36" s="725"/>
      <c r="E36" s="725"/>
      <c r="F36" s="726"/>
      <c r="G36" s="725"/>
      <c r="H36" s="725"/>
      <c r="I36" s="725"/>
      <c r="J36" s="725"/>
    </row>
    <row r="37" spans="1:10" ht="15.75" thickBot="1">
      <c r="A37" s="680" t="s">
        <v>137</v>
      </c>
      <c r="B37" s="680"/>
      <c r="C37" s="680"/>
      <c r="D37" s="680"/>
      <c r="E37" s="680"/>
      <c r="F37" s="680"/>
      <c r="G37" s="680"/>
      <c r="H37" s="680"/>
      <c r="I37" s="680"/>
      <c r="J37" s="681"/>
    </row>
    <row r="38" spans="1:10" ht="15.75" thickBot="1"/>
    <row r="39" spans="1:10">
      <c r="A39" s="745"/>
      <c r="B39" s="746"/>
      <c r="C39" s="746"/>
      <c r="D39" s="746"/>
      <c r="E39" s="746" t="s">
        <v>123</v>
      </c>
      <c r="F39" s="684">
        <f>+F23</f>
        <v>2022</v>
      </c>
      <c r="G39" s="684">
        <f t="shared" ref="G39:J39" si="5">+G23</f>
        <v>2023</v>
      </c>
      <c r="H39" s="684">
        <f t="shared" si="5"/>
        <v>2024</v>
      </c>
      <c r="I39" s="684">
        <f t="shared" si="5"/>
        <v>2025</v>
      </c>
      <c r="J39" s="685">
        <f t="shared" si="5"/>
        <v>2026</v>
      </c>
    </row>
    <row r="40" spans="1:10">
      <c r="A40" s="747" t="s">
        <v>124</v>
      </c>
      <c r="B40" s="748"/>
      <c r="C40" s="748"/>
      <c r="D40" s="748"/>
      <c r="E40" s="749">
        <v>48909499</v>
      </c>
      <c r="F40" s="750"/>
      <c r="G40" s="750"/>
      <c r="H40" s="750"/>
      <c r="I40" s="750"/>
      <c r="J40" s="751"/>
    </row>
    <row r="41" spans="1:10">
      <c r="A41" s="690" t="s">
        <v>125</v>
      </c>
      <c r="B41" s="691"/>
      <c r="C41" s="691"/>
      <c r="D41" s="691"/>
      <c r="E41" s="692">
        <f>+E28</f>
        <v>26411531.903999999</v>
      </c>
      <c r="F41" s="752">
        <f>+F28</f>
        <v>924404</v>
      </c>
      <c r="G41" s="752">
        <f t="shared" ref="G41:J41" si="6">+G28</f>
        <v>820078</v>
      </c>
      <c r="H41" s="752">
        <f t="shared" si="6"/>
        <v>788368</v>
      </c>
      <c r="I41" s="752">
        <f t="shared" si="6"/>
        <v>723610</v>
      </c>
      <c r="J41" s="753">
        <f t="shared" si="6"/>
        <v>0</v>
      </c>
    </row>
    <row r="42" spans="1:10">
      <c r="A42" s="690" t="s">
        <v>126</v>
      </c>
      <c r="B42" s="691"/>
      <c r="C42" s="691"/>
      <c r="D42" s="691"/>
      <c r="E42" s="692">
        <f>+'Ppto Aplic'!G27</f>
        <v>63070000</v>
      </c>
      <c r="F42" s="750"/>
      <c r="G42" s="750"/>
      <c r="H42" s="750"/>
      <c r="I42" s="750"/>
      <c r="J42" s="751"/>
    </row>
    <row r="43" spans="1:10" ht="15.75" thickBot="1">
      <c r="A43" s="720" t="s">
        <v>127</v>
      </c>
      <c r="B43" s="721"/>
      <c r="C43" s="721"/>
      <c r="D43" s="721"/>
      <c r="E43" s="754">
        <f>+E40+E41-E42</f>
        <v>12251030.903999999</v>
      </c>
      <c r="F43" s="754">
        <f t="shared" ref="F43:J43" si="7">+F40+F41-F42</f>
        <v>924404</v>
      </c>
      <c r="G43" s="754">
        <f t="shared" si="7"/>
        <v>820078</v>
      </c>
      <c r="H43" s="754">
        <f t="shared" si="7"/>
        <v>788368</v>
      </c>
      <c r="I43" s="754">
        <f t="shared" si="7"/>
        <v>723610</v>
      </c>
      <c r="J43" s="755">
        <f t="shared" si="7"/>
        <v>0</v>
      </c>
    </row>
    <row r="44" spans="1:10" ht="15.75" thickBot="1"/>
    <row r="45" spans="1:10" ht="15.75" thickBot="1">
      <c r="A45" s="680" t="s">
        <v>153</v>
      </c>
      <c r="B45" s="680"/>
      <c r="C45" s="680"/>
      <c r="D45" s="680"/>
      <c r="E45" s="680"/>
      <c r="F45" s="680"/>
      <c r="G45" s="680"/>
      <c r="H45" s="680"/>
      <c r="I45" s="680"/>
      <c r="J45" s="681"/>
    </row>
    <row r="46" spans="1:10" ht="15.75" thickBot="1"/>
    <row r="47" spans="1:10">
      <c r="A47" s="745"/>
      <c r="B47" s="746"/>
      <c r="C47" s="746"/>
      <c r="D47" s="746"/>
      <c r="E47" s="746" t="s">
        <v>123</v>
      </c>
      <c r="F47" s="684">
        <f>+F39</f>
        <v>2022</v>
      </c>
      <c r="G47" s="684">
        <f t="shared" ref="G47:J47" si="8">+G39</f>
        <v>2023</v>
      </c>
      <c r="H47" s="684">
        <f t="shared" si="8"/>
        <v>2024</v>
      </c>
      <c r="I47" s="684">
        <f t="shared" si="8"/>
        <v>2025</v>
      </c>
      <c r="J47" s="685">
        <f t="shared" si="8"/>
        <v>2026</v>
      </c>
    </row>
    <row r="48" spans="1:10">
      <c r="A48" s="747" t="s">
        <v>129</v>
      </c>
      <c r="B48" s="748"/>
      <c r="C48" s="748"/>
      <c r="D48" s="748"/>
      <c r="E48" s="749">
        <v>0</v>
      </c>
      <c r="F48" s="752">
        <f>+F19</f>
        <v>17229638.683962036</v>
      </c>
      <c r="G48" s="752">
        <f t="shared" ref="G48:J48" si="9">+G19</f>
        <v>21259036.304567382</v>
      </c>
      <c r="H48" s="752">
        <f t="shared" si="9"/>
        <v>29539865.600633875</v>
      </c>
      <c r="I48" s="752">
        <f t="shared" si="9"/>
        <v>37140218.903869025</v>
      </c>
      <c r="J48" s="753">
        <f t="shared" si="9"/>
        <v>46008731.111746803</v>
      </c>
    </row>
    <row r="49" spans="1:10">
      <c r="A49" s="690" t="s">
        <v>130</v>
      </c>
      <c r="B49" s="691"/>
      <c r="C49" s="691"/>
      <c r="D49" s="691"/>
      <c r="E49" s="692">
        <f>+E43</f>
        <v>12251030.903999999</v>
      </c>
      <c r="F49" s="692">
        <f t="shared" ref="F49:J49" si="10">+F43</f>
        <v>924404</v>
      </c>
      <c r="G49" s="692">
        <f t="shared" si="10"/>
        <v>820078</v>
      </c>
      <c r="H49" s="692">
        <f t="shared" si="10"/>
        <v>788368</v>
      </c>
      <c r="I49" s="692">
        <f t="shared" si="10"/>
        <v>723610</v>
      </c>
      <c r="J49" s="693">
        <f t="shared" si="10"/>
        <v>0</v>
      </c>
    </row>
    <row r="50" spans="1:10" ht="15.75" thickBot="1">
      <c r="A50" s="720" t="s">
        <v>128</v>
      </c>
      <c r="B50" s="721"/>
      <c r="C50" s="721"/>
      <c r="D50" s="721"/>
      <c r="E50" s="722">
        <f>+E48-E49</f>
        <v>-12251030.903999999</v>
      </c>
      <c r="F50" s="722">
        <f t="shared" ref="F50:J50" si="11">+F48-F49</f>
        <v>16305234.683962036</v>
      </c>
      <c r="G50" s="722">
        <f t="shared" si="11"/>
        <v>20438958.304567382</v>
      </c>
      <c r="H50" s="722">
        <f t="shared" si="11"/>
        <v>28751497.600633875</v>
      </c>
      <c r="I50" s="722">
        <f t="shared" si="11"/>
        <v>36416608.903869025</v>
      </c>
      <c r="J50" s="723">
        <f t="shared" si="11"/>
        <v>46008731.111746803</v>
      </c>
    </row>
    <row r="51" spans="1:10" ht="15.75" thickBot="1"/>
    <row r="52" spans="1:10" ht="15.75" thickBot="1">
      <c r="A52" s="680" t="s">
        <v>154</v>
      </c>
      <c r="B52" s="680"/>
      <c r="C52" s="680"/>
      <c r="D52" s="680"/>
      <c r="E52" s="680"/>
      <c r="F52" s="680"/>
      <c r="G52" s="680"/>
      <c r="H52" s="680"/>
      <c r="I52" s="680"/>
      <c r="J52" s="681"/>
    </row>
    <row r="53" spans="1:10" ht="15.75" thickBot="1"/>
    <row r="54" spans="1:10">
      <c r="A54" s="745"/>
      <c r="B54" s="746"/>
      <c r="C54" s="746"/>
      <c r="D54" s="746"/>
      <c r="E54" s="746" t="s">
        <v>123</v>
      </c>
      <c r="F54" s="684">
        <f>+F47</f>
        <v>2022</v>
      </c>
      <c r="G54" s="684">
        <f t="shared" ref="G54:J54" si="12">+G47</f>
        <v>2023</v>
      </c>
      <c r="H54" s="684">
        <f t="shared" si="12"/>
        <v>2024</v>
      </c>
      <c r="I54" s="684">
        <f t="shared" si="12"/>
        <v>2025</v>
      </c>
      <c r="J54" s="685">
        <f t="shared" si="12"/>
        <v>2026</v>
      </c>
    </row>
    <row r="55" spans="1:10">
      <c r="A55" s="747" t="s">
        <v>132</v>
      </c>
      <c r="B55" s="748"/>
      <c r="C55" s="748"/>
      <c r="D55" s="748"/>
      <c r="E55" s="749">
        <f>+E50</f>
        <v>-12251030.903999999</v>
      </c>
      <c r="F55" s="749">
        <f t="shared" ref="F55:J55" si="13">+F50</f>
        <v>16305234.683962036</v>
      </c>
      <c r="G55" s="749">
        <f t="shared" si="13"/>
        <v>20438958.304567382</v>
      </c>
      <c r="H55" s="749">
        <f t="shared" si="13"/>
        <v>28751497.600633875</v>
      </c>
      <c r="I55" s="749">
        <f t="shared" si="13"/>
        <v>36416608.903869025</v>
      </c>
      <c r="J55" s="728">
        <f t="shared" si="13"/>
        <v>46008731.111746803</v>
      </c>
    </row>
    <row r="56" spans="1:10">
      <c r="A56" s="690" t="s">
        <v>133</v>
      </c>
      <c r="B56" s="691"/>
      <c r="C56" s="691"/>
      <c r="D56" s="691"/>
      <c r="E56" s="692">
        <f>+E42</f>
        <v>63070000</v>
      </c>
      <c r="F56" s="692">
        <f t="shared" ref="F56:J56" si="14">+F42</f>
        <v>0</v>
      </c>
      <c r="G56" s="692">
        <f t="shared" si="14"/>
        <v>0</v>
      </c>
      <c r="H56" s="692">
        <f t="shared" si="14"/>
        <v>0</v>
      </c>
      <c r="I56" s="692">
        <f t="shared" si="14"/>
        <v>0</v>
      </c>
      <c r="J56" s="693">
        <f t="shared" si="14"/>
        <v>0</v>
      </c>
    </row>
    <row r="57" spans="1:10">
      <c r="A57" s="690" t="s">
        <v>134</v>
      </c>
      <c r="B57" s="691"/>
      <c r="C57" s="691"/>
      <c r="D57" s="691"/>
      <c r="E57" s="692">
        <v>0</v>
      </c>
      <c r="F57" s="692">
        <f>+F9</f>
        <v>16198571.573055664</v>
      </c>
      <c r="G57" s="692">
        <f t="shared" ref="G57:J57" si="15">+G9</f>
        <v>14240858.810247412</v>
      </c>
      <c r="H57" s="692">
        <f t="shared" si="15"/>
        <v>11677419.590879742</v>
      </c>
      <c r="I57" s="692">
        <f t="shared" si="15"/>
        <v>8410316.3057956453</v>
      </c>
      <c r="J57" s="693">
        <f t="shared" si="15"/>
        <v>4246393.1689559687</v>
      </c>
    </row>
    <row r="58" spans="1:10">
      <c r="A58" s="690" t="s">
        <v>135</v>
      </c>
      <c r="B58" s="691"/>
      <c r="C58" s="691"/>
      <c r="D58" s="691"/>
      <c r="E58" s="692"/>
      <c r="F58" s="692">
        <f>+F17</f>
        <v>1051166.6666666667</v>
      </c>
      <c r="G58" s="692">
        <f t="shared" ref="G58:J58" si="16">+G17</f>
        <v>1051166.6666666667</v>
      </c>
      <c r="H58" s="692">
        <f t="shared" si="16"/>
        <v>1051166.6666666667</v>
      </c>
      <c r="I58" s="692">
        <f t="shared" si="16"/>
        <v>1051166.6666666667</v>
      </c>
      <c r="J58" s="693">
        <f t="shared" si="16"/>
        <v>1051166.6666666667</v>
      </c>
    </row>
    <row r="59" spans="1:10">
      <c r="A59" s="690" t="s">
        <v>136</v>
      </c>
      <c r="B59" s="691"/>
      <c r="C59" s="691"/>
      <c r="D59" s="691"/>
      <c r="E59" s="692"/>
      <c r="F59" s="692">
        <f>+(F57*32%)</f>
        <v>5183542.9033778124</v>
      </c>
      <c r="G59" s="692">
        <f t="shared" ref="G59:J59" si="17">+(G57*32%)</f>
        <v>4557074.8192791715</v>
      </c>
      <c r="H59" s="692">
        <f t="shared" si="17"/>
        <v>3736774.2690815176</v>
      </c>
      <c r="I59" s="692">
        <f t="shared" si="17"/>
        <v>2691301.2178546065</v>
      </c>
      <c r="J59" s="693">
        <f t="shared" si="17"/>
        <v>1358845.8140659099</v>
      </c>
    </row>
    <row r="60" spans="1:10" ht="15.75" thickBot="1">
      <c r="A60" s="720" t="s">
        <v>131</v>
      </c>
      <c r="B60" s="721"/>
      <c r="C60" s="721"/>
      <c r="D60" s="721"/>
      <c r="E60" s="722">
        <f>+E55-E56+E57+E58-E59</f>
        <v>-75321030.903999999</v>
      </c>
      <c r="F60" s="722">
        <f t="shared" ref="F60:J60" si="18">+F55-F56+F57+F58-F59</f>
        <v>28371430.020306554</v>
      </c>
      <c r="G60" s="722">
        <f t="shared" si="18"/>
        <v>31173908.962202288</v>
      </c>
      <c r="H60" s="722">
        <f t="shared" si="18"/>
        <v>37743309.589098759</v>
      </c>
      <c r="I60" s="722">
        <f t="shared" si="18"/>
        <v>43186790.658476733</v>
      </c>
      <c r="J60" s="723">
        <f t="shared" si="18"/>
        <v>49947445.133303523</v>
      </c>
    </row>
    <row r="61" spans="1:10"/>
  </sheetData>
  <sheetProtection algorithmName="SHA-512" hashValue="DCLJiCOeBo1LvfH4c7TeO7V5cZZiMZ4HFeWCF5N/v7ex1BUYBoER0AhHOL5VUh8xFHdGcYYH6jqeWPJZDvw+cw==" saltValue="zyybono4chRUGF1IiU+oEw==" spinCount="100000" sheet="1" objects="1" scenarios="1"/>
  <mergeCells count="42">
    <mergeCell ref="A1:J1"/>
    <mergeCell ref="A2:J2"/>
    <mergeCell ref="A3:J3"/>
    <mergeCell ref="A4:J4"/>
    <mergeCell ref="A11:E11"/>
    <mergeCell ref="A19:E19"/>
    <mergeCell ref="A6:E6"/>
    <mergeCell ref="A13:E13"/>
    <mergeCell ref="A7:E7"/>
    <mergeCell ref="A14:E14"/>
    <mergeCell ref="A16:E16"/>
    <mergeCell ref="A17:E17"/>
    <mergeCell ref="A18:E18"/>
    <mergeCell ref="A8:E8"/>
    <mergeCell ref="A9:E9"/>
    <mergeCell ref="A10:E10"/>
    <mergeCell ref="A48:D48"/>
    <mergeCell ref="A49:D49"/>
    <mergeCell ref="A50:D50"/>
    <mergeCell ref="A37:J37"/>
    <mergeCell ref="A40:D40"/>
    <mergeCell ref="A41:D41"/>
    <mergeCell ref="A42:D42"/>
    <mergeCell ref="A43:D43"/>
    <mergeCell ref="A34:D34"/>
    <mergeCell ref="A26:D26"/>
    <mergeCell ref="A25:D25"/>
    <mergeCell ref="A35:D35"/>
    <mergeCell ref="A45:J45"/>
    <mergeCell ref="A21:J21"/>
    <mergeCell ref="A30:J30"/>
    <mergeCell ref="A32:D32"/>
    <mergeCell ref="A33:D33"/>
    <mergeCell ref="A24:D24"/>
    <mergeCell ref="A28:D28"/>
    <mergeCell ref="A60:D60"/>
    <mergeCell ref="A58:D58"/>
    <mergeCell ref="A52:J52"/>
    <mergeCell ref="A55:D55"/>
    <mergeCell ref="A56:D56"/>
    <mergeCell ref="A57:D57"/>
    <mergeCell ref="A59:D59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002060"/>
  </sheetPr>
  <dimension ref="A1:P6"/>
  <sheetViews>
    <sheetView zoomScale="80" zoomScaleNormal="80" workbookViewId="0">
      <selection activeCell="Q32" sqref="Q32"/>
    </sheetView>
  </sheetViews>
  <sheetFormatPr baseColWidth="10" defaultColWidth="11.42578125" defaultRowHeight="15"/>
  <cols>
    <col min="1" max="16" width="13.140625" style="1" customWidth="1"/>
    <col min="17" max="16384" width="11.42578125" style="1"/>
  </cols>
  <sheetData>
    <row r="1" spans="1:16">
      <c r="A1" s="276" t="s">
        <v>11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8"/>
    </row>
    <row r="2" spans="1:16" ht="15.75" thickBot="1">
      <c r="A2" s="279"/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1"/>
    </row>
    <row r="3" spans="1:16">
      <c r="A3" s="270" t="str">
        <f>'Estado De Resultados'!B3</f>
        <v>A&amp;P SAS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82"/>
    </row>
    <row r="4" spans="1:16">
      <c r="A4" s="272" t="s">
        <v>11</v>
      </c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83"/>
    </row>
    <row r="5" spans="1:16">
      <c r="A5" s="272" t="s">
        <v>1</v>
      </c>
      <c r="B5" s="273"/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83"/>
    </row>
    <row r="6" spans="1:16" ht="15.75" thickBot="1">
      <c r="A6" s="274" t="s">
        <v>0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84"/>
    </row>
  </sheetData>
  <mergeCells count="5">
    <mergeCell ref="A1:P2"/>
    <mergeCell ref="A3:P3"/>
    <mergeCell ref="A4:P4"/>
    <mergeCell ref="A5:P5"/>
    <mergeCell ref="A6:P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2060"/>
  </sheetPr>
  <dimension ref="B1:H20"/>
  <sheetViews>
    <sheetView showGridLines="0" workbookViewId="0">
      <selection activeCell="E8" sqref="E8"/>
    </sheetView>
  </sheetViews>
  <sheetFormatPr baseColWidth="10" defaultColWidth="14" defaultRowHeight="15"/>
  <cols>
    <col min="2" max="2" width="14.140625" bestFit="1" customWidth="1"/>
    <col min="3" max="5" width="15.7109375" customWidth="1"/>
    <col min="7" max="7" width="14.5703125" customWidth="1"/>
    <col min="8" max="8" width="16.28515625" customWidth="1"/>
  </cols>
  <sheetData>
    <row r="1" spans="2:8" ht="15.75" thickBot="1"/>
    <row r="2" spans="2:8">
      <c r="B2" s="221" t="s">
        <v>48</v>
      </c>
      <c r="C2" s="18" t="s">
        <v>49</v>
      </c>
      <c r="D2" s="18"/>
      <c r="E2" s="222"/>
      <c r="G2" s="285" t="s">
        <v>59</v>
      </c>
      <c r="H2" s="286"/>
    </row>
    <row r="3" spans="2:8">
      <c r="B3" s="2">
        <v>0</v>
      </c>
      <c r="C3" s="6">
        <f>-'Ppto Aplic'!G27-'Ppto Aplic'!O27</f>
        <v>-71070000</v>
      </c>
      <c r="D3" s="6"/>
      <c r="E3" s="3"/>
      <c r="G3" s="2" t="s">
        <v>58</v>
      </c>
      <c r="H3" s="25">
        <f>+'DATOS GENERALES'!B18</f>
        <v>0.15</v>
      </c>
    </row>
    <row r="4" spans="2:8">
      <c r="B4" s="2">
        <v>1</v>
      </c>
      <c r="C4" s="6">
        <f>'Flujo de caja'!F19</f>
        <v>17229638.683962036</v>
      </c>
      <c r="D4" s="6">
        <f>C4*(1+$H$3)^-B4</f>
        <v>14982294.507793076</v>
      </c>
      <c r="E4" s="3">
        <f>C3+D4</f>
        <v>-56087705.492206924</v>
      </c>
      <c r="G4" s="2" t="s">
        <v>52</v>
      </c>
      <c r="H4" s="8">
        <f>NPV(H3,C4:C8)+C3</f>
        <v>23519632.748278245</v>
      </c>
    </row>
    <row r="5" spans="2:8">
      <c r="B5" s="2">
        <v>2</v>
      </c>
      <c r="C5" s="6">
        <f>'Flujo de caja'!G19</f>
        <v>21259036.304567382</v>
      </c>
      <c r="D5" s="6">
        <f t="shared" ref="D5:D8" si="0">C5*(1+$H$3)^-B5</f>
        <v>16074885.674531104</v>
      </c>
      <c r="E5" s="3">
        <f>E4+D5</f>
        <v>-40012819.817675821</v>
      </c>
      <c r="G5" s="2" t="s">
        <v>53</v>
      </c>
      <c r="H5" s="8">
        <f>PMT(H3,B8,C3)</f>
        <v>21201286.313440818</v>
      </c>
    </row>
    <row r="6" spans="2:8">
      <c r="B6" s="2">
        <v>3</v>
      </c>
      <c r="C6" s="6">
        <f>'Flujo de caja'!H19</f>
        <v>29539865.600633875</v>
      </c>
      <c r="D6" s="6">
        <f t="shared" si="0"/>
        <v>19422941.136276077</v>
      </c>
      <c r="E6" s="3">
        <f t="shared" ref="E6:E8" si="1">E5+D6</f>
        <v>-20589878.681399744</v>
      </c>
      <c r="G6" s="2" t="s">
        <v>54</v>
      </c>
      <c r="H6" s="9">
        <f>(H4-C3)/C3</f>
        <v>-1.3309361579890002</v>
      </c>
    </row>
    <row r="7" spans="2:8">
      <c r="B7" s="2">
        <v>4</v>
      </c>
      <c r="C7" s="6">
        <f>'Flujo de caja'!I19</f>
        <v>37140218.903869025</v>
      </c>
      <c r="D7" s="6">
        <f t="shared" si="0"/>
        <v>21235040.700322848</v>
      </c>
      <c r="E7" s="3">
        <f t="shared" si="1"/>
        <v>645162.01892310381</v>
      </c>
      <c r="G7" s="2" t="s">
        <v>55</v>
      </c>
      <c r="H7" s="10">
        <f>IRR(C3:C8)</f>
        <v>0.25991176958667506</v>
      </c>
    </row>
    <row r="8" spans="2:8" ht="15.75" thickBot="1">
      <c r="B8" s="4">
        <v>5</v>
      </c>
      <c r="C8" s="7">
        <f>'Flujo de caja'!J19</f>
        <v>46008731.111746803</v>
      </c>
      <c r="D8" s="7">
        <f t="shared" si="0"/>
        <v>22874470.729355134</v>
      </c>
      <c r="E8" s="5">
        <f t="shared" si="1"/>
        <v>23519632.748278238</v>
      </c>
      <c r="G8" s="2" t="s">
        <v>56</v>
      </c>
      <c r="H8" s="10">
        <f>MIRR(C3:C8,H3,)</f>
        <v>0.16294764442574516</v>
      </c>
    </row>
    <row r="9" spans="2:8" ht="15.75" thickBot="1">
      <c r="G9" s="4" t="s">
        <v>57</v>
      </c>
      <c r="H9" s="11">
        <f>IF(INTERCEPT(B7:B8,E7:E8)&gt;B8,"NO SE RECUPERA",INTERCEPT(B7:B8,E7:E8))</f>
        <v>3.9717955433130454</v>
      </c>
    </row>
    <row r="12" spans="2:8" ht="15.75" thickBot="1"/>
    <row r="13" spans="2:8">
      <c r="B13" s="19" t="s">
        <v>60</v>
      </c>
      <c r="C13" s="20" t="s">
        <v>61</v>
      </c>
      <c r="D13" s="20" t="s">
        <v>62</v>
      </c>
      <c r="E13" s="21" t="s">
        <v>63</v>
      </c>
    </row>
    <row r="14" spans="2:8" ht="19.5" customHeight="1">
      <c r="B14" s="22" t="s">
        <v>64</v>
      </c>
      <c r="C14" s="23">
        <v>0.3</v>
      </c>
      <c r="D14" s="23">
        <v>0.4</v>
      </c>
      <c r="E14" s="24">
        <v>0.3</v>
      </c>
    </row>
    <row r="15" spans="2:8">
      <c r="B15" s="12">
        <v>0</v>
      </c>
      <c r="C15" s="14">
        <f>C3</f>
        <v>-71070000</v>
      </c>
      <c r="D15" s="14">
        <f>C3</f>
        <v>-71070000</v>
      </c>
      <c r="E15" s="15">
        <f>C3</f>
        <v>-71070000</v>
      </c>
    </row>
    <row r="16" spans="2:8">
      <c r="B16" s="12">
        <v>1</v>
      </c>
      <c r="C16" s="14">
        <f>D16*70%</f>
        <v>12060747.078773424</v>
      </c>
      <c r="D16" s="14">
        <f>C4</f>
        <v>17229638.683962036</v>
      </c>
      <c r="E16" s="15">
        <f>D16*130%</f>
        <v>22398530.289150648</v>
      </c>
    </row>
    <row r="17" spans="2:5">
      <c r="B17" s="12">
        <v>2</v>
      </c>
      <c r="C17" s="14">
        <f>D17*70%</f>
        <v>14881325.413197165</v>
      </c>
      <c r="D17" s="14">
        <f t="shared" ref="D17:D20" si="2">C5</f>
        <v>21259036.304567382</v>
      </c>
      <c r="E17" s="15">
        <f t="shared" ref="E17:E20" si="3">D17*130%</f>
        <v>27636747.195937596</v>
      </c>
    </row>
    <row r="18" spans="2:5">
      <c r="B18" s="12">
        <v>3</v>
      </c>
      <c r="C18" s="14">
        <f t="shared" ref="C18:C20" si="4">D18*70%</f>
        <v>20677905.92044371</v>
      </c>
      <c r="D18" s="14">
        <f t="shared" si="2"/>
        <v>29539865.600633875</v>
      </c>
      <c r="E18" s="15">
        <f t="shared" si="3"/>
        <v>38401825.280824035</v>
      </c>
    </row>
    <row r="19" spans="2:5">
      <c r="B19" s="12">
        <v>4</v>
      </c>
      <c r="C19" s="14">
        <f t="shared" si="4"/>
        <v>25998153.232708316</v>
      </c>
      <c r="D19" s="14">
        <f t="shared" si="2"/>
        <v>37140218.903869025</v>
      </c>
      <c r="E19" s="15">
        <f t="shared" si="3"/>
        <v>48282284.575029738</v>
      </c>
    </row>
    <row r="20" spans="2:5" ht="15.75" thickBot="1">
      <c r="B20" s="13">
        <v>5</v>
      </c>
      <c r="C20" s="16">
        <f t="shared" si="4"/>
        <v>32206111.778222758</v>
      </c>
      <c r="D20" s="16">
        <f t="shared" si="2"/>
        <v>46008731.111746803</v>
      </c>
      <c r="E20" s="17">
        <f t="shared" si="3"/>
        <v>59811350.445270844</v>
      </c>
    </row>
  </sheetData>
  <sheetProtection algorithmName="SHA-512" hashValue="njvN57viMlHuucbTRC7i41F27LV/SOVruXazPGEOp34lUIfarE1vK9qYbIKv1ogTJ92MFVEDim2VDv1gTtCZBA==" saltValue="p5IFf4GGp4LuFjyuJBqtsA==" spinCount="100000" sheet="1" objects="1" scenarios="1"/>
  <mergeCells count="1">
    <mergeCell ref="G2:H2"/>
  </mergeCells>
  <pageMargins left="0.7" right="0.7" top="0.75" bottom="0.75" header="0.3" footer="0.3"/>
  <pageSetup paperSize="9" orientation="portrait" horizontalDpi="4294967293" verticalDpi="4294967293" r:id="rId1"/>
  <ignoredErrors>
    <ignoredError sqref="H9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34B05-2014-45F1-9EA0-B453D146A73E}">
  <sheetPr>
    <tabColor theme="2" tint="-0.89999084444715716"/>
  </sheetPr>
  <dimension ref="A1:G35"/>
  <sheetViews>
    <sheetView showGridLines="0" workbookViewId="0">
      <selection activeCell="C5" sqref="C5"/>
    </sheetView>
  </sheetViews>
  <sheetFormatPr baseColWidth="10" defaultColWidth="11.42578125" defaultRowHeight="15" zeroHeight="1"/>
  <cols>
    <col min="1" max="1" width="56.28515625" style="334" customWidth="1"/>
    <col min="2" max="2" width="19.28515625" style="290" customWidth="1"/>
    <col min="3" max="3" width="24.42578125" style="290" bestFit="1" customWidth="1"/>
    <col min="4" max="4" width="17.42578125" style="290" customWidth="1"/>
    <col min="5" max="5" width="22.140625" style="290" customWidth="1"/>
    <col min="6" max="6" width="18" style="290" customWidth="1"/>
    <col min="7" max="7" width="16.85546875" style="290" bestFit="1" customWidth="1"/>
    <col min="8" max="16381" width="11.42578125" style="290"/>
    <col min="16382" max="16382" width="4.140625" style="290" customWidth="1"/>
    <col min="16383" max="16383" width="3.7109375" style="290" customWidth="1"/>
    <col min="16384" max="16384" width="6.85546875" style="290" customWidth="1"/>
  </cols>
  <sheetData>
    <row r="1" spans="1:7">
      <c r="A1" s="295" t="s">
        <v>88</v>
      </c>
      <c r="B1" s="296"/>
      <c r="C1" s="296"/>
    </row>
    <row r="2" spans="1:7">
      <c r="A2" s="297"/>
      <c r="B2" s="296"/>
      <c r="C2" s="296"/>
    </row>
    <row r="3" spans="1:7">
      <c r="A3" s="298" t="s">
        <v>100</v>
      </c>
      <c r="B3" s="299" t="s">
        <v>105</v>
      </c>
      <c r="C3" s="299" t="s">
        <v>104</v>
      </c>
    </row>
    <row r="4" spans="1:7">
      <c r="A4" s="300" t="s">
        <v>195</v>
      </c>
      <c r="B4" s="301">
        <v>260536</v>
      </c>
      <c r="C4" s="302">
        <f>+(B4*C5)*1000000</f>
        <v>1172412000000000</v>
      </c>
      <c r="D4" s="303" t="s">
        <v>108</v>
      </c>
      <c r="E4" s="304">
        <f>+C4*4%</f>
        <v>46896480000000</v>
      </c>
    </row>
    <row r="5" spans="1:7">
      <c r="A5" s="305" t="s">
        <v>102</v>
      </c>
      <c r="B5" s="306"/>
      <c r="C5" s="307">
        <v>4500</v>
      </c>
      <c r="E5" s="304">
        <f>+C4*C6</f>
        <v>4689648000000</v>
      </c>
    </row>
    <row r="6" spans="1:7">
      <c r="A6" s="305" t="s">
        <v>101</v>
      </c>
      <c r="B6" s="308">
        <v>4.0000000000000001E-3</v>
      </c>
      <c r="C6" s="309">
        <v>4.0000000000000001E-3</v>
      </c>
      <c r="D6" s="303" t="s">
        <v>109</v>
      </c>
      <c r="E6" s="310"/>
    </row>
    <row r="7" spans="1:7">
      <c r="A7" s="305" t="s">
        <v>194</v>
      </c>
      <c r="B7" s="301">
        <f>+B4*B6</f>
        <v>1042.144</v>
      </c>
      <c r="C7" s="311">
        <f>+C4*C6</f>
        <v>4689648000000</v>
      </c>
    </row>
    <row r="8" spans="1:7">
      <c r="A8" s="305" t="s">
        <v>196</v>
      </c>
      <c r="B8" s="301">
        <f>+B7/12</f>
        <v>86.845333333333329</v>
      </c>
      <c r="C8" s="311">
        <f>+C7/12</f>
        <v>390804000000</v>
      </c>
    </row>
    <row r="9" spans="1:7">
      <c r="A9" s="312"/>
      <c r="B9" s="313"/>
      <c r="C9" s="296"/>
    </row>
    <row r="10" spans="1:7">
      <c r="A10" s="295"/>
      <c r="B10" s="313"/>
      <c r="C10" s="296"/>
    </row>
    <row r="11" spans="1:7" s="318" customFormat="1" ht="28.5">
      <c r="A11" s="314" t="s">
        <v>100</v>
      </c>
      <c r="B11" s="315" t="s">
        <v>107</v>
      </c>
      <c r="C11" s="316" t="s">
        <v>106</v>
      </c>
      <c r="D11" s="317"/>
    </row>
    <row r="12" spans="1:7">
      <c r="A12" s="319" t="s">
        <v>62</v>
      </c>
      <c r="B12" s="320">
        <v>0.01</v>
      </c>
      <c r="C12" s="320">
        <v>8.0000000000000002E-3</v>
      </c>
      <c r="D12" s="321"/>
      <c r="E12" s="322">
        <f>+$C$8*B12</f>
        <v>3908040000</v>
      </c>
      <c r="F12" s="304">
        <f>+E12*0.8%</f>
        <v>31264320</v>
      </c>
      <c r="G12" s="304"/>
    </row>
    <row r="13" spans="1:7">
      <c r="A13" s="319" t="s">
        <v>61</v>
      </c>
      <c r="B13" s="320">
        <v>6.0000000000000001E-3</v>
      </c>
      <c r="C13" s="320">
        <v>7.0000000000000001E-3</v>
      </c>
      <c r="D13" s="321"/>
      <c r="E13" s="322">
        <f>+$C$8*B13</f>
        <v>2344824000</v>
      </c>
      <c r="F13" s="304">
        <f>+F12*12</f>
        <v>375171840</v>
      </c>
    </row>
    <row r="14" spans="1:7">
      <c r="A14" s="319" t="s">
        <v>63</v>
      </c>
      <c r="B14" s="320">
        <v>1.2999999999999999E-2</v>
      </c>
      <c r="C14" s="320">
        <v>0.01</v>
      </c>
      <c r="D14" s="321"/>
      <c r="E14" s="322">
        <f>+$C$8*B14</f>
        <v>5080452000</v>
      </c>
    </row>
    <row r="15" spans="1:7">
      <c r="A15" s="297"/>
      <c r="B15" s="296"/>
      <c r="C15" s="296"/>
    </row>
    <row r="16" spans="1:7">
      <c r="A16" s="323" t="s">
        <v>112</v>
      </c>
      <c r="B16" s="324">
        <v>0.27</v>
      </c>
      <c r="C16" s="296"/>
    </row>
    <row r="17" spans="1:3">
      <c r="A17" s="323"/>
      <c r="B17" s="325">
        <f>(1+B16)^(1/12)-1</f>
        <v>2.0117763495523189E-2</v>
      </c>
      <c r="C17" s="296"/>
    </row>
    <row r="18" spans="1:3">
      <c r="A18" s="326" t="s">
        <v>58</v>
      </c>
      <c r="B18" s="327">
        <v>0.15</v>
      </c>
      <c r="C18" s="296"/>
    </row>
    <row r="19" spans="1:3">
      <c r="A19" s="326" t="s">
        <v>156</v>
      </c>
      <c r="B19" s="328">
        <v>6.9000000000000006E-2</v>
      </c>
      <c r="C19" s="296"/>
    </row>
    <row r="20" spans="1:3">
      <c r="A20" s="329" t="s">
        <v>157</v>
      </c>
      <c r="B20" s="328">
        <v>5.7000000000000002E-2</v>
      </c>
      <c r="C20" s="296"/>
    </row>
    <row r="21" spans="1:3">
      <c r="A21" s="329"/>
      <c r="B21" s="330"/>
      <c r="C21" s="296"/>
    </row>
    <row r="22" spans="1:3">
      <c r="A22" s="331"/>
      <c r="B22" s="330"/>
      <c r="C22" s="296"/>
    </row>
    <row r="23" spans="1:3">
      <c r="A23" s="326" t="s">
        <v>50</v>
      </c>
      <c r="B23" s="332">
        <v>60</v>
      </c>
      <c r="C23" s="296"/>
    </row>
    <row r="24" spans="1:3">
      <c r="A24" s="326" t="s">
        <v>51</v>
      </c>
      <c r="B24" s="332">
        <v>36</v>
      </c>
      <c r="C24" s="296"/>
    </row>
    <row r="25" spans="1:3">
      <c r="A25" s="329"/>
      <c r="B25" s="333"/>
      <c r="C25" s="296"/>
    </row>
    <row r="26" spans="1:3">
      <c r="A26" s="329"/>
      <c r="B26" s="333"/>
      <c r="C26" s="296"/>
    </row>
    <row r="27" spans="1:3">
      <c r="A27" s="329"/>
      <c r="B27" s="333"/>
      <c r="C27" s="296"/>
    </row>
    <row r="28" spans="1:3">
      <c r="A28" s="329"/>
      <c r="B28" s="333"/>
      <c r="C28" s="296"/>
    </row>
    <row r="29" spans="1:3">
      <c r="A29" s="329"/>
      <c r="B29" s="333"/>
      <c r="C29" s="296"/>
    </row>
    <row r="30" spans="1:3">
      <c r="A30" s="329"/>
      <c r="B30" s="333"/>
      <c r="C30" s="296"/>
    </row>
    <row r="31" spans="1:3">
      <c r="A31" s="329"/>
      <c r="B31" s="333"/>
      <c r="C31" s="296"/>
    </row>
    <row r="32" spans="1:3">
      <c r="A32" s="329"/>
      <c r="B32" s="333"/>
      <c r="C32" s="296"/>
    </row>
    <row r="33" spans="1:3">
      <c r="A33" s="297"/>
      <c r="B33" s="296"/>
      <c r="C33" s="296"/>
    </row>
    <row r="34" spans="1:3">
      <c r="A34" s="297" t="s">
        <v>110</v>
      </c>
      <c r="B34" s="296"/>
      <c r="C34" s="296"/>
    </row>
    <row r="35" spans="1:3">
      <c r="A35" s="297" t="s">
        <v>111</v>
      </c>
      <c r="B35" s="296"/>
      <c r="C35" s="296"/>
    </row>
  </sheetData>
  <sheetProtection algorithmName="SHA-512" hashValue="2sx/AUItQ98VnfIrYblcy9RGQzUuMIXaqTtex9dYcWjKsfMmsH7eh0T4ujzhcMvadGmd4Ad8oh9y+kg2oXSNCg==" saltValue="BO3uJt0YS/QBICp247E6GA==" spinCount="100000" sheet="1" objects="1" scenarios="1"/>
  <mergeCells count="1">
    <mergeCell ref="A16:A17"/>
  </mergeCells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D0F06-A710-46D8-8FDB-BC9CFAF6AAC4}">
  <sheetPr>
    <outlinePr summaryBelow="0"/>
  </sheetPr>
  <dimension ref="A1:S66"/>
  <sheetViews>
    <sheetView showGridLines="0" zoomScale="85" zoomScaleNormal="85" workbookViewId="0">
      <selection activeCell="I8" sqref="I8"/>
    </sheetView>
  </sheetViews>
  <sheetFormatPr baseColWidth="10" defaultRowHeight="15"/>
  <cols>
    <col min="1" max="1" width="11.42578125" style="290"/>
    <col min="2" max="2" width="5.140625" style="290" customWidth="1"/>
    <col min="3" max="3" width="40.85546875" style="290" bestFit="1" customWidth="1"/>
    <col min="4" max="4" width="10.7109375" style="290" customWidth="1"/>
    <col min="5" max="6" width="15.140625" style="290" bestFit="1" customWidth="1"/>
    <col min="7" max="7" width="12.5703125" style="290" customWidth="1"/>
    <col min="8" max="8" width="12.5703125" style="290" bestFit="1" customWidth="1"/>
    <col min="9" max="9" width="11.42578125" style="290"/>
    <col min="10" max="10" width="27.85546875" style="290" customWidth="1"/>
    <col min="11" max="11" width="16.28515625" style="290" bestFit="1" customWidth="1"/>
    <col min="12" max="12" width="16" style="290" customWidth="1"/>
    <col min="13" max="13" width="7" style="290" customWidth="1"/>
    <col min="14" max="14" width="15.140625" style="343" bestFit="1" customWidth="1"/>
    <col min="15" max="15" width="18.5703125" style="290" customWidth="1"/>
    <col min="16" max="16" width="14.28515625" style="290" customWidth="1"/>
    <col min="17" max="18" width="15.28515625" style="290" customWidth="1"/>
    <col min="19" max="16384" width="11.42578125" style="290"/>
  </cols>
  <sheetData>
    <row r="1" spans="1:19">
      <c r="N1" s="335" t="s">
        <v>232</v>
      </c>
      <c r="O1" s="336">
        <v>63070000</v>
      </c>
      <c r="P1" s="337" t="s">
        <v>234</v>
      </c>
      <c r="R1" s="338">
        <v>0.27450000000000002</v>
      </c>
      <c r="S1" s="290" t="s">
        <v>233</v>
      </c>
    </row>
    <row r="2" spans="1:19" ht="16.5" thickBot="1">
      <c r="A2" s="339" t="s">
        <v>62</v>
      </c>
      <c r="B2" s="340">
        <v>1</v>
      </c>
      <c r="C2" s="341"/>
      <c r="D2" s="341"/>
      <c r="E2" s="342" t="s">
        <v>62</v>
      </c>
      <c r="F2" s="342" t="s">
        <v>61</v>
      </c>
      <c r="G2" s="342" t="s">
        <v>63</v>
      </c>
      <c r="H2" s="342" t="s">
        <v>281</v>
      </c>
      <c r="N2" s="335" t="s">
        <v>238</v>
      </c>
      <c r="O2" s="343">
        <v>60</v>
      </c>
      <c r="R2" s="290">
        <v>2.0418491295787433E-2</v>
      </c>
      <c r="S2" s="290" t="s">
        <v>235</v>
      </c>
    </row>
    <row r="3" spans="1:19" ht="16.5" thickBot="1">
      <c r="A3" s="339" t="s">
        <v>61</v>
      </c>
      <c r="B3" s="340">
        <v>2</v>
      </c>
      <c r="C3" s="344" t="s">
        <v>92</v>
      </c>
      <c r="D3" s="345"/>
      <c r="E3" s="346">
        <f>SUM(E4:E10)</f>
        <v>14423936.888888888</v>
      </c>
      <c r="F3" s="346">
        <f t="shared" ref="F3:G3" si="0">SUM(F4:F10)</f>
        <v>15451275.777777778</v>
      </c>
      <c r="G3" s="346">
        <f t="shared" si="0"/>
        <v>13910267.444444444</v>
      </c>
      <c r="H3" s="346">
        <f>SUM(H4:H10)</f>
        <v>12423936.888888888</v>
      </c>
      <c r="N3" s="335" t="s">
        <v>236</v>
      </c>
      <c r="O3" s="347">
        <v>1832826.4155250331</v>
      </c>
    </row>
    <row r="4" spans="1:19" ht="15.75">
      <c r="A4" s="339" t="s">
        <v>63</v>
      </c>
      <c r="B4" s="340">
        <v>3</v>
      </c>
      <c r="C4" s="348" t="s">
        <v>34</v>
      </c>
      <c r="D4" s="349"/>
      <c r="E4" s="350">
        <f>+'Ppto Aplic'!G27/60</f>
        <v>1051166.6666666667</v>
      </c>
      <c r="F4" s="350">
        <f>+E4*110/100</f>
        <v>1156283.3333333335</v>
      </c>
      <c r="G4" s="350">
        <f>+E4*95/100</f>
        <v>998608.33333333349</v>
      </c>
      <c r="H4" s="350">
        <f>+E4</f>
        <v>1051166.6666666667</v>
      </c>
    </row>
    <row r="5" spans="1:19" ht="15.75">
      <c r="A5" s="339" t="s">
        <v>281</v>
      </c>
      <c r="B5" s="340">
        <v>4</v>
      </c>
      <c r="C5" s="351" t="s">
        <v>39</v>
      </c>
      <c r="D5" s="351"/>
      <c r="E5" s="352">
        <f>+'Ppto Aplic'!O27/36</f>
        <v>222222.22222222222</v>
      </c>
      <c r="F5" s="352">
        <f t="shared" ref="F5:F7" si="1">+E5*110/100</f>
        <v>244444.44444444444</v>
      </c>
      <c r="G5" s="352">
        <f>+E5*95/100</f>
        <v>211111.11111111112</v>
      </c>
      <c r="H5" s="352">
        <f>+E5</f>
        <v>222222.22222222222</v>
      </c>
      <c r="N5" s="353" t="s">
        <v>236</v>
      </c>
      <c r="O5" s="353" t="s">
        <v>231</v>
      </c>
      <c r="P5" s="353" t="s">
        <v>237</v>
      </c>
      <c r="Q5" s="353" t="s">
        <v>236</v>
      </c>
      <c r="R5" s="354" t="s">
        <v>232</v>
      </c>
    </row>
    <row r="6" spans="1:19">
      <c r="C6" s="351" t="s">
        <v>35</v>
      </c>
      <c r="D6" s="351"/>
      <c r="E6" s="352">
        <v>5000000</v>
      </c>
      <c r="F6" s="352">
        <f t="shared" si="1"/>
        <v>5500000</v>
      </c>
      <c r="G6" s="352">
        <f>+E6*95/100</f>
        <v>4750000</v>
      </c>
      <c r="H6" s="352">
        <v>4000000</v>
      </c>
      <c r="N6" s="343">
        <v>0</v>
      </c>
      <c r="O6" s="336">
        <f>+O1</f>
        <v>63070000</v>
      </c>
      <c r="P6" s="355"/>
      <c r="Q6" s="355"/>
      <c r="S6" s="355"/>
    </row>
    <row r="7" spans="1:19">
      <c r="C7" s="351" t="s">
        <v>36</v>
      </c>
      <c r="D7" s="351"/>
      <c r="E7" s="352">
        <v>4000000</v>
      </c>
      <c r="F7" s="352">
        <f t="shared" si="1"/>
        <v>4400000</v>
      </c>
      <c r="G7" s="352">
        <f>+E7*95/100</f>
        <v>3800000</v>
      </c>
      <c r="H7" s="352">
        <v>3000000</v>
      </c>
      <c r="N7" s="356">
        <v>1</v>
      </c>
      <c r="O7" s="357">
        <f>IF($O$2&gt;=M7,O6-R7,"")</f>
        <v>62524967.830500282</v>
      </c>
      <c r="P7" s="357">
        <f>IF($O$2&gt;=M7,O6*$R$2,"")</f>
        <v>1287794.2460253134</v>
      </c>
      <c r="Q7" s="358">
        <f t="shared" ref="Q7:Q66" si="2">+$O$3</f>
        <v>1832826.4155250331</v>
      </c>
      <c r="R7" s="357">
        <f t="shared" ref="R7:R54" si="3">IF($O$2&gt;=M7,Q7-P7,"")</f>
        <v>545032.16949971975</v>
      </c>
      <c r="S7" s="355"/>
    </row>
    <row r="8" spans="1:19">
      <c r="C8" s="351" t="s">
        <v>122</v>
      </c>
      <c r="D8" s="351"/>
      <c r="E8" s="352">
        <f>+Nomina!$J$13</f>
        <v>3000000</v>
      </c>
      <c r="F8" s="352">
        <f>+Nomina!$J$13</f>
        <v>3000000</v>
      </c>
      <c r="G8" s="352">
        <f>+Nomina!$J$13</f>
        <v>3000000</v>
      </c>
      <c r="H8" s="352">
        <f>+Nomina!$J$13</f>
        <v>3000000</v>
      </c>
      <c r="N8" s="356">
        <v>2</v>
      </c>
      <c r="O8" s="357">
        <f t="shared" ref="O8:O54" si="4">IF($O$2&gt;=M8,O7-R8,"")</f>
        <v>61968806.926391706</v>
      </c>
      <c r="P8" s="357">
        <f t="shared" ref="P8:P54" si="5">IF($O$2&gt;=M8,O7*$R$2,"")</f>
        <v>1276665.5114164592</v>
      </c>
      <c r="Q8" s="358">
        <f t="shared" si="2"/>
        <v>1832826.4155250331</v>
      </c>
      <c r="R8" s="357">
        <f t="shared" si="3"/>
        <v>556160.90410857392</v>
      </c>
      <c r="S8" s="355"/>
    </row>
    <row r="9" spans="1:19">
      <c r="C9" s="351" t="s">
        <v>42</v>
      </c>
      <c r="D9" s="351"/>
      <c r="E9" s="352">
        <f>+Nomina!$X$13</f>
        <v>495660</v>
      </c>
      <c r="F9" s="352">
        <f>+Nomina!$X$13</f>
        <v>495660</v>
      </c>
      <c r="G9" s="352">
        <f>+Nomina!$X$13</f>
        <v>495660</v>
      </c>
      <c r="H9" s="352">
        <f>+Nomina!$X$13</f>
        <v>495660</v>
      </c>
      <c r="N9" s="356">
        <v>3</v>
      </c>
      <c r="O9" s="357">
        <f t="shared" si="4"/>
        <v>61401290.055703536</v>
      </c>
      <c r="P9" s="357">
        <f t="shared" si="5"/>
        <v>1265309.5448368611</v>
      </c>
      <c r="Q9" s="358">
        <f t="shared" si="2"/>
        <v>1832826.4155250331</v>
      </c>
      <c r="R9" s="357">
        <f t="shared" si="3"/>
        <v>567516.87068817206</v>
      </c>
      <c r="S9" s="355"/>
    </row>
    <row r="10" spans="1:19">
      <c r="C10" s="351" t="s">
        <v>162</v>
      </c>
      <c r="D10" s="351"/>
      <c r="E10" s="352">
        <f>+Nomina!$AD$13</f>
        <v>654888</v>
      </c>
      <c r="F10" s="352">
        <f>+Nomina!$AD$13</f>
        <v>654888</v>
      </c>
      <c r="G10" s="352">
        <f>+Nomina!$AD$13</f>
        <v>654888</v>
      </c>
      <c r="H10" s="352">
        <f>+Nomina!$AD$13</f>
        <v>654888</v>
      </c>
      <c r="N10" s="356">
        <v>4</v>
      </c>
      <c r="O10" s="357">
        <f t="shared" si="4"/>
        <v>60822185.346731007</v>
      </c>
      <c r="P10" s="357">
        <f t="shared" si="5"/>
        <v>1253721.7065525022</v>
      </c>
      <c r="Q10" s="358">
        <f t="shared" si="2"/>
        <v>1832826.4155250331</v>
      </c>
      <c r="R10" s="357">
        <f t="shared" si="3"/>
        <v>579104.70897253091</v>
      </c>
      <c r="S10" s="355"/>
    </row>
    <row r="11" spans="1:19">
      <c r="C11" s="359"/>
      <c r="D11" s="359"/>
      <c r="E11" s="360"/>
      <c r="F11" s="361"/>
      <c r="G11" s="340"/>
      <c r="H11" s="360"/>
      <c r="N11" s="356">
        <v>5</v>
      </c>
      <c r="O11" s="357">
        <f t="shared" si="4"/>
        <v>60231256.193298973</v>
      </c>
      <c r="P11" s="357">
        <f t="shared" si="5"/>
        <v>1241897.2620929971</v>
      </c>
      <c r="Q11" s="358">
        <f t="shared" si="2"/>
        <v>1832826.4155250331</v>
      </c>
      <c r="R11" s="357">
        <f t="shared" si="3"/>
        <v>590929.15343203605</v>
      </c>
      <c r="S11" s="355"/>
    </row>
    <row r="12" spans="1:19">
      <c r="C12" s="362" t="s">
        <v>44</v>
      </c>
      <c r="D12" s="363"/>
      <c r="E12" s="363"/>
      <c r="F12" s="363"/>
      <c r="G12" s="363"/>
      <c r="H12" s="363"/>
      <c r="N12" s="356">
        <v>6</v>
      </c>
      <c r="O12" s="357">
        <f t="shared" si="4"/>
        <v>59628261.158091158</v>
      </c>
      <c r="P12" s="357">
        <f t="shared" si="5"/>
        <v>1229831.3803172179</v>
      </c>
      <c r="Q12" s="358">
        <f t="shared" si="2"/>
        <v>1832826.4155250331</v>
      </c>
      <c r="R12" s="357">
        <f t="shared" si="3"/>
        <v>602995.03520781524</v>
      </c>
      <c r="S12" s="355"/>
    </row>
    <row r="13" spans="1:19" ht="15.75" thickBot="1">
      <c r="C13" s="364"/>
      <c r="D13" s="364"/>
      <c r="E13" s="364"/>
      <c r="F13" s="364"/>
      <c r="G13" s="365"/>
      <c r="N13" s="356">
        <v>7</v>
      </c>
      <c r="O13" s="357">
        <f t="shared" si="4"/>
        <v>59012953.874005549</v>
      </c>
      <c r="P13" s="357">
        <f t="shared" si="5"/>
        <v>1217519.1314394241</v>
      </c>
      <c r="Q13" s="358">
        <f t="shared" si="2"/>
        <v>1832826.4155250331</v>
      </c>
      <c r="R13" s="357">
        <f t="shared" si="3"/>
        <v>615307.28408560902</v>
      </c>
      <c r="S13" s="355"/>
    </row>
    <row r="14" spans="1:19" ht="15.75" thickBot="1">
      <c r="C14" s="366" t="s">
        <v>93</v>
      </c>
      <c r="D14" s="345"/>
      <c r="E14" s="346">
        <f>SUM(E15:E16)</f>
        <v>7190793.5999999996</v>
      </c>
      <c r="F14" s="346">
        <f t="shared" ref="F14:G14" si="6">SUM(F15:F16)</f>
        <v>2888823.1679999996</v>
      </c>
      <c r="G14" s="367">
        <f t="shared" si="6"/>
        <v>8941595.5200000014</v>
      </c>
      <c r="H14" s="346">
        <f>SUM(H15:H16)</f>
        <v>7190793.5999999996</v>
      </c>
      <c r="N14" s="356">
        <v>8</v>
      </c>
      <c r="O14" s="357">
        <f t="shared" si="4"/>
        <v>58385082.943495601</v>
      </c>
      <c r="P14" s="357">
        <f t="shared" si="5"/>
        <v>1204955.4850150875</v>
      </c>
      <c r="Q14" s="358">
        <f t="shared" si="2"/>
        <v>1832826.4155250331</v>
      </c>
      <c r="R14" s="357">
        <f t="shared" si="3"/>
        <v>627870.93050994561</v>
      </c>
      <c r="S14" s="355"/>
    </row>
    <row r="15" spans="1:19">
      <c r="C15" s="349" t="s">
        <v>103</v>
      </c>
      <c r="D15" s="349"/>
      <c r="E15" s="350">
        <f>+'Ppto Gral'!D33</f>
        <v>6252864</v>
      </c>
      <c r="F15" s="350">
        <v>2407352.6399999997</v>
      </c>
      <c r="G15" s="350">
        <v>7451329.6000000006</v>
      </c>
      <c r="H15" s="350">
        <f>+E15</f>
        <v>6252864</v>
      </c>
      <c r="N15" s="356">
        <v>9</v>
      </c>
      <c r="O15" s="357">
        <f t="shared" si="4"/>
        <v>57744391.835856162</v>
      </c>
      <c r="P15" s="357">
        <f t="shared" si="5"/>
        <v>1192135.3078855923</v>
      </c>
      <c r="Q15" s="358">
        <f t="shared" si="2"/>
        <v>1832826.4155250331</v>
      </c>
      <c r="R15" s="357">
        <f t="shared" si="3"/>
        <v>640691.1076394408</v>
      </c>
      <c r="S15" s="355"/>
    </row>
    <row r="16" spans="1:19">
      <c r="C16" s="351" t="s">
        <v>38</v>
      </c>
      <c r="D16" s="351"/>
      <c r="E16" s="350">
        <v>937929.6</v>
      </c>
      <c r="F16" s="352">
        <v>481470.52799999999</v>
      </c>
      <c r="G16" s="352">
        <v>1490265.9200000002</v>
      </c>
      <c r="H16" s="350">
        <v>937929.6</v>
      </c>
      <c r="N16" s="356">
        <v>10</v>
      </c>
      <c r="O16" s="357">
        <f t="shared" si="4"/>
        <v>57090618.782412097</v>
      </c>
      <c r="P16" s="357">
        <f t="shared" si="5"/>
        <v>1179053.362080968</v>
      </c>
      <c r="Q16" s="358">
        <f t="shared" si="2"/>
        <v>1832826.4155250331</v>
      </c>
      <c r="R16" s="357">
        <f t="shared" si="3"/>
        <v>653773.05344406515</v>
      </c>
      <c r="S16" s="355"/>
    </row>
    <row r="17" spans="3:19">
      <c r="C17" s="359"/>
      <c r="D17" s="359"/>
      <c r="E17" s="360"/>
      <c r="F17" s="359"/>
      <c r="G17" s="340"/>
      <c r="I17" s="368"/>
      <c r="J17" s="368"/>
      <c r="K17" s="369"/>
      <c r="L17" s="369"/>
      <c r="N17" s="356">
        <v>11</v>
      </c>
      <c r="O17" s="357">
        <f t="shared" si="4"/>
        <v>56423496.669566862</v>
      </c>
      <c r="P17" s="357">
        <f t="shared" si="5"/>
        <v>1165704.3026798</v>
      </c>
      <c r="Q17" s="358">
        <f t="shared" si="2"/>
        <v>1832826.4155250331</v>
      </c>
      <c r="R17" s="357">
        <f t="shared" si="3"/>
        <v>667122.11284523318</v>
      </c>
      <c r="S17" s="355"/>
    </row>
    <row r="18" spans="3:19">
      <c r="C18" s="370" t="s">
        <v>40</v>
      </c>
      <c r="D18" s="371"/>
      <c r="E18" s="371"/>
      <c r="F18" s="371"/>
      <c r="G18" s="371"/>
      <c r="H18" s="371"/>
      <c r="I18" s="368"/>
      <c r="J18" s="368"/>
      <c r="K18" s="369"/>
      <c r="L18" s="369"/>
      <c r="N18" s="356">
        <v>12</v>
      </c>
      <c r="O18" s="357">
        <f t="shared" si="4"/>
        <v>55742752.929667272</v>
      </c>
      <c r="P18" s="357">
        <f t="shared" si="5"/>
        <v>1152082.6756254423</v>
      </c>
      <c r="Q18" s="358">
        <f t="shared" si="2"/>
        <v>1832826.4155250331</v>
      </c>
      <c r="R18" s="357">
        <f t="shared" si="3"/>
        <v>680743.73989959084</v>
      </c>
      <c r="S18" s="355"/>
    </row>
    <row r="19" spans="3:19" ht="15.75" thickBot="1">
      <c r="C19" s="372"/>
      <c r="D19" s="372"/>
      <c r="E19" s="373"/>
      <c r="F19" s="372"/>
      <c r="G19" s="365"/>
      <c r="I19" s="368"/>
      <c r="J19" s="368"/>
      <c r="K19" s="369"/>
      <c r="L19" s="369"/>
      <c r="N19" s="374">
        <v>13</v>
      </c>
      <c r="O19" s="375">
        <f t="shared" si="4"/>
        <v>55048109.429639876</v>
      </c>
      <c r="P19" s="375">
        <f t="shared" si="5"/>
        <v>1138182.9154976406</v>
      </c>
      <c r="Q19" s="376">
        <f t="shared" si="2"/>
        <v>1832826.4155250331</v>
      </c>
      <c r="R19" s="375">
        <f t="shared" si="3"/>
        <v>694643.50002739253</v>
      </c>
      <c r="S19" s="355"/>
    </row>
    <row r="20" spans="3:19" ht="15.75" thickBot="1">
      <c r="C20" s="366" t="s">
        <v>94</v>
      </c>
      <c r="D20" s="345"/>
      <c r="E20" s="346">
        <f>SUM(E21:E27)</f>
        <v>12185712.830021305</v>
      </c>
      <c r="F20" s="346">
        <f t="shared" ref="F20:G20" si="7">SUM(F21:F27)</f>
        <v>12518778.577864248</v>
      </c>
      <c r="G20" s="367">
        <f t="shared" si="7"/>
        <v>12134202.896430647</v>
      </c>
      <c r="H20" s="346">
        <f>SUM(H21:H27)</f>
        <v>13729416.351790648</v>
      </c>
      <c r="I20" s="368"/>
      <c r="J20" s="368"/>
      <c r="K20" s="369"/>
      <c r="L20" s="369"/>
      <c r="N20" s="374">
        <v>14</v>
      </c>
      <c r="O20" s="375">
        <f t="shared" si="4"/>
        <v>54339282.357353501</v>
      </c>
      <c r="P20" s="375">
        <f t="shared" si="5"/>
        <v>1123999.3432386559</v>
      </c>
      <c r="Q20" s="376">
        <f t="shared" si="2"/>
        <v>1832826.4155250331</v>
      </c>
      <c r="R20" s="375">
        <f t="shared" si="3"/>
        <v>708827.0722863772</v>
      </c>
      <c r="S20" s="355"/>
    </row>
    <row r="21" spans="3:19">
      <c r="C21" s="349" t="s">
        <v>41</v>
      </c>
      <c r="D21" s="349"/>
      <c r="E21" s="350">
        <f>+(Nomina!$J$10+Nomina!$J$11+Nomina!$J$12)</f>
        <v>5100000</v>
      </c>
      <c r="F21" s="350">
        <f>+(Nomina!$J$10+Nomina!$J$11+Nomina!$J$12)</f>
        <v>5100000</v>
      </c>
      <c r="G21" s="350">
        <f>+(Nomina!$J$10+Nomina!$J$11+Nomina!$J$12)</f>
        <v>5100000</v>
      </c>
      <c r="H21" s="350">
        <f>+(Nomina!$J$10+Nomina!$J$11+Nomina!$J$12)</f>
        <v>5100000</v>
      </c>
      <c r="I21" s="287"/>
      <c r="J21" s="368"/>
      <c r="K21" s="377"/>
      <c r="L21" s="377"/>
      <c r="N21" s="374">
        <v>15</v>
      </c>
      <c r="O21" s="375">
        <f t="shared" si="4"/>
        <v>53615982.105661429</v>
      </c>
      <c r="P21" s="375">
        <f t="shared" si="5"/>
        <v>1109526.1638329581</v>
      </c>
      <c r="Q21" s="376">
        <f t="shared" si="2"/>
        <v>1832826.4155250331</v>
      </c>
      <c r="R21" s="375">
        <f t="shared" si="3"/>
        <v>723300.25169207505</v>
      </c>
      <c r="S21" s="355"/>
    </row>
    <row r="22" spans="3:19">
      <c r="C22" s="351" t="s">
        <v>65</v>
      </c>
      <c r="D22" s="351"/>
      <c r="E22" s="352">
        <f>+(Nomina!$M$10+Nomina!$M$11+Nomina!$M$12)</f>
        <v>235424</v>
      </c>
      <c r="F22" s="352">
        <f>+(Nomina!$M$10+Nomina!$M$11+Nomina!$M$12)</f>
        <v>235424</v>
      </c>
      <c r="G22" s="352">
        <f>+(Nomina!$M$10+Nomina!$M$11+Nomina!$M$12)</f>
        <v>235424</v>
      </c>
      <c r="H22" s="352">
        <f>+(Nomina!$M$10+Nomina!$M$11+Nomina!$M$12)</f>
        <v>235424</v>
      </c>
      <c r="I22" s="287"/>
      <c r="J22" s="287"/>
      <c r="K22" s="287"/>
      <c r="L22" s="377"/>
      <c r="N22" s="374">
        <v>16</v>
      </c>
      <c r="O22" s="375">
        <f t="shared" si="4"/>
        <v>52877913.154075935</v>
      </c>
      <c r="P22" s="375">
        <f t="shared" si="5"/>
        <v>1094757.4639395426</v>
      </c>
      <c r="Q22" s="376">
        <f t="shared" si="2"/>
        <v>1832826.4155250331</v>
      </c>
      <c r="R22" s="375">
        <f t="shared" si="3"/>
        <v>738068.95158549049</v>
      </c>
      <c r="S22" s="355"/>
    </row>
    <row r="23" spans="3:19">
      <c r="C23" s="351" t="s">
        <v>42</v>
      </c>
      <c r="D23" s="351"/>
      <c r="E23" s="352">
        <f>SUM(Nomina!$X$10:$X$12)</f>
        <v>842622</v>
      </c>
      <c r="F23" s="352">
        <f>SUM(Nomina!$X$10:$X$12)</f>
        <v>842622</v>
      </c>
      <c r="G23" s="352">
        <f>SUM(Nomina!$X$10:$X$12)</f>
        <v>842622</v>
      </c>
      <c r="H23" s="352">
        <f>SUM(Nomina!$X$10:$X$12)</f>
        <v>842622</v>
      </c>
      <c r="I23" s="287"/>
      <c r="J23" s="287"/>
      <c r="K23" s="287"/>
      <c r="L23" s="287"/>
      <c r="N23" s="374">
        <v>17</v>
      </c>
      <c r="O23" s="375">
        <f t="shared" si="4"/>
        <v>52124773.948026806</v>
      </c>
      <c r="P23" s="375">
        <f t="shared" si="5"/>
        <v>1079687.2094759033</v>
      </c>
      <c r="Q23" s="376">
        <f t="shared" si="2"/>
        <v>1832826.4155250331</v>
      </c>
      <c r="R23" s="375">
        <f t="shared" si="3"/>
        <v>753139.20604912983</v>
      </c>
      <c r="S23" s="355"/>
    </row>
    <row r="24" spans="3:19">
      <c r="C24" s="351" t="s">
        <v>66</v>
      </c>
      <c r="D24" s="351"/>
      <c r="E24" s="352">
        <f>SUM(Nomina!$AD$10:$AD$12)</f>
        <v>1154884.5367040001</v>
      </c>
      <c r="F24" s="352">
        <f>SUM(Nomina!$AD$10:$AD$12)</f>
        <v>1154884.5367040001</v>
      </c>
      <c r="G24" s="352">
        <f>SUM(Nomina!$AD$10:$AD$12)</f>
        <v>1154884.5367040001</v>
      </c>
      <c r="H24" s="352">
        <f>SUM(Nomina!$AD$10:$AD$12)</f>
        <v>1154884.5367040001</v>
      </c>
      <c r="N24" s="374">
        <v>18</v>
      </c>
      <c r="O24" s="375">
        <f t="shared" si="4"/>
        <v>51356256.775654443</v>
      </c>
      <c r="P24" s="375">
        <f t="shared" si="5"/>
        <v>1064309.2431526729</v>
      </c>
      <c r="Q24" s="376">
        <f t="shared" si="2"/>
        <v>1832826.4155250331</v>
      </c>
      <c r="R24" s="375">
        <f t="shared" si="3"/>
        <v>768517.17237236025</v>
      </c>
      <c r="S24" s="355"/>
    </row>
    <row r="25" spans="3:19">
      <c r="C25" s="351" t="s">
        <v>45</v>
      </c>
      <c r="D25" s="351"/>
      <c r="E25" s="352">
        <v>3500000</v>
      </c>
      <c r="F25" s="352">
        <f t="shared" ref="F25" si="8">+E25*110/100</f>
        <v>3850000</v>
      </c>
      <c r="G25" s="352">
        <f>+E25*95/100</f>
        <v>3325000</v>
      </c>
      <c r="H25" s="352">
        <v>5000000</v>
      </c>
      <c r="N25" s="374">
        <v>19</v>
      </c>
      <c r="O25" s="375">
        <f t="shared" si="4"/>
        <v>50572047.642087333</v>
      </c>
      <c r="P25" s="375">
        <f t="shared" si="5"/>
        <v>1048617.2819579246</v>
      </c>
      <c r="Q25" s="376">
        <f t="shared" si="2"/>
        <v>1832826.4155250331</v>
      </c>
      <c r="R25" s="375">
        <f t="shared" si="3"/>
        <v>784209.13356710854</v>
      </c>
      <c r="S25" s="355"/>
    </row>
    <row r="26" spans="3:19">
      <c r="C26" s="351" t="s">
        <v>97</v>
      </c>
      <c r="D26" s="351"/>
      <c r="E26" s="352">
        <v>130559.80031999999</v>
      </c>
      <c r="F26" s="352">
        <v>67020.697497599991</v>
      </c>
      <c r="G26" s="352">
        <v>207445.01606400002</v>
      </c>
      <c r="H26" s="352">
        <v>127658.47142400002</v>
      </c>
      <c r="N26" s="374">
        <v>20</v>
      </c>
      <c r="O26" s="375">
        <f t="shared" si="4"/>
        <v>49771826.141152404</v>
      </c>
      <c r="P26" s="375">
        <f t="shared" si="5"/>
        <v>1032604.9145901076</v>
      </c>
      <c r="Q26" s="376">
        <f t="shared" si="2"/>
        <v>1832826.4155250331</v>
      </c>
      <c r="R26" s="375">
        <f t="shared" si="3"/>
        <v>800221.50093492551</v>
      </c>
      <c r="S26" s="355"/>
    </row>
    <row r="27" spans="3:19">
      <c r="C27" s="351" t="s">
        <v>96</v>
      </c>
      <c r="D27" s="351"/>
      <c r="E27" s="352">
        <f>SUM(P7:P18)/12</f>
        <v>1222222.4929973052</v>
      </c>
      <c r="F27" s="352">
        <v>1268827.3436626475</v>
      </c>
      <c r="G27" s="352">
        <v>1268827.3436626475</v>
      </c>
      <c r="H27" s="352">
        <v>1268827.3436626475</v>
      </c>
      <c r="N27" s="374">
        <v>21</v>
      </c>
      <c r="O27" s="375">
        <f t="shared" si="4"/>
        <v>48955265.324465938</v>
      </c>
      <c r="P27" s="375">
        <f t="shared" si="5"/>
        <v>1016265.5988385658</v>
      </c>
      <c r="Q27" s="376">
        <f t="shared" si="2"/>
        <v>1832826.4155250331</v>
      </c>
      <c r="R27" s="375">
        <f t="shared" si="3"/>
        <v>816560.81668646738</v>
      </c>
      <c r="S27" s="355"/>
    </row>
    <row r="28" spans="3:19" ht="15.75" thickBot="1">
      <c r="C28" s="372"/>
      <c r="D28" s="372"/>
      <c r="E28" s="372"/>
      <c r="F28" s="372"/>
      <c r="G28" s="365"/>
      <c r="H28" s="372"/>
      <c r="N28" s="374">
        <v>22</v>
      </c>
      <c r="O28" s="375">
        <f t="shared" si="4"/>
        <v>48122031.567851476</v>
      </c>
      <c r="P28" s="375">
        <f t="shared" si="5"/>
        <v>999592.65891057206</v>
      </c>
      <c r="Q28" s="376">
        <f t="shared" si="2"/>
        <v>1832826.4155250331</v>
      </c>
      <c r="R28" s="375">
        <f t="shared" si="3"/>
        <v>833233.75661446108</v>
      </c>
      <c r="S28" s="355"/>
    </row>
    <row r="29" spans="3:19" ht="15.75" thickBot="1">
      <c r="C29" s="366" t="s">
        <v>95</v>
      </c>
      <c r="D29" s="345"/>
      <c r="E29" s="378">
        <f>+E3+E14+E20</f>
        <v>33800443.318910196</v>
      </c>
      <c r="F29" s="378">
        <f>+F3+F14+F20</f>
        <v>30858877.523642026</v>
      </c>
      <c r="G29" s="379">
        <f>+G3+G14+G20</f>
        <v>34986065.860875092</v>
      </c>
      <c r="H29" s="378">
        <f>+H3+H14+H20</f>
        <v>33344146.840679538</v>
      </c>
      <c r="N29" s="374">
        <v>23</v>
      </c>
      <c r="O29" s="375">
        <f t="shared" si="4"/>
        <v>47271784.435030229</v>
      </c>
      <c r="P29" s="375">
        <f t="shared" si="5"/>
        <v>982579.28270378348</v>
      </c>
      <c r="Q29" s="376">
        <f t="shared" si="2"/>
        <v>1832826.4155250331</v>
      </c>
      <c r="R29" s="375">
        <f t="shared" si="3"/>
        <v>850247.13282124966</v>
      </c>
      <c r="S29" s="355"/>
    </row>
    <row r="30" spans="3:19">
      <c r="C30" s="321"/>
      <c r="D30" s="321"/>
      <c r="E30" s="321"/>
      <c r="F30" s="321"/>
      <c r="N30" s="374">
        <v>24</v>
      </c>
      <c r="O30" s="375">
        <f t="shared" si="4"/>
        <v>46404176.538528204</v>
      </c>
      <c r="P30" s="375">
        <f t="shared" si="5"/>
        <v>965218.51902300457</v>
      </c>
      <c r="Q30" s="376">
        <f t="shared" si="2"/>
        <v>1832826.4155250331</v>
      </c>
      <c r="R30" s="375">
        <f t="shared" si="3"/>
        <v>867607.89650202857</v>
      </c>
      <c r="S30" s="355"/>
    </row>
    <row r="31" spans="3:19">
      <c r="N31" s="380">
        <v>25</v>
      </c>
      <c r="O31" s="381">
        <f t="shared" si="4"/>
        <v>45518853.397743292</v>
      </c>
      <c r="P31" s="381">
        <f t="shared" si="5"/>
        <v>947503.27474012156</v>
      </c>
      <c r="Q31" s="382">
        <f t="shared" si="2"/>
        <v>1832826.4155250331</v>
      </c>
      <c r="R31" s="381">
        <f t="shared" si="3"/>
        <v>885323.14078491158</v>
      </c>
      <c r="S31" s="355"/>
    </row>
    <row r="32" spans="3:19">
      <c r="N32" s="380">
        <v>26</v>
      </c>
      <c r="O32" s="381">
        <f t="shared" si="4"/>
        <v>44615453.294114307</v>
      </c>
      <c r="P32" s="381">
        <f t="shared" si="5"/>
        <v>929426.31189604569</v>
      </c>
      <c r="Q32" s="382">
        <f t="shared" si="2"/>
        <v>1832826.4155250331</v>
      </c>
      <c r="R32" s="381">
        <f t="shared" si="3"/>
        <v>903400.10362898745</v>
      </c>
      <c r="S32" s="355"/>
    </row>
    <row r="33" spans="14:19">
      <c r="N33" s="380">
        <v>27</v>
      </c>
      <c r="O33" s="381">
        <f t="shared" si="4"/>
        <v>43693607.123332754</v>
      </c>
      <c r="P33" s="381">
        <f t="shared" si="5"/>
        <v>910980.24474348372</v>
      </c>
      <c r="Q33" s="382">
        <f t="shared" si="2"/>
        <v>1832826.4155250331</v>
      </c>
      <c r="R33" s="381">
        <f t="shared" si="3"/>
        <v>921846.17078154942</v>
      </c>
      <c r="S33" s="355"/>
    </row>
    <row r="34" spans="14:19">
      <c r="N34" s="380">
        <v>28</v>
      </c>
      <c r="O34" s="381">
        <f t="shared" si="4"/>
        <v>42752938.244537048</v>
      </c>
      <c r="P34" s="381">
        <f t="shared" si="5"/>
        <v>892157.53672932566</v>
      </c>
      <c r="Q34" s="382">
        <f t="shared" si="2"/>
        <v>1832826.4155250331</v>
      </c>
      <c r="R34" s="381">
        <f t="shared" si="3"/>
        <v>940668.87879570748</v>
      </c>
      <c r="S34" s="355"/>
    </row>
    <row r="35" spans="14:19">
      <c r="N35" s="380">
        <v>29</v>
      </c>
      <c r="O35" s="381">
        <f t="shared" si="4"/>
        <v>41793062.32642743</v>
      </c>
      <c r="P35" s="381">
        <f t="shared" si="5"/>
        <v>872950.49741541734</v>
      </c>
      <c r="Q35" s="382">
        <f t="shared" si="2"/>
        <v>1832826.4155250331</v>
      </c>
      <c r="R35" s="381">
        <f t="shared" si="3"/>
        <v>959875.9181096158</v>
      </c>
      <c r="S35" s="355"/>
    </row>
    <row r="36" spans="14:19">
      <c r="N36" s="380">
        <v>30</v>
      </c>
      <c r="O36" s="381">
        <f t="shared" si="4"/>
        <v>40813587.190238856</v>
      </c>
      <c r="P36" s="381">
        <f t="shared" si="5"/>
        <v>853351.27933646017</v>
      </c>
      <c r="Q36" s="382">
        <f t="shared" si="2"/>
        <v>1832826.4155250331</v>
      </c>
      <c r="R36" s="381">
        <f t="shared" si="3"/>
        <v>979475.13618857297</v>
      </c>
      <c r="S36" s="355"/>
    </row>
    <row r="37" spans="14:19">
      <c r="N37" s="380">
        <v>31</v>
      </c>
      <c r="O37" s="381">
        <f t="shared" si="4"/>
        <v>39814112.649507575</v>
      </c>
      <c r="P37" s="381">
        <f t="shared" si="5"/>
        <v>833351.87479375361</v>
      </c>
      <c r="Q37" s="382">
        <f t="shared" si="2"/>
        <v>1832826.4155250331</v>
      </c>
      <c r="R37" s="381">
        <f t="shared" si="3"/>
        <v>999474.54073127953</v>
      </c>
      <c r="S37" s="355"/>
    </row>
    <row r="38" spans="14:19">
      <c r="N38" s="380">
        <v>32</v>
      </c>
      <c r="O38" s="381">
        <f t="shared" si="4"/>
        <v>38794230.346566014</v>
      </c>
      <c r="P38" s="381">
        <f t="shared" si="5"/>
        <v>812944.11258347076</v>
      </c>
      <c r="Q38" s="382">
        <f t="shared" si="2"/>
        <v>1832826.4155250331</v>
      </c>
      <c r="R38" s="381">
        <f t="shared" si="3"/>
        <v>1019882.3029415624</v>
      </c>
      <c r="S38" s="355"/>
    </row>
    <row r="39" spans="14:19">
      <c r="N39" s="380">
        <v>33</v>
      </c>
      <c r="O39" s="381">
        <f t="shared" si="4"/>
        <v>37753523.585699111</v>
      </c>
      <c r="P39" s="381">
        <f t="shared" si="5"/>
        <v>792119.65465813084</v>
      </c>
      <c r="Q39" s="382">
        <f t="shared" si="2"/>
        <v>1832826.4155250331</v>
      </c>
      <c r="R39" s="381">
        <f t="shared" si="3"/>
        <v>1040706.7608669023</v>
      </c>
      <c r="S39" s="355"/>
    </row>
    <row r="40" spans="14:19">
      <c r="N40" s="380">
        <v>34</v>
      </c>
      <c r="O40" s="381">
        <f t="shared" si="4"/>
        <v>36691567.162893981</v>
      </c>
      <c r="P40" s="381">
        <f t="shared" si="5"/>
        <v>770869.99271990289</v>
      </c>
      <c r="Q40" s="382">
        <f t="shared" si="2"/>
        <v>1832826.4155250331</v>
      </c>
      <c r="R40" s="381">
        <f t="shared" si="3"/>
        <v>1061956.4228051302</v>
      </c>
      <c r="S40" s="355"/>
    </row>
    <row r="41" spans="14:19">
      <c r="N41" s="380">
        <v>35</v>
      </c>
      <c r="O41" s="381">
        <f t="shared" si="4"/>
        <v>35607927.192113295</v>
      </c>
      <c r="P41" s="381">
        <f t="shared" si="5"/>
        <v>749186.44474435074</v>
      </c>
      <c r="Q41" s="382">
        <f t="shared" si="2"/>
        <v>1832826.4155250331</v>
      </c>
      <c r="R41" s="381">
        <f t="shared" si="3"/>
        <v>1083639.9707806823</v>
      </c>
      <c r="S41" s="355"/>
    </row>
    <row r="42" spans="14:19">
      <c r="N42" s="380">
        <v>36</v>
      </c>
      <c r="O42" s="381">
        <f t="shared" si="4"/>
        <v>34502160.928021461</v>
      </c>
      <c r="P42" s="381">
        <f t="shared" si="5"/>
        <v>727060.15143319801</v>
      </c>
      <c r="Q42" s="382">
        <f t="shared" si="2"/>
        <v>1832826.4155250331</v>
      </c>
      <c r="R42" s="381">
        <f t="shared" si="3"/>
        <v>1105766.2640918351</v>
      </c>
      <c r="S42" s="355"/>
    </row>
    <row r="43" spans="14:19">
      <c r="N43" s="383">
        <v>37</v>
      </c>
      <c r="O43" s="384">
        <f t="shared" si="4"/>
        <v>33373816.585091092</v>
      </c>
      <c r="P43" s="384">
        <f t="shared" si="5"/>
        <v>704482.07259466348</v>
      </c>
      <c r="Q43" s="385">
        <f t="shared" si="2"/>
        <v>1832826.4155250331</v>
      </c>
      <c r="R43" s="384">
        <f t="shared" si="3"/>
        <v>1128344.3429303695</v>
      </c>
      <c r="S43" s="355"/>
    </row>
    <row r="44" spans="14:19">
      <c r="N44" s="383">
        <v>38</v>
      </c>
      <c r="O44" s="384">
        <f t="shared" si="4"/>
        <v>32222433.153015949</v>
      </c>
      <c r="P44" s="384">
        <f t="shared" si="5"/>
        <v>681442.98344988876</v>
      </c>
      <c r="Q44" s="385">
        <f t="shared" si="2"/>
        <v>1832826.4155250331</v>
      </c>
      <c r="R44" s="384">
        <f t="shared" si="3"/>
        <v>1151383.4320751443</v>
      </c>
      <c r="S44" s="355"/>
    </row>
    <row r="45" spans="14:19">
      <c r="N45" s="383">
        <v>39</v>
      </c>
      <c r="O45" s="384">
        <f t="shared" si="4"/>
        <v>31047540.208354864</v>
      </c>
      <c r="P45" s="384">
        <f t="shared" si="5"/>
        <v>657933.47086394858</v>
      </c>
      <c r="Q45" s="385">
        <f t="shared" si="2"/>
        <v>1832826.4155250331</v>
      </c>
      <c r="R45" s="384">
        <f t="shared" si="3"/>
        <v>1174892.9446610846</v>
      </c>
      <c r="S45" s="355"/>
    </row>
    <row r="46" spans="14:19">
      <c r="N46" s="383">
        <v>40</v>
      </c>
      <c r="O46" s="384">
        <f t="shared" si="4"/>
        <v>29848657.722329736</v>
      </c>
      <c r="P46" s="384">
        <f t="shared" si="5"/>
        <v>633943.92949990416</v>
      </c>
      <c r="Q46" s="385">
        <f t="shared" si="2"/>
        <v>1832826.4155250331</v>
      </c>
      <c r="R46" s="384">
        <f t="shared" si="3"/>
        <v>1198882.486025129</v>
      </c>
      <c r="S46" s="355"/>
    </row>
    <row r="47" spans="14:19">
      <c r="N47" s="383">
        <v>41</v>
      </c>
      <c r="O47" s="384">
        <f t="shared" si="4"/>
        <v>28625295.864699032</v>
      </c>
      <c r="P47" s="384">
        <f t="shared" si="5"/>
        <v>609464.55789432803</v>
      </c>
      <c r="Q47" s="385">
        <f t="shared" si="2"/>
        <v>1832826.4155250331</v>
      </c>
      <c r="R47" s="384">
        <f t="shared" si="3"/>
        <v>1223361.857630705</v>
      </c>
      <c r="S47" s="355"/>
    </row>
    <row r="48" spans="14:19">
      <c r="N48" s="383">
        <v>42</v>
      </c>
      <c r="O48" s="384">
        <f t="shared" si="4"/>
        <v>27376954.803626698</v>
      </c>
      <c r="P48" s="384">
        <f t="shared" si="5"/>
        <v>584485.35445269721</v>
      </c>
      <c r="Q48" s="385">
        <f t="shared" si="2"/>
        <v>1832826.4155250331</v>
      </c>
      <c r="R48" s="384">
        <f t="shared" si="3"/>
        <v>1248341.061072336</v>
      </c>
      <c r="S48" s="355"/>
    </row>
    <row r="49" spans="14:19">
      <c r="N49" s="383">
        <v>43</v>
      </c>
      <c r="O49" s="384">
        <f t="shared" si="4"/>
        <v>26103124.501464684</v>
      </c>
      <c r="P49" s="384">
        <f t="shared" si="5"/>
        <v>558996.11336301768</v>
      </c>
      <c r="Q49" s="385">
        <f t="shared" si="2"/>
        <v>1832826.4155250331</v>
      </c>
      <c r="R49" s="384">
        <f t="shared" si="3"/>
        <v>1273830.3021620153</v>
      </c>
      <c r="S49" s="355"/>
    </row>
    <row r="50" spans="14:19">
      <c r="N50" s="383">
        <v>44</v>
      </c>
      <c r="O50" s="384">
        <f t="shared" si="4"/>
        <v>24803284.506365664</v>
      </c>
      <c r="P50" s="384">
        <f t="shared" si="5"/>
        <v>532986.42042601237</v>
      </c>
      <c r="Q50" s="385">
        <f t="shared" si="2"/>
        <v>1832826.4155250331</v>
      </c>
      <c r="R50" s="384">
        <f t="shared" si="3"/>
        <v>1299839.9950990207</v>
      </c>
      <c r="S50" s="355"/>
    </row>
    <row r="51" spans="14:19">
      <c r="N51" s="383">
        <v>45</v>
      </c>
      <c r="O51" s="384">
        <f t="shared" si="4"/>
        <v>23476903.739640798</v>
      </c>
      <c r="P51" s="384">
        <f t="shared" si="5"/>
        <v>506445.64880016661</v>
      </c>
      <c r="Q51" s="385">
        <f t="shared" si="2"/>
        <v>1832826.4155250331</v>
      </c>
      <c r="R51" s="384">
        <f t="shared" si="3"/>
        <v>1326380.7667248666</v>
      </c>
      <c r="S51" s="355"/>
    </row>
    <row r="52" spans="14:19">
      <c r="N52" s="383">
        <v>46</v>
      </c>
      <c r="O52" s="384">
        <f t="shared" si="4"/>
        <v>22123440.278775662</v>
      </c>
      <c r="P52" s="384">
        <f t="shared" si="5"/>
        <v>479362.9546598951</v>
      </c>
      <c r="Q52" s="385">
        <f t="shared" si="2"/>
        <v>1832826.4155250331</v>
      </c>
      <c r="R52" s="384">
        <f t="shared" si="3"/>
        <v>1353463.4608651381</v>
      </c>
      <c r="S52" s="355"/>
    </row>
    <row r="53" spans="14:19">
      <c r="N53" s="383">
        <v>47</v>
      </c>
      <c r="O53" s="384">
        <f t="shared" si="4"/>
        <v>20742341.136015683</v>
      </c>
      <c r="P53" s="384">
        <f t="shared" si="5"/>
        <v>451727.27276505396</v>
      </c>
      <c r="Q53" s="385">
        <f t="shared" si="2"/>
        <v>1832826.4155250331</v>
      </c>
      <c r="R53" s="384">
        <f t="shared" si="3"/>
        <v>1381099.1427599792</v>
      </c>
      <c r="S53" s="355"/>
    </row>
    <row r="54" spans="14:19">
      <c r="N54" s="383">
        <v>48</v>
      </c>
      <c r="O54" s="384">
        <f t="shared" si="4"/>
        <v>19333042.032430641</v>
      </c>
      <c r="P54" s="384">
        <f t="shared" si="5"/>
        <v>423527.31193998986</v>
      </c>
      <c r="Q54" s="385">
        <f t="shared" si="2"/>
        <v>1832826.4155250331</v>
      </c>
      <c r="R54" s="384">
        <f t="shared" si="3"/>
        <v>1409299.1035850432</v>
      </c>
      <c r="S54" s="355"/>
    </row>
    <row r="55" spans="14:19">
      <c r="N55" s="386">
        <v>49</v>
      </c>
      <c r="O55" s="387">
        <f t="shared" ref="O55" si="9">IF($O$2&gt;=M55,O54-R55,"")</f>
        <v>17894967.167365886</v>
      </c>
      <c r="P55" s="387">
        <f t="shared" ref="P55" si="10">IF($O$2&gt;=M55,O54*$R$2,"")</f>
        <v>394751.55046027765</v>
      </c>
      <c r="Q55" s="388">
        <f t="shared" si="2"/>
        <v>1832826.4155250331</v>
      </c>
      <c r="R55" s="387">
        <f t="shared" ref="R55" si="11">IF($O$2&gt;=M55,Q55-P55,"")</f>
        <v>1438074.8650647555</v>
      </c>
    </row>
    <row r="56" spans="14:19">
      <c r="N56" s="386">
        <v>50</v>
      </c>
      <c r="O56" s="387">
        <f t="shared" ref="O56:O66" si="12">IF($O$2&gt;=M56,O55-R56,"")</f>
        <v>16427528.983186115</v>
      </c>
      <c r="P56" s="387">
        <f t="shared" ref="P56:P66" si="13">IF($O$2&gt;=M56,O55*$R$2,"")</f>
        <v>365388.23134526226</v>
      </c>
      <c r="Q56" s="388">
        <f t="shared" si="2"/>
        <v>1832826.4155250331</v>
      </c>
      <c r="R56" s="387">
        <f t="shared" ref="R56:R66" si="14">IF($O$2&gt;=M56,Q56-P56,"")</f>
        <v>1467438.1841797708</v>
      </c>
    </row>
    <row r="57" spans="14:19">
      <c r="N57" s="386">
        <v>51</v>
      </c>
      <c r="O57" s="387">
        <f t="shared" si="12"/>
        <v>14930127.925215563</v>
      </c>
      <c r="P57" s="387">
        <f t="shared" si="13"/>
        <v>335425.35755448148</v>
      </c>
      <c r="Q57" s="388">
        <f t="shared" si="2"/>
        <v>1832826.4155250331</v>
      </c>
      <c r="R57" s="387">
        <f t="shared" si="14"/>
        <v>1497401.0579705518</v>
      </c>
    </row>
    <row r="58" spans="14:19">
      <c r="N58" s="386">
        <v>52</v>
      </c>
      <c r="O58" s="387">
        <f t="shared" si="12"/>
        <v>13402152.196776537</v>
      </c>
      <c r="P58" s="387">
        <f t="shared" si="13"/>
        <v>304850.68708600686</v>
      </c>
      <c r="Q58" s="388">
        <f t="shared" si="2"/>
        <v>1832826.4155250331</v>
      </c>
      <c r="R58" s="387">
        <f t="shared" si="14"/>
        <v>1527975.7284390263</v>
      </c>
    </row>
    <row r="59" spans="14:19">
      <c r="N59" s="386">
        <v>53</v>
      </c>
      <c r="O59" s="387">
        <f t="shared" si="12"/>
        <v>11842977.509226205</v>
      </c>
      <c r="P59" s="387">
        <f t="shared" si="13"/>
        <v>273651.72797470016</v>
      </c>
      <c r="Q59" s="388">
        <f t="shared" si="2"/>
        <v>1832826.4155250331</v>
      </c>
      <c r="R59" s="387">
        <f t="shared" si="14"/>
        <v>1559174.6875503329</v>
      </c>
    </row>
    <row r="60" spans="14:19">
      <c r="N60" s="386">
        <v>54</v>
      </c>
      <c r="O60" s="387">
        <f t="shared" si="12"/>
        <v>10251966.826889513</v>
      </c>
      <c r="P60" s="387">
        <f t="shared" si="13"/>
        <v>241815.7331883416</v>
      </c>
      <c r="Q60" s="388">
        <f t="shared" si="2"/>
        <v>1832826.4155250331</v>
      </c>
      <c r="R60" s="387">
        <f t="shared" si="14"/>
        <v>1591010.6823366915</v>
      </c>
    </row>
    <row r="61" spans="14:19">
      <c r="N61" s="386">
        <v>55</v>
      </c>
      <c r="O61" s="387">
        <f t="shared" si="12"/>
        <v>8628470.1067840252</v>
      </c>
      <c r="P61" s="387">
        <f t="shared" si="13"/>
        <v>209329.69541954502</v>
      </c>
      <c r="Q61" s="388">
        <f t="shared" si="2"/>
        <v>1832826.4155250331</v>
      </c>
      <c r="R61" s="387">
        <f t="shared" si="14"/>
        <v>1623496.7201054881</v>
      </c>
    </row>
    <row r="62" spans="14:19">
      <c r="N62" s="386">
        <v>56</v>
      </c>
      <c r="O62" s="387">
        <f t="shared" si="12"/>
        <v>6971824.0330303237</v>
      </c>
      <c r="P62" s="387">
        <f t="shared" si="13"/>
        <v>176180.34177133167</v>
      </c>
      <c r="Q62" s="388">
        <f t="shared" si="2"/>
        <v>1832826.4155250331</v>
      </c>
      <c r="R62" s="387">
        <f t="shared" si="14"/>
        <v>1656646.0737537015</v>
      </c>
    </row>
    <row r="63" spans="14:19">
      <c r="N63" s="386">
        <v>57</v>
      </c>
      <c r="O63" s="387">
        <f t="shared" si="12"/>
        <v>5281351.7458394822</v>
      </c>
      <c r="P63" s="387">
        <f t="shared" si="13"/>
        <v>142354.12833419131</v>
      </c>
      <c r="Q63" s="388">
        <f t="shared" si="2"/>
        <v>1832826.4155250331</v>
      </c>
      <c r="R63" s="387">
        <f t="shared" si="14"/>
        <v>1690472.2871908417</v>
      </c>
    </row>
    <row r="64" spans="14:19">
      <c r="N64" s="386">
        <v>58</v>
      </c>
      <c r="O64" s="387">
        <f t="shared" si="12"/>
        <v>3556362.564966864</v>
      </c>
      <c r="P64" s="387">
        <f t="shared" si="13"/>
        <v>107837.23465241522</v>
      </c>
      <c r="Q64" s="388">
        <f t="shared" si="2"/>
        <v>1832826.4155250331</v>
      </c>
      <c r="R64" s="387">
        <f t="shared" si="14"/>
        <v>1724989.180872618</v>
      </c>
    </row>
    <row r="65" spans="14:18">
      <c r="N65" s="386">
        <v>59</v>
      </c>
      <c r="O65" s="387">
        <f t="shared" si="12"/>
        <v>1796151.7075192709</v>
      </c>
      <c r="P65" s="387">
        <f t="shared" si="13"/>
        <v>72615.558077440175</v>
      </c>
      <c r="Q65" s="388">
        <f t="shared" si="2"/>
        <v>1832826.4155250331</v>
      </c>
      <c r="R65" s="387">
        <f t="shared" si="14"/>
        <v>1760210.857447593</v>
      </c>
    </row>
    <row r="66" spans="14:18">
      <c r="N66" s="386">
        <v>60</v>
      </c>
      <c r="O66" s="387">
        <f t="shared" si="12"/>
        <v>1.3387762010097504E-7</v>
      </c>
      <c r="P66" s="387">
        <f t="shared" si="13"/>
        <v>36674.708005895969</v>
      </c>
      <c r="Q66" s="388">
        <f t="shared" si="2"/>
        <v>1832826.4155250331</v>
      </c>
      <c r="R66" s="387">
        <f t="shared" si="14"/>
        <v>1796151.7075191371</v>
      </c>
    </row>
  </sheetData>
  <sheetProtection algorithmName="SHA-512" hashValue="DeXSG98Ry207YEJjYbpKoq+mov9KkPhERFg5OV+TcwDUMsdFGZT5so0v4+1dktjLAEFHRfPpVmtw1tDDeLw3Lg==" saltValue="CDUu+okLU6S8+BMb4Ojbvg==" spinCount="100000" sheet="1" objects="1" scenarios="1"/>
  <mergeCells count="2">
    <mergeCell ref="C12:H12"/>
    <mergeCell ref="C18:H18"/>
  </mergeCells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J51"/>
  <sheetViews>
    <sheetView showGridLines="0" zoomScale="85" zoomScaleNormal="85" workbookViewId="0">
      <pane ySplit="2" topLeftCell="A3" activePane="bottomLeft" state="frozen"/>
      <selection pane="bottomLeft" activeCell="E12" sqref="E12"/>
    </sheetView>
  </sheetViews>
  <sheetFormatPr baseColWidth="10" defaultColWidth="69.28515625" defaultRowHeight="15" zeroHeight="1"/>
  <cols>
    <col min="1" max="1" width="5.7109375" style="321" customWidth="1"/>
    <col min="2" max="2" width="50" style="321" customWidth="1"/>
    <col min="3" max="3" width="7" style="321" customWidth="1"/>
    <col min="4" max="4" width="15.140625" style="321" customWidth="1"/>
    <col min="5" max="5" width="25.140625" style="321" bestFit="1" customWidth="1"/>
    <col min="6" max="6" width="6.140625" style="321" bestFit="1" customWidth="1"/>
    <col min="7" max="7" width="5.140625" style="321" customWidth="1"/>
    <col min="8" max="8" width="17.140625" style="321" customWidth="1"/>
    <col min="9" max="9" width="10.7109375" style="321" customWidth="1"/>
    <col min="10" max="10" width="17.140625" style="321" customWidth="1"/>
    <col min="11" max="11" width="16" style="321" customWidth="1"/>
    <col min="12" max="12" width="16.140625" style="321" customWidth="1"/>
    <col min="13" max="13" width="17" style="321" customWidth="1"/>
    <col min="14" max="16384" width="69.28515625" style="321"/>
  </cols>
  <sheetData>
    <row r="1" spans="2:10" ht="15.75" thickBot="1">
      <c r="B1" s="337" t="s">
        <v>99</v>
      </c>
      <c r="C1" s="337">
        <v>4</v>
      </c>
      <c r="D1" s="389" t="str">
        <f>IF(C1=1,"REALISTA",IF(C1=2,"PESIMISTA",IF(C1=3,"OPTIMISTA",IF(C1=4,"IPC HISTORICO"))))</f>
        <v>IPC HISTORICO</v>
      </c>
    </row>
    <row r="2" spans="2:10">
      <c r="B2" s="390" t="s">
        <v>37</v>
      </c>
      <c r="C2" s="391"/>
      <c r="D2" s="391"/>
      <c r="E2" s="391"/>
    </row>
    <row r="3" spans="2:10" ht="15.75" thickBot="1"/>
    <row r="4" spans="2:10">
      <c r="B4" s="390" t="s">
        <v>32</v>
      </c>
      <c r="C4" s="391"/>
      <c r="D4" s="391"/>
      <c r="E4" s="391"/>
    </row>
    <row r="5" spans="2:10" ht="15.75" thickBot="1"/>
    <row r="6" spans="2:10" ht="16.5" thickBot="1">
      <c r="B6" s="392" t="s">
        <v>98</v>
      </c>
      <c r="C6" s="393" t="s">
        <v>113</v>
      </c>
      <c r="D6" s="394"/>
      <c r="E6" s="395" t="s">
        <v>114</v>
      </c>
      <c r="J6" s="396"/>
    </row>
    <row r="7" spans="2:10" ht="16.5" thickBot="1">
      <c r="B7" s="397">
        <f>IF(C1=1,'DATOS GENERALES'!E12,IF(C1=2,'DATOS GENERALES'!E13,IF(C1=3,'DATOS GENERALES'!E14,IF(C1=4,'DATOS GENERALES'!E12))))</f>
        <v>3908040000</v>
      </c>
      <c r="C7" s="398">
        <f>IF(C1=1,'DATOS GENERALES'!C12,IF(C1=2,'DATOS GENERALES'!C13,IF(C1=3,'DATOS GENERALES'!C14,IF(C1=4,'DATOS GENERALES'!C12))))</f>
        <v>8.0000000000000002E-3</v>
      </c>
      <c r="D7" s="399"/>
      <c r="E7" s="400">
        <f>+(B7*C7)</f>
        <v>31264320</v>
      </c>
      <c r="F7" s="401"/>
      <c r="J7" s="396"/>
    </row>
    <row r="8" spans="2:10" ht="15.75">
      <c r="B8" s="402" t="str">
        <f>CONCATENATE("Nota: se estima ingreso sobre una participación del mercado del"," ",IF(C1=1,'DATOS GENERALES'!B12*100,IF(C1=2,'DATOS GENERALES'!B13*100,IF(C1=3,'DATOS GENERALES'!B14*100,IF(C1=4,'DATOS GENERALES'!B12*100,0)))),"%")</f>
        <v>Nota: se estima ingreso sobre una participación del mercado del 1%</v>
      </c>
      <c r="C8" s="403"/>
    </row>
    <row r="9" spans="2:10" ht="15.75" thickBot="1"/>
    <row r="10" spans="2:10" ht="16.5" thickBot="1">
      <c r="B10" s="392" t="s">
        <v>115</v>
      </c>
      <c r="C10" s="393" t="s">
        <v>113</v>
      </c>
      <c r="D10" s="394"/>
      <c r="E10" s="395" t="s">
        <v>114</v>
      </c>
    </row>
    <row r="11" spans="2:10" ht="15.75" thickBot="1">
      <c r="B11" s="397" t="s">
        <v>45</v>
      </c>
      <c r="C11" s="398" t="s">
        <v>117</v>
      </c>
      <c r="D11" s="399"/>
      <c r="E11" s="404">
        <f>+E12*120%</f>
        <v>750343.68000000005</v>
      </c>
    </row>
    <row r="12" spans="2:10" ht="15.75" thickBot="1">
      <c r="B12" s="397" t="s">
        <v>116</v>
      </c>
      <c r="C12" s="398" t="s">
        <v>117</v>
      </c>
      <c r="D12" s="399"/>
      <c r="E12" s="404">
        <f>+E7*2/100</f>
        <v>625286.40000000002</v>
      </c>
    </row>
    <row r="13" spans="2:10" ht="16.5" thickBot="1">
      <c r="B13" s="405" t="s">
        <v>118</v>
      </c>
      <c r="C13" s="406"/>
      <c r="D13" s="407"/>
      <c r="E13" s="400">
        <f>SUM(E11:E12)</f>
        <v>1375630.08</v>
      </c>
    </row>
    <row r="14" spans="2:10" ht="15.75" thickBot="1"/>
    <row r="15" spans="2:10">
      <c r="B15" s="390" t="s">
        <v>33</v>
      </c>
      <c r="C15" s="391"/>
      <c r="D15" s="391"/>
      <c r="E15" s="391"/>
      <c r="J15" s="408"/>
    </row>
    <row r="16" spans="2:10" ht="15.75" thickBot="1"/>
    <row r="17" spans="2:5" ht="16.5" thickBot="1">
      <c r="B17" s="409" t="s">
        <v>121</v>
      </c>
      <c r="C17" s="410"/>
      <c r="D17" s="410"/>
      <c r="E17" s="400">
        <f>+CFIJOS+CVARIABLE</f>
        <v>19614730.48888889</v>
      </c>
    </row>
    <row r="18" spans="2:5" ht="16.5" thickBot="1">
      <c r="B18" s="411"/>
      <c r="C18" s="412"/>
      <c r="D18" s="412"/>
      <c r="E18" s="413"/>
    </row>
    <row r="19" spans="2:5">
      <c r="B19" s="390" t="s">
        <v>43</v>
      </c>
      <c r="C19" s="391"/>
      <c r="D19" s="391"/>
      <c r="E19" s="391"/>
    </row>
    <row r="20" spans="2:5" ht="15.75" thickBot="1">
      <c r="B20" s="414"/>
      <c r="C20" s="414"/>
      <c r="D20" s="414"/>
      <c r="E20" s="415"/>
    </row>
    <row r="21" spans="2:5" ht="16.5" thickBot="1">
      <c r="B21" s="416" t="s">
        <v>92</v>
      </c>
      <c r="C21" s="416"/>
      <c r="D21" s="417"/>
      <c r="E21" s="400">
        <f>SUM(D22:D28)</f>
        <v>12423936.888888888</v>
      </c>
    </row>
    <row r="22" spans="2:5">
      <c r="B22" s="418" t="s">
        <v>34</v>
      </c>
      <c r="C22" s="418"/>
      <c r="D22" s="419">
        <f>IF($C$1=1,'Detalle escenarios'!E4,IF($C$1=2,'Detalle escenarios'!F4,IF($C$1=3,'Detalle escenarios'!G4,IF($C$1=4,'Detalle escenarios'!H4))))</f>
        <v>1051166.6666666667</v>
      </c>
    </row>
    <row r="23" spans="2:5">
      <c r="B23" s="418" t="s">
        <v>39</v>
      </c>
      <c r="C23" s="418"/>
      <c r="D23" s="419">
        <f>IF($C$1=1,'Detalle escenarios'!E5,IF($C$1=2,'Detalle escenarios'!F5,IF($C$1=3,'Detalle escenarios'!G5,IF($C$1=4,'Detalle escenarios'!H5))))</f>
        <v>222222.22222222222</v>
      </c>
      <c r="E23" s="420"/>
    </row>
    <row r="24" spans="2:5">
      <c r="B24" s="418" t="s">
        <v>35</v>
      </c>
      <c r="C24" s="418"/>
      <c r="D24" s="421">
        <f>IF($C$1=1,'Detalle escenarios'!E6,IF($C$1=2,'Detalle escenarios'!F6,IF($C$1=3,'Detalle escenarios'!G6,IF($C$1=4,'Detalle escenarios'!H6))))</f>
        <v>4000000</v>
      </c>
      <c r="E24" s="420"/>
    </row>
    <row r="25" spans="2:5">
      <c r="B25" s="418" t="s">
        <v>36</v>
      </c>
      <c r="C25" s="418"/>
      <c r="D25" s="421">
        <f>IF($C$1=1,'Detalle escenarios'!E7,IF($C$1=2,'Detalle escenarios'!F7,IF($C$1=3,'Detalle escenarios'!G7,IF($C$1=4,'Detalle escenarios'!H7))))</f>
        <v>3000000</v>
      </c>
      <c r="E25" s="420"/>
    </row>
    <row r="26" spans="2:5">
      <c r="B26" s="418" t="s">
        <v>122</v>
      </c>
      <c r="C26" s="418"/>
      <c r="D26" s="421">
        <f>IF($C$1=1,'Detalle escenarios'!E8,IF($C$1=2,'Detalle escenarios'!F8,IF($C$1=3,'Detalle escenarios'!G8,IF($C$1=4,'Detalle escenarios'!H8))))</f>
        <v>3000000</v>
      </c>
      <c r="E26" s="420"/>
    </row>
    <row r="27" spans="2:5">
      <c r="B27" s="418" t="s">
        <v>42</v>
      </c>
      <c r="C27" s="418"/>
      <c r="D27" s="421">
        <f>IF($C$1=1,'Detalle escenarios'!E9,IF($C$1=2,'Detalle escenarios'!F9,IF($C$1=3,'Detalle escenarios'!G9,IF($C$1=4,'Detalle escenarios'!H9))))</f>
        <v>495660</v>
      </c>
      <c r="E27" s="420"/>
    </row>
    <row r="28" spans="2:5">
      <c r="B28" s="418" t="s">
        <v>162</v>
      </c>
      <c r="C28" s="418"/>
      <c r="D28" s="421">
        <f>IF($C$1=1,'Detalle escenarios'!E10,IF($C$1=2,'Detalle escenarios'!F10,IF($C$1=3,'Detalle escenarios'!G10,IF($C$1=4,'Detalle escenarios'!H10))))</f>
        <v>654888</v>
      </c>
      <c r="E28" s="420"/>
    </row>
    <row r="29" spans="2:5" ht="15.75" thickBot="1">
      <c r="B29" s="418"/>
      <c r="C29" s="418"/>
      <c r="D29" s="421"/>
      <c r="E29" s="420"/>
    </row>
    <row r="30" spans="2:5">
      <c r="B30" s="390" t="s">
        <v>44</v>
      </c>
      <c r="C30" s="391"/>
      <c r="D30" s="391"/>
      <c r="E30" s="391"/>
    </row>
    <row r="31" spans="2:5" ht="15.75" thickBot="1">
      <c r="B31" s="414"/>
      <c r="C31" s="414"/>
      <c r="D31" s="414"/>
      <c r="E31" s="414"/>
    </row>
    <row r="32" spans="2:5" ht="16.5" thickBot="1">
      <c r="B32" s="416" t="s">
        <v>93</v>
      </c>
      <c r="C32" s="416"/>
      <c r="D32" s="417"/>
      <c r="E32" s="400">
        <f>SUM(D33:D34)</f>
        <v>7190793.5999999996</v>
      </c>
    </row>
    <row r="33" spans="2:6">
      <c r="B33" s="418" t="s">
        <v>103</v>
      </c>
      <c r="C33" s="418"/>
      <c r="D33" s="421">
        <f>+$E$7*0.2</f>
        <v>6252864</v>
      </c>
      <c r="E33" s="420"/>
    </row>
    <row r="34" spans="2:6">
      <c r="B34" s="418" t="s">
        <v>38</v>
      </c>
      <c r="C34" s="418"/>
      <c r="D34" s="421">
        <f>+$E$7*0.03</f>
        <v>937929.6</v>
      </c>
      <c r="E34" s="420"/>
    </row>
    <row r="35" spans="2:6" ht="15.75" thickBot="1">
      <c r="D35" s="401"/>
    </row>
    <row r="36" spans="2:6">
      <c r="B36" s="390" t="s">
        <v>40</v>
      </c>
      <c r="C36" s="391"/>
      <c r="D36" s="391"/>
      <c r="E36" s="391"/>
    </row>
    <row r="37" spans="2:6" ht="15.75" thickBot="1">
      <c r="D37" s="401"/>
    </row>
    <row r="38" spans="2:6" ht="16.5" thickBot="1">
      <c r="B38" s="416" t="s">
        <v>94</v>
      </c>
      <c r="C38" s="416"/>
      <c r="D38" s="417"/>
      <c r="E38" s="400">
        <f>SUM(D39:D45)</f>
        <v>13729416.351790648</v>
      </c>
    </row>
    <row r="39" spans="2:6">
      <c r="B39" s="321" t="s">
        <v>41</v>
      </c>
      <c r="D39" s="421">
        <f>IF($C$1=1,'Detalle escenarios'!E21,IF($C$1=2,'Detalle escenarios'!F21,IF($C$1=3,'Detalle escenarios'!G21,IF($C$1=4,'Detalle escenarios'!H21))))</f>
        <v>5100000</v>
      </c>
      <c r="E39" s="401"/>
      <c r="F39" s="422"/>
    </row>
    <row r="40" spans="2:6">
      <c r="B40" s="321" t="s">
        <v>65</v>
      </c>
      <c r="D40" s="421">
        <f>IF($C$1=1,'Detalle escenarios'!E22,IF($C$1=2,'Detalle escenarios'!F22,IF($C$1=3,'Detalle escenarios'!G22,IF($C$1=4,'Detalle escenarios'!H22))))</f>
        <v>235424</v>
      </c>
      <c r="E40" s="401"/>
      <c r="F40" s="423"/>
    </row>
    <row r="41" spans="2:6">
      <c r="B41" s="321" t="s">
        <v>42</v>
      </c>
      <c r="D41" s="401">
        <f>IF($C$1=1,'Detalle escenarios'!E23,IF($C$1=2,'Detalle escenarios'!F23,IF($C$1=3,'Detalle escenarios'!G23,IF($C$1=4,'Detalle escenarios'!H23))))</f>
        <v>842622</v>
      </c>
    </row>
    <row r="42" spans="2:6">
      <c r="B42" s="321" t="s">
        <v>66</v>
      </c>
      <c r="D42" s="401">
        <f>IF($C$1=1,'Detalle escenarios'!E24,IF($C$1=2,'Detalle escenarios'!F24,IF($C$1=3,'Detalle escenarios'!G24,IF($C$1=4,'Detalle escenarios'!H24))))</f>
        <v>1154884.5367040001</v>
      </c>
    </row>
    <row r="43" spans="2:6">
      <c r="B43" s="321" t="s">
        <v>45</v>
      </c>
      <c r="D43" s="401">
        <f>IF($C$1=1,'Detalle escenarios'!E25,IF($C$1=2,'Detalle escenarios'!F25,IF($C$1=3,'Detalle escenarios'!G25,IF($C$1=4,'Detalle escenarios'!H25))))</f>
        <v>5000000</v>
      </c>
    </row>
    <row r="44" spans="2:6">
      <c r="B44" s="321" t="s">
        <v>97</v>
      </c>
      <c r="D44" s="424">
        <f>IF($C$1=1,'Detalle escenarios'!E26,IF($C$1=2,'Detalle escenarios'!F26,IF($C$1=3,'Detalle escenarios'!G26,IF($C$1=4,'Detalle escenarios'!H26))))</f>
        <v>127658.47142400002</v>
      </c>
    </row>
    <row r="45" spans="2:6">
      <c r="B45" s="321" t="s">
        <v>96</v>
      </c>
      <c r="D45" s="419">
        <f>IF($C$1=1,'Detalle escenarios'!E27,IF($C$1=2,'Detalle escenarios'!F27,IF($C$1=3,'Detalle escenarios'!G27,IF($C$1=4,'Detalle escenarios'!H27))))</f>
        <v>1268827.3436626475</v>
      </c>
    </row>
    <row r="46" spans="2:6" ht="15.75" thickBot="1">
      <c r="D46" s="425"/>
    </row>
    <row r="47" spans="2:6" ht="16.5" thickBot="1">
      <c r="B47" s="416" t="s">
        <v>95</v>
      </c>
      <c r="C47" s="416"/>
      <c r="D47" s="417"/>
      <c r="E47" s="426">
        <f>+E21+E32+E38</f>
        <v>33344146.840679538</v>
      </c>
    </row>
    <row r="48" spans="2:6" ht="15.75">
      <c r="B48" s="416"/>
      <c r="C48" s="416"/>
      <c r="D48" s="417"/>
      <c r="E48" s="413"/>
    </row>
    <row r="49" spans="5:5">
      <c r="E49" s="396"/>
    </row>
    <row r="50" spans="5:5"/>
    <row r="51" spans="5:5"/>
  </sheetData>
  <sheetProtection algorithmName="SHA-512" hashValue="fiORteTHA0NDoOjM+zajMlP2oQNYRDTl8VdNWeV59iDxG/lxH9m1oSXUoq9bToWYa8nnZOWvMJaIiApdLeAu5w==" saltValue="QSQ0Af6dvKzrWLqLnDls/A==" spinCount="100000" sheet="1" objects="1" scenarios="1"/>
  <scenarios current="2" show="2" sqref="H19:H20">
    <scenario name="Realista" locked="1" count="5" user="Fausto Alexander Ramirez Ladino" comment="Creado por Fausto Alexander Ramirez Ladino el 07/02/2022_x000a_Modificado por Fausto Alexander Ramirez Ladino el 07/02/2022">
      <inputCells r="C7" val="0.009" numFmtId="175"/>
      <inputCells r="E21" val="5245611" numFmtId="3"/>
      <inputCells r="E32" val="3031723" numFmtId="3"/>
      <inputCells r="E38" val="14099799" numFmtId="3"/>
      <inputCells r="H8" undone="1" val="0.01"/>
    </scenario>
    <scenario name="Pesimista" locked="1" count="5" user="Fausto Alexander Ramirez Ladino" comment="Creado por Fausto Alexander Ramirez Ladino el 07/02/2022_x000a_Modificado por Fausto Alexander Ramirez Ladino el 07/02/2022">
      <inputCells r="C7" val="0.007" numFmtId="175"/>
      <inputCells r="E21" val="5770172" numFmtId="3"/>
      <inputCells r="E32" val="3902342" numFmtId="3"/>
      <inputCells r="E38" val="13874199" numFmtId="3"/>
      <inputCells r="H8" undone="1" val="0.006"/>
    </scenario>
    <scenario name="Optimista" locked="1" count="5" user="Fausto Alexander Ramirez Ladino" comment="Creado por Fausto Alexander Ramirez Ladino el 07/02/2022_x000a_Modificado por Fausto Alexander Ramirez Ladino el 07/02/2022">
      <inputCells r="C7" val="0.01" numFmtId="175"/>
      <inputCells r="E21" val="4721050" numFmtId="3"/>
      <inputCells r="E32" val="3192825" numFmtId="3"/>
      <inputCells r="E38" val="11351000" numFmtId="3"/>
      <inputCells r="H8" undone="1" val="0.015"/>
    </scenario>
  </scenarios>
  <mergeCells count="12">
    <mergeCell ref="B4:E4"/>
    <mergeCell ref="B15:E15"/>
    <mergeCell ref="B2:E2"/>
    <mergeCell ref="B36:E36"/>
    <mergeCell ref="B19:E19"/>
    <mergeCell ref="B30:E30"/>
    <mergeCell ref="C6:D6"/>
    <mergeCell ref="C7:D7"/>
    <mergeCell ref="C10:D10"/>
    <mergeCell ref="C11:D11"/>
    <mergeCell ref="C12:D12"/>
    <mergeCell ref="B13:D13"/>
  </mergeCells>
  <phoneticPr fontId="10" type="noConversion"/>
  <pageMargins left="0.7" right="0.7" top="0.75" bottom="0.75" header="0.3" footer="0.3"/>
  <pageSetup paperSize="9" orientation="portrait" horizontalDpi="4294967293" verticalDpi="4294967293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9C5E43F8-EBE0-4CA9-A536-854B7E3912D3}">
          <x14:formula1>
            <xm:f>'Detalle escenarios'!$B$2:$B$5</xm:f>
          </x14:formula1>
          <xm:sqref>C1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38C42-A159-4CEA-ABB5-4600604E8220}">
  <dimension ref="B2:AH17"/>
  <sheetViews>
    <sheetView zoomScale="90" zoomScaleNormal="9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C3" sqref="C3:F6"/>
    </sheetView>
  </sheetViews>
  <sheetFormatPr baseColWidth="10" defaultRowHeight="15"/>
  <cols>
    <col min="1" max="1" width="2.5703125" style="428" customWidth="1"/>
    <col min="2" max="2" width="3.85546875" style="427" customWidth="1"/>
    <col min="3" max="3" width="19.5703125" style="428" customWidth="1"/>
    <col min="4" max="4" width="10.140625" style="428" customWidth="1"/>
    <col min="5" max="5" width="12" style="428" customWidth="1"/>
    <col min="6" max="6" width="10.5703125" style="428" customWidth="1"/>
    <col min="7" max="7" width="10.85546875" style="428" customWidth="1"/>
    <col min="8" max="8" width="10.42578125" style="428" customWidth="1"/>
    <col min="9" max="9" width="9.28515625" style="429" customWidth="1"/>
    <col min="10" max="10" width="10.140625" style="429" customWidth="1"/>
    <col min="11" max="11" width="3.140625" style="428" customWidth="1"/>
    <col min="12" max="12" width="4" style="428" hidden="1" customWidth="1"/>
    <col min="13" max="13" width="9.7109375" style="428" customWidth="1"/>
    <col min="14" max="14" width="10" style="428" customWidth="1"/>
    <col min="15" max="15" width="1.85546875" style="428" customWidth="1"/>
    <col min="16" max="16" width="10.5703125" style="429" customWidth="1"/>
    <col min="17" max="17" width="10.7109375" style="429" bestFit="1" customWidth="1"/>
    <col min="18" max="18" width="1.85546875" style="429" customWidth="1"/>
    <col min="19" max="19" width="11.28515625" style="429" customWidth="1"/>
    <col min="20" max="20" width="9" style="429" customWidth="1"/>
    <col min="21" max="21" width="9.5703125" style="429" customWidth="1"/>
    <col min="22" max="22" width="8.7109375" style="428" customWidth="1"/>
    <col min="23" max="23" width="9.5703125" style="428" customWidth="1"/>
    <col min="24" max="24" width="8.5703125" style="428" customWidth="1"/>
    <col min="25" max="25" width="1.85546875" style="428" customWidth="1"/>
    <col min="26" max="26" width="9.5703125" style="428" customWidth="1"/>
    <col min="27" max="27" width="8.7109375" style="428" customWidth="1"/>
    <col min="28" max="28" width="8.85546875" style="428" customWidth="1"/>
    <col min="29" max="29" width="8.42578125" style="428" customWidth="1"/>
    <col min="30" max="30" width="9" style="428" customWidth="1"/>
    <col min="31" max="31" width="1.85546875" style="428" customWidth="1"/>
    <col min="32" max="32" width="9.85546875" style="428" customWidth="1"/>
    <col min="33" max="33" width="2.7109375" style="428" customWidth="1"/>
    <col min="34" max="16384" width="11.42578125" style="428"/>
  </cols>
  <sheetData>
    <row r="2" spans="2:34" ht="15.75" thickBot="1"/>
    <row r="3" spans="2:34" ht="36" customHeight="1">
      <c r="C3" s="223" t="s">
        <v>163</v>
      </c>
      <c r="D3" s="224"/>
      <c r="E3" s="224"/>
      <c r="F3" s="225"/>
      <c r="G3" s="430" t="s">
        <v>164</v>
      </c>
      <c r="H3" s="431"/>
      <c r="I3" s="431"/>
      <c r="J3" s="431"/>
      <c r="K3" s="432"/>
      <c r="V3" s="429"/>
      <c r="W3" s="429"/>
      <c r="X3" s="429"/>
    </row>
    <row r="4" spans="2:34" ht="17.25" customHeight="1">
      <c r="C4" s="226"/>
      <c r="D4" s="227"/>
      <c r="E4" s="227"/>
      <c r="F4" s="228"/>
      <c r="G4" s="433"/>
      <c r="H4" s="434"/>
      <c r="I4" s="434"/>
      <c r="J4" s="434"/>
      <c r="K4" s="435"/>
      <c r="V4" s="429"/>
      <c r="W4" s="429"/>
      <c r="X4" s="429"/>
    </row>
    <row r="5" spans="2:34" ht="15" customHeight="1">
      <c r="C5" s="226"/>
      <c r="D5" s="227"/>
      <c r="E5" s="227"/>
      <c r="F5" s="228"/>
      <c r="G5" s="433"/>
      <c r="H5" s="434"/>
      <c r="I5" s="434"/>
      <c r="J5" s="434"/>
      <c r="K5" s="435"/>
      <c r="L5" s="436"/>
      <c r="M5" s="436"/>
      <c r="N5" s="436" t="s">
        <v>165</v>
      </c>
      <c r="O5" s="436"/>
      <c r="P5" s="437"/>
      <c r="Q5" s="437"/>
      <c r="R5" s="437"/>
      <c r="S5" s="437"/>
      <c r="T5" s="437"/>
      <c r="U5" s="437"/>
      <c r="V5" s="429"/>
      <c r="W5" s="429"/>
      <c r="X5" s="429"/>
    </row>
    <row r="6" spans="2:34" ht="15.75" customHeight="1" thickBot="1">
      <c r="C6" s="229"/>
      <c r="D6" s="230"/>
      <c r="E6" s="230"/>
      <c r="F6" s="231"/>
      <c r="G6" s="438"/>
      <c r="H6" s="439"/>
      <c r="I6" s="439"/>
      <c r="J6" s="439"/>
      <c r="K6" s="440"/>
      <c r="N6" s="441"/>
      <c r="O6" s="441"/>
      <c r="P6" s="441"/>
      <c r="Q6" s="441"/>
      <c r="R6" s="441"/>
      <c r="S6" s="441"/>
      <c r="T6" s="441"/>
      <c r="U6" s="428"/>
      <c r="W6" s="429"/>
      <c r="X6" s="429"/>
    </row>
    <row r="7" spans="2:34" ht="15.75" thickBot="1">
      <c r="D7" s="26">
        <v>9</v>
      </c>
      <c r="E7" s="26"/>
      <c r="F7" s="26"/>
      <c r="G7" s="26">
        <v>21</v>
      </c>
      <c r="H7" s="26"/>
      <c r="I7" s="27"/>
      <c r="J7" s="27"/>
      <c r="K7" s="26">
        <v>19</v>
      </c>
      <c r="L7" s="26">
        <v>22</v>
      </c>
      <c r="M7" s="26"/>
      <c r="N7" s="26"/>
      <c r="O7" s="26"/>
      <c r="P7" s="27">
        <v>26</v>
      </c>
      <c r="Q7" s="27"/>
      <c r="R7" s="27"/>
      <c r="S7" s="27"/>
      <c r="T7" s="27"/>
      <c r="U7" s="27">
        <v>27</v>
      </c>
      <c r="V7" s="26"/>
    </row>
    <row r="8" spans="2:34" ht="15" customHeight="1" thickBot="1">
      <c r="B8" s="232" t="s">
        <v>166</v>
      </c>
      <c r="C8" s="233"/>
      <c r="D8" s="236" t="s">
        <v>167</v>
      </c>
      <c r="E8" s="238" t="s">
        <v>168</v>
      </c>
      <c r="F8" s="238" t="s">
        <v>169</v>
      </c>
      <c r="G8" s="240"/>
      <c r="H8" s="241"/>
      <c r="I8" s="241"/>
      <c r="J8" s="241"/>
      <c r="K8" s="241"/>
      <c r="L8" s="241"/>
      <c r="M8" s="241"/>
      <c r="N8" s="242"/>
      <c r="P8" s="442" t="s">
        <v>170</v>
      </c>
      <c r="Q8" s="443"/>
      <c r="R8" s="437"/>
      <c r="S8" s="444"/>
      <c r="T8" s="445" t="s">
        <v>171</v>
      </c>
      <c r="U8" s="445"/>
      <c r="V8" s="445"/>
      <c r="W8" s="445"/>
      <c r="X8" s="445"/>
      <c r="Z8" s="446" t="s">
        <v>172</v>
      </c>
      <c r="AA8" s="446"/>
      <c r="AB8" s="446"/>
      <c r="AC8" s="446"/>
      <c r="AD8" s="446"/>
      <c r="AF8" s="447"/>
    </row>
    <row r="9" spans="2:34" ht="30" customHeight="1" thickBot="1">
      <c r="B9" s="234"/>
      <c r="C9" s="235"/>
      <c r="D9" s="237"/>
      <c r="E9" s="239"/>
      <c r="F9" s="239"/>
      <c r="G9" s="448" t="s">
        <v>173</v>
      </c>
      <c r="H9" s="449" t="s">
        <v>174</v>
      </c>
      <c r="I9" s="450" t="s">
        <v>175</v>
      </c>
      <c r="J9" s="451" t="s">
        <v>176</v>
      </c>
      <c r="K9" s="452"/>
      <c r="L9" s="28" t="s">
        <v>177</v>
      </c>
      <c r="M9" s="29" t="s">
        <v>178</v>
      </c>
      <c r="N9" s="30" t="s">
        <v>179</v>
      </c>
      <c r="P9" s="453" t="s">
        <v>180</v>
      </c>
      <c r="Q9" s="454" t="s">
        <v>181</v>
      </c>
      <c r="R9" s="455"/>
      <c r="S9" s="456" t="s">
        <v>182</v>
      </c>
      <c r="T9" s="457" t="s">
        <v>288</v>
      </c>
      <c r="U9" s="458" t="s">
        <v>287</v>
      </c>
      <c r="V9" s="459" t="s">
        <v>183</v>
      </c>
      <c r="W9" s="459" t="s">
        <v>159</v>
      </c>
      <c r="X9" s="460" t="s">
        <v>179</v>
      </c>
      <c r="Z9" s="461" t="s">
        <v>184</v>
      </c>
      <c r="AA9" s="462" t="s">
        <v>185</v>
      </c>
      <c r="AB9" s="463" t="s">
        <v>186</v>
      </c>
      <c r="AC9" s="464" t="s">
        <v>187</v>
      </c>
      <c r="AD9" s="465" t="s">
        <v>179</v>
      </c>
      <c r="AE9" s="466"/>
      <c r="AF9" s="467" t="s">
        <v>188</v>
      </c>
    </row>
    <row r="10" spans="2:34">
      <c r="B10" s="468">
        <v>1</v>
      </c>
      <c r="C10" s="215" t="s">
        <v>190</v>
      </c>
      <c r="D10" s="216">
        <v>2100000</v>
      </c>
      <c r="E10" s="217">
        <v>30</v>
      </c>
      <c r="F10" s="218">
        <f t="shared" ref="F10:F15" si="0">+(D10/30)*E10</f>
        <v>2100000</v>
      </c>
      <c r="G10" s="32"/>
      <c r="H10" s="33"/>
      <c r="I10" s="34"/>
      <c r="J10" s="35">
        <f>+D10+G10+H10</f>
        <v>2100000</v>
      </c>
      <c r="K10" s="36"/>
      <c r="L10" s="37"/>
      <c r="M10" s="32"/>
      <c r="N10" s="38">
        <f>+J10+M10</f>
        <v>2100000</v>
      </c>
      <c r="P10" s="39">
        <f>+J10*4%</f>
        <v>84000</v>
      </c>
      <c r="Q10" s="40">
        <f>+J10*4%</f>
        <v>84000</v>
      </c>
      <c r="R10" s="41"/>
      <c r="S10" s="42">
        <f>+(D10/30)*E10+I10</f>
        <v>2100000</v>
      </c>
      <c r="T10" s="43">
        <v>0</v>
      </c>
      <c r="U10" s="43">
        <f>ROUNDUP(+$J$10*12%,-2)</f>
        <v>252000</v>
      </c>
      <c r="V10" s="44">
        <f>+S10*0.522%</f>
        <v>10962</v>
      </c>
      <c r="W10" s="44">
        <f>+S10*4%</f>
        <v>84000</v>
      </c>
      <c r="X10" s="45">
        <f>SUM(T10:W10)</f>
        <v>346962</v>
      </c>
      <c r="Z10" s="469">
        <f>+(N10)*8.33%</f>
        <v>174930</v>
      </c>
      <c r="AA10" s="470">
        <f>+(N10)*8.33%</f>
        <v>174930</v>
      </c>
      <c r="AB10" s="470">
        <f>+(L10+J10)*4.17%</f>
        <v>87570</v>
      </c>
      <c r="AC10" s="470">
        <f>+Z10*12%</f>
        <v>20991.599999999999</v>
      </c>
      <c r="AD10" s="471">
        <f>SUM(Z10:AC10)</f>
        <v>458421.6</v>
      </c>
      <c r="AF10" s="472">
        <f>+X10+AD10</f>
        <v>805383.6</v>
      </c>
      <c r="AH10" s="473"/>
    </row>
    <row r="11" spans="2:34">
      <c r="B11" s="474">
        <v>2</v>
      </c>
      <c r="C11" s="46" t="s">
        <v>191</v>
      </c>
      <c r="D11" s="47">
        <v>1500000</v>
      </c>
      <c r="E11" s="48">
        <v>30</v>
      </c>
      <c r="F11" s="31">
        <f t="shared" si="0"/>
        <v>1500000</v>
      </c>
      <c r="G11" s="49"/>
      <c r="H11" s="50"/>
      <c r="I11" s="51"/>
      <c r="J11" s="52">
        <f>+D11+G11+H11</f>
        <v>1500000</v>
      </c>
      <c r="K11" s="36"/>
      <c r="L11" s="53"/>
      <c r="M11" s="49">
        <v>117712</v>
      </c>
      <c r="N11" s="54">
        <f>+J11+M11</f>
        <v>1617712</v>
      </c>
      <c r="O11" s="475"/>
      <c r="P11" s="39">
        <f>+J11*4%</f>
        <v>60000</v>
      </c>
      <c r="Q11" s="40">
        <f>+J11*4%</f>
        <v>60000</v>
      </c>
      <c r="R11" s="55"/>
      <c r="S11" s="56">
        <f>+(D11/30)*E11+I11</f>
        <v>1500000</v>
      </c>
      <c r="T11" s="57">
        <v>0</v>
      </c>
      <c r="U11" s="214">
        <f>ROUNDUP(+$J11*12%,-2)</f>
        <v>180000</v>
      </c>
      <c r="V11" s="58">
        <f>+S11*0.522%</f>
        <v>7830</v>
      </c>
      <c r="W11" s="58">
        <f>+S11*4%</f>
        <v>60000</v>
      </c>
      <c r="X11" s="59">
        <f t="shared" ref="X11:X15" si="1">SUM(T11:W11)</f>
        <v>247830</v>
      </c>
      <c r="Y11" s="475"/>
      <c r="Z11" s="476">
        <f>+(N11)*8.33%</f>
        <v>134755.40959999998</v>
      </c>
      <c r="AA11" s="477">
        <f>+(N11)*8.33%</f>
        <v>134755.40959999998</v>
      </c>
      <c r="AB11" s="477">
        <f>+(L11+J11)*4.17%</f>
        <v>62550</v>
      </c>
      <c r="AC11" s="477">
        <f>+Z11*12%</f>
        <v>16170.649151999998</v>
      </c>
      <c r="AD11" s="478">
        <f t="shared" ref="AD11:AD15" si="2">SUM(Z11:AC11)</f>
        <v>348231.468352</v>
      </c>
      <c r="AE11" s="475"/>
      <c r="AF11" s="479">
        <f t="shared" ref="AF11:AF13" si="3">+X11+AD11</f>
        <v>596061.468352</v>
      </c>
    </row>
    <row r="12" spans="2:34">
      <c r="B12" s="474">
        <v>3</v>
      </c>
      <c r="C12" s="46" t="s">
        <v>192</v>
      </c>
      <c r="D12" s="47">
        <v>1500000</v>
      </c>
      <c r="E12" s="48">
        <v>30</v>
      </c>
      <c r="F12" s="31">
        <f t="shared" si="0"/>
        <v>1500000</v>
      </c>
      <c r="G12" s="49"/>
      <c r="H12" s="50"/>
      <c r="I12" s="51"/>
      <c r="J12" s="52">
        <f>+D12+G12+H12</f>
        <v>1500000</v>
      </c>
      <c r="K12" s="36"/>
      <c r="L12" s="53">
        <v>0</v>
      </c>
      <c r="M12" s="49">
        <v>117712</v>
      </c>
      <c r="N12" s="54">
        <f>+J12+M12</f>
        <v>1617712</v>
      </c>
      <c r="P12" s="39">
        <f>+J12*4%</f>
        <v>60000</v>
      </c>
      <c r="Q12" s="40">
        <f>+J12*4%</f>
        <v>60000</v>
      </c>
      <c r="R12" s="36"/>
      <c r="S12" s="56">
        <f>+(D12/30)*E12+I12</f>
        <v>1500000</v>
      </c>
      <c r="T12" s="57">
        <v>0</v>
      </c>
      <c r="U12" s="214">
        <f t="shared" ref="U12:U13" si="4">ROUNDUP(+$J12*12%,-2)</f>
        <v>180000</v>
      </c>
      <c r="V12" s="58">
        <f>+S12*0.522%</f>
        <v>7830</v>
      </c>
      <c r="W12" s="58">
        <f>+S12*4%</f>
        <v>60000</v>
      </c>
      <c r="X12" s="59">
        <f t="shared" si="1"/>
        <v>247830</v>
      </c>
      <c r="Z12" s="476">
        <f>+(N12)*8.33%</f>
        <v>134755.40959999998</v>
      </c>
      <c r="AA12" s="477">
        <f>+(N12)*8.33%</f>
        <v>134755.40959999998</v>
      </c>
      <c r="AB12" s="477">
        <f>+(L12+J12)*4.17%</f>
        <v>62550</v>
      </c>
      <c r="AC12" s="477">
        <f>+Z12*12%</f>
        <v>16170.649151999998</v>
      </c>
      <c r="AD12" s="478">
        <f t="shared" si="2"/>
        <v>348231.468352</v>
      </c>
      <c r="AF12" s="479">
        <f t="shared" si="3"/>
        <v>596061.468352</v>
      </c>
    </row>
    <row r="13" spans="2:34">
      <c r="B13" s="474">
        <v>4</v>
      </c>
      <c r="C13" s="46" t="s">
        <v>193</v>
      </c>
      <c r="D13" s="47">
        <v>3000000</v>
      </c>
      <c r="E13" s="48">
        <v>30</v>
      </c>
      <c r="F13" s="31">
        <f t="shared" si="0"/>
        <v>3000000</v>
      </c>
      <c r="G13" s="49"/>
      <c r="H13" s="50"/>
      <c r="I13" s="51"/>
      <c r="J13" s="52">
        <f>+D13+G13+H13</f>
        <v>3000000</v>
      </c>
      <c r="K13" s="36"/>
      <c r="L13" s="53"/>
      <c r="M13" s="49"/>
      <c r="N13" s="54">
        <f>+J13+M13</f>
        <v>3000000</v>
      </c>
      <c r="P13" s="39">
        <f t="shared" ref="P13" si="5">+J13*4%</f>
        <v>120000</v>
      </c>
      <c r="Q13" s="40">
        <f t="shared" ref="Q13" si="6">+J13*4%</f>
        <v>120000</v>
      </c>
      <c r="R13" s="36"/>
      <c r="S13" s="56">
        <f t="shared" ref="S13:S15" si="7">+(D13/30)*E13+I13</f>
        <v>3000000</v>
      </c>
      <c r="T13" s="57">
        <v>0</v>
      </c>
      <c r="U13" s="214">
        <f t="shared" si="4"/>
        <v>360000</v>
      </c>
      <c r="V13" s="58">
        <f>+S13*0.522%</f>
        <v>15660</v>
      </c>
      <c r="W13" s="58">
        <f>+J13*4%</f>
        <v>120000</v>
      </c>
      <c r="X13" s="59">
        <f t="shared" si="1"/>
        <v>495660</v>
      </c>
      <c r="Z13" s="476">
        <f>+(N13)*8.33%</f>
        <v>249900</v>
      </c>
      <c r="AA13" s="477">
        <f>+(N13)*8.33%</f>
        <v>249900</v>
      </c>
      <c r="AB13" s="477">
        <f>+(L13+J13)*4.17%</f>
        <v>125100</v>
      </c>
      <c r="AC13" s="477">
        <f>+Z13*12%</f>
        <v>29988</v>
      </c>
      <c r="AD13" s="478">
        <f t="shared" si="2"/>
        <v>654888</v>
      </c>
      <c r="AF13" s="479">
        <f t="shared" si="3"/>
        <v>1150548</v>
      </c>
    </row>
    <row r="14" spans="2:34">
      <c r="B14" s="474">
        <v>5</v>
      </c>
      <c r="C14" s="60"/>
      <c r="D14" s="47"/>
      <c r="E14" s="48"/>
      <c r="F14" s="31">
        <f t="shared" si="0"/>
        <v>0</v>
      </c>
      <c r="G14" s="49"/>
      <c r="H14" s="50"/>
      <c r="I14" s="51"/>
      <c r="J14" s="52">
        <f t="shared" ref="J14:J15" si="8">+D14+G14+H14</f>
        <v>0</v>
      </c>
      <c r="K14" s="36"/>
      <c r="L14" s="53"/>
      <c r="M14" s="49"/>
      <c r="N14" s="54">
        <f>+J14+M14</f>
        <v>0</v>
      </c>
      <c r="P14" s="39">
        <f t="shared" ref="P14:P15" si="9">+J14*4%</f>
        <v>0</v>
      </c>
      <c r="Q14" s="40">
        <f t="shared" ref="Q14:Q15" si="10">+J14*4%</f>
        <v>0</v>
      </c>
      <c r="R14" s="36"/>
      <c r="S14" s="56">
        <f t="shared" si="7"/>
        <v>0</v>
      </c>
      <c r="T14" s="57">
        <f t="shared" ref="T14:T15" si="11">ROUNDUP(+J14*12%,-2)</f>
        <v>0</v>
      </c>
      <c r="U14" s="58">
        <f t="shared" ref="U14:U15" si="12">+Q14+T14</f>
        <v>0</v>
      </c>
      <c r="V14" s="58">
        <f t="shared" ref="V14:V15" si="13">+S14*2.436%</f>
        <v>0</v>
      </c>
      <c r="W14" s="58">
        <f>+S14*4%</f>
        <v>0</v>
      </c>
      <c r="X14" s="59">
        <f t="shared" si="1"/>
        <v>0</v>
      </c>
      <c r="Z14" s="476">
        <f t="shared" ref="Z14:Z15" si="14">+(N14)*8.33%</f>
        <v>0</v>
      </c>
      <c r="AA14" s="477">
        <f t="shared" ref="AA14:AA15" si="15">+(N14)*8.33%</f>
        <v>0</v>
      </c>
      <c r="AB14" s="477">
        <f t="shared" ref="AB14:AB15" si="16">+(L14+N14)*4.17%</f>
        <v>0</v>
      </c>
      <c r="AC14" s="477">
        <f t="shared" ref="AC14:AC15" si="17">+Z14*12%</f>
        <v>0</v>
      </c>
      <c r="AD14" s="478">
        <f t="shared" si="2"/>
        <v>0</v>
      </c>
      <c r="AF14" s="479">
        <f t="shared" ref="AF14:AF15" si="18">+T14+V14+W14+AD14</f>
        <v>0</v>
      </c>
    </row>
    <row r="15" spans="2:34" ht="15.75" thickBot="1">
      <c r="B15" s="474">
        <v>6</v>
      </c>
      <c r="C15" s="61"/>
      <c r="D15" s="62"/>
      <c r="E15" s="63"/>
      <c r="F15" s="31">
        <f t="shared" si="0"/>
        <v>0</v>
      </c>
      <c r="G15" s="64"/>
      <c r="H15" s="65"/>
      <c r="I15" s="66"/>
      <c r="J15" s="67">
        <f t="shared" si="8"/>
        <v>0</v>
      </c>
      <c r="K15" s="36"/>
      <c r="L15" s="53"/>
      <c r="M15" s="49"/>
      <c r="N15" s="54">
        <f t="shared" ref="N15" si="19">+J15+M15</f>
        <v>0</v>
      </c>
      <c r="P15" s="39">
        <f t="shared" si="9"/>
        <v>0</v>
      </c>
      <c r="Q15" s="40">
        <f t="shared" si="10"/>
        <v>0</v>
      </c>
      <c r="R15" s="36"/>
      <c r="S15" s="56">
        <f t="shared" si="7"/>
        <v>0</v>
      </c>
      <c r="T15" s="57">
        <f t="shared" si="11"/>
        <v>0</v>
      </c>
      <c r="U15" s="58">
        <f t="shared" si="12"/>
        <v>0</v>
      </c>
      <c r="V15" s="58">
        <f t="shared" si="13"/>
        <v>0</v>
      </c>
      <c r="W15" s="58">
        <f t="shared" ref="W15" si="20">+S15*4%</f>
        <v>0</v>
      </c>
      <c r="X15" s="59">
        <f t="shared" si="1"/>
        <v>0</v>
      </c>
      <c r="Z15" s="476">
        <f t="shared" si="14"/>
        <v>0</v>
      </c>
      <c r="AA15" s="477">
        <f t="shared" si="15"/>
        <v>0</v>
      </c>
      <c r="AB15" s="477">
        <f t="shared" si="16"/>
        <v>0</v>
      </c>
      <c r="AC15" s="477">
        <f t="shared" si="17"/>
        <v>0</v>
      </c>
      <c r="AD15" s="478">
        <f t="shared" si="2"/>
        <v>0</v>
      </c>
      <c r="AF15" s="479">
        <f t="shared" si="18"/>
        <v>0</v>
      </c>
    </row>
    <row r="16" spans="2:34" s="481" customFormat="1" ht="13.5" thickBot="1">
      <c r="B16" s="480"/>
      <c r="C16" s="71" t="s">
        <v>189</v>
      </c>
      <c r="D16" s="72">
        <f t="shared" ref="D16:J16" si="21">+SUM(D10:D15)</f>
        <v>8100000</v>
      </c>
      <c r="E16" s="73">
        <f t="shared" si="21"/>
        <v>120</v>
      </c>
      <c r="F16" s="74">
        <f t="shared" si="21"/>
        <v>8100000</v>
      </c>
      <c r="G16" s="74">
        <f t="shared" si="21"/>
        <v>0</v>
      </c>
      <c r="H16" s="74">
        <f t="shared" si="21"/>
        <v>0</v>
      </c>
      <c r="I16" s="72">
        <f t="shared" si="21"/>
        <v>0</v>
      </c>
      <c r="J16" s="72">
        <f t="shared" si="21"/>
        <v>8100000</v>
      </c>
      <c r="K16" s="68"/>
      <c r="L16" s="69">
        <f>SUM(L10:L15)</f>
        <v>0</v>
      </c>
      <c r="M16" s="74">
        <f>SUM(M10:M15)</f>
        <v>235424</v>
      </c>
      <c r="N16" s="74">
        <f>SUM(N10:N15)</f>
        <v>8335424</v>
      </c>
      <c r="P16" s="75">
        <f>SUM(P10:P15)</f>
        <v>324000</v>
      </c>
      <c r="Q16" s="74">
        <f>SUM(Q10:Q15)</f>
        <v>324000</v>
      </c>
      <c r="R16" s="482"/>
      <c r="S16" s="75">
        <f t="shared" ref="S16:X16" si="22">SUM(S10:S15)</f>
        <v>8100000</v>
      </c>
      <c r="T16" s="75">
        <f t="shared" si="22"/>
        <v>0</v>
      </c>
      <c r="U16" s="75">
        <f t="shared" si="22"/>
        <v>972000</v>
      </c>
      <c r="V16" s="75">
        <f t="shared" si="22"/>
        <v>42282</v>
      </c>
      <c r="W16" s="75">
        <f t="shared" si="22"/>
        <v>324000</v>
      </c>
      <c r="X16" s="74">
        <f t="shared" si="22"/>
        <v>1338282</v>
      </c>
      <c r="Z16" s="75">
        <f>SUM(Z10:Z15)</f>
        <v>694340.81920000003</v>
      </c>
      <c r="AA16" s="75">
        <f>SUM(AA10:AA15)</f>
        <v>694340.81920000003</v>
      </c>
      <c r="AB16" s="75">
        <f>SUM(AB10:AB15)</f>
        <v>337770</v>
      </c>
      <c r="AC16" s="75">
        <f>SUM(AC10:AC15)</f>
        <v>83320.898304000002</v>
      </c>
      <c r="AD16" s="74">
        <f>SUM(AD10:AD15)</f>
        <v>1809772.5367040001</v>
      </c>
      <c r="AF16" s="74">
        <f>SUM(AF10:AF15)</f>
        <v>3148054.5367040001</v>
      </c>
    </row>
    <row r="17" spans="4:23">
      <c r="D17" s="70"/>
      <c r="P17" s="68"/>
      <c r="Q17" s="68"/>
      <c r="R17" s="483"/>
      <c r="S17" s="483"/>
      <c r="T17" s="483"/>
      <c r="U17" s="68"/>
      <c r="V17" s="68"/>
      <c r="W17" s="68"/>
    </row>
  </sheetData>
  <sheetProtection algorithmName="SHA-512" hashValue="oozhojElCUKbNCfiqf2SQEp4luqN0D5diJ/42cpHh8czEsJPj3tXdbJCtTBW5pQ8/0YJOPoZumUL+j3WMpJh7g==" saltValue="phsHxN8MIKNigs8PLfzc/Q==" spinCount="100000" sheet="1" objects="1" scenarios="1"/>
  <mergeCells count="9">
    <mergeCell ref="T8:X8"/>
    <mergeCell ref="Z8:AD8"/>
    <mergeCell ref="C3:F6"/>
    <mergeCell ref="G3:K6"/>
    <mergeCell ref="B8:C9"/>
    <mergeCell ref="D8:D9"/>
    <mergeCell ref="E8:E9"/>
    <mergeCell ref="F8:F9"/>
    <mergeCell ref="G8:N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ED60C-7F5D-4EA9-A4A7-8BF0F36FA167}">
  <sheetPr>
    <tabColor rgb="FF002060"/>
    <pageSetUpPr autoPageBreaks="0"/>
  </sheetPr>
  <dimension ref="A1:IR34"/>
  <sheetViews>
    <sheetView showGridLines="0" showZeros="0" showOutlineSymbols="0" zoomScale="70" zoomScaleNormal="70" workbookViewId="0">
      <selection activeCell="F17" sqref="F17"/>
    </sheetView>
  </sheetViews>
  <sheetFormatPr baseColWidth="10" defaultColWidth="0" defaultRowHeight="12.75" zeroHeight="1"/>
  <cols>
    <col min="1" max="1" width="17.140625" style="484" customWidth="1"/>
    <col min="2" max="2" width="8.42578125" style="484" customWidth="1"/>
    <col min="3" max="3" width="25.7109375" style="484" customWidth="1"/>
    <col min="4" max="4" width="22.5703125" style="484" customWidth="1"/>
    <col min="5" max="5" width="11.7109375" style="484" bestFit="1" customWidth="1"/>
    <col min="6" max="7" width="24.28515625" style="484" bestFit="1" customWidth="1"/>
    <col min="8" max="8" width="9.140625" style="484" customWidth="1"/>
    <col min="9" max="9" width="16.85546875" style="484" customWidth="1"/>
    <col min="10" max="10" width="8.85546875" style="484" customWidth="1"/>
    <col min="11" max="11" width="19.140625" style="484" customWidth="1"/>
    <col min="12" max="12" width="21" style="484" bestFit="1" customWidth="1"/>
    <col min="13" max="13" width="13.7109375" style="484" customWidth="1"/>
    <col min="14" max="14" width="18.7109375" style="484" customWidth="1"/>
    <col min="15" max="15" width="24" style="484" customWidth="1"/>
    <col min="16" max="16" width="9.140625" style="484" customWidth="1"/>
    <col min="17" max="252" width="9.140625" style="484" hidden="1" customWidth="1"/>
    <col min="253" max="16384" width="11.42578125" style="484" hidden="1"/>
  </cols>
  <sheetData>
    <row r="1" spans="1:15" ht="15" customHeight="1"/>
    <row r="2" spans="1:15"/>
    <row r="3" spans="1:15"/>
    <row r="4" spans="1:15" ht="6.75" customHeight="1" thickBot="1"/>
    <row r="5" spans="1:15" ht="30.75" customHeight="1">
      <c r="A5" s="485" t="s">
        <v>87</v>
      </c>
      <c r="B5" s="486"/>
      <c r="C5" s="486"/>
      <c r="D5" s="390"/>
      <c r="E5" s="391"/>
      <c r="F5" s="391"/>
      <c r="G5" s="487"/>
      <c r="I5" s="485" t="s">
        <v>87</v>
      </c>
      <c r="J5" s="486"/>
      <c r="K5" s="486"/>
      <c r="L5" s="390"/>
      <c r="M5" s="391"/>
      <c r="N5" s="391"/>
      <c r="O5" s="487"/>
    </row>
    <row r="6" spans="1:15" ht="3" customHeight="1" thickBot="1">
      <c r="A6" s="488"/>
      <c r="B6" s="488"/>
      <c r="C6" s="488"/>
      <c r="D6" s="488"/>
      <c r="E6" s="488"/>
      <c r="F6" s="488"/>
      <c r="G6" s="488"/>
      <c r="I6" s="488"/>
      <c r="J6" s="488"/>
      <c r="K6" s="488"/>
      <c r="L6" s="488"/>
      <c r="M6" s="488"/>
      <c r="N6" s="488"/>
      <c r="O6" s="488"/>
    </row>
    <row r="7" spans="1:15" ht="19.5" thickBot="1">
      <c r="A7" s="489" t="s">
        <v>86</v>
      </c>
      <c r="B7" s="489"/>
      <c r="C7" s="489"/>
      <c r="D7" s="490" t="s">
        <v>85</v>
      </c>
      <c r="E7" s="491"/>
      <c r="F7" s="491"/>
      <c r="G7" s="492"/>
      <c r="I7" s="489" t="s">
        <v>86</v>
      </c>
      <c r="J7" s="489"/>
      <c r="K7" s="489"/>
      <c r="L7" s="490" t="s">
        <v>85</v>
      </c>
      <c r="M7" s="491"/>
      <c r="N7" s="491"/>
      <c r="O7" s="492"/>
    </row>
    <row r="8" spans="1:15" ht="18.75">
      <c r="A8" s="493" t="s">
        <v>83</v>
      </c>
      <c r="B8" s="494" t="s">
        <v>84</v>
      </c>
      <c r="C8" s="495"/>
      <c r="D8" s="496" t="s">
        <v>83</v>
      </c>
      <c r="E8" s="494" t="s">
        <v>82</v>
      </c>
      <c r="F8" s="494"/>
      <c r="G8" s="495"/>
      <c r="I8" s="493" t="s">
        <v>83</v>
      </c>
      <c r="J8" s="494" t="s">
        <v>84</v>
      </c>
      <c r="K8" s="495"/>
      <c r="L8" s="496" t="s">
        <v>83</v>
      </c>
      <c r="M8" s="494" t="s">
        <v>82</v>
      </c>
      <c r="N8" s="494"/>
      <c r="O8" s="495"/>
    </row>
    <row r="9" spans="1:15" ht="18.75">
      <c r="A9" s="493" t="s">
        <v>80</v>
      </c>
      <c r="B9" s="494" t="s">
        <v>81</v>
      </c>
      <c r="C9" s="495"/>
      <c r="D9" s="496" t="s">
        <v>80</v>
      </c>
      <c r="E9" s="494" t="s">
        <v>79</v>
      </c>
      <c r="F9" s="494"/>
      <c r="G9" s="495"/>
      <c r="I9" s="493" t="s">
        <v>80</v>
      </c>
      <c r="J9" s="494" t="s">
        <v>81</v>
      </c>
      <c r="K9" s="495"/>
      <c r="L9" s="496" t="s">
        <v>80</v>
      </c>
      <c r="M9" s="494" t="s">
        <v>79</v>
      </c>
      <c r="N9" s="494"/>
      <c r="O9" s="495"/>
    </row>
    <row r="10" spans="1:15" ht="19.5" thickBot="1">
      <c r="A10" s="497" t="s">
        <v>77</v>
      </c>
      <c r="B10" s="498" t="s">
        <v>78</v>
      </c>
      <c r="C10" s="499"/>
      <c r="D10" s="500" t="s">
        <v>77</v>
      </c>
      <c r="E10" s="498" t="s">
        <v>76</v>
      </c>
      <c r="F10" s="498"/>
      <c r="G10" s="499"/>
      <c r="I10" s="497" t="s">
        <v>77</v>
      </c>
      <c r="J10" s="498" t="s">
        <v>78</v>
      </c>
      <c r="K10" s="499"/>
      <c r="L10" s="500" t="s">
        <v>77</v>
      </c>
      <c r="M10" s="498" t="s">
        <v>76</v>
      </c>
      <c r="N10" s="498"/>
      <c r="O10" s="499"/>
    </row>
    <row r="11" spans="1:15" ht="3.75" customHeight="1" thickBot="1">
      <c r="A11" s="501"/>
      <c r="B11" s="501"/>
      <c r="C11" s="502"/>
      <c r="D11" s="501"/>
      <c r="E11" s="501"/>
      <c r="F11" s="501"/>
      <c r="G11" s="501"/>
      <c r="I11" s="501"/>
      <c r="J11" s="501"/>
      <c r="K11" s="502"/>
      <c r="L11" s="501"/>
      <c r="M11" s="501"/>
      <c r="N11" s="501"/>
      <c r="O11" s="501"/>
    </row>
    <row r="12" spans="1:15" ht="18" customHeight="1" thickBot="1">
      <c r="A12" s="503" t="s">
        <v>75</v>
      </c>
      <c r="B12" s="504"/>
      <c r="C12" s="505">
        <f ca="1">TODAY()</f>
        <v>44627</v>
      </c>
      <c r="D12" s="506" t="s">
        <v>74</v>
      </c>
      <c r="E12" s="507"/>
      <c r="F12" s="507"/>
      <c r="G12" s="508"/>
      <c r="I12" s="503" t="s">
        <v>75</v>
      </c>
      <c r="J12" s="504"/>
      <c r="K12" s="505">
        <f ca="1">TODAY()</f>
        <v>44627</v>
      </c>
      <c r="L12" s="506" t="s">
        <v>74</v>
      </c>
      <c r="M12" s="507"/>
      <c r="N12" s="507"/>
      <c r="O12" s="508"/>
    </row>
    <row r="13" spans="1:15" ht="16.5" thickBot="1">
      <c r="A13" s="509" t="s">
        <v>73</v>
      </c>
      <c r="B13" s="510"/>
      <c r="C13" s="511"/>
      <c r="D13" s="512" t="s">
        <v>72</v>
      </c>
      <c r="E13" s="513" t="s">
        <v>71</v>
      </c>
      <c r="F13" s="514" t="s">
        <v>70</v>
      </c>
      <c r="G13" s="515" t="s">
        <v>67</v>
      </c>
      <c r="I13" s="509" t="s">
        <v>73</v>
      </c>
      <c r="J13" s="510"/>
      <c r="K13" s="511"/>
      <c r="L13" s="512" t="s">
        <v>72</v>
      </c>
      <c r="M13" s="513" t="s">
        <v>120</v>
      </c>
      <c r="N13" s="514" t="s">
        <v>70</v>
      </c>
      <c r="O13" s="515" t="s">
        <v>67</v>
      </c>
    </row>
    <row r="14" spans="1:15" ht="19.5" thickBot="1">
      <c r="A14" s="516" t="s">
        <v>89</v>
      </c>
      <c r="B14" s="517"/>
      <c r="C14" s="518"/>
      <c r="D14" s="519">
        <v>28000000</v>
      </c>
      <c r="E14" s="520"/>
      <c r="F14" s="521">
        <f t="shared" ref="F14:F23" si="0">IF(E14&lt;&gt;"",D14-(D14*E14),0)</f>
        <v>0</v>
      </c>
      <c r="G14" s="521">
        <f t="shared" ref="G14:G23" si="1">IF(E14=0,D14,F14)</f>
        <v>28000000</v>
      </c>
      <c r="I14" s="516" t="s">
        <v>119</v>
      </c>
      <c r="J14" s="517"/>
      <c r="K14" s="518"/>
      <c r="L14" s="519">
        <v>1680672.2689075631</v>
      </c>
      <c r="M14" s="522">
        <v>4</v>
      </c>
      <c r="N14" s="521">
        <v>0</v>
      </c>
      <c r="O14" s="521">
        <f>+L14*M14</f>
        <v>6722689.0756302522</v>
      </c>
    </row>
    <row r="15" spans="1:15" ht="19.5" thickBot="1">
      <c r="A15" s="516" t="s">
        <v>90</v>
      </c>
      <c r="B15" s="517"/>
      <c r="C15" s="518"/>
      <c r="D15" s="519">
        <v>20000000</v>
      </c>
      <c r="E15" s="520"/>
      <c r="F15" s="521">
        <f t="shared" si="0"/>
        <v>0</v>
      </c>
      <c r="G15" s="521">
        <f t="shared" si="1"/>
        <v>20000000</v>
      </c>
      <c r="I15" s="516"/>
      <c r="J15" s="517"/>
      <c r="K15" s="518"/>
      <c r="L15" s="519">
        <v>0</v>
      </c>
      <c r="M15" s="520"/>
      <c r="N15" s="521">
        <f t="shared" ref="N15:N23" si="2">IF(M15&lt;&gt;"",L15-(L15*M15),0)</f>
        <v>0</v>
      </c>
      <c r="O15" s="521">
        <f t="shared" ref="O15:O23" si="3">IF(M15=0,L15,N15)</f>
        <v>0</v>
      </c>
    </row>
    <row r="16" spans="1:15" ht="19.5" thickBot="1">
      <c r="A16" s="516" t="s">
        <v>91</v>
      </c>
      <c r="B16" s="517"/>
      <c r="C16" s="518"/>
      <c r="D16" s="519">
        <v>5000000</v>
      </c>
      <c r="E16" s="520"/>
      <c r="F16" s="521">
        <f t="shared" si="0"/>
        <v>0</v>
      </c>
      <c r="G16" s="521">
        <f t="shared" si="1"/>
        <v>5000000</v>
      </c>
      <c r="I16" s="516"/>
      <c r="J16" s="517"/>
      <c r="K16" s="518"/>
      <c r="L16" s="519">
        <v>0</v>
      </c>
      <c r="M16" s="520"/>
      <c r="N16" s="521">
        <f t="shared" si="2"/>
        <v>0</v>
      </c>
      <c r="O16" s="521">
        <f t="shared" si="3"/>
        <v>0</v>
      </c>
    </row>
    <row r="17" spans="1:15" ht="19.5" thickBot="1">
      <c r="A17" s="516"/>
      <c r="B17" s="517"/>
      <c r="C17" s="518"/>
      <c r="D17" s="519">
        <v>0</v>
      </c>
      <c r="E17" s="520"/>
      <c r="F17" s="521">
        <f t="shared" si="0"/>
        <v>0</v>
      </c>
      <c r="G17" s="521">
        <f t="shared" si="1"/>
        <v>0</v>
      </c>
      <c r="I17" s="516"/>
      <c r="J17" s="517"/>
      <c r="K17" s="518"/>
      <c r="L17" s="519">
        <v>0</v>
      </c>
      <c r="M17" s="520"/>
      <c r="N17" s="521">
        <f t="shared" si="2"/>
        <v>0</v>
      </c>
      <c r="O17" s="521">
        <f t="shared" si="3"/>
        <v>0</v>
      </c>
    </row>
    <row r="18" spans="1:15" ht="19.5" thickBot="1">
      <c r="A18" s="516"/>
      <c r="B18" s="517"/>
      <c r="C18" s="518"/>
      <c r="D18" s="519">
        <v>0</v>
      </c>
      <c r="E18" s="520"/>
      <c r="F18" s="521">
        <f t="shared" si="0"/>
        <v>0</v>
      </c>
      <c r="G18" s="521">
        <f t="shared" si="1"/>
        <v>0</v>
      </c>
      <c r="I18" s="516"/>
      <c r="J18" s="517"/>
      <c r="K18" s="518"/>
      <c r="L18" s="519">
        <v>0</v>
      </c>
      <c r="M18" s="520"/>
      <c r="N18" s="521">
        <f t="shared" si="2"/>
        <v>0</v>
      </c>
      <c r="O18" s="521">
        <f t="shared" si="3"/>
        <v>0</v>
      </c>
    </row>
    <row r="19" spans="1:15" ht="19.5" thickBot="1">
      <c r="A19" s="516"/>
      <c r="B19" s="517"/>
      <c r="C19" s="518"/>
      <c r="D19" s="519">
        <v>0</v>
      </c>
      <c r="E19" s="520"/>
      <c r="F19" s="521">
        <f t="shared" si="0"/>
        <v>0</v>
      </c>
      <c r="G19" s="521">
        <f t="shared" si="1"/>
        <v>0</v>
      </c>
      <c r="I19" s="516"/>
      <c r="J19" s="517"/>
      <c r="K19" s="518"/>
      <c r="L19" s="519">
        <v>0</v>
      </c>
      <c r="M19" s="520"/>
      <c r="N19" s="521">
        <f t="shared" si="2"/>
        <v>0</v>
      </c>
      <c r="O19" s="521">
        <f t="shared" si="3"/>
        <v>0</v>
      </c>
    </row>
    <row r="20" spans="1:15" ht="19.5" thickBot="1">
      <c r="A20" s="516"/>
      <c r="B20" s="517"/>
      <c r="C20" s="518"/>
      <c r="D20" s="519">
        <v>0</v>
      </c>
      <c r="E20" s="520"/>
      <c r="F20" s="521">
        <f t="shared" si="0"/>
        <v>0</v>
      </c>
      <c r="G20" s="521">
        <f t="shared" si="1"/>
        <v>0</v>
      </c>
      <c r="I20" s="516"/>
      <c r="J20" s="517"/>
      <c r="K20" s="518"/>
      <c r="L20" s="519">
        <v>0</v>
      </c>
      <c r="M20" s="520"/>
      <c r="N20" s="521">
        <f t="shared" si="2"/>
        <v>0</v>
      </c>
      <c r="O20" s="521">
        <f t="shared" si="3"/>
        <v>0</v>
      </c>
    </row>
    <row r="21" spans="1:15" ht="19.5" thickBot="1">
      <c r="A21" s="516"/>
      <c r="B21" s="517"/>
      <c r="C21" s="518"/>
      <c r="D21" s="519">
        <v>0</v>
      </c>
      <c r="E21" s="520"/>
      <c r="F21" s="521">
        <f t="shared" si="0"/>
        <v>0</v>
      </c>
      <c r="G21" s="521">
        <f t="shared" si="1"/>
        <v>0</v>
      </c>
      <c r="I21" s="516"/>
      <c r="J21" s="517"/>
      <c r="K21" s="518"/>
      <c r="L21" s="519">
        <v>0</v>
      </c>
      <c r="M21" s="520"/>
      <c r="N21" s="521">
        <f t="shared" si="2"/>
        <v>0</v>
      </c>
      <c r="O21" s="521">
        <f t="shared" si="3"/>
        <v>0</v>
      </c>
    </row>
    <row r="22" spans="1:15" ht="19.5" thickBot="1">
      <c r="A22" s="516"/>
      <c r="B22" s="517"/>
      <c r="C22" s="518"/>
      <c r="D22" s="519">
        <v>0</v>
      </c>
      <c r="E22" s="520"/>
      <c r="F22" s="521">
        <f t="shared" si="0"/>
        <v>0</v>
      </c>
      <c r="G22" s="521">
        <f t="shared" si="1"/>
        <v>0</v>
      </c>
      <c r="I22" s="516"/>
      <c r="J22" s="517"/>
      <c r="K22" s="518"/>
      <c r="L22" s="519">
        <v>0</v>
      </c>
      <c r="M22" s="520"/>
      <c r="N22" s="521">
        <f t="shared" si="2"/>
        <v>0</v>
      </c>
      <c r="O22" s="521">
        <f t="shared" si="3"/>
        <v>0</v>
      </c>
    </row>
    <row r="23" spans="1:15" ht="19.5" thickBot="1">
      <c r="A23" s="516"/>
      <c r="B23" s="517"/>
      <c r="C23" s="518"/>
      <c r="D23" s="519">
        <v>0</v>
      </c>
      <c r="E23" s="520"/>
      <c r="F23" s="521">
        <f t="shared" si="0"/>
        <v>0</v>
      </c>
      <c r="G23" s="521">
        <f t="shared" si="1"/>
        <v>0</v>
      </c>
      <c r="I23" s="516"/>
      <c r="J23" s="517"/>
      <c r="K23" s="518"/>
      <c r="L23" s="519">
        <v>0</v>
      </c>
      <c r="M23" s="520"/>
      <c r="N23" s="521">
        <f t="shared" si="2"/>
        <v>0</v>
      </c>
      <c r="O23" s="521">
        <f t="shared" si="3"/>
        <v>0</v>
      </c>
    </row>
    <row r="24" spans="1:15" ht="18" customHeight="1" thickBot="1">
      <c r="A24" s="523"/>
      <c r="B24" s="523"/>
      <c r="C24" s="523"/>
      <c r="D24" s="524"/>
      <c r="E24" s="525" t="s">
        <v>69</v>
      </c>
      <c r="F24" s="525"/>
      <c r="G24" s="526">
        <f>SUM(G14:G23)</f>
        <v>53000000</v>
      </c>
      <c r="I24" s="523"/>
      <c r="J24" s="523"/>
      <c r="K24" s="523"/>
      <c r="L24" s="524"/>
      <c r="M24" s="525" t="s">
        <v>69</v>
      </c>
      <c r="N24" s="525"/>
      <c r="O24" s="526">
        <f>SUM(O14:O23)</f>
        <v>6722689.0756302522</v>
      </c>
    </row>
    <row r="25" spans="1:15" ht="18" customHeight="1" thickBot="1">
      <c r="A25" s="524"/>
      <c r="B25" s="524"/>
      <c r="C25" s="524"/>
      <c r="E25" s="527" t="s">
        <v>68</v>
      </c>
      <c r="F25" s="528">
        <v>0.19</v>
      </c>
      <c r="G25" s="526">
        <f>+G24*F25</f>
        <v>10070000</v>
      </c>
      <c r="I25" s="524"/>
      <c r="J25" s="524"/>
      <c r="K25" s="524"/>
      <c r="M25" s="527" t="s">
        <v>68</v>
      </c>
      <c r="N25" s="528">
        <v>0.19</v>
      </c>
      <c r="O25" s="526">
        <f>+O24*N25</f>
        <v>1277310.924369748</v>
      </c>
    </row>
    <row r="26" spans="1:15" ht="5.25" customHeight="1"/>
    <row r="27" spans="1:15" ht="21">
      <c r="E27" s="529" t="s">
        <v>67</v>
      </c>
      <c r="F27" s="529"/>
      <c r="G27" s="526">
        <f>G24+G25</f>
        <v>63070000</v>
      </c>
      <c r="M27" s="529" t="s">
        <v>67</v>
      </c>
      <c r="N27" s="529"/>
      <c r="O27" s="526">
        <f>O24+O25</f>
        <v>8000000</v>
      </c>
    </row>
    <row r="28" spans="1:15"/>
    <row r="29" spans="1:15"/>
    <row r="31" spans="1:15" hidden="1">
      <c r="G31" s="530"/>
    </row>
    <row r="33" spans="7:7" hidden="1">
      <c r="G33" s="531"/>
    </row>
    <row r="34" spans="7:7" hidden="1">
      <c r="G34" s="531"/>
    </row>
  </sheetData>
  <mergeCells count="50">
    <mergeCell ref="B9:C9"/>
    <mergeCell ref="A14:C14"/>
    <mergeCell ref="A15:C15"/>
    <mergeCell ref="E12:G12"/>
    <mergeCell ref="E8:G8"/>
    <mergeCell ref="E9:G9"/>
    <mergeCell ref="E10:G10"/>
    <mergeCell ref="A13:C13"/>
    <mergeCell ref="B10:C10"/>
    <mergeCell ref="A5:C5"/>
    <mergeCell ref="D5:F5"/>
    <mergeCell ref="D7:G7"/>
    <mergeCell ref="A7:C7"/>
    <mergeCell ref="B8:C8"/>
    <mergeCell ref="A16:C16"/>
    <mergeCell ref="E27:F27"/>
    <mergeCell ref="A20:C20"/>
    <mergeCell ref="A21:C21"/>
    <mergeCell ref="A22:C22"/>
    <mergeCell ref="A23:C23"/>
    <mergeCell ref="A24:C24"/>
    <mergeCell ref="E24:F24"/>
    <mergeCell ref="A17:C17"/>
    <mergeCell ref="A18:C18"/>
    <mergeCell ref="A19:C19"/>
    <mergeCell ref="I5:K5"/>
    <mergeCell ref="L5:N5"/>
    <mergeCell ref="I7:K7"/>
    <mergeCell ref="L7:O7"/>
    <mergeCell ref="J8:K8"/>
    <mergeCell ref="M8:O8"/>
    <mergeCell ref="J9:K9"/>
    <mergeCell ref="M9:O9"/>
    <mergeCell ref="J10:K10"/>
    <mergeCell ref="M10:O10"/>
    <mergeCell ref="M12:O12"/>
    <mergeCell ref="I13:K13"/>
    <mergeCell ref="I14:K14"/>
    <mergeCell ref="I15:K15"/>
    <mergeCell ref="I16:K16"/>
    <mergeCell ref="I17:K17"/>
    <mergeCell ref="I23:K23"/>
    <mergeCell ref="I24:K24"/>
    <mergeCell ref="M24:N24"/>
    <mergeCell ref="M27:N27"/>
    <mergeCell ref="I18:K18"/>
    <mergeCell ref="I19:K19"/>
    <mergeCell ref="I20:K20"/>
    <mergeCell ref="I21:K21"/>
    <mergeCell ref="I22:K22"/>
  </mergeCells>
  <pageMargins left="0.25" right="0.25" top="0.75" bottom="0.75" header="0.3" footer="0.3"/>
  <pageSetup paperSize="5" orientation="portrait" horizontalDpi="4294967293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9C78E-84F8-4E31-9B86-FCC09F10661E}">
  <sheetPr>
    <tabColor rgb="FF002060"/>
  </sheetPr>
  <dimension ref="B1:U65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P18" sqref="P18"/>
    </sheetView>
  </sheetViews>
  <sheetFormatPr baseColWidth="10" defaultRowHeight="12.95" customHeight="1"/>
  <cols>
    <col min="1" max="1" width="2" style="533" customWidth="1"/>
    <col min="2" max="2" width="33.85546875" style="533" customWidth="1"/>
    <col min="3" max="3" width="21.5703125" style="533" customWidth="1"/>
    <col min="4" max="15" width="12.7109375" style="533" hidden="1" customWidth="1"/>
    <col min="16" max="16" width="14" style="663" customWidth="1"/>
    <col min="17" max="17" width="14.140625" style="533" customWidth="1"/>
    <col min="18" max="18" width="14.28515625" style="533" customWidth="1"/>
    <col min="19" max="19" width="12.28515625" style="533" customWidth="1"/>
    <col min="20" max="20" width="12.7109375" style="533" customWidth="1"/>
    <col min="21" max="16384" width="11.42578125" style="533"/>
  </cols>
  <sheetData>
    <row r="1" spans="2:20" ht="12.95" customHeight="1">
      <c r="B1" s="532" t="s">
        <v>207</v>
      </c>
      <c r="C1" s="532"/>
      <c r="D1" s="532"/>
      <c r="E1" s="532"/>
      <c r="F1" s="532"/>
      <c r="G1" s="532"/>
      <c r="H1" s="532"/>
      <c r="I1" s="532"/>
      <c r="J1" s="532"/>
      <c r="K1" s="532"/>
      <c r="L1" s="532"/>
      <c r="M1" s="532"/>
      <c r="N1" s="532"/>
      <c r="O1" s="532"/>
      <c r="P1" s="532"/>
      <c r="Q1" s="532"/>
      <c r="R1" s="532"/>
      <c r="S1" s="532"/>
      <c r="T1" s="532"/>
    </row>
    <row r="2" spans="2:20" ht="12.95" customHeight="1">
      <c r="B2" s="532" t="s">
        <v>206</v>
      </c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2"/>
      <c r="R2" s="532"/>
      <c r="S2" s="532"/>
      <c r="T2" s="532"/>
    </row>
    <row r="3" spans="2:20" ht="12.95" customHeight="1">
      <c r="B3" s="532" t="s">
        <v>208</v>
      </c>
      <c r="C3" s="532"/>
      <c r="D3" s="532"/>
      <c r="E3" s="532"/>
      <c r="F3" s="532"/>
      <c r="G3" s="532"/>
      <c r="H3" s="532"/>
      <c r="I3" s="532"/>
      <c r="J3" s="532"/>
      <c r="K3" s="532"/>
      <c r="L3" s="532"/>
      <c r="M3" s="532"/>
      <c r="N3" s="532"/>
      <c r="O3" s="532"/>
      <c r="P3" s="532"/>
      <c r="Q3" s="532"/>
      <c r="R3" s="532"/>
      <c r="S3" s="532"/>
      <c r="T3" s="532"/>
    </row>
    <row r="4" spans="2:20" ht="12.95" customHeight="1">
      <c r="B4" s="534" t="s">
        <v>209</v>
      </c>
      <c r="C4" s="534"/>
      <c r="D4" s="534"/>
      <c r="E4" s="534"/>
      <c r="F4" s="534"/>
      <c r="G4" s="534"/>
      <c r="H4" s="534"/>
      <c r="I4" s="534"/>
      <c r="J4" s="534"/>
      <c r="K4" s="534"/>
      <c r="L4" s="534"/>
      <c r="M4" s="534"/>
      <c r="N4" s="534"/>
      <c r="O4" s="534"/>
      <c r="P4" s="534"/>
      <c r="Q4" s="534"/>
      <c r="R4" s="534"/>
      <c r="S4" s="534"/>
      <c r="T4" s="534"/>
    </row>
    <row r="5" spans="2:20" ht="12.95" customHeight="1" thickBot="1">
      <c r="B5" s="535">
        <v>2022</v>
      </c>
      <c r="C5" s="535"/>
      <c r="D5" s="535"/>
      <c r="E5" s="535"/>
      <c r="F5" s="535"/>
      <c r="G5" s="535"/>
      <c r="H5" s="535"/>
      <c r="I5" s="535"/>
      <c r="J5" s="535"/>
      <c r="K5" s="535"/>
      <c r="L5" s="535"/>
      <c r="M5" s="535"/>
      <c r="N5" s="535"/>
      <c r="O5" s="535"/>
      <c r="P5" s="535"/>
      <c r="Q5" s="535"/>
      <c r="R5" s="535"/>
      <c r="S5" s="535"/>
      <c r="T5" s="535"/>
    </row>
    <row r="6" spans="2:20" s="540" customFormat="1" ht="12.95" customHeight="1" thickBot="1">
      <c r="B6" s="536" t="s">
        <v>158</v>
      </c>
      <c r="C6" s="536">
        <v>2021</v>
      </c>
      <c r="D6" s="536" t="s">
        <v>256</v>
      </c>
      <c r="E6" s="536" t="s">
        <v>268</v>
      </c>
      <c r="F6" s="536" t="s">
        <v>269</v>
      </c>
      <c r="G6" s="536" t="s">
        <v>270</v>
      </c>
      <c r="H6" s="536" t="s">
        <v>260</v>
      </c>
      <c r="I6" s="536" t="s">
        <v>261</v>
      </c>
      <c r="J6" s="536" t="s">
        <v>262</v>
      </c>
      <c r="K6" s="536" t="s">
        <v>263</v>
      </c>
      <c r="L6" s="536" t="s">
        <v>264</v>
      </c>
      <c r="M6" s="536" t="s">
        <v>265</v>
      </c>
      <c r="N6" s="536" t="s">
        <v>266</v>
      </c>
      <c r="O6" s="537" t="s">
        <v>267</v>
      </c>
      <c r="P6" s="538">
        <v>2022</v>
      </c>
      <c r="Q6" s="539">
        <f>+P6+1</f>
        <v>2023</v>
      </c>
      <c r="R6" s="538">
        <f t="shared" ref="R6:T6" si="0">+Q6+1</f>
        <v>2024</v>
      </c>
      <c r="S6" s="539">
        <f t="shared" si="0"/>
        <v>2025</v>
      </c>
      <c r="T6" s="538">
        <f t="shared" si="0"/>
        <v>2026</v>
      </c>
    </row>
    <row r="7" spans="2:20" s="540" customFormat="1" ht="12.95" customHeight="1">
      <c r="B7" s="541" t="s">
        <v>197</v>
      </c>
      <c r="C7" s="542"/>
      <c r="D7" s="542"/>
      <c r="E7" s="542"/>
      <c r="F7" s="542"/>
      <c r="G7" s="542"/>
      <c r="H7" s="542"/>
      <c r="I7" s="542"/>
      <c r="J7" s="542"/>
      <c r="K7" s="542"/>
      <c r="L7" s="542"/>
      <c r="M7" s="542"/>
      <c r="N7" s="542"/>
      <c r="O7" s="543"/>
      <c r="P7" s="544"/>
      <c r="Q7" s="545"/>
      <c r="R7" s="546"/>
      <c r="S7" s="545"/>
      <c r="T7" s="546"/>
    </row>
    <row r="8" spans="2:20" s="540" customFormat="1" ht="12.95" customHeight="1">
      <c r="B8" s="547" t="s">
        <v>210</v>
      </c>
      <c r="C8" s="548"/>
      <c r="D8" s="548"/>
      <c r="E8" s="548"/>
      <c r="F8" s="548"/>
      <c r="G8" s="548"/>
      <c r="H8" s="548"/>
      <c r="I8" s="548"/>
      <c r="J8" s="548"/>
      <c r="K8" s="548"/>
      <c r="L8" s="548"/>
      <c r="M8" s="548"/>
      <c r="N8" s="548"/>
      <c r="O8" s="549"/>
      <c r="P8" s="550"/>
      <c r="Q8" s="551"/>
      <c r="R8" s="552"/>
      <c r="S8" s="551"/>
      <c r="T8" s="552"/>
    </row>
    <row r="9" spans="2:20" ht="12.95" customHeight="1">
      <c r="B9" s="553" t="s">
        <v>211</v>
      </c>
      <c r="C9" s="554">
        <v>500000</v>
      </c>
      <c r="D9" s="554">
        <v>463446.0566666667</v>
      </c>
      <c r="E9" s="554">
        <v>563751.57666666666</v>
      </c>
      <c r="F9" s="554">
        <v>370471.45666666667</v>
      </c>
      <c r="G9" s="554">
        <v>165602.66666666666</v>
      </c>
      <c r="H9" s="554">
        <v>848062.66666666663</v>
      </c>
      <c r="I9" s="554">
        <v>417608.66666666669</v>
      </c>
      <c r="J9" s="554">
        <v>277386.54666666669</v>
      </c>
      <c r="K9" s="554">
        <v>822055.66666666663</v>
      </c>
      <c r="L9" s="554">
        <v>454753.66666666669</v>
      </c>
      <c r="M9" s="554">
        <v>376913.66666666669</v>
      </c>
      <c r="N9" s="554">
        <v>84027.666666666657</v>
      </c>
      <c r="O9" s="554">
        <v>753528.66666666663</v>
      </c>
      <c r="P9" s="555">
        <f>+O9</f>
        <v>753528.66666666663</v>
      </c>
      <c r="Q9" s="556">
        <f>+P9*1.5</f>
        <v>1130293</v>
      </c>
      <c r="R9" s="555">
        <f t="shared" ref="R9:T9" si="1">+Q9*1.5</f>
        <v>1695439.5</v>
      </c>
      <c r="S9" s="557">
        <f t="shared" si="1"/>
        <v>2543159.25</v>
      </c>
      <c r="T9" s="555">
        <f t="shared" si="1"/>
        <v>3814738.875</v>
      </c>
    </row>
    <row r="10" spans="2:20" ht="12.95" customHeight="1">
      <c r="B10" s="553" t="s">
        <v>212</v>
      </c>
      <c r="C10" s="554">
        <v>1500000</v>
      </c>
      <c r="D10" s="554">
        <v>125000</v>
      </c>
      <c r="E10" s="554">
        <v>125000</v>
      </c>
      <c r="F10" s="554">
        <v>1125000</v>
      </c>
      <c r="G10" s="554">
        <v>2125000.83</v>
      </c>
      <c r="H10" s="554">
        <v>2125000.5700000003</v>
      </c>
      <c r="I10" s="554">
        <v>3125000.56</v>
      </c>
      <c r="J10" s="554">
        <v>4125000</v>
      </c>
      <c r="K10" s="554">
        <v>4125000.98</v>
      </c>
      <c r="L10" s="554">
        <v>5125000.76</v>
      </c>
      <c r="M10" s="554">
        <v>6125000.1799999997</v>
      </c>
      <c r="N10" s="554">
        <v>7125000.8099999996</v>
      </c>
      <c r="O10" s="554">
        <v>14125000.279999999</v>
      </c>
      <c r="P10" s="555">
        <f>+O10</f>
        <v>14125000.279999999</v>
      </c>
      <c r="Q10" s="556">
        <f>+P10*1.9</f>
        <v>26837500.531999998</v>
      </c>
      <c r="R10" s="558">
        <f>+Q10*1.6</f>
        <v>42940000.851199999</v>
      </c>
      <c r="S10" s="556">
        <f>+R10*1.6</f>
        <v>68704001.361919999</v>
      </c>
      <c r="T10" s="558">
        <f>+S10*1.6</f>
        <v>109926402.17907201</v>
      </c>
    </row>
    <row r="11" spans="2:20" s="564" customFormat="1" ht="12.95" customHeight="1">
      <c r="B11" s="559" t="s">
        <v>213</v>
      </c>
      <c r="C11" s="560">
        <f t="shared" ref="C11:O11" si="2">+C9+C10</f>
        <v>2000000</v>
      </c>
      <c r="D11" s="560">
        <f t="shared" si="2"/>
        <v>588446.05666666664</v>
      </c>
      <c r="E11" s="560">
        <f t="shared" si="2"/>
        <v>688751.57666666666</v>
      </c>
      <c r="F11" s="560">
        <f t="shared" si="2"/>
        <v>1495471.4566666665</v>
      </c>
      <c r="G11" s="560">
        <f t="shared" si="2"/>
        <v>2290603.4966666666</v>
      </c>
      <c r="H11" s="560">
        <f t="shared" si="2"/>
        <v>2973063.2366666668</v>
      </c>
      <c r="I11" s="560">
        <f t="shared" si="2"/>
        <v>3542609.2266666666</v>
      </c>
      <c r="J11" s="560">
        <f t="shared" si="2"/>
        <v>4402386.5466666669</v>
      </c>
      <c r="K11" s="560">
        <f t="shared" si="2"/>
        <v>4947056.6466666665</v>
      </c>
      <c r="L11" s="560">
        <f t="shared" si="2"/>
        <v>5579754.4266666668</v>
      </c>
      <c r="M11" s="560">
        <f t="shared" si="2"/>
        <v>6501913.8466666667</v>
      </c>
      <c r="N11" s="560">
        <f t="shared" si="2"/>
        <v>7209028.4766666666</v>
      </c>
      <c r="O11" s="561">
        <f t="shared" si="2"/>
        <v>14878528.946666665</v>
      </c>
      <c r="P11" s="562">
        <f>+P9+P10</f>
        <v>14878528.946666665</v>
      </c>
      <c r="Q11" s="563">
        <f t="shared" ref="Q11:T11" si="3">+Q9+Q10</f>
        <v>27967793.531999998</v>
      </c>
      <c r="R11" s="562">
        <f t="shared" si="3"/>
        <v>44635440.351199999</v>
      </c>
      <c r="S11" s="563">
        <f t="shared" si="3"/>
        <v>71247160.611919999</v>
      </c>
      <c r="T11" s="562">
        <f t="shared" si="3"/>
        <v>113741141.05407201</v>
      </c>
    </row>
    <row r="12" spans="2:20" ht="12.95" customHeight="1">
      <c r="B12" s="565" t="s">
        <v>214</v>
      </c>
      <c r="C12" s="554"/>
      <c r="D12" s="554"/>
      <c r="E12" s="554"/>
      <c r="F12" s="554"/>
      <c r="G12" s="554"/>
      <c r="H12" s="554"/>
      <c r="I12" s="554"/>
      <c r="J12" s="554"/>
      <c r="K12" s="554"/>
      <c r="L12" s="554"/>
      <c r="M12" s="554"/>
      <c r="N12" s="554"/>
      <c r="O12" s="566"/>
      <c r="P12" s="567"/>
      <c r="Q12" s="568"/>
      <c r="R12" s="569"/>
      <c r="S12" s="568"/>
      <c r="T12" s="569"/>
    </row>
    <row r="13" spans="2:20" ht="12.95" customHeight="1">
      <c r="B13" s="553" t="s">
        <v>215</v>
      </c>
      <c r="C13" s="554"/>
      <c r="D13" s="554">
        <v>12918718.4</v>
      </c>
      <c r="E13" s="554">
        <v>20422152.199999999</v>
      </c>
      <c r="F13" s="554">
        <v>31677310.399999999</v>
      </c>
      <c r="G13" s="554">
        <v>42932465.600000001</v>
      </c>
      <c r="H13" s="554">
        <v>54187620.799999997</v>
      </c>
      <c r="I13" s="554">
        <v>65442776</v>
      </c>
      <c r="J13" s="554">
        <v>67530931.200000003</v>
      </c>
      <c r="K13" s="554">
        <v>78786086.400000006</v>
      </c>
      <c r="L13" s="554">
        <v>90041241.600000009</v>
      </c>
      <c r="M13" s="554">
        <v>101296396.80000001</v>
      </c>
      <c r="N13" s="554">
        <v>112551552.00000001</v>
      </c>
      <c r="O13" s="554">
        <v>123806707.20000002</v>
      </c>
      <c r="P13" s="555">
        <f>+O13</f>
        <v>123806707.20000002</v>
      </c>
      <c r="Q13" s="555">
        <f>+P13*1.0407</f>
        <v>128845640.18304001</v>
      </c>
      <c r="R13" s="555">
        <f>+Q13*1.0407</f>
        <v>134089657.73848973</v>
      </c>
      <c r="S13" s="555">
        <f>+R13*1.0407</f>
        <v>139547106.80844626</v>
      </c>
      <c r="T13" s="555">
        <f>+S13*1.0407</f>
        <v>145226674.05555001</v>
      </c>
    </row>
    <row r="14" spans="2:20" s="570" customFormat="1" ht="12.95" customHeight="1">
      <c r="B14" s="559" t="s">
        <v>216</v>
      </c>
      <c r="C14" s="560">
        <f>+C13</f>
        <v>0</v>
      </c>
      <c r="D14" s="560">
        <f t="shared" ref="D14:O14" si="4">+D13</f>
        <v>12918718.4</v>
      </c>
      <c r="E14" s="560">
        <f t="shared" si="4"/>
        <v>20422152.199999999</v>
      </c>
      <c r="F14" s="560">
        <f t="shared" si="4"/>
        <v>31677310.399999999</v>
      </c>
      <c r="G14" s="560">
        <f t="shared" si="4"/>
        <v>42932465.600000001</v>
      </c>
      <c r="H14" s="560">
        <f t="shared" si="4"/>
        <v>54187620.799999997</v>
      </c>
      <c r="I14" s="560">
        <f t="shared" si="4"/>
        <v>65442776</v>
      </c>
      <c r="J14" s="560">
        <f t="shared" si="4"/>
        <v>67530931.200000003</v>
      </c>
      <c r="K14" s="560">
        <f t="shared" si="4"/>
        <v>78786086.400000006</v>
      </c>
      <c r="L14" s="560">
        <f t="shared" si="4"/>
        <v>90041241.600000009</v>
      </c>
      <c r="M14" s="560">
        <f t="shared" si="4"/>
        <v>101296396.80000001</v>
      </c>
      <c r="N14" s="560">
        <f t="shared" si="4"/>
        <v>112551552.00000001</v>
      </c>
      <c r="O14" s="561">
        <f t="shared" si="4"/>
        <v>123806707.20000002</v>
      </c>
      <c r="P14" s="562">
        <f>+P13</f>
        <v>123806707.20000002</v>
      </c>
      <c r="Q14" s="563">
        <f t="shared" ref="Q14:T14" si="5">+Q13</f>
        <v>128845640.18304001</v>
      </c>
      <c r="R14" s="562">
        <f t="shared" si="5"/>
        <v>134089657.73848973</v>
      </c>
      <c r="S14" s="563">
        <f t="shared" si="5"/>
        <v>139547106.80844626</v>
      </c>
      <c r="T14" s="562">
        <f t="shared" si="5"/>
        <v>145226674.05555001</v>
      </c>
    </row>
    <row r="15" spans="2:20" s="540" customFormat="1" ht="12.95" customHeight="1" thickBot="1">
      <c r="B15" s="571" t="s">
        <v>198</v>
      </c>
      <c r="C15" s="572">
        <f>+C11+C14</f>
        <v>2000000</v>
      </c>
      <c r="D15" s="572">
        <f t="shared" ref="D15:O15" si="6">+D11+D14</f>
        <v>13507164.456666667</v>
      </c>
      <c r="E15" s="572">
        <f t="shared" si="6"/>
        <v>21110903.776666667</v>
      </c>
      <c r="F15" s="572">
        <f t="shared" si="6"/>
        <v>33172781.856666666</v>
      </c>
      <c r="G15" s="572">
        <f t="shared" si="6"/>
        <v>45223069.096666671</v>
      </c>
      <c r="H15" s="572">
        <f t="shared" si="6"/>
        <v>57160684.036666662</v>
      </c>
      <c r="I15" s="572">
        <f t="shared" si="6"/>
        <v>68985385.226666659</v>
      </c>
      <c r="J15" s="572">
        <f t="shared" si="6"/>
        <v>71933317.74666667</v>
      </c>
      <c r="K15" s="572">
        <f t="shared" si="6"/>
        <v>83733143.046666667</v>
      </c>
      <c r="L15" s="572">
        <f t="shared" si="6"/>
        <v>95620996.026666671</v>
      </c>
      <c r="M15" s="572">
        <f t="shared" si="6"/>
        <v>107798310.64666668</v>
      </c>
      <c r="N15" s="572">
        <f t="shared" si="6"/>
        <v>119760580.47666669</v>
      </c>
      <c r="O15" s="573">
        <f t="shared" si="6"/>
        <v>138685236.14666668</v>
      </c>
      <c r="P15" s="574">
        <f t="shared" ref="P15:T15" si="7">+P11+P14</f>
        <v>138685236.14666668</v>
      </c>
      <c r="Q15" s="575">
        <f t="shared" si="7"/>
        <v>156813433.71504</v>
      </c>
      <c r="R15" s="576">
        <f t="shared" si="7"/>
        <v>178725098.08968973</v>
      </c>
      <c r="S15" s="575">
        <f t="shared" si="7"/>
        <v>210794267.42036626</v>
      </c>
      <c r="T15" s="576">
        <f t="shared" si="7"/>
        <v>258967815.109622</v>
      </c>
    </row>
    <row r="16" spans="2:20" ht="12.95" customHeight="1" thickBot="1">
      <c r="B16" s="577" t="s">
        <v>161</v>
      </c>
      <c r="C16" s="578"/>
      <c r="D16" s="578"/>
      <c r="E16" s="578"/>
      <c r="F16" s="578"/>
      <c r="G16" s="578"/>
      <c r="H16" s="578"/>
      <c r="I16" s="578"/>
      <c r="J16" s="578"/>
      <c r="K16" s="578"/>
      <c r="L16" s="578"/>
      <c r="M16" s="578"/>
      <c r="N16" s="578"/>
      <c r="O16" s="579"/>
      <c r="P16" s="580"/>
      <c r="Q16" s="581"/>
      <c r="R16" s="582"/>
      <c r="S16" s="581"/>
      <c r="T16" s="582"/>
    </row>
    <row r="17" spans="2:21" ht="12.95" customHeight="1">
      <c r="B17" s="583" t="s">
        <v>243</v>
      </c>
      <c r="C17" s="584"/>
      <c r="D17" s="584"/>
      <c r="E17" s="584"/>
      <c r="F17" s="584"/>
      <c r="G17" s="584"/>
      <c r="H17" s="584"/>
      <c r="I17" s="584"/>
      <c r="J17" s="584"/>
      <c r="K17" s="584"/>
      <c r="L17" s="584"/>
      <c r="M17" s="584"/>
      <c r="N17" s="584"/>
      <c r="O17" s="585"/>
      <c r="P17" s="586"/>
      <c r="Q17" s="587"/>
      <c r="R17" s="588"/>
      <c r="S17" s="587"/>
      <c r="T17" s="588"/>
    </row>
    <row r="18" spans="2:21" ht="12.95" customHeight="1">
      <c r="B18" s="589" t="s">
        <v>282</v>
      </c>
      <c r="C18" s="554">
        <v>8000000</v>
      </c>
      <c r="D18" s="554">
        <f>+'Ppto Aplic'!O27</f>
        <v>8000000</v>
      </c>
      <c r="E18" s="554">
        <f>+D18</f>
        <v>8000000</v>
      </c>
      <c r="F18" s="590">
        <f t="shared" ref="F18:T18" si="8">+E18</f>
        <v>8000000</v>
      </c>
      <c r="G18" s="590">
        <f t="shared" si="8"/>
        <v>8000000</v>
      </c>
      <c r="H18" s="590">
        <f t="shared" si="8"/>
        <v>8000000</v>
      </c>
      <c r="I18" s="590">
        <f t="shared" si="8"/>
        <v>8000000</v>
      </c>
      <c r="J18" s="590">
        <f t="shared" si="8"/>
        <v>8000000</v>
      </c>
      <c r="K18" s="590">
        <f t="shared" si="8"/>
        <v>8000000</v>
      </c>
      <c r="L18" s="590">
        <f t="shared" si="8"/>
        <v>8000000</v>
      </c>
      <c r="M18" s="590">
        <f t="shared" si="8"/>
        <v>8000000</v>
      </c>
      <c r="N18" s="590">
        <f t="shared" si="8"/>
        <v>8000000</v>
      </c>
      <c r="O18" s="591">
        <f t="shared" si="8"/>
        <v>8000000</v>
      </c>
      <c r="P18" s="592">
        <f t="shared" si="8"/>
        <v>8000000</v>
      </c>
      <c r="Q18" s="592">
        <f t="shared" si="8"/>
        <v>8000000</v>
      </c>
      <c r="R18" s="592">
        <f t="shared" si="8"/>
        <v>8000000</v>
      </c>
      <c r="S18" s="592">
        <f t="shared" si="8"/>
        <v>8000000</v>
      </c>
      <c r="T18" s="592">
        <f t="shared" si="8"/>
        <v>8000000</v>
      </c>
      <c r="U18" s="593"/>
    </row>
    <row r="19" spans="2:21" ht="12.95" customHeight="1">
      <c r="B19" s="553" t="s">
        <v>283</v>
      </c>
      <c r="C19" s="594"/>
      <c r="D19" s="554">
        <f>-$C$18/36</f>
        <v>-222222.22222222222</v>
      </c>
      <c r="E19" s="554">
        <f>(-$C$18/36)+D19</f>
        <v>-444444.44444444444</v>
      </c>
      <c r="F19" s="554">
        <f t="shared" ref="F19:O19" si="9">(-$C$18/36)+E19</f>
        <v>-666666.66666666663</v>
      </c>
      <c r="G19" s="554">
        <f t="shared" si="9"/>
        <v>-888888.88888888888</v>
      </c>
      <c r="H19" s="554">
        <f t="shared" si="9"/>
        <v>-1111111.111111111</v>
      </c>
      <c r="I19" s="554">
        <f t="shared" si="9"/>
        <v>-1333333.3333333333</v>
      </c>
      <c r="J19" s="554">
        <f t="shared" si="9"/>
        <v>-1555555.5555555555</v>
      </c>
      <c r="K19" s="554">
        <f t="shared" si="9"/>
        <v>-1777777.7777777778</v>
      </c>
      <c r="L19" s="554">
        <f t="shared" si="9"/>
        <v>-2000000</v>
      </c>
      <c r="M19" s="554">
        <f t="shared" si="9"/>
        <v>-2222222.222222222</v>
      </c>
      <c r="N19" s="554">
        <f t="shared" si="9"/>
        <v>-2444444.444444444</v>
      </c>
      <c r="O19" s="566">
        <f t="shared" si="9"/>
        <v>-2666666.666666666</v>
      </c>
      <c r="P19" s="592">
        <f>-'Estado De Resultados'!P26</f>
        <v>-2666666.6666666665</v>
      </c>
      <c r="Q19" s="592">
        <f>-'Estado De Resultados'!Q26+P19</f>
        <v>-5333333.333333333</v>
      </c>
      <c r="R19" s="592">
        <f>-'Estado De Resultados'!R26+Q19</f>
        <v>-8000000</v>
      </c>
      <c r="S19" s="592">
        <f>+R19</f>
        <v>-8000000</v>
      </c>
      <c r="T19" s="592">
        <f>+S19</f>
        <v>-8000000</v>
      </c>
      <c r="U19" s="593"/>
    </row>
    <row r="20" spans="2:21" ht="12.95" customHeight="1">
      <c r="B20" s="547" t="s">
        <v>284</v>
      </c>
      <c r="C20" s="594"/>
      <c r="D20" s="594"/>
      <c r="E20" s="594"/>
      <c r="F20" s="594"/>
      <c r="G20" s="594"/>
      <c r="H20" s="594"/>
      <c r="I20" s="594"/>
      <c r="J20" s="594"/>
      <c r="K20" s="594"/>
      <c r="L20" s="594"/>
      <c r="M20" s="594"/>
      <c r="N20" s="594"/>
      <c r="O20" s="595"/>
      <c r="P20" s="596"/>
      <c r="Q20" s="551"/>
      <c r="R20" s="552"/>
      <c r="S20" s="551"/>
      <c r="T20" s="552"/>
    </row>
    <row r="21" spans="2:21" ht="12.95" customHeight="1">
      <c r="B21" s="553" t="s">
        <v>285</v>
      </c>
      <c r="C21" s="597">
        <f>+'Ppto Aplic'!G27</f>
        <v>63070000</v>
      </c>
      <c r="D21" s="554">
        <f>+C21</f>
        <v>63070000</v>
      </c>
      <c r="E21" s="554">
        <f t="shared" ref="E21:O21" si="10">+D21</f>
        <v>63070000</v>
      </c>
      <c r="F21" s="554">
        <f t="shared" si="10"/>
        <v>63070000</v>
      </c>
      <c r="G21" s="554">
        <f t="shared" si="10"/>
        <v>63070000</v>
      </c>
      <c r="H21" s="554">
        <f t="shared" si="10"/>
        <v>63070000</v>
      </c>
      <c r="I21" s="554">
        <f t="shared" si="10"/>
        <v>63070000</v>
      </c>
      <c r="J21" s="554">
        <f t="shared" si="10"/>
        <v>63070000</v>
      </c>
      <c r="K21" s="554">
        <f t="shared" si="10"/>
        <v>63070000</v>
      </c>
      <c r="L21" s="554">
        <f t="shared" si="10"/>
        <v>63070000</v>
      </c>
      <c r="M21" s="554">
        <f t="shared" si="10"/>
        <v>63070000</v>
      </c>
      <c r="N21" s="554">
        <f t="shared" si="10"/>
        <v>63070000</v>
      </c>
      <c r="O21" s="566">
        <f t="shared" si="10"/>
        <v>63070000</v>
      </c>
      <c r="P21" s="596">
        <v>63070000</v>
      </c>
      <c r="Q21" s="596">
        <v>63070000</v>
      </c>
      <c r="R21" s="596">
        <v>63070000</v>
      </c>
      <c r="S21" s="596">
        <v>63070000</v>
      </c>
      <c r="T21" s="596">
        <v>63070000</v>
      </c>
    </row>
    <row r="22" spans="2:21" ht="12.95" customHeight="1">
      <c r="B22" s="553" t="s">
        <v>286</v>
      </c>
      <c r="C22" s="597"/>
      <c r="D22" s="554">
        <f>-$C$21/60</f>
        <v>-1051166.6666666667</v>
      </c>
      <c r="E22" s="554">
        <f>(-$C$21/60)+D22</f>
        <v>-2102333.3333333335</v>
      </c>
      <c r="F22" s="554">
        <f>(-$C$21/60)+E22</f>
        <v>-3153500</v>
      </c>
      <c r="G22" s="554">
        <f t="shared" ref="G22:O22" si="11">(-$C$21/60)+F22</f>
        <v>-4204666.666666667</v>
      </c>
      <c r="H22" s="554">
        <f t="shared" si="11"/>
        <v>-5255833.333333334</v>
      </c>
      <c r="I22" s="554">
        <f t="shared" si="11"/>
        <v>-6307000.0000000009</v>
      </c>
      <c r="J22" s="554">
        <f t="shared" si="11"/>
        <v>-7358166.6666666679</v>
      </c>
      <c r="K22" s="554">
        <f t="shared" si="11"/>
        <v>-8409333.333333334</v>
      </c>
      <c r="L22" s="554">
        <f t="shared" si="11"/>
        <v>-9460500</v>
      </c>
      <c r="M22" s="554">
        <f t="shared" si="11"/>
        <v>-10511666.666666666</v>
      </c>
      <c r="N22" s="554">
        <f t="shared" si="11"/>
        <v>-11562833.333333332</v>
      </c>
      <c r="O22" s="566">
        <f t="shared" si="11"/>
        <v>-12613999.999999998</v>
      </c>
      <c r="P22" s="596">
        <f>(-$C$21/5)</f>
        <v>-12614000</v>
      </c>
      <c r="Q22" s="596">
        <f>(-$C$21/5)+P22</f>
        <v>-25228000</v>
      </c>
      <c r="R22" s="596">
        <f t="shared" ref="R22:T22" si="12">(-$C$21/5)+Q22</f>
        <v>-37842000</v>
      </c>
      <c r="S22" s="596">
        <f t="shared" si="12"/>
        <v>-50456000</v>
      </c>
      <c r="T22" s="596">
        <f t="shared" si="12"/>
        <v>-63070000</v>
      </c>
    </row>
    <row r="23" spans="2:21" s="540" customFormat="1" ht="12.95" customHeight="1">
      <c r="B23" s="598" t="s">
        <v>205</v>
      </c>
      <c r="C23" s="599">
        <f>SUM(C18:C22)</f>
        <v>71070000</v>
      </c>
      <c r="D23" s="599">
        <f t="shared" ref="D23:T23" si="13">SUM(D18:D22)</f>
        <v>69796611.111111104</v>
      </c>
      <c r="E23" s="599">
        <f t="shared" si="13"/>
        <v>68523222.222222224</v>
      </c>
      <c r="F23" s="599">
        <f t="shared" si="13"/>
        <v>67249833.333333328</v>
      </c>
      <c r="G23" s="599">
        <f t="shared" si="13"/>
        <v>65976444.44444444</v>
      </c>
      <c r="H23" s="599">
        <f t="shared" si="13"/>
        <v>64703055.55555556</v>
      </c>
      <c r="I23" s="599">
        <f t="shared" si="13"/>
        <v>63429666.666666672</v>
      </c>
      <c r="J23" s="599">
        <f t="shared" si="13"/>
        <v>62156277.777777776</v>
      </c>
      <c r="K23" s="599">
        <f t="shared" si="13"/>
        <v>60882888.888888888</v>
      </c>
      <c r="L23" s="599">
        <f t="shared" si="13"/>
        <v>59609500</v>
      </c>
      <c r="M23" s="599">
        <f t="shared" si="13"/>
        <v>58336111.111111112</v>
      </c>
      <c r="N23" s="599">
        <f t="shared" si="13"/>
        <v>57062722.222222224</v>
      </c>
      <c r="O23" s="599">
        <f t="shared" si="13"/>
        <v>55789333.333333328</v>
      </c>
      <c r="P23" s="600">
        <f>SUM(P18:P22)</f>
        <v>55789333.333333328</v>
      </c>
      <c r="Q23" s="601">
        <f t="shared" si="13"/>
        <v>40508666.666666664</v>
      </c>
      <c r="R23" s="600">
        <f t="shared" si="13"/>
        <v>25228000</v>
      </c>
      <c r="S23" s="601">
        <f t="shared" si="13"/>
        <v>12614000</v>
      </c>
      <c r="T23" s="600">
        <f t="shared" si="13"/>
        <v>0</v>
      </c>
    </row>
    <row r="24" spans="2:21" s="540" customFormat="1" ht="12.95" customHeight="1">
      <c r="B24" s="547"/>
      <c r="C24" s="548"/>
      <c r="D24" s="548"/>
      <c r="E24" s="548"/>
      <c r="F24" s="548"/>
      <c r="G24" s="548"/>
      <c r="H24" s="548"/>
      <c r="I24" s="548"/>
      <c r="J24" s="548"/>
      <c r="K24" s="548"/>
      <c r="L24" s="548"/>
      <c r="M24" s="548"/>
      <c r="N24" s="548"/>
      <c r="O24" s="549"/>
      <c r="P24" s="550"/>
      <c r="Q24" s="551"/>
      <c r="R24" s="552"/>
      <c r="S24" s="551"/>
      <c r="T24" s="552"/>
    </row>
    <row r="25" spans="2:21" s="540" customFormat="1" ht="12.95" customHeight="1" thickBot="1">
      <c r="B25" s="602" t="s">
        <v>160</v>
      </c>
      <c r="C25" s="603">
        <f t="shared" ref="C25:T25" si="14">+C15+C23</f>
        <v>73070000</v>
      </c>
      <c r="D25" s="603">
        <f t="shared" si="14"/>
        <v>83303775.567777768</v>
      </c>
      <c r="E25" s="603">
        <f t="shared" si="14"/>
        <v>89634125.998888895</v>
      </c>
      <c r="F25" s="603">
        <f t="shared" si="14"/>
        <v>100422615.19</v>
      </c>
      <c r="G25" s="603">
        <f t="shared" si="14"/>
        <v>111199513.54111111</v>
      </c>
      <c r="H25" s="603">
        <f t="shared" si="14"/>
        <v>121863739.59222221</v>
      </c>
      <c r="I25" s="603">
        <f t="shared" si="14"/>
        <v>132415051.89333333</v>
      </c>
      <c r="J25" s="603">
        <f t="shared" si="14"/>
        <v>134089595.52444445</v>
      </c>
      <c r="K25" s="603">
        <f t="shared" si="14"/>
        <v>144616031.93555555</v>
      </c>
      <c r="L25" s="603">
        <f t="shared" si="14"/>
        <v>155230496.02666667</v>
      </c>
      <c r="M25" s="603">
        <f t="shared" si="14"/>
        <v>166134421.75777778</v>
      </c>
      <c r="N25" s="603">
        <f t="shared" si="14"/>
        <v>176823302.6988889</v>
      </c>
      <c r="O25" s="604">
        <f t="shared" si="14"/>
        <v>194474569.48000002</v>
      </c>
      <c r="P25" s="605">
        <f t="shared" si="14"/>
        <v>194474569.48000002</v>
      </c>
      <c r="Q25" s="606">
        <f t="shared" si="14"/>
        <v>197322100.38170666</v>
      </c>
      <c r="R25" s="605">
        <f t="shared" si="14"/>
        <v>203953098.08968973</v>
      </c>
      <c r="S25" s="606">
        <f t="shared" si="14"/>
        <v>223408267.42036626</v>
      </c>
      <c r="T25" s="605">
        <f t="shared" si="14"/>
        <v>258967815.109622</v>
      </c>
    </row>
    <row r="26" spans="2:21" s="540" customFormat="1" ht="12.95" customHeight="1">
      <c r="B26" s="607"/>
      <c r="C26" s="608"/>
      <c r="D26" s="608"/>
      <c r="E26" s="608"/>
      <c r="F26" s="608"/>
      <c r="G26" s="608"/>
      <c r="H26" s="608"/>
      <c r="I26" s="608"/>
      <c r="J26" s="608"/>
      <c r="K26" s="608"/>
      <c r="L26" s="608"/>
      <c r="M26" s="608"/>
      <c r="N26" s="608"/>
      <c r="O26" s="608"/>
      <c r="P26" s="608"/>
      <c r="Q26" s="608"/>
      <c r="R26" s="608"/>
      <c r="S26" s="608"/>
      <c r="T26" s="608"/>
    </row>
    <row r="27" spans="2:21" ht="12.95" customHeight="1">
      <c r="B27" s="609" t="s">
        <v>217</v>
      </c>
      <c r="C27" s="610">
        <v>2021</v>
      </c>
      <c r="D27" s="610" t="s">
        <v>256</v>
      </c>
      <c r="E27" s="610" t="s">
        <v>268</v>
      </c>
      <c r="F27" s="610" t="s">
        <v>269</v>
      </c>
      <c r="G27" s="610" t="s">
        <v>270</v>
      </c>
      <c r="H27" s="610" t="s">
        <v>260</v>
      </c>
      <c r="I27" s="610" t="s">
        <v>261</v>
      </c>
      <c r="J27" s="610" t="s">
        <v>262</v>
      </c>
      <c r="K27" s="610" t="s">
        <v>263</v>
      </c>
      <c r="L27" s="610" t="s">
        <v>264</v>
      </c>
      <c r="M27" s="610" t="s">
        <v>265</v>
      </c>
      <c r="N27" s="610" t="s">
        <v>266</v>
      </c>
      <c r="O27" s="610" t="s">
        <v>267</v>
      </c>
      <c r="P27" s="610">
        <v>2022</v>
      </c>
      <c r="Q27" s="610">
        <f>+P27+1</f>
        <v>2023</v>
      </c>
      <c r="R27" s="610">
        <f t="shared" ref="R27" si="15">+Q27+1</f>
        <v>2024</v>
      </c>
      <c r="S27" s="610">
        <f t="shared" ref="S27" si="16">+R27+1</f>
        <v>2025</v>
      </c>
      <c r="T27" s="611">
        <f t="shared" ref="T27" si="17">+S27+1</f>
        <v>2026</v>
      </c>
    </row>
    <row r="28" spans="2:21" ht="12.95" customHeight="1">
      <c r="B28" s="598" t="s">
        <v>199</v>
      </c>
      <c r="C28" s="612"/>
      <c r="D28" s="612"/>
      <c r="E28" s="612"/>
      <c r="F28" s="612"/>
      <c r="G28" s="612"/>
      <c r="H28" s="612"/>
      <c r="I28" s="612"/>
      <c r="J28" s="612"/>
      <c r="K28" s="612"/>
      <c r="L28" s="612"/>
      <c r="M28" s="612"/>
      <c r="N28" s="612"/>
      <c r="O28" s="612"/>
      <c r="P28" s="613"/>
      <c r="Q28" s="614"/>
      <c r="R28" s="614"/>
      <c r="S28" s="614"/>
      <c r="T28" s="615"/>
    </row>
    <row r="29" spans="2:21" s="540" customFormat="1" ht="12.95" customHeight="1">
      <c r="B29" s="547" t="s">
        <v>218</v>
      </c>
      <c r="C29" s="548"/>
      <c r="D29" s="548"/>
      <c r="E29" s="548"/>
      <c r="F29" s="548"/>
      <c r="G29" s="548"/>
      <c r="H29" s="548"/>
      <c r="I29" s="548"/>
      <c r="J29" s="548"/>
      <c r="K29" s="548"/>
      <c r="L29" s="548"/>
      <c r="M29" s="548"/>
      <c r="N29" s="548"/>
      <c r="O29" s="548"/>
      <c r="P29" s="616"/>
      <c r="Q29" s="617"/>
      <c r="R29" s="617"/>
      <c r="S29" s="617"/>
      <c r="T29" s="618"/>
    </row>
    <row r="30" spans="2:21" ht="12.95" customHeight="1">
      <c r="B30" s="553" t="s">
        <v>219</v>
      </c>
      <c r="C30" s="554"/>
      <c r="D30" s="554">
        <f t="shared" ref="D30:D36" si="18">+(P30*10%)</f>
        <v>0</v>
      </c>
      <c r="E30" s="554"/>
      <c r="F30" s="554"/>
      <c r="G30" s="554"/>
      <c r="H30" s="554"/>
      <c r="I30" s="554"/>
      <c r="J30" s="554"/>
      <c r="K30" s="554"/>
      <c r="L30" s="554"/>
      <c r="M30" s="554"/>
      <c r="N30" s="554"/>
      <c r="O30" s="554"/>
      <c r="P30" s="619"/>
      <c r="Q30" s="594"/>
      <c r="R30" s="594"/>
      <c r="S30" s="594"/>
      <c r="T30" s="620"/>
    </row>
    <row r="31" spans="2:21" ht="12.95" customHeight="1">
      <c r="B31" s="553" t="s">
        <v>289</v>
      </c>
      <c r="C31" s="554"/>
      <c r="D31" s="554">
        <f>('Estado De Resultados'!D10+'Estado De Resultados'!D12+'Estado De Resultados'!D13)*20%</f>
        <v>3680912.6564044803</v>
      </c>
      <c r="E31" s="554">
        <v>4377374.5199999996</v>
      </c>
      <c r="F31" s="554">
        <v>8860614.5199999996</v>
      </c>
      <c r="G31" s="554">
        <v>13191328.32</v>
      </c>
      <c r="H31" s="554">
        <v>17421194.27</v>
      </c>
      <c r="I31" s="554">
        <v>21702738.539999999</v>
      </c>
      <c r="J31" s="554">
        <v>16814774.010000002</v>
      </c>
      <c r="K31" s="554">
        <v>20943792.09</v>
      </c>
      <c r="L31" s="554">
        <v>25173658.030000001</v>
      </c>
      <c r="M31" s="554">
        <v>29248488.98</v>
      </c>
      <c r="N31" s="554">
        <v>32969098.010000002</v>
      </c>
      <c r="O31" s="554">
        <v>36640537.530000001</v>
      </c>
      <c r="P31" s="621">
        <f>+O31</f>
        <v>36640537.530000001</v>
      </c>
      <c r="Q31" s="621">
        <f>+P31*1.035-74293.22</f>
        <v>37848663.123549998</v>
      </c>
      <c r="R31" s="621">
        <f>+Q31*1.035-638741.69</f>
        <v>38534624.642874248</v>
      </c>
      <c r="S31" s="621">
        <f>+R31*1.035+11738192.04</f>
        <v>51621528.54537484</v>
      </c>
      <c r="T31" s="622">
        <f>+S31*1.035+32662842.96</f>
        <v>86091125.004462957</v>
      </c>
    </row>
    <row r="32" spans="2:21" ht="12.95" customHeight="1">
      <c r="B32" s="553" t="s">
        <v>221</v>
      </c>
      <c r="C32" s="554"/>
      <c r="D32" s="554"/>
      <c r="E32" s="554"/>
      <c r="F32" s="554"/>
      <c r="G32" s="554"/>
      <c r="H32" s="554"/>
      <c r="I32" s="554"/>
      <c r="J32" s="554"/>
      <c r="K32" s="554"/>
      <c r="L32" s="554"/>
      <c r="M32" s="554"/>
      <c r="N32" s="554"/>
      <c r="O32" s="554"/>
      <c r="P32" s="619"/>
      <c r="Q32" s="594"/>
      <c r="R32" s="594"/>
      <c r="S32" s="594"/>
      <c r="T32" s="620"/>
    </row>
    <row r="33" spans="2:21" s="540" customFormat="1" ht="12.95" customHeight="1">
      <c r="B33" s="623" t="s">
        <v>291</v>
      </c>
      <c r="C33" s="624"/>
      <c r="D33" s="625">
        <f>$P$33/12</f>
        <v>6252864</v>
      </c>
      <c r="E33" s="625">
        <f t="shared" ref="E33:O33" si="19">$P$33/12+D33</f>
        <v>12505728</v>
      </c>
      <c r="F33" s="625">
        <f t="shared" si="19"/>
        <v>18758592</v>
      </c>
      <c r="G33" s="625">
        <f t="shared" si="19"/>
        <v>25011456</v>
      </c>
      <c r="H33" s="625">
        <f t="shared" si="19"/>
        <v>31264320</v>
      </c>
      <c r="I33" s="625">
        <f t="shared" si="19"/>
        <v>37517184</v>
      </c>
      <c r="J33" s="625">
        <f t="shared" si="19"/>
        <v>43770048</v>
      </c>
      <c r="K33" s="625">
        <f t="shared" si="19"/>
        <v>50022912</v>
      </c>
      <c r="L33" s="625">
        <f t="shared" si="19"/>
        <v>56275776</v>
      </c>
      <c r="M33" s="625">
        <f t="shared" si="19"/>
        <v>62528640</v>
      </c>
      <c r="N33" s="625">
        <f t="shared" si="19"/>
        <v>68781504</v>
      </c>
      <c r="O33" s="625">
        <f t="shared" si="19"/>
        <v>75034368</v>
      </c>
      <c r="P33" s="626">
        <f>+'Ppto Gral'!D33*12</f>
        <v>75034368</v>
      </c>
      <c r="Q33" s="627">
        <f>IF('Ppto Gral'!$C$1=1,P33*1.035,IF('Ppto Gral'!$C$1=2,P33*1.02,IF('Ppto Gral'!$C$1=3,P33*1.045,IF('Ppto Gral'!$C$1=4,P33*1.035))))</f>
        <v>77660570.879999995</v>
      </c>
      <c r="R33" s="625">
        <f>IF('Ppto Gral'!$C$1=1,Q33*1.035,IF('Ppto Gral'!$C$1=2,Q33*1.02,IF('Ppto Gral'!$C$1=3,Q33*1.045,IF('Ppto Gral'!$C$1=4,Q33*1.035))))</f>
        <v>80378690.860799983</v>
      </c>
      <c r="S33" s="625">
        <f>IF('Ppto Gral'!$C$1=1,R33*1.035,IF('Ppto Gral'!$C$1=2,R33*1.02,IF('Ppto Gral'!$C$1=3,R33*1.045,IF('Ppto Gral'!$C$1=4,R33*1.035))))</f>
        <v>83191945.040927976</v>
      </c>
      <c r="T33" s="628">
        <f>IF('Ppto Gral'!$C$1=1,S33*1.035,IF('Ppto Gral'!$C$1=2,S33*1.02,IF('Ppto Gral'!$C$1=3,S33*1.045,IF('Ppto Gral'!$C$1=4,S33*1.035))))</f>
        <v>86103663.117360443</v>
      </c>
    </row>
    <row r="34" spans="2:21" s="540" customFormat="1" ht="12.95" customHeight="1">
      <c r="B34" s="629" t="s">
        <v>222</v>
      </c>
      <c r="C34" s="548">
        <f>SUM(C30:C32)</f>
        <v>0</v>
      </c>
      <c r="D34" s="554">
        <f>+D31+D33</f>
        <v>9933776.6564044803</v>
      </c>
      <c r="E34" s="554">
        <f t="shared" ref="E34:O34" si="20">+E31+E33</f>
        <v>16883102.52</v>
      </c>
      <c r="F34" s="554">
        <f t="shared" si="20"/>
        <v>27619206.52</v>
      </c>
      <c r="G34" s="554">
        <f t="shared" si="20"/>
        <v>38202784.32</v>
      </c>
      <c r="H34" s="554">
        <f t="shared" si="20"/>
        <v>48685514.269999996</v>
      </c>
      <c r="I34" s="554">
        <f t="shared" si="20"/>
        <v>59219922.539999999</v>
      </c>
      <c r="J34" s="554">
        <f t="shared" si="20"/>
        <v>60584822.010000005</v>
      </c>
      <c r="K34" s="554">
        <f t="shared" si="20"/>
        <v>70966704.090000004</v>
      </c>
      <c r="L34" s="554">
        <f t="shared" si="20"/>
        <v>81449434.030000001</v>
      </c>
      <c r="M34" s="554">
        <f t="shared" si="20"/>
        <v>91777128.980000004</v>
      </c>
      <c r="N34" s="554">
        <f t="shared" si="20"/>
        <v>101750602.01000001</v>
      </c>
      <c r="O34" s="554">
        <f t="shared" si="20"/>
        <v>111674905.53</v>
      </c>
      <c r="P34" s="630">
        <f>SUM(P30:P33)</f>
        <v>111674905.53</v>
      </c>
      <c r="Q34" s="548">
        <f t="shared" ref="Q34:T34" si="21">SUM(Q30:Q33)</f>
        <v>115509234.00354999</v>
      </c>
      <c r="R34" s="548">
        <f t="shared" si="21"/>
        <v>118913315.50367424</v>
      </c>
      <c r="S34" s="548">
        <f t="shared" si="21"/>
        <v>134813473.58630282</v>
      </c>
      <c r="T34" s="631">
        <f t="shared" si="21"/>
        <v>172194788.1218234</v>
      </c>
    </row>
    <row r="35" spans="2:21" ht="12.95" customHeight="1">
      <c r="B35" s="565" t="s">
        <v>220</v>
      </c>
      <c r="C35" s="554"/>
      <c r="D35" s="554"/>
      <c r="E35" s="554"/>
      <c r="F35" s="554"/>
      <c r="G35" s="554"/>
      <c r="H35" s="554"/>
      <c r="I35" s="554"/>
      <c r="J35" s="554"/>
      <c r="K35" s="554"/>
      <c r="L35" s="554"/>
      <c r="M35" s="554"/>
      <c r="N35" s="554"/>
      <c r="O35" s="554"/>
      <c r="P35" s="619"/>
      <c r="Q35" s="594"/>
      <c r="R35" s="594"/>
      <c r="S35" s="594"/>
      <c r="T35" s="620"/>
    </row>
    <row r="36" spans="2:21" ht="12.95" customHeight="1">
      <c r="B36" s="553" t="s">
        <v>220</v>
      </c>
      <c r="C36" s="554"/>
      <c r="D36" s="554">
        <f t="shared" si="18"/>
        <v>117495.37322121652</v>
      </c>
      <c r="E36" s="554"/>
      <c r="F36" s="554"/>
      <c r="G36" s="554"/>
      <c r="H36" s="554"/>
      <c r="I36" s="554"/>
      <c r="J36" s="554"/>
      <c r="K36" s="554"/>
      <c r="L36" s="554"/>
      <c r="M36" s="554"/>
      <c r="N36" s="554"/>
      <c r="O36" s="554">
        <f>+P36</f>
        <v>1174953.7322121651</v>
      </c>
      <c r="P36" s="632">
        <f>+'Estado De Resultados'!P21</f>
        <v>1174953.7322121651</v>
      </c>
      <c r="Q36" s="632">
        <f>+'Estado De Resultados'!Q21</f>
        <v>3697608.931889792</v>
      </c>
      <c r="R36" s="632">
        <f>+'Estado De Resultados'!R21</f>
        <v>8414770.3272952046</v>
      </c>
      <c r="S36" s="632">
        <f>+'Estado De Resultados'!S21</f>
        <v>14291782.187887684</v>
      </c>
      <c r="T36" s="633">
        <f>+'Estado De Resultados'!T21</f>
        <v>19797655.101265918</v>
      </c>
      <c r="U36" s="593"/>
    </row>
    <row r="37" spans="2:21" s="540" customFormat="1" ht="12.95" customHeight="1">
      <c r="B37" s="629" t="s">
        <v>223</v>
      </c>
      <c r="C37" s="548">
        <f>+C36</f>
        <v>0</v>
      </c>
      <c r="D37" s="554"/>
      <c r="E37" s="548"/>
      <c r="F37" s="548"/>
      <c r="G37" s="548"/>
      <c r="H37" s="548"/>
      <c r="I37" s="548"/>
      <c r="J37" s="548"/>
      <c r="K37" s="548"/>
      <c r="L37" s="548"/>
      <c r="M37" s="548"/>
      <c r="N37" s="548"/>
      <c r="O37" s="630">
        <f t="shared" ref="O37:T37" si="22">+O36</f>
        <v>1174953.7322121651</v>
      </c>
      <c r="P37" s="630">
        <f t="shared" si="22"/>
        <v>1174953.7322121651</v>
      </c>
      <c r="Q37" s="548">
        <f t="shared" si="22"/>
        <v>3697608.931889792</v>
      </c>
      <c r="R37" s="548">
        <f t="shared" si="22"/>
        <v>8414770.3272952046</v>
      </c>
      <c r="S37" s="548">
        <f t="shared" si="22"/>
        <v>14291782.187887684</v>
      </c>
      <c r="T37" s="631">
        <f t="shared" si="22"/>
        <v>19797655.101265918</v>
      </c>
    </row>
    <row r="38" spans="2:21" s="638" customFormat="1" ht="12.95" customHeight="1">
      <c r="B38" s="565" t="s">
        <v>224</v>
      </c>
      <c r="C38" s="634"/>
      <c r="D38" s="554"/>
      <c r="E38" s="634"/>
      <c r="F38" s="634"/>
      <c r="G38" s="634"/>
      <c r="H38" s="634"/>
      <c r="I38" s="634"/>
      <c r="J38" s="634"/>
      <c r="K38" s="634"/>
      <c r="L38" s="634"/>
      <c r="M38" s="634"/>
      <c r="N38" s="634"/>
      <c r="O38" s="634"/>
      <c r="P38" s="635"/>
      <c r="Q38" s="636"/>
      <c r="R38" s="634"/>
      <c r="S38" s="634"/>
      <c r="T38" s="637"/>
    </row>
    <row r="39" spans="2:21" s="638" customFormat="1" ht="12.95" customHeight="1">
      <c r="B39" s="553" t="s">
        <v>225</v>
      </c>
      <c r="C39" s="548"/>
      <c r="D39" s="597">
        <f>+($P$39/12)</f>
        <v>694340.81920000003</v>
      </c>
      <c r="E39" s="597">
        <f>+($P$39/12)+D39</f>
        <v>1388681.6384000001</v>
      </c>
      <c r="F39" s="597">
        <f>+($P$39/12)+E39</f>
        <v>2083022.4576000001</v>
      </c>
      <c r="G39" s="597">
        <f>+($P$39/12)+F39</f>
        <v>2777363.2768000001</v>
      </c>
      <c r="H39" s="597">
        <f>+($P$39/12)+G39</f>
        <v>3471704.0959999999</v>
      </c>
      <c r="I39" s="597">
        <f t="shared" ref="I39:O39" si="23">+($P$39/12)+H39</f>
        <v>4166044.9151999997</v>
      </c>
      <c r="J39" s="597">
        <f t="shared" si="23"/>
        <v>4860385.7343999995</v>
      </c>
      <c r="K39" s="597">
        <f t="shared" si="23"/>
        <v>5554726.5535999993</v>
      </c>
      <c r="L39" s="597">
        <f t="shared" si="23"/>
        <v>6249067.3727999991</v>
      </c>
      <c r="M39" s="597">
        <f t="shared" si="23"/>
        <v>6943408.1919999989</v>
      </c>
      <c r="N39" s="597">
        <f t="shared" si="23"/>
        <v>7637749.0111999987</v>
      </c>
      <c r="O39" s="597">
        <f t="shared" si="23"/>
        <v>8332089.8303999985</v>
      </c>
      <c r="P39" s="597">
        <f>+Nomina!Z16*12</f>
        <v>8332089.8304000003</v>
      </c>
      <c r="Q39" s="597">
        <f>IF('Ppto Gral'!$C$1=1,P39*1.035,IF('Ppto Gral'!$C$1=2,P39*1.02,IF('Ppto Gral'!$C$1=3,P39*1.045,IF('Ppto Gral'!$C$1=4,P39*1.035))))</f>
        <v>8623712.9744639993</v>
      </c>
      <c r="R39" s="597">
        <f>IF('Ppto Gral'!$C$1=1,Q39*1.035,IF('Ppto Gral'!$C$1=2,Q39*1.02,IF('Ppto Gral'!$C$1=3,Q39*1.045,IF('Ppto Gral'!$C$1=4,Q39*1.035))))</f>
        <v>8925542.9285702389</v>
      </c>
      <c r="S39" s="597">
        <f>IF('Ppto Gral'!$C$1=1,R39*1.035,IF('Ppto Gral'!$C$1=2,R39*1.02,IF('Ppto Gral'!$C$1=3,R39*1.045,IF('Ppto Gral'!$C$1=4,R39*1.035))))</f>
        <v>9237936.9310701974</v>
      </c>
      <c r="T39" s="639">
        <f>IF('Ppto Gral'!$C$1=1,S39*1.035,IF('Ppto Gral'!$C$1=2,S39*1.02,IF('Ppto Gral'!$C$1=3,S39*1.045,IF('Ppto Gral'!$C$1=4,S39*1.035))))</f>
        <v>9561264.7236576527</v>
      </c>
    </row>
    <row r="40" spans="2:21" s="638" customFormat="1" ht="12.95" customHeight="1">
      <c r="B40" s="640" t="s">
        <v>226</v>
      </c>
      <c r="C40" s="548"/>
      <c r="D40" s="597">
        <f>+($P$40/12)</f>
        <v>83320.898304000002</v>
      </c>
      <c r="E40" s="597">
        <f>+($P$40/12)+D40</f>
        <v>166641.796608</v>
      </c>
      <c r="F40" s="597">
        <f t="shared" ref="F40:O40" si="24">+($P$40/12)+E40</f>
        <v>249962.69491200001</v>
      </c>
      <c r="G40" s="597">
        <f t="shared" si="24"/>
        <v>333283.59321600001</v>
      </c>
      <c r="H40" s="597">
        <f t="shared" si="24"/>
        <v>416604.49152000004</v>
      </c>
      <c r="I40" s="597">
        <f t="shared" si="24"/>
        <v>499925.38982400007</v>
      </c>
      <c r="J40" s="597">
        <f t="shared" si="24"/>
        <v>583246.2881280001</v>
      </c>
      <c r="K40" s="597">
        <f t="shared" si="24"/>
        <v>666567.18643200013</v>
      </c>
      <c r="L40" s="597">
        <f t="shared" si="24"/>
        <v>749888.08473600016</v>
      </c>
      <c r="M40" s="597">
        <f t="shared" si="24"/>
        <v>833208.9830400002</v>
      </c>
      <c r="N40" s="597">
        <f t="shared" si="24"/>
        <v>916529.88134400023</v>
      </c>
      <c r="O40" s="597">
        <f t="shared" si="24"/>
        <v>999850.77964800026</v>
      </c>
      <c r="P40" s="597">
        <f>+Nomina!AC16*12</f>
        <v>999850.77964800003</v>
      </c>
      <c r="Q40" s="597">
        <f>IF('Ppto Gral'!$C$1=1,P40*1.035,IF('Ppto Gral'!$C$1=2,P40*1.02,IF('Ppto Gral'!$C$1=3,P40*1.045,IF('Ppto Gral'!$C$1=4,P40*1.035))))</f>
        <v>1034845.55693568</v>
      </c>
      <c r="R40" s="597">
        <f>IF('Ppto Gral'!$C$1=1,Q40*1.035,IF('Ppto Gral'!$C$1=2,Q40*1.02,IF('Ppto Gral'!$C$1=3,Q40*1.045,IF('Ppto Gral'!$C$1=4,Q40*1.035))))</f>
        <v>1071065.1514284287</v>
      </c>
      <c r="S40" s="597">
        <f>IF('Ppto Gral'!$C$1=1,R40*1.035,IF('Ppto Gral'!$C$1=2,R40*1.02,IF('Ppto Gral'!$C$1=3,R40*1.045,IF('Ppto Gral'!$C$1=4,R40*1.035))))</f>
        <v>1108552.4317284236</v>
      </c>
      <c r="T40" s="639">
        <f>IF('Ppto Gral'!$C$1=1,S40*1.035,IF('Ppto Gral'!$C$1=2,S40*1.02,IF('Ppto Gral'!$C$1=3,S40*1.045,IF('Ppto Gral'!$C$1=4,S40*1.035))))</f>
        <v>1147351.7668389182</v>
      </c>
    </row>
    <row r="41" spans="2:21" s="638" customFormat="1" ht="12.95" customHeight="1">
      <c r="B41" s="640" t="s">
        <v>227</v>
      </c>
      <c r="C41" s="548"/>
      <c r="D41" s="597">
        <f>+($P$41/12)</f>
        <v>337770</v>
      </c>
      <c r="E41" s="597">
        <f>+($P$41/12)+D41</f>
        <v>675540</v>
      </c>
      <c r="F41" s="597">
        <f t="shared" ref="F41:O41" si="25">+($P$41/12)+E41</f>
        <v>1013310</v>
      </c>
      <c r="G41" s="597">
        <f t="shared" si="25"/>
        <v>1351080</v>
      </c>
      <c r="H41" s="597">
        <f t="shared" si="25"/>
        <v>1688850</v>
      </c>
      <c r="I41" s="597">
        <f t="shared" si="25"/>
        <v>2026620</v>
      </c>
      <c r="J41" s="597">
        <f t="shared" si="25"/>
        <v>2364390</v>
      </c>
      <c r="K41" s="597">
        <f t="shared" si="25"/>
        <v>2702160</v>
      </c>
      <c r="L41" s="597">
        <f t="shared" si="25"/>
        <v>3039930</v>
      </c>
      <c r="M41" s="597">
        <f t="shared" si="25"/>
        <v>3377700</v>
      </c>
      <c r="N41" s="597">
        <f t="shared" si="25"/>
        <v>3715470</v>
      </c>
      <c r="O41" s="597">
        <f t="shared" si="25"/>
        <v>4053240</v>
      </c>
      <c r="P41" s="597">
        <f>+Nomina!AB16*12</f>
        <v>4053240</v>
      </c>
      <c r="Q41" s="597">
        <f>IF('Ppto Gral'!$C$1=1,P41*1.035,IF('Ppto Gral'!$C$1=2,P41*1.02,IF('Ppto Gral'!$C$1=3,P41*1.045,IF('Ppto Gral'!$C$1=4,P41*1.035))))</f>
        <v>4195103.3999999994</v>
      </c>
      <c r="R41" s="597">
        <f>IF('Ppto Gral'!$C$1=1,Q41*1.035,IF('Ppto Gral'!$C$1=2,Q41*1.02,IF('Ppto Gral'!$C$1=3,Q41*1.045,IF('Ppto Gral'!$C$1=4,Q41*1.035))))</f>
        <v>4341932.0189999994</v>
      </c>
      <c r="S41" s="597">
        <f>IF('Ppto Gral'!$C$1=1,R41*1.035,IF('Ppto Gral'!$C$1=2,R41*1.02,IF('Ppto Gral'!$C$1=3,R41*1.045,IF('Ppto Gral'!$C$1=4,R41*1.035))))</f>
        <v>4493899.6396649992</v>
      </c>
      <c r="T41" s="639">
        <f>IF('Ppto Gral'!$C$1=1,S41*1.035,IF('Ppto Gral'!$C$1=2,S41*1.02,IF('Ppto Gral'!$C$1=3,S41*1.045,IF('Ppto Gral'!$C$1=4,S41*1.035))))</f>
        <v>4651186.1270532738</v>
      </c>
    </row>
    <row r="42" spans="2:21" s="638" customFormat="1" ht="15.75" customHeight="1">
      <c r="B42" s="641" t="s">
        <v>228</v>
      </c>
      <c r="C42" s="548">
        <f t="shared" ref="C42:O42" si="26">SUM(C39:C41)</f>
        <v>0</v>
      </c>
      <c r="D42" s="642">
        <f t="shared" si="26"/>
        <v>1115431.7175040001</v>
      </c>
      <c r="E42" s="642">
        <f t="shared" si="26"/>
        <v>2230863.4350080001</v>
      </c>
      <c r="F42" s="642">
        <f t="shared" si="26"/>
        <v>3346295.1525119999</v>
      </c>
      <c r="G42" s="642">
        <f t="shared" si="26"/>
        <v>4461726.8700160002</v>
      </c>
      <c r="H42" s="642">
        <f t="shared" si="26"/>
        <v>5577158.5875199996</v>
      </c>
      <c r="I42" s="642">
        <f t="shared" si="26"/>
        <v>6692590.3050239999</v>
      </c>
      <c r="J42" s="642">
        <f t="shared" si="26"/>
        <v>7808022.0225279992</v>
      </c>
      <c r="K42" s="642">
        <f t="shared" si="26"/>
        <v>8923453.7400319986</v>
      </c>
      <c r="L42" s="642">
        <f t="shared" si="26"/>
        <v>10038885.457535999</v>
      </c>
      <c r="M42" s="642">
        <f t="shared" si="26"/>
        <v>11154317.175039999</v>
      </c>
      <c r="N42" s="642">
        <f t="shared" si="26"/>
        <v>12269748.892543999</v>
      </c>
      <c r="O42" s="642">
        <f t="shared" si="26"/>
        <v>13385180.610047998</v>
      </c>
      <c r="P42" s="636">
        <f t="shared" ref="P42:R42" si="27">SUM(P39:P41)</f>
        <v>13385180.610048</v>
      </c>
      <c r="Q42" s="636">
        <f t="shared" si="27"/>
        <v>13853661.931399677</v>
      </c>
      <c r="R42" s="636">
        <f t="shared" si="27"/>
        <v>14338540.098998668</v>
      </c>
      <c r="S42" s="636">
        <f t="shared" ref="S42:T42" si="28">SUM(S39:S41)</f>
        <v>14840389.00246362</v>
      </c>
      <c r="T42" s="643">
        <f t="shared" si="28"/>
        <v>15359802.617549844</v>
      </c>
      <c r="U42" s="644"/>
    </row>
    <row r="43" spans="2:21" s="638" customFormat="1" ht="12.95" customHeight="1">
      <c r="B43" s="645" t="s">
        <v>199</v>
      </c>
      <c r="C43" s="646"/>
      <c r="D43" s="647">
        <f>+D34+D36+D42</f>
        <v>11166703.747129697</v>
      </c>
      <c r="E43" s="647">
        <f t="shared" ref="E43:T43" si="29">+E34+E36+E42</f>
        <v>19113965.955008</v>
      </c>
      <c r="F43" s="647">
        <f t="shared" si="29"/>
        <v>30965501.672511999</v>
      </c>
      <c r="G43" s="647">
        <f t="shared" si="29"/>
        <v>42664511.190016001</v>
      </c>
      <c r="H43" s="647">
        <f t="shared" si="29"/>
        <v>54262672.857519999</v>
      </c>
      <c r="I43" s="647">
        <f t="shared" si="29"/>
        <v>65912512.845023997</v>
      </c>
      <c r="J43" s="647">
        <f t="shared" si="29"/>
        <v>68392844.032527998</v>
      </c>
      <c r="K43" s="647">
        <f t="shared" si="29"/>
        <v>79890157.830032006</v>
      </c>
      <c r="L43" s="647">
        <f t="shared" si="29"/>
        <v>91488319.487535998</v>
      </c>
      <c r="M43" s="647">
        <f t="shared" si="29"/>
        <v>102931446.15504</v>
      </c>
      <c r="N43" s="647">
        <f t="shared" si="29"/>
        <v>114020350.90254401</v>
      </c>
      <c r="O43" s="647">
        <f t="shared" si="29"/>
        <v>126235039.87226017</v>
      </c>
      <c r="P43" s="647">
        <f t="shared" si="29"/>
        <v>126235039.87226017</v>
      </c>
      <c r="Q43" s="647">
        <f t="shared" si="29"/>
        <v>133060504.86683945</v>
      </c>
      <c r="R43" s="647">
        <f t="shared" si="29"/>
        <v>141666625.92996812</v>
      </c>
      <c r="S43" s="647">
        <f t="shared" si="29"/>
        <v>163945644.77665409</v>
      </c>
      <c r="T43" s="647">
        <f t="shared" si="29"/>
        <v>207352245.84063914</v>
      </c>
    </row>
    <row r="44" spans="2:21" s="638" customFormat="1" ht="12.75" customHeight="1">
      <c r="B44" s="641" t="s">
        <v>239</v>
      </c>
      <c r="C44" s="597">
        <f>+'Detalle escenarios'!$O6</f>
        <v>63070000</v>
      </c>
      <c r="D44" s="597">
        <f>+'Detalle escenarios'!$O7</f>
        <v>62524967.830500282</v>
      </c>
      <c r="E44" s="597">
        <f>+'Detalle escenarios'!$O8</f>
        <v>61968806.926391706</v>
      </c>
      <c r="F44" s="597">
        <f>+'Detalle escenarios'!$O9</f>
        <v>61401290.055703536</v>
      </c>
      <c r="G44" s="597">
        <f>+'Detalle escenarios'!$O10</f>
        <v>60822185.346731007</v>
      </c>
      <c r="H44" s="597">
        <f>+'Detalle escenarios'!$O11</f>
        <v>60231256.193298973</v>
      </c>
      <c r="I44" s="597">
        <f>+'Detalle escenarios'!$O12</f>
        <v>59628261.158091158</v>
      </c>
      <c r="J44" s="597">
        <f>+'Detalle escenarios'!$O13</f>
        <v>59012953.874005549</v>
      </c>
      <c r="K44" s="597">
        <f>+'Detalle escenarios'!$O14</f>
        <v>58385082.943495601</v>
      </c>
      <c r="L44" s="597">
        <f>+'Detalle escenarios'!$O15</f>
        <v>57744391.835856162</v>
      </c>
      <c r="M44" s="597">
        <f>+'Detalle escenarios'!$O16</f>
        <v>57090618.782412097</v>
      </c>
      <c r="N44" s="597">
        <f>+'Detalle escenarios'!$O17</f>
        <v>56423496.669566862</v>
      </c>
      <c r="O44" s="597">
        <f>+'Detalle escenarios'!$O18</f>
        <v>55742752.929667272</v>
      </c>
      <c r="P44" s="597">
        <f>+'Detalle escenarios'!O18</f>
        <v>55742752.929667272</v>
      </c>
      <c r="Q44" s="597">
        <f>+'Detalle escenarios'!O30</f>
        <v>46404176.538528204</v>
      </c>
      <c r="R44" s="597">
        <f>+'Detalle escenarios'!O42</f>
        <v>34502160.928021461</v>
      </c>
      <c r="S44" s="597">
        <f>+'Detalle escenarios'!O54</f>
        <v>19333042.032430641</v>
      </c>
      <c r="T44" s="639">
        <f>+'Detalle escenarios'!O66</f>
        <v>1.3387762010097504E-7</v>
      </c>
    </row>
    <row r="45" spans="2:21" s="638" customFormat="1" ht="14.25" customHeight="1">
      <c r="B45" s="641" t="s">
        <v>240</v>
      </c>
      <c r="C45" s="597">
        <f>+C44</f>
        <v>63070000</v>
      </c>
      <c r="D45" s="597">
        <f>+D44</f>
        <v>62524967.830500282</v>
      </c>
      <c r="E45" s="597">
        <f t="shared" ref="E45:O45" si="30">+E44</f>
        <v>61968806.926391706</v>
      </c>
      <c r="F45" s="597">
        <f t="shared" si="30"/>
        <v>61401290.055703536</v>
      </c>
      <c r="G45" s="597">
        <f t="shared" si="30"/>
        <v>60822185.346731007</v>
      </c>
      <c r="H45" s="597">
        <f t="shared" si="30"/>
        <v>60231256.193298973</v>
      </c>
      <c r="I45" s="597">
        <f t="shared" si="30"/>
        <v>59628261.158091158</v>
      </c>
      <c r="J45" s="597">
        <f t="shared" si="30"/>
        <v>59012953.874005549</v>
      </c>
      <c r="K45" s="597">
        <f t="shared" si="30"/>
        <v>58385082.943495601</v>
      </c>
      <c r="L45" s="597">
        <f t="shared" si="30"/>
        <v>57744391.835856162</v>
      </c>
      <c r="M45" s="597">
        <f t="shared" si="30"/>
        <v>57090618.782412097</v>
      </c>
      <c r="N45" s="597">
        <f t="shared" si="30"/>
        <v>56423496.669566862</v>
      </c>
      <c r="O45" s="597">
        <f t="shared" si="30"/>
        <v>55742752.929667272</v>
      </c>
      <c r="P45" s="597">
        <f>+P44</f>
        <v>55742752.929667272</v>
      </c>
      <c r="Q45" s="621">
        <f t="shared" ref="Q45:T45" si="31">+Q44</f>
        <v>46404176.538528204</v>
      </c>
      <c r="R45" s="621">
        <f t="shared" si="31"/>
        <v>34502160.928021461</v>
      </c>
      <c r="S45" s="621">
        <f t="shared" si="31"/>
        <v>19333042.032430641</v>
      </c>
      <c r="T45" s="622">
        <f t="shared" si="31"/>
        <v>1.3387762010097504E-7</v>
      </c>
      <c r="U45" s="648"/>
    </row>
    <row r="46" spans="2:21" s="638" customFormat="1" ht="12.75" customHeight="1">
      <c r="B46" s="645" t="s">
        <v>241</v>
      </c>
      <c r="C46" s="646">
        <f>+C45</f>
        <v>63070000</v>
      </c>
      <c r="D46" s="647">
        <f t="shared" ref="D46:H46" si="32">+D45</f>
        <v>62524967.830500282</v>
      </c>
      <c r="E46" s="647">
        <f t="shared" si="32"/>
        <v>61968806.926391706</v>
      </c>
      <c r="F46" s="647">
        <f t="shared" si="32"/>
        <v>61401290.055703536</v>
      </c>
      <c r="G46" s="647">
        <f t="shared" si="32"/>
        <v>60822185.346731007</v>
      </c>
      <c r="H46" s="647">
        <f t="shared" si="32"/>
        <v>60231256.193298973</v>
      </c>
      <c r="I46" s="647">
        <f>+I45</f>
        <v>59628261.158091158</v>
      </c>
      <c r="J46" s="647">
        <f t="shared" ref="J46:T46" si="33">+J45</f>
        <v>59012953.874005549</v>
      </c>
      <c r="K46" s="647">
        <f t="shared" si="33"/>
        <v>58385082.943495601</v>
      </c>
      <c r="L46" s="647">
        <f t="shared" si="33"/>
        <v>57744391.835856162</v>
      </c>
      <c r="M46" s="647">
        <f t="shared" si="33"/>
        <v>57090618.782412097</v>
      </c>
      <c r="N46" s="647">
        <f t="shared" si="33"/>
        <v>56423496.669566862</v>
      </c>
      <c r="O46" s="647">
        <f t="shared" si="33"/>
        <v>55742752.929667272</v>
      </c>
      <c r="P46" s="647">
        <f t="shared" si="33"/>
        <v>55742752.929667272</v>
      </c>
      <c r="Q46" s="647">
        <f t="shared" si="33"/>
        <v>46404176.538528204</v>
      </c>
      <c r="R46" s="647">
        <f t="shared" si="33"/>
        <v>34502160.928021461</v>
      </c>
      <c r="S46" s="647">
        <f t="shared" si="33"/>
        <v>19333042.032430641</v>
      </c>
      <c r="T46" s="649">
        <f t="shared" si="33"/>
        <v>1.3387762010097504E-7</v>
      </c>
      <c r="U46" s="648"/>
    </row>
    <row r="47" spans="2:21" s="652" customFormat="1" ht="12.95" customHeight="1">
      <c r="B47" s="650" t="s">
        <v>229</v>
      </c>
      <c r="C47" s="651">
        <f>+C34+C37+C42+C45</f>
        <v>63070000</v>
      </c>
      <c r="D47" s="651">
        <f t="shared" ref="D47:T47" si="34">+D43+D46</f>
        <v>73691671.577629983</v>
      </c>
      <c r="E47" s="651">
        <f t="shared" si="34"/>
        <v>81082772.881399706</v>
      </c>
      <c r="F47" s="651">
        <f t="shared" si="34"/>
        <v>92366791.728215531</v>
      </c>
      <c r="G47" s="651">
        <f t="shared" si="34"/>
        <v>103486696.53674701</v>
      </c>
      <c r="H47" s="651">
        <f t="shared" si="34"/>
        <v>114493929.05081898</v>
      </c>
      <c r="I47" s="651">
        <f t="shared" si="34"/>
        <v>125540774.00311515</v>
      </c>
      <c r="J47" s="651">
        <f t="shared" si="34"/>
        <v>127405797.90653354</v>
      </c>
      <c r="K47" s="651">
        <f t="shared" si="34"/>
        <v>138275240.77352762</v>
      </c>
      <c r="L47" s="651">
        <f t="shared" si="34"/>
        <v>149232711.32339215</v>
      </c>
      <c r="M47" s="651">
        <f t="shared" si="34"/>
        <v>160022064.93745208</v>
      </c>
      <c r="N47" s="651">
        <f t="shared" si="34"/>
        <v>170443847.57211086</v>
      </c>
      <c r="O47" s="651">
        <f t="shared" si="34"/>
        <v>181977792.80192745</v>
      </c>
      <c r="P47" s="651">
        <f t="shared" si="34"/>
        <v>181977792.80192745</v>
      </c>
      <c r="Q47" s="651">
        <f t="shared" si="34"/>
        <v>179464681.40536767</v>
      </c>
      <c r="R47" s="651">
        <f t="shared" si="34"/>
        <v>176168786.85798958</v>
      </c>
      <c r="S47" s="651">
        <f t="shared" si="34"/>
        <v>183278686.80908474</v>
      </c>
      <c r="T47" s="651">
        <f t="shared" si="34"/>
        <v>207352245.84063926</v>
      </c>
    </row>
    <row r="48" spans="2:21" s="638" customFormat="1" ht="12.95" customHeight="1">
      <c r="B48" s="653"/>
      <c r="C48" s="548"/>
      <c r="D48" s="634"/>
      <c r="E48" s="634"/>
      <c r="F48" s="634"/>
      <c r="G48" s="634"/>
      <c r="H48" s="634"/>
      <c r="I48" s="634"/>
      <c r="J48" s="634"/>
      <c r="K48" s="634"/>
      <c r="L48" s="634"/>
      <c r="M48" s="634"/>
      <c r="N48" s="634"/>
      <c r="O48" s="634"/>
      <c r="P48" s="635"/>
      <c r="Q48" s="634"/>
      <c r="R48" s="634"/>
      <c r="S48" s="634"/>
      <c r="T48" s="637"/>
    </row>
    <row r="49" spans="2:20" s="652" customFormat="1" ht="12.95" customHeight="1">
      <c r="B49" s="654" t="s">
        <v>230</v>
      </c>
      <c r="C49" s="655">
        <v>2021</v>
      </c>
      <c r="D49" s="656" t="s">
        <v>256</v>
      </c>
      <c r="E49" s="656" t="s">
        <v>268</v>
      </c>
      <c r="F49" s="656" t="s">
        <v>269</v>
      </c>
      <c r="G49" s="656" t="s">
        <v>270</v>
      </c>
      <c r="H49" s="656" t="s">
        <v>260</v>
      </c>
      <c r="I49" s="656" t="s">
        <v>261</v>
      </c>
      <c r="J49" s="656" t="s">
        <v>262</v>
      </c>
      <c r="K49" s="656" t="s">
        <v>263</v>
      </c>
      <c r="L49" s="656" t="s">
        <v>264</v>
      </c>
      <c r="M49" s="656" t="s">
        <v>265</v>
      </c>
      <c r="N49" s="656" t="s">
        <v>266</v>
      </c>
      <c r="O49" s="656" t="s">
        <v>267</v>
      </c>
      <c r="P49" s="656">
        <v>2022</v>
      </c>
      <c r="Q49" s="655">
        <f>+P49+1</f>
        <v>2023</v>
      </c>
      <c r="R49" s="655">
        <f t="shared" ref="R49" si="35">+Q49+1</f>
        <v>2024</v>
      </c>
      <c r="S49" s="655">
        <f t="shared" ref="S49" si="36">+R49+1</f>
        <v>2025</v>
      </c>
      <c r="T49" s="657">
        <f t="shared" ref="T49" si="37">+S49+1</f>
        <v>2026</v>
      </c>
    </row>
    <row r="50" spans="2:20" s="638" customFormat="1" ht="12.95" customHeight="1">
      <c r="B50" s="640" t="s">
        <v>200</v>
      </c>
      <c r="C50" s="597">
        <v>20000000</v>
      </c>
      <c r="D50" s="597">
        <v>20000000</v>
      </c>
      <c r="E50" s="597">
        <v>20000000</v>
      </c>
      <c r="F50" s="597">
        <v>20000000</v>
      </c>
      <c r="G50" s="597">
        <v>20000000</v>
      </c>
      <c r="H50" s="597">
        <v>20000000</v>
      </c>
      <c r="I50" s="597">
        <v>20000000</v>
      </c>
      <c r="J50" s="597">
        <v>20000000</v>
      </c>
      <c r="K50" s="597">
        <v>20000000</v>
      </c>
      <c r="L50" s="597">
        <v>20000000</v>
      </c>
      <c r="M50" s="597">
        <v>20000000</v>
      </c>
      <c r="N50" s="597">
        <v>20000000</v>
      </c>
      <c r="O50" s="597">
        <v>20000000</v>
      </c>
      <c r="P50" s="597">
        <v>20000000</v>
      </c>
      <c r="Q50" s="597">
        <v>20000000</v>
      </c>
      <c r="R50" s="597">
        <v>20000000</v>
      </c>
      <c r="S50" s="597">
        <v>20000000</v>
      </c>
      <c r="T50" s="639">
        <v>20000000</v>
      </c>
    </row>
    <row r="51" spans="2:20" s="638" customFormat="1" ht="12.95" customHeight="1">
      <c r="B51" s="640" t="s">
        <v>201</v>
      </c>
      <c r="C51" s="597">
        <v>-10000000</v>
      </c>
      <c r="D51" s="597">
        <v>-10000000</v>
      </c>
      <c r="E51" s="597">
        <v>-10000000</v>
      </c>
      <c r="F51" s="597">
        <v>-10000000</v>
      </c>
      <c r="G51" s="597">
        <v>-10000000</v>
      </c>
      <c r="H51" s="597">
        <v>-10000000</v>
      </c>
      <c r="I51" s="597">
        <v>-10000000</v>
      </c>
      <c r="J51" s="597">
        <v>-10000000</v>
      </c>
      <c r="K51" s="597">
        <v>-10000000</v>
      </c>
      <c r="L51" s="597">
        <v>-10000000</v>
      </c>
      <c r="M51" s="597">
        <v>-10000000</v>
      </c>
      <c r="N51" s="597">
        <v>-10000000</v>
      </c>
      <c r="O51" s="597">
        <v>-10000000</v>
      </c>
      <c r="P51" s="597">
        <v>-10000000</v>
      </c>
      <c r="Q51" s="597">
        <v>-10000000</v>
      </c>
      <c r="R51" s="597">
        <v>-10000000</v>
      </c>
      <c r="S51" s="597">
        <v>-10000000</v>
      </c>
      <c r="T51" s="639">
        <v>-10000000</v>
      </c>
    </row>
    <row r="52" spans="2:20" ht="12.95" customHeight="1">
      <c r="B52" s="640" t="s">
        <v>202</v>
      </c>
      <c r="C52" s="597">
        <f>SUM(C50:C51)</f>
        <v>10000000</v>
      </c>
      <c r="D52" s="597">
        <f t="shared" ref="D52:O52" si="38">SUM(D50:D51)</f>
        <v>10000000</v>
      </c>
      <c r="E52" s="597">
        <f t="shared" si="38"/>
        <v>10000000</v>
      </c>
      <c r="F52" s="597">
        <f t="shared" si="38"/>
        <v>10000000</v>
      </c>
      <c r="G52" s="597">
        <f t="shared" si="38"/>
        <v>10000000</v>
      </c>
      <c r="H52" s="597">
        <f t="shared" si="38"/>
        <v>10000000</v>
      </c>
      <c r="I52" s="597">
        <f t="shared" si="38"/>
        <v>10000000</v>
      </c>
      <c r="J52" s="597">
        <f t="shared" si="38"/>
        <v>10000000</v>
      </c>
      <c r="K52" s="597">
        <f t="shared" si="38"/>
        <v>10000000</v>
      </c>
      <c r="L52" s="597">
        <f t="shared" si="38"/>
        <v>10000000</v>
      </c>
      <c r="M52" s="597">
        <f t="shared" si="38"/>
        <v>10000000</v>
      </c>
      <c r="N52" s="597">
        <f t="shared" si="38"/>
        <v>10000000</v>
      </c>
      <c r="O52" s="597">
        <f t="shared" si="38"/>
        <v>10000000</v>
      </c>
      <c r="P52" s="597">
        <f t="shared" ref="P52:T52" si="39">SUM(P50:P51)</f>
        <v>10000000</v>
      </c>
      <c r="Q52" s="597">
        <f t="shared" si="39"/>
        <v>10000000</v>
      </c>
      <c r="R52" s="597">
        <f t="shared" si="39"/>
        <v>10000000</v>
      </c>
      <c r="S52" s="597">
        <f t="shared" si="39"/>
        <v>10000000</v>
      </c>
      <c r="T52" s="639">
        <f t="shared" si="39"/>
        <v>10000000</v>
      </c>
    </row>
    <row r="53" spans="2:20" ht="12.95" customHeight="1">
      <c r="B53" s="640" t="s">
        <v>290</v>
      </c>
      <c r="C53" s="554"/>
      <c r="D53" s="554">
        <f>+'Estado De Resultados'!D22</f>
        <v>124838.83404754252</v>
      </c>
      <c r="E53" s="554">
        <f>+'Estado De Resultados'!E22+D53</f>
        <v>274645.43490459351</v>
      </c>
      <c r="F53" s="554">
        <f>+'Estado De Resultados'!F22+E53</f>
        <v>449419.80257115304</v>
      </c>
      <c r="G53" s="554">
        <f>+'Estado De Resultados'!G22+F53</f>
        <v>649161.937047221</v>
      </c>
      <c r="H53" s="554">
        <f>+'Estado De Resultados'!H22+G53</f>
        <v>848904.07152328896</v>
      </c>
      <c r="I53" s="554">
        <f>+'Estado De Resultados'!I22+H53</f>
        <v>1023678.4391898485</v>
      </c>
      <c r="J53" s="554">
        <f>+'Estado De Resultados'!J22+I53</f>
        <v>1248388.3404754251</v>
      </c>
      <c r="K53" s="554">
        <f>+'Estado De Resultados'!K22+J53</f>
        <v>1448130.4749514931</v>
      </c>
      <c r="L53" s="554">
        <f>+'Estado De Resultados'!L22+K53</f>
        <v>1647872.6094275611</v>
      </c>
      <c r="M53" s="554">
        <f>+'Estado De Resultados'!M22+L53</f>
        <v>1922518.0443321546</v>
      </c>
      <c r="N53" s="554">
        <f>+'Estado De Resultados'!N22+M53</f>
        <v>2222131.2460462567</v>
      </c>
      <c r="O53" s="554">
        <f>+'Estado De Resultados'!O22+N53</f>
        <v>2496776.6809508502</v>
      </c>
      <c r="P53" s="621">
        <f>+'Estado De Resultados'!P22</f>
        <v>2496776.6809508502</v>
      </c>
      <c r="Q53" s="621">
        <f>+'Estado De Resultados'!Q22</f>
        <v>7857418.9802658083</v>
      </c>
      <c r="R53" s="621">
        <f>+'Estado De Resultados'!R22</f>
        <v>17881386.945502311</v>
      </c>
      <c r="S53" s="621">
        <f>+'Estado De Resultados'!S22</f>
        <v>30370037.149261326</v>
      </c>
      <c r="T53" s="622">
        <f>+'Estado De Resultados'!T22</f>
        <v>42070017.090190083</v>
      </c>
    </row>
    <row r="54" spans="2:20" ht="12.95" customHeight="1">
      <c r="B54" s="640"/>
      <c r="C54" s="554"/>
      <c r="D54" s="554"/>
      <c r="E54" s="554"/>
      <c r="F54" s="554"/>
      <c r="G54" s="554"/>
      <c r="H54" s="554"/>
      <c r="I54" s="554"/>
      <c r="J54" s="554"/>
      <c r="K54" s="554"/>
      <c r="L54" s="554"/>
      <c r="M54" s="554"/>
      <c r="N54" s="554"/>
      <c r="O54" s="554"/>
      <c r="P54" s="619"/>
      <c r="Q54" s="594"/>
      <c r="R54" s="594"/>
      <c r="S54" s="594"/>
      <c r="T54" s="620"/>
    </row>
    <row r="55" spans="2:20" ht="12.95" customHeight="1" thickBot="1">
      <c r="B55" s="658" t="s">
        <v>204</v>
      </c>
      <c r="C55" s="659">
        <f>+C52+C53</f>
        <v>10000000</v>
      </c>
      <c r="D55" s="659">
        <f t="shared" ref="D55:O55" si="40">+D52+D53</f>
        <v>10124838.834047543</v>
      </c>
      <c r="E55" s="659">
        <f t="shared" si="40"/>
        <v>10274645.434904594</v>
      </c>
      <c r="F55" s="659">
        <f t="shared" si="40"/>
        <v>10449419.802571153</v>
      </c>
      <c r="G55" s="659">
        <f t="shared" si="40"/>
        <v>10649161.937047221</v>
      </c>
      <c r="H55" s="659">
        <f t="shared" si="40"/>
        <v>10848904.071523288</v>
      </c>
      <c r="I55" s="659">
        <f t="shared" si="40"/>
        <v>11023678.439189848</v>
      </c>
      <c r="J55" s="659">
        <f t="shared" si="40"/>
        <v>11248388.340475425</v>
      </c>
      <c r="K55" s="659">
        <f t="shared" si="40"/>
        <v>11448130.474951493</v>
      </c>
      <c r="L55" s="659">
        <f t="shared" si="40"/>
        <v>11647872.60942756</v>
      </c>
      <c r="M55" s="659">
        <f t="shared" si="40"/>
        <v>11922518.044332154</v>
      </c>
      <c r="N55" s="659">
        <f t="shared" si="40"/>
        <v>12222131.246046256</v>
      </c>
      <c r="O55" s="659">
        <f t="shared" si="40"/>
        <v>12496776.68095085</v>
      </c>
      <c r="P55" s="660">
        <f t="shared" ref="P55:T55" si="41">+P52+P53</f>
        <v>12496776.68095085</v>
      </c>
      <c r="Q55" s="659">
        <f t="shared" si="41"/>
        <v>17857418.980265807</v>
      </c>
      <c r="R55" s="659">
        <f t="shared" si="41"/>
        <v>27881386.945502311</v>
      </c>
      <c r="S55" s="659">
        <f t="shared" si="41"/>
        <v>40370037.149261326</v>
      </c>
      <c r="T55" s="661">
        <f t="shared" si="41"/>
        <v>52070017.090190083</v>
      </c>
    </row>
    <row r="56" spans="2:20" ht="12.95" customHeight="1" thickBot="1">
      <c r="B56" s="662"/>
    </row>
    <row r="57" spans="2:20" ht="12.95" customHeight="1">
      <c r="B57" s="664" t="s">
        <v>203</v>
      </c>
      <c r="C57" s="665">
        <f>+C47+C55</f>
        <v>73070000</v>
      </c>
      <c r="D57" s="665">
        <f>+D47+D55</f>
        <v>83816510.411677524</v>
      </c>
      <c r="E57" s="665">
        <f t="shared" ref="E57:O57" si="42">+E47+E55</f>
        <v>91357418.316304296</v>
      </c>
      <c r="F57" s="665">
        <f t="shared" si="42"/>
        <v>102816211.53078668</v>
      </c>
      <c r="G57" s="665">
        <f t="shared" si="42"/>
        <v>114135858.47379422</v>
      </c>
      <c r="H57" s="665">
        <f t="shared" si="42"/>
        <v>125342833.12234227</v>
      </c>
      <c r="I57" s="665">
        <f t="shared" si="42"/>
        <v>136564452.442305</v>
      </c>
      <c r="J57" s="665">
        <f t="shared" si="42"/>
        <v>138654186.24700898</v>
      </c>
      <c r="K57" s="665">
        <f t="shared" si="42"/>
        <v>149723371.24847913</v>
      </c>
      <c r="L57" s="665">
        <f t="shared" si="42"/>
        <v>160880583.93281972</v>
      </c>
      <c r="M57" s="665">
        <f t="shared" si="42"/>
        <v>171944582.98178422</v>
      </c>
      <c r="N57" s="665">
        <f t="shared" si="42"/>
        <v>182665978.81815711</v>
      </c>
      <c r="O57" s="665">
        <f t="shared" si="42"/>
        <v>194474569.4828783</v>
      </c>
      <c r="P57" s="666">
        <f t="shared" ref="P57:T57" si="43">+P47+P55</f>
        <v>194474569.4828783</v>
      </c>
      <c r="Q57" s="665">
        <f t="shared" si="43"/>
        <v>197322100.38563347</v>
      </c>
      <c r="R57" s="665">
        <f t="shared" si="43"/>
        <v>204050173.80349189</v>
      </c>
      <c r="S57" s="665">
        <f t="shared" si="43"/>
        <v>223648723.95834607</v>
      </c>
      <c r="T57" s="665">
        <f t="shared" si="43"/>
        <v>259422262.93082935</v>
      </c>
    </row>
    <row r="58" spans="2:20" ht="12.95" customHeight="1">
      <c r="B58" s="662"/>
    </row>
    <row r="59" spans="2:20" ht="12.95" customHeight="1">
      <c r="B59" s="667" t="s">
        <v>255</v>
      </c>
      <c r="C59" s="668">
        <f t="shared" ref="C59:T59" si="44">+C57-C25</f>
        <v>0</v>
      </c>
      <c r="D59" s="668">
        <f t="shared" si="44"/>
        <v>512734.84389975667</v>
      </c>
      <c r="E59" s="668">
        <f t="shared" si="44"/>
        <v>1723292.3174154013</v>
      </c>
      <c r="F59" s="668">
        <f t="shared" si="44"/>
        <v>2393596.3407866806</v>
      </c>
      <c r="G59" s="668">
        <f t="shared" si="44"/>
        <v>2936344.9326831102</v>
      </c>
      <c r="H59" s="668">
        <f t="shared" si="44"/>
        <v>3479093.5301200598</v>
      </c>
      <c r="I59" s="668">
        <f t="shared" si="44"/>
        <v>4149400.5489716679</v>
      </c>
      <c r="J59" s="668">
        <f t="shared" si="44"/>
        <v>4564590.7225645334</v>
      </c>
      <c r="K59" s="668">
        <f t="shared" si="44"/>
        <v>5107339.3129235804</v>
      </c>
      <c r="L59" s="668">
        <f t="shared" si="44"/>
        <v>5650087.906153053</v>
      </c>
      <c r="M59" s="668">
        <f t="shared" si="44"/>
        <v>5810161.2240064442</v>
      </c>
      <c r="N59" s="668">
        <f t="shared" si="44"/>
        <v>5842676.1192682087</v>
      </c>
      <c r="O59" s="668">
        <f t="shared" si="44"/>
        <v>2.8782784938812256E-3</v>
      </c>
      <c r="P59" s="669">
        <f t="shared" si="44"/>
        <v>2.8782784938812256E-3</v>
      </c>
      <c r="Q59" s="668">
        <f t="shared" si="44"/>
        <v>3.9268136024475098E-3</v>
      </c>
      <c r="R59" s="668">
        <f t="shared" si="44"/>
        <v>97075.713802158833</v>
      </c>
      <c r="S59" s="668">
        <f t="shared" si="44"/>
        <v>240456.53797981143</v>
      </c>
      <c r="T59" s="668">
        <f t="shared" si="44"/>
        <v>454447.82120734453</v>
      </c>
    </row>
    <row r="60" spans="2:20" ht="12.95" customHeight="1">
      <c r="B60" s="662"/>
    </row>
    <row r="61" spans="2:20" ht="12.95" customHeight="1">
      <c r="B61" s="662"/>
      <c r="C61" s="670"/>
      <c r="D61" s="670"/>
      <c r="E61" s="670"/>
      <c r="F61" s="670"/>
      <c r="G61" s="670"/>
      <c r="H61" s="670"/>
      <c r="I61" s="670"/>
      <c r="J61" s="670"/>
      <c r="K61" s="670"/>
      <c r="L61" s="670"/>
      <c r="M61" s="670"/>
      <c r="N61" s="670"/>
      <c r="O61" s="670"/>
    </row>
    <row r="62" spans="2:20" ht="12.95" customHeight="1">
      <c r="B62" s="662"/>
      <c r="D62" s="671">
        <f>+D59/D13</f>
        <v>3.9689296416566884E-2</v>
      </c>
      <c r="E62" s="671"/>
      <c r="F62" s="671"/>
      <c r="G62" s="671"/>
    </row>
    <row r="63" spans="2:20" ht="12.95" customHeight="1">
      <c r="B63" s="662"/>
      <c r="C63" s="672"/>
      <c r="D63" s="672"/>
      <c r="E63" s="672"/>
      <c r="F63" s="672"/>
      <c r="G63" s="672"/>
      <c r="H63" s="672"/>
      <c r="I63" s="672"/>
      <c r="J63" s="672"/>
      <c r="K63" s="672"/>
      <c r="L63" s="672"/>
      <c r="M63" s="672"/>
      <c r="N63" s="672"/>
      <c r="O63" s="672"/>
    </row>
    <row r="64" spans="2:20" ht="12.95" customHeight="1">
      <c r="B64" s="662"/>
    </row>
    <row r="65" spans="2:2" ht="12.95" customHeight="1">
      <c r="B65" s="662"/>
    </row>
  </sheetData>
  <sheetProtection algorithmName="SHA-512" hashValue="+qgW5Zf1yD5ihsgjRVldU0DMPzYWFQXKPaD26/i2+FcGyo6M0Y7lf+wQL/i1znCp4DCRE3R/xm9uFVWGYAUeZA==" saltValue="uAsOQHDIUvUVmc9yzSi69A==" spinCount="100000" sheet="1" objects="1" scenarios="1"/>
  <mergeCells count="5">
    <mergeCell ref="B1:T1"/>
    <mergeCell ref="B2:T2"/>
    <mergeCell ref="B3:T3"/>
    <mergeCell ref="B4:T4"/>
    <mergeCell ref="B5:T5"/>
  </mergeCells>
  <phoneticPr fontId="10" type="noConversion"/>
  <pageMargins left="0.7" right="0.7" top="0.75" bottom="0.75" header="0.3" footer="0.3"/>
  <pageSetup paperSize="9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>
    <tabColor rgb="FF002060"/>
  </sheetPr>
  <dimension ref="A1:Z56"/>
  <sheetViews>
    <sheetView zoomScale="80" zoomScaleNormal="80" workbookViewId="0">
      <pane xSplit="3" ySplit="8" topLeftCell="P9" activePane="bottomRight" state="frozen"/>
      <selection pane="topRight" activeCell="D1" sqref="D1"/>
      <selection pane="bottomLeft" activeCell="A9" sqref="A9"/>
      <selection pane="bottomRight" activeCell="S23" sqref="S23"/>
    </sheetView>
  </sheetViews>
  <sheetFormatPr baseColWidth="10" defaultColWidth="0" defaultRowHeight="12.75"/>
  <cols>
    <col min="1" max="1" width="3.85546875" style="83" customWidth="1"/>
    <col min="2" max="2" width="41.28515625" style="83" bestFit="1" customWidth="1"/>
    <col min="3" max="3" width="11.42578125" style="83" customWidth="1"/>
    <col min="4" max="15" width="13.7109375" style="83" hidden="1" customWidth="1"/>
    <col min="16" max="16" width="16.7109375" style="83" customWidth="1"/>
    <col min="17" max="17" width="19.85546875" style="83" customWidth="1"/>
    <col min="18" max="18" width="20.85546875" style="83" bestFit="1" customWidth="1"/>
    <col min="19" max="19" width="19.85546875" style="83" customWidth="1"/>
    <col min="20" max="20" width="20.85546875" style="83" bestFit="1" customWidth="1"/>
    <col min="21" max="25" width="11.42578125" style="83" customWidth="1"/>
    <col min="26" max="26" width="6.7109375" style="83" customWidth="1"/>
    <col min="27" max="16384" width="11.42578125" style="83" hidden="1"/>
  </cols>
  <sheetData>
    <row r="1" spans="1:26" ht="15" customHeight="1">
      <c r="A1" s="83">
        <f>+'Ppto Gral'!C1</f>
        <v>4</v>
      </c>
      <c r="B1" s="243" t="s">
        <v>10</v>
      </c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</row>
    <row r="2" spans="1:26" ht="15.75" customHeight="1">
      <c r="B2" s="243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</row>
    <row r="3" spans="1:26">
      <c r="B3" s="255" t="s">
        <v>207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</row>
    <row r="4" spans="1:26">
      <c r="B4" s="255" t="s">
        <v>2</v>
      </c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</row>
    <row r="5" spans="1:26">
      <c r="B5" s="255" t="s">
        <v>1</v>
      </c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6"/>
      <c r="X5" s="256"/>
      <c r="Y5" s="256"/>
    </row>
    <row r="6" spans="1:26" ht="13.5" thickBot="1">
      <c r="B6" s="255" t="s">
        <v>0</v>
      </c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</row>
    <row r="7" spans="1:26" ht="15" customHeight="1">
      <c r="B7" s="249" t="s">
        <v>9</v>
      </c>
      <c r="C7" s="250"/>
      <c r="D7" s="257">
        <v>2022</v>
      </c>
      <c r="E7" s="258"/>
      <c r="F7" s="258"/>
      <c r="G7" s="258"/>
      <c r="H7" s="258"/>
      <c r="I7" s="258"/>
      <c r="J7" s="258"/>
      <c r="K7" s="258"/>
      <c r="L7" s="258"/>
      <c r="M7" s="258"/>
      <c r="N7" s="258"/>
      <c r="O7" s="259"/>
      <c r="P7" s="260">
        <v>2022</v>
      </c>
      <c r="Q7" s="262">
        <f>+P7+1</f>
        <v>2023</v>
      </c>
      <c r="R7" s="262">
        <f t="shared" ref="R7:T7" si="0">+Q7+1</f>
        <v>2024</v>
      </c>
      <c r="S7" s="262">
        <f t="shared" si="0"/>
        <v>2025</v>
      </c>
      <c r="T7" s="264">
        <f t="shared" si="0"/>
        <v>2026</v>
      </c>
      <c r="U7" s="266">
        <f>+P7</f>
        <v>2022</v>
      </c>
      <c r="V7" s="262">
        <f t="shared" ref="V7:Y7" si="1">+Q7</f>
        <v>2023</v>
      </c>
      <c r="W7" s="262">
        <f t="shared" si="1"/>
        <v>2024</v>
      </c>
      <c r="X7" s="262">
        <f t="shared" si="1"/>
        <v>2025</v>
      </c>
      <c r="Y7" s="268">
        <f t="shared" si="1"/>
        <v>2026</v>
      </c>
    </row>
    <row r="8" spans="1:26">
      <c r="B8" s="251" t="s">
        <v>6</v>
      </c>
      <c r="C8" s="252"/>
      <c r="D8" s="131" t="s">
        <v>256</v>
      </c>
      <c r="E8" s="119" t="s">
        <v>257</v>
      </c>
      <c r="F8" s="119" t="s">
        <v>258</v>
      </c>
      <c r="G8" s="119" t="s">
        <v>259</v>
      </c>
      <c r="H8" s="119" t="s">
        <v>260</v>
      </c>
      <c r="I8" s="119" t="s">
        <v>261</v>
      </c>
      <c r="J8" s="119" t="s">
        <v>262</v>
      </c>
      <c r="K8" s="119" t="s">
        <v>263</v>
      </c>
      <c r="L8" s="119" t="s">
        <v>264</v>
      </c>
      <c r="M8" s="119" t="s">
        <v>265</v>
      </c>
      <c r="N8" s="119" t="s">
        <v>266</v>
      </c>
      <c r="O8" s="132" t="s">
        <v>267</v>
      </c>
      <c r="P8" s="261"/>
      <c r="Q8" s="263"/>
      <c r="R8" s="263"/>
      <c r="S8" s="263"/>
      <c r="T8" s="265"/>
      <c r="U8" s="267"/>
      <c r="V8" s="263"/>
      <c r="W8" s="263"/>
      <c r="X8" s="263"/>
      <c r="Y8" s="269"/>
    </row>
    <row r="9" spans="1:26">
      <c r="B9" s="245" t="s">
        <v>21</v>
      </c>
      <c r="C9" s="246"/>
      <c r="D9" s="133">
        <f>+P$9*5%</f>
        <v>18758592</v>
      </c>
      <c r="E9" s="120">
        <f>+P9*6%</f>
        <v>22510310.399999999</v>
      </c>
      <c r="F9" s="120">
        <f>+P9*7%</f>
        <v>26262028.800000001</v>
      </c>
      <c r="G9" s="120">
        <f>+P9*8%</f>
        <v>30013747.199999999</v>
      </c>
      <c r="H9" s="120">
        <f>+P9*8%</f>
        <v>30013747.199999999</v>
      </c>
      <c r="I9" s="120">
        <f>+P9*7%</f>
        <v>26262028.800000001</v>
      </c>
      <c r="J9" s="120">
        <f>+P9*9%</f>
        <v>33765465.600000001</v>
      </c>
      <c r="K9" s="120">
        <f>+P9*8%</f>
        <v>30013747.199999999</v>
      </c>
      <c r="L9" s="120">
        <f>+P9*8%</f>
        <v>30013747.199999999</v>
      </c>
      <c r="M9" s="120">
        <f>+P9*11%</f>
        <v>41268902.399999999</v>
      </c>
      <c r="N9" s="120">
        <f>+P9*12%</f>
        <v>45020620.799999997</v>
      </c>
      <c r="O9" s="134">
        <f>+P9*11%</f>
        <v>41268902.399999999</v>
      </c>
      <c r="P9" s="142">
        <f>+'Ppto Gral'!E7*12</f>
        <v>375171840</v>
      </c>
      <c r="Q9" s="84">
        <f>IF('Ppto Gral'!$C$1=1,P9*1.035,IF('Ppto Gral'!$C$1=2,P9*1.02,IF('Ppto Gral'!$C$1=3,P9*1.045,IF('Ppto Gral'!$C$1=4,P9*1.035))))</f>
        <v>388302854.39999998</v>
      </c>
      <c r="R9" s="84">
        <f>IF('Ppto Gral'!$C$1=1,Q9*1.035,IF('Ppto Gral'!$C$1=2,Q9*1.02,IF('Ppto Gral'!$C$1=3,Q9*1.045,IF('Ppto Gral'!$C$1=4,Q9*1.0407))))</f>
        <v>404106780.57407993</v>
      </c>
      <c r="S9" s="84">
        <f>IF('Ppto Gral'!$C$1=1,R9*1.035,IF('Ppto Gral'!$C$1=2,R9*1.02,IF('Ppto Gral'!$C$1=3,R9*1.045,IF('Ppto Gral'!$C$1=4,R9*1.0407))))</f>
        <v>420553926.54344499</v>
      </c>
      <c r="T9" s="212">
        <f>IF('Ppto Gral'!$C$1=1,S9*1.035,IF('Ppto Gral'!$C$1=2,S9*1.02,IF('Ppto Gral'!$C$1=3,S9*1.045,IF('Ppto Gral'!$C$1=4,S9*1.0407))))</f>
        <v>437670471.35376316</v>
      </c>
      <c r="U9" s="213">
        <f t="shared" ref="U9:U14" si="2">P9/P$9</f>
        <v>1</v>
      </c>
      <c r="V9" s="85">
        <f t="shared" ref="V9:Y9" si="3">Q9/Q$9</f>
        <v>1</v>
      </c>
      <c r="W9" s="85">
        <f t="shared" si="3"/>
        <v>1</v>
      </c>
      <c r="X9" s="85">
        <f t="shared" si="3"/>
        <v>1</v>
      </c>
      <c r="Y9" s="86">
        <f t="shared" si="3"/>
        <v>1</v>
      </c>
    </row>
    <row r="10" spans="1:26">
      <c r="B10" s="245" t="s">
        <v>22</v>
      </c>
      <c r="C10" s="246"/>
      <c r="D10" s="133">
        <f>+P$10*5%</f>
        <v>11004804.960000001</v>
      </c>
      <c r="E10" s="120">
        <f t="shared" ref="E10" si="4">+P10*6%</f>
        <v>13205765.952</v>
      </c>
      <c r="F10" s="120">
        <f>+P10*7%</f>
        <v>15406726.944</v>
      </c>
      <c r="G10" s="120">
        <f t="shared" ref="G10:G22" si="5">+P10*8%</f>
        <v>17607687.936000001</v>
      </c>
      <c r="H10" s="120">
        <f t="shared" ref="H10:H22" si="6">+P10*8%</f>
        <v>17607687.936000001</v>
      </c>
      <c r="I10" s="120">
        <f t="shared" ref="I10:I22" si="7">+P10*7%</f>
        <v>15406726.944</v>
      </c>
      <c r="J10" s="120">
        <f t="shared" ref="J10:J22" si="8">+P10*9%</f>
        <v>19808648.927999999</v>
      </c>
      <c r="K10" s="120">
        <f t="shared" ref="K10:K22" si="9">+P10*8%</f>
        <v>17607687.936000001</v>
      </c>
      <c r="L10" s="120">
        <f t="shared" ref="L10:L22" si="10">+P10*8%</f>
        <v>17607687.936000001</v>
      </c>
      <c r="M10" s="120">
        <f t="shared" ref="M10:M22" si="11">+P10*11%</f>
        <v>24210570.912</v>
      </c>
      <c r="N10" s="120">
        <f t="shared" ref="N10:N22" si="12">+P10*12%</f>
        <v>26411531.903999999</v>
      </c>
      <c r="O10" s="134">
        <f t="shared" ref="O10:O22" si="13">+P10*11%</f>
        <v>24210570.912</v>
      </c>
      <c r="P10" s="142">
        <f>('Ppto Gral'!E17-'Ppto Gral'!D22-'Ppto Gral'!D23)*12</f>
        <v>220096099.19999999</v>
      </c>
      <c r="Q10" s="84">
        <f>IF('Ppto Gral'!$C$1=1,P10*1.035,IF('Ppto Gral'!$C$1=2,P10*1.02,IF('Ppto Gral'!$C$1=3,P10*1.045,IF('Ppto Gral'!$C$1=4,P10*1.035))))</f>
        <v>227799462.67199996</v>
      </c>
      <c r="R10" s="84">
        <f>IF('Ppto Gral'!$C$1=1,Q10*1.035,IF('Ppto Gral'!$C$1=2,Q10*1.02,IF('Ppto Gral'!$C$1=3,Q10*1.045,IF('Ppto Gral'!$C$1=4,Q10*1.03))))</f>
        <v>234633446.55215997</v>
      </c>
      <c r="S10" s="84">
        <f>IF('Ppto Gral'!$C$1=1,R10*1.035,IF('Ppto Gral'!$C$1=2,R10*1.02,IF('Ppto Gral'!$C$1=3,R10*1.045,IF('Ppto Gral'!$C$1=4,R10*1.028))))</f>
        <v>241203183.05562046</v>
      </c>
      <c r="T10" s="212">
        <f>IF('Ppto Gral'!$C$1=1,S10*1.035,IF('Ppto Gral'!$C$1=2,S10*1.02,IF('Ppto Gral'!$C$1=3,S10*1.045,IF('Ppto Gral'!$C$1=4,S10*1.025))))</f>
        <v>247233262.63201097</v>
      </c>
      <c r="U10" s="213">
        <f t="shared" si="2"/>
        <v>0.58665410282392194</v>
      </c>
      <c r="V10" s="87">
        <f t="shared" ref="V10:V22" si="14">Q10/Q$9</f>
        <v>0.58665410282392194</v>
      </c>
      <c r="W10" s="87">
        <f t="shared" ref="W10:W22" si="15">R10/R$9</f>
        <v>0.58062239445434771</v>
      </c>
      <c r="X10" s="87">
        <f t="shared" ref="X10:X22" si="16">S10/S$9</f>
        <v>0.57353687085526039</v>
      </c>
      <c r="Y10" s="88">
        <f t="shared" ref="Y10:Y22" si="17">T10/T$9</f>
        <v>0.56488449373175931</v>
      </c>
    </row>
    <row r="11" spans="1:26">
      <c r="B11" s="253" t="s">
        <v>3</v>
      </c>
      <c r="C11" s="254"/>
      <c r="D11" s="154">
        <f>+$P$11*5%</f>
        <v>7753787.040000001</v>
      </c>
      <c r="E11" s="155">
        <f>+P11*6%</f>
        <v>9304544.4480000008</v>
      </c>
      <c r="F11" s="155">
        <f>+P11*7%</f>
        <v>10855301.856000002</v>
      </c>
      <c r="G11" s="155">
        <f t="shared" si="5"/>
        <v>12406059.264</v>
      </c>
      <c r="H11" s="155">
        <f t="shared" si="6"/>
        <v>12406059.264</v>
      </c>
      <c r="I11" s="155">
        <f t="shared" si="7"/>
        <v>10855301.856000002</v>
      </c>
      <c r="J11" s="155">
        <f t="shared" si="8"/>
        <v>13956816.672</v>
      </c>
      <c r="K11" s="155">
        <f t="shared" si="9"/>
        <v>12406059.264</v>
      </c>
      <c r="L11" s="155">
        <f t="shared" si="10"/>
        <v>12406059.264</v>
      </c>
      <c r="M11" s="155">
        <f t="shared" si="11"/>
        <v>17058331.488000002</v>
      </c>
      <c r="N11" s="155">
        <f t="shared" si="12"/>
        <v>18609088.896000002</v>
      </c>
      <c r="O11" s="156">
        <f t="shared" si="13"/>
        <v>17058331.488000002</v>
      </c>
      <c r="P11" s="144">
        <f t="shared" ref="P11:Q11" si="18">P9-P10</f>
        <v>155075740.80000001</v>
      </c>
      <c r="Q11" s="89">
        <f t="shared" si="18"/>
        <v>160503391.72800002</v>
      </c>
      <c r="R11" s="89">
        <f t="shared" ref="R11:T11" si="19">R9-R10</f>
        <v>169473334.02191997</v>
      </c>
      <c r="S11" s="89">
        <f t="shared" si="19"/>
        <v>179350743.48782453</v>
      </c>
      <c r="T11" s="145">
        <f t="shared" si="19"/>
        <v>190437208.7217522</v>
      </c>
      <c r="U11" s="139">
        <f t="shared" si="2"/>
        <v>0.41334589717607806</v>
      </c>
      <c r="V11" s="90">
        <f t="shared" si="14"/>
        <v>0.41334589717607811</v>
      </c>
      <c r="W11" s="90">
        <f t="shared" si="15"/>
        <v>0.41937760554565229</v>
      </c>
      <c r="X11" s="90">
        <f t="shared" si="16"/>
        <v>0.42646312914473966</v>
      </c>
      <c r="Y11" s="91">
        <f t="shared" si="17"/>
        <v>0.43511550626824069</v>
      </c>
      <c r="Z11" s="114"/>
    </row>
    <row r="12" spans="1:26">
      <c r="B12" s="245" t="s">
        <v>23</v>
      </c>
      <c r="C12" s="246"/>
      <c r="D12" s="133">
        <f>+$P$12*5%</f>
        <v>4399758.3220223999</v>
      </c>
      <c r="E12" s="120">
        <f>+P12*6%</f>
        <v>5279709.9864268797</v>
      </c>
      <c r="F12" s="120">
        <f>+P12*7%</f>
        <v>6159661.6508313604</v>
      </c>
      <c r="G12" s="120">
        <f t="shared" si="5"/>
        <v>7039613.3152358402</v>
      </c>
      <c r="H12" s="120">
        <f t="shared" si="6"/>
        <v>7039613.3152358402</v>
      </c>
      <c r="I12" s="120">
        <f t="shared" si="7"/>
        <v>6159661.6508313604</v>
      </c>
      <c r="J12" s="120">
        <f t="shared" si="8"/>
        <v>7919564.9796403199</v>
      </c>
      <c r="K12" s="120">
        <f t="shared" si="9"/>
        <v>7039613.3152358402</v>
      </c>
      <c r="L12" s="120">
        <f t="shared" si="10"/>
        <v>7039613.3152358402</v>
      </c>
      <c r="M12" s="120">
        <f t="shared" si="11"/>
        <v>9679468.3084492795</v>
      </c>
      <c r="N12" s="120">
        <f t="shared" si="12"/>
        <v>10559419.972853759</v>
      </c>
      <c r="O12" s="134">
        <f t="shared" si="13"/>
        <v>9679468.3084492795</v>
      </c>
      <c r="P12" s="150">
        <f>(GASTOS-'Ppto Gral'!D43-'Ppto Gral'!D44-'Ppto Gral'!D45)*12</f>
        <v>87995166.440448001</v>
      </c>
      <c r="Q12" s="84">
        <f>IF('Ppto Gral'!$C$1=1,P12*1.035,IF('Ppto Gral'!$C$1=2,P12*1.02,IF('Ppto Gral'!$C$1=3,P12*1.045,IF('Ppto Gral'!$C$1=4,P12*1.035))))</f>
        <v>91074997.265863672</v>
      </c>
      <c r="R12" s="84">
        <f>IF('Ppto Gral'!$C$1=1,Q12*1.035,IF('Ppto Gral'!$C$1=2,Q12*1.02,IF('Ppto Gral'!$C$1=3,Q12*1.045,IF('Ppto Gral'!$C$1=4,Q12*1.035))))</f>
        <v>94262622.170168892</v>
      </c>
      <c r="S12" s="84">
        <f>IF('Ppto Gral'!$C$1=1,R12*1.035,IF('Ppto Gral'!$C$1=2,R12*1.02,IF('Ppto Gral'!$C$1=3,R12*1.045,IF('Ppto Gral'!$C$1=4,R12*1.035))))</f>
        <v>97561813.946124792</v>
      </c>
      <c r="T12" s="143">
        <f>IF('Ppto Gral'!$C$1=1,S12*1.035,IF('Ppto Gral'!$C$1=2,S12*1.02,IF('Ppto Gral'!$C$1=3,S12*1.045,IF('Ppto Gral'!$C$1=4,S12*1.035))))</f>
        <v>100976477.43423915</v>
      </c>
      <c r="U12" s="138">
        <f t="shared" si="2"/>
        <v>0.23454629867862151</v>
      </c>
      <c r="V12" s="87">
        <f t="shared" si="14"/>
        <v>0.23454629867862151</v>
      </c>
      <c r="W12" s="87">
        <f t="shared" si="15"/>
        <v>0.23326166919609231</v>
      </c>
      <c r="X12" s="87">
        <f t="shared" si="16"/>
        <v>0.23198407573551985</v>
      </c>
      <c r="Y12" s="88">
        <f t="shared" si="17"/>
        <v>0.23071347976002982</v>
      </c>
    </row>
    <row r="13" spans="1:26">
      <c r="B13" s="245" t="s">
        <v>242</v>
      </c>
      <c r="C13" s="246"/>
      <c r="D13" s="133">
        <f>+$P$13*5%</f>
        <v>3000000</v>
      </c>
      <c r="E13" s="120">
        <f>+P13*6%</f>
        <v>3600000</v>
      </c>
      <c r="F13" s="120">
        <f>+P13*7%</f>
        <v>4200000</v>
      </c>
      <c r="G13" s="120">
        <f t="shared" si="5"/>
        <v>4800000</v>
      </c>
      <c r="H13" s="120">
        <f t="shared" si="6"/>
        <v>4800000</v>
      </c>
      <c r="I13" s="120">
        <f t="shared" si="7"/>
        <v>4200000</v>
      </c>
      <c r="J13" s="120">
        <f t="shared" si="8"/>
        <v>5400000</v>
      </c>
      <c r="K13" s="120">
        <f t="shared" si="9"/>
        <v>4800000</v>
      </c>
      <c r="L13" s="120">
        <f t="shared" si="10"/>
        <v>4800000</v>
      </c>
      <c r="M13" s="120">
        <f t="shared" si="11"/>
        <v>6600000</v>
      </c>
      <c r="N13" s="120">
        <f t="shared" si="12"/>
        <v>7200000</v>
      </c>
      <c r="O13" s="134">
        <f t="shared" si="13"/>
        <v>6600000</v>
      </c>
      <c r="P13" s="146">
        <f>'Ppto Gral'!D43*12</f>
        <v>60000000</v>
      </c>
      <c r="Q13" s="84">
        <f>IF('Ppto Gral'!$C$1=1,P13*1.04,IF('Ppto Gral'!$C$1=2,P13*1.02,IF('Ppto Gral'!$C$1=3,P13*1.045,IF('Ppto Gral'!$C$1=4,P13*0.95))))</f>
        <v>57000000</v>
      </c>
      <c r="R13" s="84">
        <f>IF('Ppto Gral'!$C$1=1,Q13*1.04,IF('Ppto Gral'!$C$1=2,Q13*1.02,IF('Ppto Gral'!$C$1=3,Q13*1.045,IF('Ppto Gral'!$C$1=4,Q13*0.9))))</f>
        <v>51300000</v>
      </c>
      <c r="S13" s="84">
        <f>IF('Ppto Gral'!$C$1=1,R13*1.04,IF('Ppto Gral'!$C$1=2,R13*1.02,IF('Ppto Gral'!$C$1=3,R13*1.045,IF('Ppto Gral'!$C$1=4,R13*0.9))))</f>
        <v>46170000</v>
      </c>
      <c r="T13" s="143">
        <f>IF('Ppto Gral'!$C$1=1,S13*1.04,IF('Ppto Gral'!$C$1=2,S13*1.02,IF('Ppto Gral'!$C$1=3,S13*1.045,IF('Ppto Gral'!$C$1=4,S13*0.9))))</f>
        <v>41553000</v>
      </c>
      <c r="U13" s="138">
        <f t="shared" si="2"/>
        <v>0.159926715182035</v>
      </c>
      <c r="V13" s="87">
        <f t="shared" si="14"/>
        <v>0.14679263712360699</v>
      </c>
      <c r="W13" s="87">
        <f t="shared" si="15"/>
        <v>0.12694664496132058</v>
      </c>
      <c r="X13" s="87">
        <f t="shared" si="16"/>
        <v>0.10978378059497311</v>
      </c>
      <c r="Y13" s="88">
        <f t="shared" si="17"/>
        <v>9.4941291952989143E-2</v>
      </c>
    </row>
    <row r="14" spans="1:26">
      <c r="B14" s="253" t="s">
        <v>4</v>
      </c>
      <c r="C14" s="254"/>
      <c r="D14" s="133">
        <f>+$P$14*5%</f>
        <v>354028.71797760058</v>
      </c>
      <c r="E14" s="120">
        <f>+P14*6%</f>
        <v>424834.46157312061</v>
      </c>
      <c r="F14" s="120">
        <f t="shared" ref="F14:F22" si="20">+P14*7%</f>
        <v>495640.20516864082</v>
      </c>
      <c r="G14" s="120">
        <f t="shared" si="5"/>
        <v>566445.94876416086</v>
      </c>
      <c r="H14" s="120">
        <f t="shared" si="6"/>
        <v>566445.94876416086</v>
      </c>
      <c r="I14" s="120">
        <f t="shared" si="7"/>
        <v>495640.20516864082</v>
      </c>
      <c r="J14" s="120">
        <f t="shared" si="8"/>
        <v>637251.69235968101</v>
      </c>
      <c r="K14" s="120">
        <f t="shared" si="9"/>
        <v>566445.94876416086</v>
      </c>
      <c r="L14" s="120">
        <f t="shared" si="10"/>
        <v>566445.94876416086</v>
      </c>
      <c r="M14" s="120">
        <f t="shared" si="11"/>
        <v>778863.17955072119</v>
      </c>
      <c r="N14" s="120">
        <f t="shared" si="12"/>
        <v>849668.92314624123</v>
      </c>
      <c r="O14" s="134">
        <f t="shared" si="13"/>
        <v>778863.17955072119</v>
      </c>
      <c r="P14" s="144">
        <f>P11-P12-P13</f>
        <v>7080574.3595520109</v>
      </c>
      <c r="Q14" s="89">
        <f t="shared" ref="Q14" si="21">Q11-Q12-Q13</f>
        <v>12428394.462136343</v>
      </c>
      <c r="R14" s="89">
        <f t="shared" ref="R14:T14" si="22">R11-R12-R13</f>
        <v>23910711.851751074</v>
      </c>
      <c r="S14" s="89">
        <f t="shared" si="22"/>
        <v>35618929.541699737</v>
      </c>
      <c r="T14" s="145">
        <f t="shared" si="22"/>
        <v>47907731.287513047</v>
      </c>
      <c r="U14" s="139">
        <f t="shared" si="2"/>
        <v>1.8872883315421571E-2</v>
      </c>
      <c r="V14" s="90">
        <f t="shared" si="14"/>
        <v>3.2006961373849598E-2</v>
      </c>
      <c r="W14" s="90">
        <f t="shared" si="15"/>
        <v>5.9169291388239446E-2</v>
      </c>
      <c r="X14" s="90">
        <f t="shared" si="16"/>
        <v>8.46952728142467E-2</v>
      </c>
      <c r="Y14" s="91">
        <f t="shared" si="17"/>
        <v>0.10946073455522173</v>
      </c>
    </row>
    <row r="15" spans="1:26">
      <c r="B15" s="251" t="s">
        <v>7</v>
      </c>
      <c r="C15" s="252"/>
      <c r="D15" s="220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35"/>
      <c r="P15" s="147"/>
      <c r="Q15" s="93"/>
      <c r="R15" s="93"/>
      <c r="S15" s="93"/>
      <c r="T15" s="94"/>
      <c r="U15" s="130"/>
      <c r="V15" s="93"/>
      <c r="W15" s="93"/>
      <c r="X15" s="93"/>
      <c r="Y15" s="94"/>
    </row>
    <row r="16" spans="1:26">
      <c r="B16" s="245" t="s">
        <v>24</v>
      </c>
      <c r="C16" s="246"/>
      <c r="D16" s="133">
        <f>+$P$16*5%</f>
        <v>825378.04800000007</v>
      </c>
      <c r="E16" s="120">
        <f>+P16*6%</f>
        <v>990453.65760000004</v>
      </c>
      <c r="F16" s="120">
        <f t="shared" si="20"/>
        <v>1155529.2672000001</v>
      </c>
      <c r="G16" s="120">
        <f t="shared" si="5"/>
        <v>1320604.8768000002</v>
      </c>
      <c r="H16" s="120">
        <f t="shared" si="6"/>
        <v>1320604.8768000002</v>
      </c>
      <c r="I16" s="120">
        <f t="shared" si="7"/>
        <v>1155529.2672000001</v>
      </c>
      <c r="J16" s="120">
        <f t="shared" si="8"/>
        <v>1485680.4864000001</v>
      </c>
      <c r="K16" s="120">
        <f t="shared" si="9"/>
        <v>1320604.8768000002</v>
      </c>
      <c r="L16" s="120">
        <f t="shared" si="10"/>
        <v>1320604.8768000002</v>
      </c>
      <c r="M16" s="120">
        <f t="shared" si="11"/>
        <v>1815831.7056000002</v>
      </c>
      <c r="N16" s="120">
        <f t="shared" si="12"/>
        <v>1980907.3152000001</v>
      </c>
      <c r="O16" s="134">
        <f t="shared" si="13"/>
        <v>1815831.7056000002</v>
      </c>
      <c r="P16" s="148">
        <f>'Ppto Gral'!E13*12</f>
        <v>16507560.960000001</v>
      </c>
      <c r="Q16" s="84">
        <f>IF('Ppto Gral'!$C$1=1,P16*1.035,IF('Ppto Gral'!$C$1=2,P16*1.02,IF('Ppto Gral'!$C$1=3,P16*1.045,IF('Ppto Gral'!$C$1=4,P16*1.035))))</f>
        <v>17085325.593600001</v>
      </c>
      <c r="R16" s="84">
        <f>IF('Ppto Gral'!$C$1=1,Q16*1.035,IF('Ppto Gral'!$C$1=2,Q16*1.02,IF('Ppto Gral'!$C$1=3,Q16*1.045,IF('Ppto Gral'!$C$1=4,Q16*1.0407))))</f>
        <v>17780698.345259521</v>
      </c>
      <c r="S16" s="84">
        <f>IF('Ppto Gral'!$C$1=1,R16*1.035,IF('Ppto Gral'!$C$1=2,R16*1.02,IF('Ppto Gral'!$C$1=3,R16*1.045,IF('Ppto Gral'!$C$1=4,R16*1.0407))))</f>
        <v>18504372.767911583</v>
      </c>
      <c r="T16" s="143">
        <f>IF('Ppto Gral'!$C$1=1,S16*1.035,IF('Ppto Gral'!$C$1=2,S16*1.02,IF('Ppto Gral'!$C$1=3,S16*1.045,IF('Ppto Gral'!$C$1=4,S16*1.0407))))</f>
        <v>19257500.739565585</v>
      </c>
      <c r="U16" s="206">
        <v>0</v>
      </c>
      <c r="V16" s="207">
        <v>0</v>
      </c>
      <c r="W16" s="207">
        <v>0</v>
      </c>
      <c r="X16" s="207">
        <v>0</v>
      </c>
      <c r="Y16" s="208">
        <v>0</v>
      </c>
    </row>
    <row r="17" spans="2:25">
      <c r="B17" s="245" t="s">
        <v>31</v>
      </c>
      <c r="C17" s="246"/>
      <c r="D17" s="133">
        <f>+$P$17*5%</f>
        <v>185891.66666666666</v>
      </c>
      <c r="E17" s="120">
        <f>+P17*6%</f>
        <v>223069.99999999997</v>
      </c>
      <c r="F17" s="120">
        <f t="shared" si="20"/>
        <v>260248.33333333334</v>
      </c>
      <c r="G17" s="120">
        <f t="shared" si="5"/>
        <v>297426.66666666663</v>
      </c>
      <c r="H17" s="120">
        <f t="shared" si="6"/>
        <v>297426.66666666663</v>
      </c>
      <c r="I17" s="120">
        <f t="shared" si="7"/>
        <v>260248.33333333334</v>
      </c>
      <c r="J17" s="120">
        <f t="shared" si="8"/>
        <v>334604.99999999994</v>
      </c>
      <c r="K17" s="120">
        <f t="shared" si="9"/>
        <v>297426.66666666663</v>
      </c>
      <c r="L17" s="120">
        <f t="shared" si="10"/>
        <v>297426.66666666663</v>
      </c>
      <c r="M17" s="120">
        <f t="shared" si="11"/>
        <v>408961.66666666663</v>
      </c>
      <c r="N17" s="120">
        <f t="shared" si="12"/>
        <v>446139.99999999994</v>
      </c>
      <c r="O17" s="134">
        <f t="shared" si="13"/>
        <v>408961.66666666663</v>
      </c>
      <c r="P17" s="146">
        <f>P26+P27</f>
        <v>3717833.333333333</v>
      </c>
      <c r="Q17" s="92">
        <f t="shared" ref="Q17:T17" si="23">Q26+Q27</f>
        <v>3717833.333333333</v>
      </c>
      <c r="R17" s="92">
        <f t="shared" si="23"/>
        <v>3717833.333333333</v>
      </c>
      <c r="S17" s="92">
        <f t="shared" si="23"/>
        <v>1051166.6666666667</v>
      </c>
      <c r="T17" s="149">
        <f t="shared" si="23"/>
        <v>1051166.6666666667</v>
      </c>
      <c r="U17" s="138">
        <f t="shared" ref="U17:U22" si="24">P17/P$9</f>
        <v>9.9096812099045955E-3</v>
      </c>
      <c r="V17" s="87">
        <f t="shared" si="14"/>
        <v>9.5745712172991253E-3</v>
      </c>
      <c r="W17" s="87">
        <f t="shared" si="15"/>
        <v>9.2001260856146121E-3</v>
      </c>
      <c r="X17" s="87">
        <f t="shared" si="16"/>
        <v>2.4994812800970883E-3</v>
      </c>
      <c r="Y17" s="88">
        <f t="shared" si="17"/>
        <v>2.4017308351081852E-3</v>
      </c>
    </row>
    <row r="18" spans="2:25">
      <c r="B18" s="245" t="s">
        <v>25</v>
      </c>
      <c r="C18" s="246"/>
      <c r="D18" s="133">
        <f>+$P$18*5%</f>
        <v>809928.5786527833</v>
      </c>
      <c r="E18" s="120">
        <f>+P18*6%</f>
        <v>971914.29438333982</v>
      </c>
      <c r="F18" s="120">
        <f t="shared" si="20"/>
        <v>1133900.0101138966</v>
      </c>
      <c r="G18" s="120">
        <f t="shared" si="5"/>
        <v>1295885.7258444531</v>
      </c>
      <c r="H18" s="120">
        <f t="shared" si="6"/>
        <v>1295885.7258444531</v>
      </c>
      <c r="I18" s="120">
        <f t="shared" si="7"/>
        <v>1133900.0101138966</v>
      </c>
      <c r="J18" s="120">
        <f t="shared" si="8"/>
        <v>1457871.4415750096</v>
      </c>
      <c r="K18" s="120">
        <f t="shared" si="9"/>
        <v>1295885.7258444531</v>
      </c>
      <c r="L18" s="120">
        <f t="shared" si="10"/>
        <v>1295885.7258444531</v>
      </c>
      <c r="M18" s="120">
        <f t="shared" si="11"/>
        <v>1781842.8730361231</v>
      </c>
      <c r="N18" s="120">
        <f t="shared" si="12"/>
        <v>1943828.5887666796</v>
      </c>
      <c r="O18" s="134">
        <f t="shared" si="13"/>
        <v>1781842.8730361231</v>
      </c>
      <c r="P18" s="146">
        <f>('Ppto Gral'!D44*12)+SUM('Detalle escenarios'!P7:P18)</f>
        <v>16198571.573055664</v>
      </c>
      <c r="Q18" s="84">
        <f>IF('Ppto Gral'!$C$1=1,P18*1.035,IF('Ppto Gral'!$C$1=2,P18*1.02,IF('Ppto Gral'!$C$1=3,P18*1.045,IF('Ppto Gral'!$C$1=4,'Ppto Gral'!$D$44*12*1.035+SUM('Detalle escenarios'!$P19:$P30)))))</f>
        <v>14240858.810247412</v>
      </c>
      <c r="R18" s="84">
        <f>IF('Ppto Gral'!$C$1=1,Q18*1.035,IF('Ppto Gral'!$C$1=2,Q18*1.02,IF('Ppto Gral'!$C$1=3,Q18*1.045,IF('Ppto Gral'!$C$1=4,'Ppto Gral'!$D$44*12*1.035+SUM('Detalle escenarios'!$P31:$P42)))))</f>
        <v>11677419.590879742</v>
      </c>
      <c r="S18" s="84">
        <f>IF('Ppto Gral'!$C$1=1,R18*1.035,IF('Ppto Gral'!$C$1=2,R18*1.02,IF('Ppto Gral'!$C$1=3,R18*1.045,IF('Ppto Gral'!$C$1=4,'Ppto Gral'!$D$44*12*1.035+SUM('Detalle escenarios'!$P43:$P54)))))</f>
        <v>8410316.3057956453</v>
      </c>
      <c r="T18" s="143">
        <f>IF('Ppto Gral'!$C$1=1,S18*1.035,IF('Ppto Gral'!$C$1=2,S18*1.02,IF('Ppto Gral'!$C$1=3,S18*1.045,IF('Ppto Gral'!$C$1=4,'Ppto Gral'!$D$44*12*1.035+SUM('Detalle escenarios'!$P55:$P66)))))</f>
        <v>4246393.1689559687</v>
      </c>
      <c r="U18" s="138">
        <f t="shared" si="24"/>
        <v>4.3176405705331357E-2</v>
      </c>
      <c r="V18" s="87">
        <f t="shared" si="14"/>
        <v>3.6674617888792456E-2</v>
      </c>
      <c r="W18" s="87">
        <f t="shared" si="15"/>
        <v>2.8896866254732551E-2</v>
      </c>
      <c r="X18" s="87">
        <f t="shared" si="16"/>
        <v>1.9998187568763134E-2</v>
      </c>
      <c r="Y18" s="88">
        <f t="shared" si="17"/>
        <v>9.7022610545815548E-3</v>
      </c>
    </row>
    <row r="19" spans="2:25">
      <c r="B19" s="251" t="s">
        <v>8</v>
      </c>
      <c r="C19" s="252"/>
      <c r="D19" s="220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35"/>
      <c r="P19" s="147"/>
      <c r="Q19" s="93"/>
      <c r="R19" s="93"/>
      <c r="S19" s="93"/>
      <c r="T19" s="94"/>
      <c r="U19" s="140"/>
      <c r="V19" s="95"/>
      <c r="W19" s="95"/>
      <c r="X19" s="95"/>
      <c r="Y19" s="96"/>
    </row>
    <row r="20" spans="2:25">
      <c r="B20" s="253" t="s">
        <v>5</v>
      </c>
      <c r="C20" s="254"/>
      <c r="D20" s="133">
        <f>+$P$20*5%</f>
        <v>183586.52065815078</v>
      </c>
      <c r="E20" s="120">
        <f>+P20*6%</f>
        <v>220303.82478978092</v>
      </c>
      <c r="F20" s="120">
        <f t="shared" si="20"/>
        <v>257021.12892141112</v>
      </c>
      <c r="G20" s="120">
        <f t="shared" si="5"/>
        <v>293738.43305304128</v>
      </c>
      <c r="H20" s="120">
        <f t="shared" si="6"/>
        <v>293738.43305304128</v>
      </c>
      <c r="I20" s="120">
        <f t="shared" si="7"/>
        <v>257021.12892141112</v>
      </c>
      <c r="J20" s="120">
        <f t="shared" si="8"/>
        <v>330455.73718467139</v>
      </c>
      <c r="K20" s="120">
        <f t="shared" si="9"/>
        <v>293738.43305304128</v>
      </c>
      <c r="L20" s="120">
        <f t="shared" si="10"/>
        <v>293738.43305304128</v>
      </c>
      <c r="M20" s="120">
        <f t="shared" si="11"/>
        <v>403890.34544793173</v>
      </c>
      <c r="N20" s="120">
        <f t="shared" si="12"/>
        <v>440607.64957956184</v>
      </c>
      <c r="O20" s="134">
        <f t="shared" si="13"/>
        <v>403890.34544793173</v>
      </c>
      <c r="P20" s="144">
        <f t="shared" ref="P20:Q20" si="25">P14+P16-P17-P18</f>
        <v>3671730.4131630156</v>
      </c>
      <c r="Q20" s="89">
        <f t="shared" si="25"/>
        <v>11555027.9121556</v>
      </c>
      <c r="R20" s="89">
        <f t="shared" ref="R20:T20" si="26">R14+R16-R17-R18</f>
        <v>26296157.272797514</v>
      </c>
      <c r="S20" s="89">
        <f t="shared" si="26"/>
        <v>44661819.337149009</v>
      </c>
      <c r="T20" s="145">
        <f t="shared" si="26"/>
        <v>61867672.191455998</v>
      </c>
      <c r="U20" s="139">
        <f t="shared" si="24"/>
        <v>9.7867964001856211E-3</v>
      </c>
      <c r="V20" s="90">
        <f t="shared" si="14"/>
        <v>2.9757772267758022E-2</v>
      </c>
      <c r="W20" s="90">
        <f t="shared" si="15"/>
        <v>6.5072299047892274E-2</v>
      </c>
      <c r="X20" s="90">
        <f t="shared" si="16"/>
        <v>0.10619760396538648</v>
      </c>
      <c r="Y20" s="91">
        <f t="shared" si="17"/>
        <v>0.141356742665532</v>
      </c>
    </row>
    <row r="21" spans="2:25">
      <c r="B21" s="245" t="s">
        <v>26</v>
      </c>
      <c r="C21" s="246"/>
      <c r="D21" s="133">
        <f>+$P$21*5%</f>
        <v>58747.68661060826</v>
      </c>
      <c r="E21" s="120">
        <f>+P21*6%</f>
        <v>70497.223932729903</v>
      </c>
      <c r="F21" s="120">
        <f t="shared" si="20"/>
        <v>82246.761254851561</v>
      </c>
      <c r="G21" s="120">
        <f t="shared" si="5"/>
        <v>93996.298576973219</v>
      </c>
      <c r="H21" s="120">
        <f t="shared" si="6"/>
        <v>93996.298576973219</v>
      </c>
      <c r="I21" s="120">
        <f t="shared" si="7"/>
        <v>82246.761254851561</v>
      </c>
      <c r="J21" s="120">
        <f t="shared" si="8"/>
        <v>105745.83589909486</v>
      </c>
      <c r="K21" s="120">
        <f t="shared" si="9"/>
        <v>93996.298576973219</v>
      </c>
      <c r="L21" s="120">
        <f t="shared" si="10"/>
        <v>93996.298576973219</v>
      </c>
      <c r="M21" s="120">
        <f t="shared" si="11"/>
        <v>129244.91054333816</v>
      </c>
      <c r="N21" s="120">
        <f t="shared" si="12"/>
        <v>140994.44786545981</v>
      </c>
      <c r="O21" s="134">
        <f t="shared" si="13"/>
        <v>129244.91054333816</v>
      </c>
      <c r="P21" s="150">
        <f>P20*32%</f>
        <v>1174953.7322121651</v>
      </c>
      <c r="Q21" s="97">
        <f t="shared" ref="Q21:T21" si="27">Q20*32%</f>
        <v>3697608.931889792</v>
      </c>
      <c r="R21" s="97">
        <f t="shared" si="27"/>
        <v>8414770.3272952046</v>
      </c>
      <c r="S21" s="97">
        <f t="shared" si="27"/>
        <v>14291782.187887684</v>
      </c>
      <c r="T21" s="151">
        <f t="shared" si="27"/>
        <v>19797655.101265918</v>
      </c>
      <c r="U21" s="138">
        <f t="shared" si="24"/>
        <v>3.1317748480593991E-3</v>
      </c>
      <c r="V21" s="87">
        <f t="shared" si="14"/>
        <v>9.5224871256825664E-3</v>
      </c>
      <c r="W21" s="87">
        <f t="shared" si="15"/>
        <v>2.0823135695325529E-2</v>
      </c>
      <c r="X21" s="87">
        <f t="shared" si="16"/>
        <v>3.3983233268923677E-2</v>
      </c>
      <c r="Y21" s="88">
        <f t="shared" si="17"/>
        <v>4.5234157652970237E-2</v>
      </c>
    </row>
    <row r="22" spans="2:25" ht="13.5" thickBot="1">
      <c r="B22" s="247" t="s">
        <v>27</v>
      </c>
      <c r="C22" s="248"/>
      <c r="D22" s="136">
        <f>+$P$22*5%</f>
        <v>124838.83404754252</v>
      </c>
      <c r="E22" s="121">
        <f>+P22*6%</f>
        <v>149806.600857051</v>
      </c>
      <c r="F22" s="121">
        <f t="shared" si="20"/>
        <v>174774.36766655953</v>
      </c>
      <c r="G22" s="121">
        <f t="shared" si="5"/>
        <v>199742.13447606802</v>
      </c>
      <c r="H22" s="121">
        <f t="shared" si="6"/>
        <v>199742.13447606802</v>
      </c>
      <c r="I22" s="121">
        <f t="shared" si="7"/>
        <v>174774.36766655953</v>
      </c>
      <c r="J22" s="121">
        <f t="shared" si="8"/>
        <v>224709.90128557652</v>
      </c>
      <c r="K22" s="121">
        <f t="shared" si="9"/>
        <v>199742.13447606802</v>
      </c>
      <c r="L22" s="121">
        <f t="shared" si="10"/>
        <v>199742.13447606802</v>
      </c>
      <c r="M22" s="121">
        <f t="shared" si="11"/>
        <v>274645.43490459351</v>
      </c>
      <c r="N22" s="121">
        <f t="shared" si="12"/>
        <v>299613.201714102</v>
      </c>
      <c r="O22" s="137">
        <f t="shared" si="13"/>
        <v>274645.43490459351</v>
      </c>
      <c r="P22" s="152">
        <f t="shared" ref="P22:Q22" si="28">P20-P21</f>
        <v>2496776.6809508502</v>
      </c>
      <c r="Q22" s="98">
        <f t="shared" si="28"/>
        <v>7857418.9802658083</v>
      </c>
      <c r="R22" s="98">
        <f t="shared" ref="R22:T22" si="29">R20-R21</f>
        <v>17881386.945502311</v>
      </c>
      <c r="S22" s="98">
        <f t="shared" si="29"/>
        <v>30370037.149261326</v>
      </c>
      <c r="T22" s="153">
        <f t="shared" si="29"/>
        <v>42070017.090190083</v>
      </c>
      <c r="U22" s="141">
        <f t="shared" si="24"/>
        <v>6.6550215521262212E-3</v>
      </c>
      <c r="V22" s="99">
        <f t="shared" si="14"/>
        <v>2.0235285142075454E-2</v>
      </c>
      <c r="W22" s="99">
        <f t="shared" si="15"/>
        <v>4.4249163352566748E-2</v>
      </c>
      <c r="X22" s="99">
        <f t="shared" si="16"/>
        <v>7.2214370696462804E-2</v>
      </c>
      <c r="Y22" s="100">
        <f t="shared" si="17"/>
        <v>9.6122585012561781E-2</v>
      </c>
    </row>
    <row r="23" spans="2:25">
      <c r="B23" s="115" t="s">
        <v>255</v>
      </c>
      <c r="C23" s="115"/>
      <c r="D23" s="116">
        <f>+D22-Balance!D53</f>
        <v>0</v>
      </c>
      <c r="E23" s="116">
        <f>+E22-Balance!E53</f>
        <v>-124838.83404754251</v>
      </c>
      <c r="F23" s="116">
        <f>+F22-Balance!F53</f>
        <v>-274645.43490459351</v>
      </c>
      <c r="G23" s="116">
        <f>+G22-Balance!G53</f>
        <v>-449419.80257115298</v>
      </c>
      <c r="H23" s="116">
        <f>+H22-Balance!H53</f>
        <v>-649161.937047221</v>
      </c>
      <c r="I23" s="116">
        <f>+I22-Balance!I53</f>
        <v>-848904.07152328896</v>
      </c>
      <c r="J23" s="116">
        <f>+J22-Balance!J53</f>
        <v>-1023678.4391898486</v>
      </c>
      <c r="K23" s="116">
        <f>+K22-Balance!K53</f>
        <v>-1248388.3404754251</v>
      </c>
      <c r="L23" s="116">
        <f>+L22-Balance!L53</f>
        <v>-1448130.4749514931</v>
      </c>
      <c r="M23" s="116">
        <f>+M22-Balance!M53</f>
        <v>-1647872.6094275611</v>
      </c>
      <c r="N23" s="116">
        <f>+N22-Balance!N53</f>
        <v>-1922518.0443321548</v>
      </c>
      <c r="O23" s="116">
        <f>+O22-Balance!O53</f>
        <v>-2222131.2460462567</v>
      </c>
      <c r="P23" s="116">
        <f>+P22-Balance!P53</f>
        <v>0</v>
      </c>
      <c r="Q23" s="116">
        <f>+Q22-Balance!Q53</f>
        <v>0</v>
      </c>
      <c r="R23" s="116">
        <f>+R22-Balance!R53</f>
        <v>0</v>
      </c>
      <c r="S23" s="116">
        <f>+S22-Balance!S53</f>
        <v>0</v>
      </c>
      <c r="T23" s="116">
        <f>+T22-Balance!T53</f>
        <v>0</v>
      </c>
    </row>
    <row r="24" spans="2:25" ht="13.5" thickBot="1">
      <c r="P24" s="101"/>
      <c r="T24" s="102"/>
    </row>
    <row r="25" spans="2:25" ht="13.5" thickBot="1">
      <c r="B25" s="103" t="s">
        <v>28</v>
      </c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28">
        <f t="shared" ref="P25:T25" si="30">P7</f>
        <v>2022</v>
      </c>
      <c r="Q25" s="128">
        <f t="shared" si="30"/>
        <v>2023</v>
      </c>
      <c r="R25" s="128">
        <f t="shared" si="30"/>
        <v>2024</v>
      </c>
      <c r="S25" s="128">
        <f t="shared" si="30"/>
        <v>2025</v>
      </c>
      <c r="T25" s="129">
        <f t="shared" si="30"/>
        <v>2026</v>
      </c>
    </row>
    <row r="26" spans="2:25">
      <c r="B26" s="105" t="s">
        <v>29</v>
      </c>
      <c r="C26" s="106"/>
      <c r="D26" s="122">
        <f>+$P$26*8.33333%</f>
        <v>222222.13333333333</v>
      </c>
      <c r="E26" s="122">
        <f t="shared" ref="E26:O26" si="31">+$P$26*8.33333%</f>
        <v>222222.13333333333</v>
      </c>
      <c r="F26" s="122">
        <f t="shared" si="31"/>
        <v>222222.13333333333</v>
      </c>
      <c r="G26" s="122">
        <f t="shared" si="31"/>
        <v>222222.13333333333</v>
      </c>
      <c r="H26" s="122">
        <f t="shared" si="31"/>
        <v>222222.13333333333</v>
      </c>
      <c r="I26" s="122">
        <f t="shared" si="31"/>
        <v>222222.13333333333</v>
      </c>
      <c r="J26" s="122">
        <f t="shared" si="31"/>
        <v>222222.13333333333</v>
      </c>
      <c r="K26" s="122">
        <f t="shared" si="31"/>
        <v>222222.13333333333</v>
      </c>
      <c r="L26" s="122">
        <f t="shared" si="31"/>
        <v>222222.13333333333</v>
      </c>
      <c r="M26" s="122">
        <f t="shared" si="31"/>
        <v>222222.13333333333</v>
      </c>
      <c r="N26" s="122">
        <f t="shared" si="31"/>
        <v>222222.13333333333</v>
      </c>
      <c r="O26" s="123">
        <f t="shared" si="31"/>
        <v>222222.13333333333</v>
      </c>
      <c r="P26" s="126">
        <f>+'Ppto Aplic'!$O$27/'DATOS GENERALES'!$B$24*12</f>
        <v>2666666.6666666665</v>
      </c>
      <c r="Q26" s="107">
        <f>+'Ppto Aplic'!$O$27/'DATOS GENERALES'!$B$24*12</f>
        <v>2666666.6666666665</v>
      </c>
      <c r="R26" s="107">
        <f>+'Ppto Aplic'!$O$27/'DATOS GENERALES'!$B$24*12</f>
        <v>2666666.6666666665</v>
      </c>
      <c r="S26" s="107">
        <v>0</v>
      </c>
      <c r="T26" s="108">
        <v>0</v>
      </c>
    </row>
    <row r="27" spans="2:25" ht="13.5" thickBot="1">
      <c r="B27" s="109" t="s">
        <v>30</v>
      </c>
      <c r="C27" s="110"/>
      <c r="D27" s="124">
        <f>+$P$27*8.33333%</f>
        <v>87597.187183333343</v>
      </c>
      <c r="E27" s="124">
        <f t="shared" ref="E27:O27" si="32">+$P$27*8.33333%</f>
        <v>87597.187183333343</v>
      </c>
      <c r="F27" s="124">
        <f t="shared" si="32"/>
        <v>87597.187183333343</v>
      </c>
      <c r="G27" s="124">
        <f t="shared" si="32"/>
        <v>87597.187183333343</v>
      </c>
      <c r="H27" s="124">
        <f t="shared" si="32"/>
        <v>87597.187183333343</v>
      </c>
      <c r="I27" s="124">
        <f t="shared" si="32"/>
        <v>87597.187183333343</v>
      </c>
      <c r="J27" s="124">
        <f t="shared" si="32"/>
        <v>87597.187183333343</v>
      </c>
      <c r="K27" s="124">
        <f t="shared" si="32"/>
        <v>87597.187183333343</v>
      </c>
      <c r="L27" s="124">
        <f t="shared" si="32"/>
        <v>87597.187183333343</v>
      </c>
      <c r="M27" s="124">
        <f t="shared" si="32"/>
        <v>87597.187183333343</v>
      </c>
      <c r="N27" s="124">
        <f t="shared" si="32"/>
        <v>87597.187183333343</v>
      </c>
      <c r="O27" s="125">
        <f t="shared" si="32"/>
        <v>87597.187183333343</v>
      </c>
      <c r="P27" s="127">
        <f>+'Ppto Aplic'!$G$27/'DATOS GENERALES'!$B$23</f>
        <v>1051166.6666666667</v>
      </c>
      <c r="Q27" s="111">
        <f>+'Ppto Aplic'!$G$27/'DATOS GENERALES'!$B$23</f>
        <v>1051166.6666666667</v>
      </c>
      <c r="R27" s="111">
        <f>+'Ppto Aplic'!$G$27/'DATOS GENERALES'!$B$23</f>
        <v>1051166.6666666667</v>
      </c>
      <c r="S27" s="111">
        <f>+'Ppto Aplic'!$G$27/'DATOS GENERALES'!$B$23</f>
        <v>1051166.6666666667</v>
      </c>
      <c r="T27" s="112">
        <f>+'Ppto Aplic'!$G$27/'DATOS GENERALES'!$B$23</f>
        <v>1051166.6666666667</v>
      </c>
    </row>
    <row r="28" spans="2:25" ht="13.5" thickBot="1"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78"/>
      <c r="Q28" s="78"/>
      <c r="R28" s="78"/>
      <c r="S28" s="78"/>
      <c r="T28" s="78"/>
    </row>
    <row r="29" spans="2:25">
      <c r="B29" s="174" t="s">
        <v>155</v>
      </c>
      <c r="C29" s="175"/>
      <c r="D29" s="219" t="s">
        <v>256</v>
      </c>
      <c r="E29" s="117" t="s">
        <v>257</v>
      </c>
      <c r="F29" s="117" t="s">
        <v>258</v>
      </c>
      <c r="G29" s="117" t="s">
        <v>259</v>
      </c>
      <c r="H29" s="117" t="s">
        <v>260</v>
      </c>
      <c r="I29" s="117" t="s">
        <v>261</v>
      </c>
      <c r="J29" s="117" t="s">
        <v>262</v>
      </c>
      <c r="K29" s="117" t="s">
        <v>263</v>
      </c>
      <c r="L29" s="117" t="s">
        <v>264</v>
      </c>
      <c r="M29" s="117" t="s">
        <v>265</v>
      </c>
      <c r="N29" s="117" t="s">
        <v>266</v>
      </c>
      <c r="O29" s="171" t="s">
        <v>267</v>
      </c>
      <c r="P29" s="181">
        <f>+P25</f>
        <v>2022</v>
      </c>
      <c r="Q29" s="157">
        <f t="shared" ref="Q29:T29" si="33">+Q25</f>
        <v>2023</v>
      </c>
      <c r="R29" s="157">
        <f t="shared" si="33"/>
        <v>2024</v>
      </c>
      <c r="S29" s="157">
        <f t="shared" si="33"/>
        <v>2025</v>
      </c>
      <c r="T29" s="158">
        <f t="shared" si="33"/>
        <v>2026</v>
      </c>
    </row>
    <row r="30" spans="2:25">
      <c r="B30" s="176" t="s">
        <v>244</v>
      </c>
      <c r="C30" s="160"/>
      <c r="D30" s="159">
        <f t="shared" ref="D30:O30" si="34">+(D9-D10)/D9</f>
        <v>0.413345897176078</v>
      </c>
      <c r="E30" s="79">
        <f t="shared" si="34"/>
        <v>0.413345897176078</v>
      </c>
      <c r="F30" s="79">
        <f t="shared" si="34"/>
        <v>0.41334589717607806</v>
      </c>
      <c r="G30" s="79">
        <f t="shared" si="34"/>
        <v>0.413345897176078</v>
      </c>
      <c r="H30" s="79">
        <f t="shared" si="34"/>
        <v>0.413345897176078</v>
      </c>
      <c r="I30" s="79">
        <f t="shared" si="34"/>
        <v>0.41334589717607806</v>
      </c>
      <c r="J30" s="79">
        <f t="shared" si="34"/>
        <v>0.41334589717607806</v>
      </c>
      <c r="K30" s="79">
        <f t="shared" si="34"/>
        <v>0.413345897176078</v>
      </c>
      <c r="L30" s="79">
        <f t="shared" si="34"/>
        <v>0.413345897176078</v>
      </c>
      <c r="M30" s="79">
        <f t="shared" si="34"/>
        <v>0.413345897176078</v>
      </c>
      <c r="N30" s="79">
        <f t="shared" si="34"/>
        <v>0.413345897176078</v>
      </c>
      <c r="O30" s="160">
        <f t="shared" si="34"/>
        <v>0.413345897176078</v>
      </c>
      <c r="P30" s="182">
        <f>+(P9-P10)/P9</f>
        <v>0.41334589717607806</v>
      </c>
      <c r="Q30" s="79">
        <f t="shared" ref="Q30:T30" si="35">+(Q9-Q10)/Q9</f>
        <v>0.41334589717607811</v>
      </c>
      <c r="R30" s="79">
        <f t="shared" si="35"/>
        <v>0.41937760554565229</v>
      </c>
      <c r="S30" s="79">
        <f t="shared" si="35"/>
        <v>0.42646312914473966</v>
      </c>
      <c r="T30" s="160">
        <f t="shared" si="35"/>
        <v>0.43511550626824069</v>
      </c>
    </row>
    <row r="31" spans="2:25">
      <c r="B31" s="176" t="s">
        <v>245</v>
      </c>
      <c r="C31" s="162"/>
      <c r="D31" s="161">
        <f t="shared" ref="D31:O31" si="36">+D9*D30</f>
        <v>7753787.0399999991</v>
      </c>
      <c r="E31" s="80">
        <f t="shared" si="36"/>
        <v>9304544.4479999989</v>
      </c>
      <c r="F31" s="80">
        <f t="shared" si="36"/>
        <v>10855301.856000001</v>
      </c>
      <c r="G31" s="80">
        <f t="shared" si="36"/>
        <v>12406059.263999999</v>
      </c>
      <c r="H31" s="80">
        <f t="shared" si="36"/>
        <v>12406059.263999999</v>
      </c>
      <c r="I31" s="80">
        <f t="shared" si="36"/>
        <v>10855301.856000001</v>
      </c>
      <c r="J31" s="80">
        <f t="shared" si="36"/>
        <v>13956816.672000002</v>
      </c>
      <c r="K31" s="80">
        <f t="shared" si="36"/>
        <v>12406059.263999999</v>
      </c>
      <c r="L31" s="80">
        <f t="shared" si="36"/>
        <v>12406059.263999999</v>
      </c>
      <c r="M31" s="80">
        <f t="shared" si="36"/>
        <v>17058331.487999998</v>
      </c>
      <c r="N31" s="80">
        <f t="shared" si="36"/>
        <v>18609088.895999998</v>
      </c>
      <c r="O31" s="162">
        <f t="shared" si="36"/>
        <v>17058331.487999998</v>
      </c>
      <c r="P31" s="183">
        <f>+P9*P30</f>
        <v>155075740.80000001</v>
      </c>
      <c r="Q31" s="80">
        <f t="shared" ref="Q31:T31" si="37">+Q9*Q30</f>
        <v>160503391.72800002</v>
      </c>
      <c r="R31" s="80">
        <f t="shared" si="37"/>
        <v>169473334.02191997</v>
      </c>
      <c r="S31" s="80">
        <f t="shared" si="37"/>
        <v>179350743.48782453</v>
      </c>
      <c r="T31" s="162">
        <f t="shared" si="37"/>
        <v>190437208.7217522</v>
      </c>
    </row>
    <row r="32" spans="2:25">
      <c r="B32" s="177" t="s">
        <v>246</v>
      </c>
      <c r="C32" s="164"/>
      <c r="D32" s="163">
        <f>+D22/D9</f>
        <v>6.6550215521262212E-3</v>
      </c>
      <c r="E32" s="82">
        <f t="shared" ref="E32:O32" si="38">+E22/E9</f>
        <v>6.6550215521262212E-3</v>
      </c>
      <c r="F32" s="82">
        <f t="shared" si="38"/>
        <v>6.6550215521262212E-3</v>
      </c>
      <c r="G32" s="82">
        <f t="shared" si="38"/>
        <v>6.6550215521262212E-3</v>
      </c>
      <c r="H32" s="82">
        <f t="shared" si="38"/>
        <v>6.6550215521262212E-3</v>
      </c>
      <c r="I32" s="82">
        <f t="shared" si="38"/>
        <v>6.6550215521262212E-3</v>
      </c>
      <c r="J32" s="82">
        <f t="shared" si="38"/>
        <v>6.6550215521262203E-3</v>
      </c>
      <c r="K32" s="82">
        <f t="shared" si="38"/>
        <v>6.6550215521262212E-3</v>
      </c>
      <c r="L32" s="82">
        <f t="shared" si="38"/>
        <v>6.6550215521262212E-3</v>
      </c>
      <c r="M32" s="82">
        <f t="shared" si="38"/>
        <v>6.6550215521262212E-3</v>
      </c>
      <c r="N32" s="82">
        <f t="shared" si="38"/>
        <v>6.6550215521262212E-3</v>
      </c>
      <c r="O32" s="164">
        <f t="shared" si="38"/>
        <v>6.6550215521262212E-3</v>
      </c>
      <c r="P32" s="184">
        <f>+P22/P9</f>
        <v>6.6550215521262212E-3</v>
      </c>
      <c r="Q32" s="82">
        <f t="shared" ref="Q32:T32" si="39">+Q22/Q9</f>
        <v>2.0235285142075454E-2</v>
      </c>
      <c r="R32" s="82">
        <f t="shared" si="39"/>
        <v>4.4249163352566748E-2</v>
      </c>
      <c r="S32" s="82">
        <f t="shared" si="39"/>
        <v>7.2214370696462804E-2</v>
      </c>
      <c r="T32" s="164">
        <f t="shared" si="39"/>
        <v>9.6122585012561781E-2</v>
      </c>
    </row>
    <row r="33" spans="2:20" ht="13.5" thickBot="1">
      <c r="B33" s="177" t="s">
        <v>247</v>
      </c>
      <c r="C33" s="166"/>
      <c r="D33" s="165">
        <f>+D9*D32</f>
        <v>124838.83404754252</v>
      </c>
      <c r="E33" s="81">
        <f t="shared" ref="E33:O33" si="40">+E9*E32</f>
        <v>149806.600857051</v>
      </c>
      <c r="F33" s="81">
        <f t="shared" si="40"/>
        <v>174774.36766655953</v>
      </c>
      <c r="G33" s="81">
        <f t="shared" si="40"/>
        <v>199742.13447606802</v>
      </c>
      <c r="H33" s="81">
        <f t="shared" si="40"/>
        <v>199742.13447606802</v>
      </c>
      <c r="I33" s="81">
        <f t="shared" si="40"/>
        <v>174774.36766655953</v>
      </c>
      <c r="J33" s="81">
        <f t="shared" si="40"/>
        <v>224709.90128557652</v>
      </c>
      <c r="K33" s="81">
        <f t="shared" si="40"/>
        <v>199742.13447606802</v>
      </c>
      <c r="L33" s="81">
        <f t="shared" si="40"/>
        <v>199742.13447606802</v>
      </c>
      <c r="M33" s="81">
        <f t="shared" si="40"/>
        <v>274645.43490459351</v>
      </c>
      <c r="N33" s="81">
        <f t="shared" si="40"/>
        <v>299613.201714102</v>
      </c>
      <c r="O33" s="166">
        <f t="shared" si="40"/>
        <v>274645.43490459351</v>
      </c>
      <c r="P33" s="185">
        <f>+P9*P32</f>
        <v>2496776.6809508502</v>
      </c>
      <c r="Q33" s="81">
        <f t="shared" ref="Q33:T33" si="41">+Q9*Q32</f>
        <v>7857418.9802658083</v>
      </c>
      <c r="R33" s="81">
        <f t="shared" si="41"/>
        <v>17881386.945502311</v>
      </c>
      <c r="S33" s="81">
        <f t="shared" si="41"/>
        <v>30370037.149261326</v>
      </c>
      <c r="T33" s="166">
        <f t="shared" si="41"/>
        <v>42070017.090190083</v>
      </c>
    </row>
    <row r="34" spans="2:20">
      <c r="B34" s="178" t="s">
        <v>248</v>
      </c>
      <c r="C34" s="166"/>
      <c r="D34" s="165">
        <f t="shared" ref="D34:O34" si="42">+D22</f>
        <v>124838.83404754252</v>
      </c>
      <c r="E34" s="81">
        <f t="shared" si="42"/>
        <v>149806.600857051</v>
      </c>
      <c r="F34" s="81">
        <f t="shared" si="42"/>
        <v>174774.36766655953</v>
      </c>
      <c r="G34" s="81">
        <f t="shared" si="42"/>
        <v>199742.13447606802</v>
      </c>
      <c r="H34" s="81">
        <f t="shared" si="42"/>
        <v>199742.13447606802</v>
      </c>
      <c r="I34" s="81">
        <f t="shared" si="42"/>
        <v>174774.36766655953</v>
      </c>
      <c r="J34" s="81">
        <f t="shared" si="42"/>
        <v>224709.90128557652</v>
      </c>
      <c r="K34" s="81">
        <f t="shared" si="42"/>
        <v>199742.13447606802</v>
      </c>
      <c r="L34" s="81">
        <f t="shared" si="42"/>
        <v>199742.13447606802</v>
      </c>
      <c r="M34" s="81">
        <f t="shared" si="42"/>
        <v>274645.43490459351</v>
      </c>
      <c r="N34" s="81">
        <f t="shared" si="42"/>
        <v>299613.201714102</v>
      </c>
      <c r="O34" s="166">
        <f t="shared" si="42"/>
        <v>274645.43490459351</v>
      </c>
      <c r="P34" s="185">
        <f>+P22</f>
        <v>2496776.6809508502</v>
      </c>
      <c r="Q34" s="81">
        <f t="shared" ref="Q34:T34" si="43">+Q22</f>
        <v>7857418.9802658083</v>
      </c>
      <c r="R34" s="81">
        <f t="shared" si="43"/>
        <v>17881386.945502311</v>
      </c>
      <c r="S34" s="81">
        <f t="shared" si="43"/>
        <v>30370037.149261326</v>
      </c>
      <c r="T34" s="166">
        <f t="shared" si="43"/>
        <v>42070017.090190083</v>
      </c>
    </row>
    <row r="35" spans="2:20">
      <c r="B35" s="179" t="s">
        <v>249</v>
      </c>
      <c r="C35" s="166"/>
      <c r="D35" s="165">
        <f t="shared" ref="D35:O35" si="44">+D27</f>
        <v>87597.187183333343</v>
      </c>
      <c r="E35" s="81">
        <f t="shared" si="44"/>
        <v>87597.187183333343</v>
      </c>
      <c r="F35" s="81">
        <f t="shared" si="44"/>
        <v>87597.187183333343</v>
      </c>
      <c r="G35" s="81">
        <f t="shared" si="44"/>
        <v>87597.187183333343</v>
      </c>
      <c r="H35" s="81">
        <f t="shared" si="44"/>
        <v>87597.187183333343</v>
      </c>
      <c r="I35" s="81">
        <f t="shared" si="44"/>
        <v>87597.187183333343</v>
      </c>
      <c r="J35" s="81">
        <f t="shared" si="44"/>
        <v>87597.187183333343</v>
      </c>
      <c r="K35" s="81">
        <f t="shared" si="44"/>
        <v>87597.187183333343</v>
      </c>
      <c r="L35" s="81">
        <f t="shared" si="44"/>
        <v>87597.187183333343</v>
      </c>
      <c r="M35" s="81">
        <f t="shared" si="44"/>
        <v>87597.187183333343</v>
      </c>
      <c r="N35" s="81">
        <f t="shared" si="44"/>
        <v>87597.187183333343</v>
      </c>
      <c r="O35" s="166">
        <f t="shared" si="44"/>
        <v>87597.187183333343</v>
      </c>
      <c r="P35" s="185">
        <f>+P27</f>
        <v>1051166.6666666667</v>
      </c>
      <c r="Q35" s="81">
        <f t="shared" ref="Q35:T35" si="45">+Q27</f>
        <v>1051166.6666666667</v>
      </c>
      <c r="R35" s="81">
        <f t="shared" si="45"/>
        <v>1051166.6666666667</v>
      </c>
      <c r="S35" s="81">
        <f t="shared" si="45"/>
        <v>1051166.6666666667</v>
      </c>
      <c r="T35" s="166">
        <f t="shared" si="45"/>
        <v>1051166.6666666667</v>
      </c>
    </row>
    <row r="36" spans="2:20">
      <c r="B36" s="179" t="s">
        <v>250</v>
      </c>
      <c r="C36" s="172"/>
      <c r="D36" s="105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72"/>
      <c r="P36" s="186"/>
      <c r="Q36" s="78"/>
      <c r="R36" s="78"/>
      <c r="S36" s="78"/>
      <c r="T36" s="168"/>
    </row>
    <row r="37" spans="2:20">
      <c r="B37" s="179" t="s">
        <v>251</v>
      </c>
      <c r="C37" s="172"/>
      <c r="D37" s="165">
        <f t="shared" ref="D37:O37" si="46">+D26</f>
        <v>222222.13333333333</v>
      </c>
      <c r="E37" s="81">
        <f t="shared" si="46"/>
        <v>222222.13333333333</v>
      </c>
      <c r="F37" s="81">
        <f t="shared" si="46"/>
        <v>222222.13333333333</v>
      </c>
      <c r="G37" s="81">
        <f t="shared" si="46"/>
        <v>222222.13333333333</v>
      </c>
      <c r="H37" s="81">
        <f t="shared" si="46"/>
        <v>222222.13333333333</v>
      </c>
      <c r="I37" s="81">
        <f t="shared" si="46"/>
        <v>222222.13333333333</v>
      </c>
      <c r="J37" s="81">
        <f t="shared" si="46"/>
        <v>222222.13333333333</v>
      </c>
      <c r="K37" s="81">
        <f t="shared" si="46"/>
        <v>222222.13333333333</v>
      </c>
      <c r="L37" s="81">
        <f t="shared" si="46"/>
        <v>222222.13333333333</v>
      </c>
      <c r="M37" s="81">
        <f t="shared" si="46"/>
        <v>222222.13333333333</v>
      </c>
      <c r="N37" s="81">
        <f t="shared" si="46"/>
        <v>222222.13333333333</v>
      </c>
      <c r="O37" s="166">
        <f t="shared" si="46"/>
        <v>222222.13333333333</v>
      </c>
      <c r="P37" s="185">
        <f>+P26</f>
        <v>2666666.6666666665</v>
      </c>
      <c r="Q37" s="81">
        <f t="shared" ref="Q37:T37" si="47">+Q26</f>
        <v>2666666.6666666665</v>
      </c>
      <c r="R37" s="81">
        <f t="shared" si="47"/>
        <v>2666666.6666666665</v>
      </c>
      <c r="S37" s="81">
        <f t="shared" si="47"/>
        <v>0</v>
      </c>
      <c r="T37" s="166">
        <f t="shared" si="47"/>
        <v>0</v>
      </c>
    </row>
    <row r="38" spans="2:20">
      <c r="B38" s="179" t="s">
        <v>252</v>
      </c>
      <c r="C38" s="172"/>
      <c r="D38" s="165">
        <f>+D18</f>
        <v>809928.5786527833</v>
      </c>
      <c r="E38" s="81">
        <f t="shared" ref="E38:O38" si="48">+E18</f>
        <v>971914.29438333982</v>
      </c>
      <c r="F38" s="81">
        <f t="shared" si="48"/>
        <v>1133900.0101138966</v>
      </c>
      <c r="G38" s="81">
        <f t="shared" si="48"/>
        <v>1295885.7258444531</v>
      </c>
      <c r="H38" s="81">
        <f t="shared" si="48"/>
        <v>1295885.7258444531</v>
      </c>
      <c r="I38" s="81">
        <f t="shared" si="48"/>
        <v>1133900.0101138966</v>
      </c>
      <c r="J38" s="81">
        <f t="shared" si="48"/>
        <v>1457871.4415750096</v>
      </c>
      <c r="K38" s="81">
        <f t="shared" si="48"/>
        <v>1295885.7258444531</v>
      </c>
      <c r="L38" s="81">
        <f t="shared" si="48"/>
        <v>1295885.7258444531</v>
      </c>
      <c r="M38" s="81">
        <f t="shared" si="48"/>
        <v>1781842.8730361231</v>
      </c>
      <c r="N38" s="81">
        <f t="shared" si="48"/>
        <v>1943828.5887666796</v>
      </c>
      <c r="O38" s="166">
        <f t="shared" si="48"/>
        <v>1781842.8730361231</v>
      </c>
      <c r="P38" s="185">
        <f>+P18</f>
        <v>16198571.573055664</v>
      </c>
      <c r="Q38" s="81">
        <f t="shared" ref="Q38:T38" si="49">+Q18</f>
        <v>14240858.810247412</v>
      </c>
      <c r="R38" s="81">
        <f t="shared" si="49"/>
        <v>11677419.590879742</v>
      </c>
      <c r="S38" s="81">
        <f t="shared" si="49"/>
        <v>8410316.3057956453</v>
      </c>
      <c r="T38" s="166">
        <f t="shared" si="49"/>
        <v>4246393.1689559687</v>
      </c>
    </row>
    <row r="39" spans="2:20" ht="13.5" thickBot="1">
      <c r="B39" s="180" t="s">
        <v>253</v>
      </c>
      <c r="C39" s="172"/>
      <c r="D39" s="165">
        <f>SUM(D34:D38)</f>
        <v>1244586.7332169926</v>
      </c>
      <c r="E39" s="81">
        <f t="shared" ref="E39:O39" si="50">SUM(E34:E38)</f>
        <v>1431540.2157570575</v>
      </c>
      <c r="F39" s="81">
        <f t="shared" si="50"/>
        <v>1618493.6982971227</v>
      </c>
      <c r="G39" s="81">
        <f t="shared" si="50"/>
        <v>1805447.1808371879</v>
      </c>
      <c r="H39" s="81">
        <f t="shared" si="50"/>
        <v>1805447.1808371879</v>
      </c>
      <c r="I39" s="81">
        <f t="shared" si="50"/>
        <v>1618493.6982971227</v>
      </c>
      <c r="J39" s="81">
        <f t="shared" si="50"/>
        <v>1992400.6633772529</v>
      </c>
      <c r="K39" s="81">
        <f t="shared" si="50"/>
        <v>1805447.1808371879</v>
      </c>
      <c r="L39" s="81">
        <f t="shared" si="50"/>
        <v>1805447.1808371879</v>
      </c>
      <c r="M39" s="81">
        <f t="shared" si="50"/>
        <v>2366307.6284573833</v>
      </c>
      <c r="N39" s="81">
        <f t="shared" si="50"/>
        <v>2553261.1109974482</v>
      </c>
      <c r="O39" s="166">
        <f t="shared" si="50"/>
        <v>2366307.6284573833</v>
      </c>
      <c r="P39" s="185">
        <f>SUM(P34:P38)</f>
        <v>22413181.587339848</v>
      </c>
      <c r="Q39" s="81">
        <f t="shared" ref="Q39:T39" si="51">SUM(Q34:Q38)</f>
        <v>25816111.123846553</v>
      </c>
      <c r="R39" s="81">
        <f t="shared" si="51"/>
        <v>33276639.869715389</v>
      </c>
      <c r="S39" s="81">
        <f t="shared" si="51"/>
        <v>39831520.121723637</v>
      </c>
      <c r="T39" s="166">
        <f t="shared" si="51"/>
        <v>47367576.925812714</v>
      </c>
    </row>
    <row r="40" spans="2:20" ht="13.5" thickBot="1">
      <c r="B40" s="180" t="s">
        <v>254</v>
      </c>
      <c r="C40" s="172"/>
      <c r="D40" s="159">
        <f t="shared" ref="D40:O40" si="52">+D39/D9</f>
        <v>6.6347556000844438E-2</v>
      </c>
      <c r="E40" s="79">
        <f t="shared" si="52"/>
        <v>6.3594867876946626E-2</v>
      </c>
      <c r="F40" s="79">
        <f t="shared" si="52"/>
        <v>6.1628662074162475E-2</v>
      </c>
      <c r="G40" s="79">
        <f t="shared" si="52"/>
        <v>6.0154007722074368E-2</v>
      </c>
      <c r="H40" s="79">
        <f t="shared" si="52"/>
        <v>6.0154007722074368E-2</v>
      </c>
      <c r="I40" s="79">
        <f t="shared" si="52"/>
        <v>6.1628662074162475E-2</v>
      </c>
      <c r="J40" s="79">
        <f t="shared" si="52"/>
        <v>5.9007054337116942E-2</v>
      </c>
      <c r="K40" s="79">
        <f t="shared" si="52"/>
        <v>6.0154007722074368E-2</v>
      </c>
      <c r="L40" s="79">
        <f t="shared" si="52"/>
        <v>6.0154007722074368E-2</v>
      </c>
      <c r="M40" s="79">
        <f t="shared" si="52"/>
        <v>5.7338758504451609E-2</v>
      </c>
      <c r="N40" s="79">
        <f t="shared" si="52"/>
        <v>5.6713147567202103E-2</v>
      </c>
      <c r="O40" s="160">
        <f t="shared" si="52"/>
        <v>5.7338758504451609E-2</v>
      </c>
      <c r="P40" s="182">
        <f>+P39/P9</f>
        <v>5.9741108467362178E-2</v>
      </c>
      <c r="Q40" s="79">
        <f t="shared" ref="Q40:T40" si="53">+Q39/Q9</f>
        <v>6.6484474248167044E-2</v>
      </c>
      <c r="R40" s="79">
        <f t="shared" si="53"/>
        <v>8.2346155692913925E-2</v>
      </c>
      <c r="S40" s="79">
        <f t="shared" si="53"/>
        <v>9.4712039545323021E-2</v>
      </c>
      <c r="T40" s="160">
        <f t="shared" si="53"/>
        <v>0.1082265769022515</v>
      </c>
    </row>
    <row r="41" spans="2:20">
      <c r="B41" s="178" t="s">
        <v>248</v>
      </c>
      <c r="C41" s="172"/>
      <c r="D41" s="165">
        <f>+D22</f>
        <v>124838.83404754252</v>
      </c>
      <c r="E41" s="81">
        <f t="shared" ref="E41:O41" si="54">+E22</f>
        <v>149806.600857051</v>
      </c>
      <c r="F41" s="81">
        <f t="shared" si="54"/>
        <v>174774.36766655953</v>
      </c>
      <c r="G41" s="81">
        <f t="shared" si="54"/>
        <v>199742.13447606802</v>
      </c>
      <c r="H41" s="81">
        <f t="shared" si="54"/>
        <v>199742.13447606802</v>
      </c>
      <c r="I41" s="81">
        <f t="shared" si="54"/>
        <v>174774.36766655953</v>
      </c>
      <c r="J41" s="81">
        <f t="shared" si="54"/>
        <v>224709.90128557652</v>
      </c>
      <c r="K41" s="81">
        <f t="shared" si="54"/>
        <v>199742.13447606802</v>
      </c>
      <c r="L41" s="81">
        <f t="shared" si="54"/>
        <v>199742.13447606802</v>
      </c>
      <c r="M41" s="81">
        <f t="shared" si="54"/>
        <v>274645.43490459351</v>
      </c>
      <c r="N41" s="81">
        <f t="shared" si="54"/>
        <v>299613.201714102</v>
      </c>
      <c r="O41" s="166">
        <f t="shared" si="54"/>
        <v>274645.43490459351</v>
      </c>
      <c r="P41" s="185">
        <f>+P22</f>
        <v>2496776.6809508502</v>
      </c>
      <c r="Q41" s="81">
        <f t="shared" ref="Q41:T41" si="55">+Q22</f>
        <v>7857418.9802658083</v>
      </c>
      <c r="R41" s="81">
        <f t="shared" si="55"/>
        <v>17881386.945502311</v>
      </c>
      <c r="S41" s="81">
        <f t="shared" si="55"/>
        <v>30370037.149261326</v>
      </c>
      <c r="T41" s="166">
        <f t="shared" si="55"/>
        <v>42070017.090190083</v>
      </c>
    </row>
    <row r="42" spans="2:20">
      <c r="B42" s="179" t="s">
        <v>250</v>
      </c>
      <c r="C42" s="172"/>
      <c r="D42" s="105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72"/>
      <c r="P42" s="186"/>
      <c r="Q42" s="78"/>
      <c r="R42" s="78"/>
      <c r="S42" s="78"/>
      <c r="T42" s="168"/>
    </row>
    <row r="43" spans="2:20">
      <c r="B43" s="179" t="s">
        <v>252</v>
      </c>
      <c r="C43" s="166"/>
      <c r="D43" s="165">
        <f t="shared" ref="D43:O43" si="56">+D18</f>
        <v>809928.5786527833</v>
      </c>
      <c r="E43" s="81">
        <f t="shared" si="56"/>
        <v>971914.29438333982</v>
      </c>
      <c r="F43" s="81">
        <f t="shared" si="56"/>
        <v>1133900.0101138966</v>
      </c>
      <c r="G43" s="81">
        <f t="shared" si="56"/>
        <v>1295885.7258444531</v>
      </c>
      <c r="H43" s="81">
        <f t="shared" si="56"/>
        <v>1295885.7258444531</v>
      </c>
      <c r="I43" s="81">
        <f t="shared" si="56"/>
        <v>1133900.0101138966</v>
      </c>
      <c r="J43" s="81">
        <f t="shared" si="56"/>
        <v>1457871.4415750096</v>
      </c>
      <c r="K43" s="81">
        <f t="shared" si="56"/>
        <v>1295885.7258444531</v>
      </c>
      <c r="L43" s="81">
        <f t="shared" si="56"/>
        <v>1295885.7258444531</v>
      </c>
      <c r="M43" s="81">
        <f t="shared" si="56"/>
        <v>1781842.8730361231</v>
      </c>
      <c r="N43" s="81">
        <f t="shared" si="56"/>
        <v>1943828.5887666796</v>
      </c>
      <c r="O43" s="166">
        <f t="shared" si="56"/>
        <v>1781842.8730361231</v>
      </c>
      <c r="P43" s="185">
        <f>+P18</f>
        <v>16198571.573055664</v>
      </c>
      <c r="Q43" s="81">
        <f t="shared" ref="Q43:T43" si="57">+Q18</f>
        <v>14240858.810247412</v>
      </c>
      <c r="R43" s="81">
        <f t="shared" si="57"/>
        <v>11677419.590879742</v>
      </c>
      <c r="S43" s="81">
        <f t="shared" si="57"/>
        <v>8410316.3057956453</v>
      </c>
      <c r="T43" s="166">
        <f t="shared" si="57"/>
        <v>4246393.1689559687</v>
      </c>
    </row>
    <row r="44" spans="2:20" ht="13.5" thickBot="1">
      <c r="B44" s="180" t="s">
        <v>15</v>
      </c>
      <c r="C44" s="168"/>
      <c r="D44" s="167">
        <f t="shared" ref="D44:O44" si="58">SUM(D41:D43)</f>
        <v>934767.41270032583</v>
      </c>
      <c r="E44" s="78">
        <f t="shared" si="58"/>
        <v>1121720.8952403909</v>
      </c>
      <c r="F44" s="78">
        <f t="shared" si="58"/>
        <v>1308674.3777804561</v>
      </c>
      <c r="G44" s="78">
        <f t="shared" si="58"/>
        <v>1495627.8603205211</v>
      </c>
      <c r="H44" s="78">
        <f t="shared" si="58"/>
        <v>1495627.8603205211</v>
      </c>
      <c r="I44" s="78">
        <f t="shared" si="58"/>
        <v>1308674.3777804561</v>
      </c>
      <c r="J44" s="78">
        <f t="shared" si="58"/>
        <v>1682581.342860586</v>
      </c>
      <c r="K44" s="78">
        <f t="shared" si="58"/>
        <v>1495627.8603205211</v>
      </c>
      <c r="L44" s="78">
        <f t="shared" si="58"/>
        <v>1495627.8603205211</v>
      </c>
      <c r="M44" s="78">
        <f t="shared" si="58"/>
        <v>2056488.3079407166</v>
      </c>
      <c r="N44" s="78">
        <f t="shared" si="58"/>
        <v>2243441.7904807818</v>
      </c>
      <c r="O44" s="168">
        <f t="shared" si="58"/>
        <v>2056488.3079407166</v>
      </c>
      <c r="P44" s="186">
        <f>SUM(P41:P43)</f>
        <v>18695348.254006512</v>
      </c>
      <c r="Q44" s="78">
        <f t="shared" ref="Q44:T44" si="59">SUM(Q41:Q43)</f>
        <v>22098277.790513221</v>
      </c>
      <c r="R44" s="78">
        <f t="shared" si="59"/>
        <v>29558806.536382053</v>
      </c>
      <c r="S44" s="78">
        <f t="shared" si="59"/>
        <v>38780353.455056973</v>
      </c>
      <c r="T44" s="168">
        <f t="shared" si="59"/>
        <v>46316410.25914605</v>
      </c>
    </row>
    <row r="45" spans="2:20" ht="13.5" thickBot="1">
      <c r="B45" s="180" t="s">
        <v>271</v>
      </c>
      <c r="C45" s="164"/>
      <c r="D45" s="163">
        <f t="shared" ref="D45:O45" si="60">+D44/D9</f>
        <v>4.9831427257457588E-2</v>
      </c>
      <c r="E45" s="82">
        <f t="shared" si="60"/>
        <v>4.9831427257457588E-2</v>
      </c>
      <c r="F45" s="82">
        <f t="shared" si="60"/>
        <v>4.9831427257457581E-2</v>
      </c>
      <c r="G45" s="82">
        <f t="shared" si="60"/>
        <v>4.9831427257457581E-2</v>
      </c>
      <c r="H45" s="82">
        <f t="shared" si="60"/>
        <v>4.9831427257457581E-2</v>
      </c>
      <c r="I45" s="82">
        <f t="shared" si="60"/>
        <v>4.9831427257457581E-2</v>
      </c>
      <c r="J45" s="82">
        <f t="shared" si="60"/>
        <v>4.9831427257457574E-2</v>
      </c>
      <c r="K45" s="82">
        <f t="shared" si="60"/>
        <v>4.9831427257457581E-2</v>
      </c>
      <c r="L45" s="82">
        <f t="shared" si="60"/>
        <v>4.9831427257457581E-2</v>
      </c>
      <c r="M45" s="82">
        <f t="shared" si="60"/>
        <v>4.9831427257457581E-2</v>
      </c>
      <c r="N45" s="82">
        <f t="shared" si="60"/>
        <v>4.9831427257457588E-2</v>
      </c>
      <c r="O45" s="164">
        <f t="shared" si="60"/>
        <v>4.9831427257457581E-2</v>
      </c>
      <c r="P45" s="184">
        <f>+P44/P9</f>
        <v>4.9831427257457574E-2</v>
      </c>
      <c r="Q45" s="82">
        <f t="shared" ref="Q45:T45" si="61">+Q44/Q9</f>
        <v>5.6909903030867917E-2</v>
      </c>
      <c r="R45" s="82">
        <f t="shared" si="61"/>
        <v>7.3146029607299295E-2</v>
      </c>
      <c r="S45" s="82">
        <f t="shared" si="61"/>
        <v>9.2212558265225938E-2</v>
      </c>
      <c r="T45" s="164">
        <f t="shared" si="61"/>
        <v>0.10582484606714333</v>
      </c>
    </row>
    <row r="46" spans="2:20" ht="13.5" thickBot="1">
      <c r="B46" s="109"/>
      <c r="C46" s="173"/>
      <c r="D46" s="109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73"/>
      <c r="P46" s="187"/>
      <c r="Q46" s="169"/>
      <c r="R46" s="169"/>
      <c r="S46" s="169"/>
      <c r="T46" s="170"/>
    </row>
    <row r="47" spans="2:20"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78"/>
      <c r="Q47" s="78"/>
      <c r="R47" s="78"/>
      <c r="S47" s="78"/>
      <c r="T47" s="78"/>
    </row>
    <row r="48" spans="2:20"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78"/>
      <c r="Q48" s="78"/>
      <c r="R48" s="78"/>
      <c r="S48" s="78"/>
      <c r="T48" s="78"/>
    </row>
    <row r="49" spans="2:20"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78"/>
      <c r="Q49" s="78"/>
      <c r="R49" s="78"/>
      <c r="S49" s="78"/>
      <c r="T49" s="78"/>
    </row>
    <row r="50" spans="2:20"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78"/>
      <c r="Q50" s="78"/>
      <c r="R50" s="78"/>
      <c r="S50" s="78"/>
      <c r="T50" s="78"/>
    </row>
    <row r="51" spans="2:20"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78"/>
      <c r="Q51" s="78"/>
      <c r="R51" s="78"/>
      <c r="S51" s="78"/>
      <c r="T51" s="78"/>
    </row>
    <row r="52" spans="2:20"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78"/>
      <c r="Q52" s="78"/>
      <c r="R52" s="78"/>
      <c r="S52" s="78"/>
      <c r="T52" s="78"/>
    </row>
    <row r="53" spans="2:20"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78"/>
      <c r="Q53" s="78"/>
      <c r="R53" s="78"/>
      <c r="S53" s="78"/>
      <c r="T53" s="78"/>
    </row>
    <row r="56" spans="2:20">
      <c r="P56" s="113"/>
      <c r="Q56" s="113"/>
      <c r="R56" s="113"/>
      <c r="S56" s="113"/>
      <c r="T56" s="113"/>
    </row>
  </sheetData>
  <sheetProtection algorithmName="SHA-512" hashValue="bvULdPvWwsoo2G6OqklDqiViAF4vaIhYbIiZtFPhMyhFL60O2WN4RjGPKK4DcuBAKVPwbRJsS9145iwnJVtQ1Q==" saltValue="vXvSnSY37/SxUXJdAr0WJQ==" spinCount="100000" sheet="1" objects="1" scenarios="1"/>
  <mergeCells count="32">
    <mergeCell ref="B20:C20"/>
    <mergeCell ref="B3:Y3"/>
    <mergeCell ref="B4:Y4"/>
    <mergeCell ref="B5:Y5"/>
    <mergeCell ref="B6:Y6"/>
    <mergeCell ref="D7:O7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B1:Y2"/>
    <mergeCell ref="B21:C21"/>
    <mergeCell ref="B22:C22"/>
    <mergeCell ref="B7:C7"/>
    <mergeCell ref="B15:C15"/>
    <mergeCell ref="B19:C19"/>
    <mergeCell ref="B9:C9"/>
    <mergeCell ref="B10:C10"/>
    <mergeCell ref="B11:C11"/>
    <mergeCell ref="B12:C12"/>
    <mergeCell ref="B13:C13"/>
    <mergeCell ref="B14:C14"/>
    <mergeCell ref="B16:C16"/>
    <mergeCell ref="B17:C17"/>
    <mergeCell ref="B8:C8"/>
    <mergeCell ref="B18:C18"/>
  </mergeCells>
  <phoneticPr fontId="10" type="noConversion"/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98F93-0ABB-45DC-8DD7-0D78321F4B82}">
  <sheetPr>
    <tabColor rgb="FF002060"/>
  </sheetPr>
  <dimension ref="A1:BA75"/>
  <sheetViews>
    <sheetView workbookViewId="0">
      <selection activeCell="P15" sqref="P15"/>
    </sheetView>
  </sheetViews>
  <sheetFormatPr baseColWidth="10" defaultRowHeight="15"/>
  <cols>
    <col min="1" max="1" width="4.28515625" style="76" customWidth="1"/>
    <col min="2" max="2" width="31.5703125" customWidth="1"/>
    <col min="3" max="4" width="14.28515625" hidden="1" customWidth="1"/>
    <col min="5" max="14" width="15.140625" hidden="1" customWidth="1"/>
    <col min="15" max="19" width="16.28515625" bestFit="1" customWidth="1"/>
    <col min="20" max="34" width="11.42578125" style="76"/>
  </cols>
  <sheetData>
    <row r="1" spans="2:19" s="76" customFormat="1"/>
    <row r="2" spans="2:19" s="76" customFormat="1"/>
    <row r="3" spans="2:19">
      <c r="B3" s="192" t="s">
        <v>155</v>
      </c>
      <c r="C3" s="193" t="s">
        <v>256</v>
      </c>
      <c r="D3" s="193" t="s">
        <v>257</v>
      </c>
      <c r="E3" s="193" t="s">
        <v>258</v>
      </c>
      <c r="F3" s="193" t="s">
        <v>259</v>
      </c>
      <c r="G3" s="193" t="s">
        <v>260</v>
      </c>
      <c r="H3" s="193" t="s">
        <v>261</v>
      </c>
      <c r="I3" s="193" t="s">
        <v>262</v>
      </c>
      <c r="J3" s="193" t="s">
        <v>263</v>
      </c>
      <c r="K3" s="193" t="s">
        <v>264</v>
      </c>
      <c r="L3" s="193" t="s">
        <v>265</v>
      </c>
      <c r="M3" s="193" t="s">
        <v>266</v>
      </c>
      <c r="N3" s="193" t="s">
        <v>267</v>
      </c>
      <c r="O3" s="194">
        <v>2022</v>
      </c>
      <c r="P3" s="194">
        <v>2023</v>
      </c>
      <c r="Q3" s="194">
        <v>2024</v>
      </c>
      <c r="R3" s="194">
        <v>2025</v>
      </c>
      <c r="S3" s="194">
        <v>2026</v>
      </c>
    </row>
    <row r="4" spans="2:19">
      <c r="B4" s="189" t="s">
        <v>244</v>
      </c>
      <c r="C4" s="195">
        <v>0.38986213037737588</v>
      </c>
      <c r="D4" s="195">
        <v>0.38986213037737588</v>
      </c>
      <c r="E4" s="195">
        <v>0.38986213037737583</v>
      </c>
      <c r="F4" s="195">
        <v>0.38986213037737583</v>
      </c>
      <c r="G4" s="195">
        <v>0.38986213037737583</v>
      </c>
      <c r="H4" s="195">
        <v>0.38986213037737583</v>
      </c>
      <c r="I4" s="195">
        <v>0.38986213037737588</v>
      </c>
      <c r="J4" s="195">
        <v>0.38986213037737583</v>
      </c>
      <c r="K4" s="195">
        <v>0.38986213037737583</v>
      </c>
      <c r="L4" s="195">
        <v>0.38986213037737588</v>
      </c>
      <c r="M4" s="195">
        <v>0.38986213037737588</v>
      </c>
      <c r="N4" s="195">
        <v>0.38986213037737588</v>
      </c>
      <c r="O4" s="195">
        <v>0.38986213037737588</v>
      </c>
      <c r="P4" s="195">
        <v>0.38986213037737594</v>
      </c>
      <c r="Q4" s="195">
        <v>0.38986213037737594</v>
      </c>
      <c r="R4" s="195">
        <v>0.38986213037737588</v>
      </c>
      <c r="S4" s="195">
        <v>0.38986213037737594</v>
      </c>
    </row>
    <row r="5" spans="2:19">
      <c r="B5" s="189" t="s">
        <v>245</v>
      </c>
      <c r="C5" s="196">
        <v>7313264.6400000006</v>
      </c>
      <c r="D5" s="196">
        <v>8775917.568</v>
      </c>
      <c r="E5" s="196">
        <v>10238570.495999999</v>
      </c>
      <c r="F5" s="196">
        <v>11701223.423999999</v>
      </c>
      <c r="G5" s="196">
        <v>11701223.423999999</v>
      </c>
      <c r="H5" s="196">
        <v>10238570.495999999</v>
      </c>
      <c r="I5" s="196">
        <v>13163876.352000002</v>
      </c>
      <c r="J5" s="196">
        <v>11701223.423999999</v>
      </c>
      <c r="K5" s="196">
        <v>11701223.423999999</v>
      </c>
      <c r="L5" s="196">
        <v>16089182.208000001</v>
      </c>
      <c r="M5" s="196">
        <v>17551835.136</v>
      </c>
      <c r="N5" s="196">
        <v>16089182.208000001</v>
      </c>
      <c r="O5" s="196">
        <v>146265292.80000001</v>
      </c>
      <c r="P5" s="196">
        <v>151384578.04800001</v>
      </c>
      <c r="Q5" s="196">
        <v>156683038.27968001</v>
      </c>
      <c r="R5" s="196">
        <v>162166944.61946878</v>
      </c>
      <c r="S5" s="196">
        <v>167842787.6811502</v>
      </c>
    </row>
    <row r="6" spans="2:19">
      <c r="B6" s="189" t="s">
        <v>246</v>
      </c>
      <c r="C6" s="197">
        <v>1.6467923029760752E-2</v>
      </c>
      <c r="D6" s="197">
        <v>1.6467923029760752E-2</v>
      </c>
      <c r="E6" s="197">
        <v>1.6467923029760755E-2</v>
      </c>
      <c r="F6" s="197">
        <v>1.6467923029760752E-2</v>
      </c>
      <c r="G6" s="197">
        <v>1.6467923029760752E-2</v>
      </c>
      <c r="H6" s="197">
        <v>1.6467923029760755E-2</v>
      </c>
      <c r="I6" s="197">
        <v>1.6467923029760752E-2</v>
      </c>
      <c r="J6" s="197">
        <v>1.6467923029760752E-2</v>
      </c>
      <c r="K6" s="197">
        <v>1.6467923029760752E-2</v>
      </c>
      <c r="L6" s="197">
        <v>1.6467923029760752E-2</v>
      </c>
      <c r="M6" s="197">
        <v>1.6467923029760752E-2</v>
      </c>
      <c r="N6" s="197">
        <v>1.6467923029760752E-2</v>
      </c>
      <c r="O6" s="197">
        <v>1.6467923029760752E-2</v>
      </c>
      <c r="P6" s="197">
        <v>1.6178217859763325E-2</v>
      </c>
      <c r="Q6" s="197">
        <v>1.5884096760804042E-2</v>
      </c>
      <c r="R6" s="197">
        <v>1.5585640403320437E-2</v>
      </c>
      <c r="S6" s="197">
        <v>1.5282926398071203E-2</v>
      </c>
    </row>
    <row r="7" spans="2:19">
      <c r="B7" s="189" t="s">
        <v>247</v>
      </c>
      <c r="C7" s="198">
        <v>308915.04920268583</v>
      </c>
      <c r="D7" s="198">
        <v>370698.05904322292</v>
      </c>
      <c r="E7" s="198">
        <v>432481.06888376025</v>
      </c>
      <c r="F7" s="198">
        <v>494264.07872429729</v>
      </c>
      <c r="G7" s="198">
        <v>494264.07872429729</v>
      </c>
      <c r="H7" s="198">
        <v>432481.06888376025</v>
      </c>
      <c r="I7" s="198">
        <v>556047.08856483444</v>
      </c>
      <c r="J7" s="198">
        <v>494264.07872429729</v>
      </c>
      <c r="K7" s="198">
        <v>494264.07872429729</v>
      </c>
      <c r="L7" s="198">
        <v>679613.10824590875</v>
      </c>
      <c r="M7" s="198">
        <v>741396.11808644584</v>
      </c>
      <c r="N7" s="198">
        <v>679613.10824590875</v>
      </c>
      <c r="O7" s="198">
        <v>6178300.9840537161</v>
      </c>
      <c r="P7" s="198">
        <v>6282048.1740511572</v>
      </c>
      <c r="Q7" s="198">
        <v>6383714.515698513</v>
      </c>
      <c r="R7" s="198">
        <v>6482998.6993035022</v>
      </c>
      <c r="S7" s="198">
        <v>6579579.7301346902</v>
      </c>
    </row>
    <row r="8" spans="2:19">
      <c r="B8" s="189" t="s">
        <v>248</v>
      </c>
      <c r="C8" s="198">
        <v>308915.04920268583</v>
      </c>
      <c r="D8" s="198">
        <v>370698.05904322292</v>
      </c>
      <c r="E8" s="198">
        <v>432481.06888376019</v>
      </c>
      <c r="F8" s="198">
        <v>494264.07872429729</v>
      </c>
      <c r="G8" s="198">
        <v>494264.07872429729</v>
      </c>
      <c r="H8" s="198">
        <v>432481.06888376019</v>
      </c>
      <c r="I8" s="198">
        <v>556047.08856483444</v>
      </c>
      <c r="J8" s="198">
        <v>494264.07872429729</v>
      </c>
      <c r="K8" s="198">
        <v>494264.07872429729</v>
      </c>
      <c r="L8" s="198">
        <v>679613.10824590875</v>
      </c>
      <c r="M8" s="198">
        <v>741396.11808644584</v>
      </c>
      <c r="N8" s="198">
        <v>679613.10824590875</v>
      </c>
      <c r="O8" s="198">
        <v>6178300.9840537161</v>
      </c>
      <c r="P8" s="198">
        <v>6282048.1740511572</v>
      </c>
      <c r="Q8" s="198">
        <v>6383714.515698513</v>
      </c>
      <c r="R8" s="198">
        <v>6482998.6993035022</v>
      </c>
      <c r="S8" s="198">
        <v>6579579.7301346902</v>
      </c>
    </row>
    <row r="9" spans="2:19">
      <c r="B9" s="189" t="s">
        <v>249</v>
      </c>
      <c r="C9" s="198">
        <v>87597.187183333343</v>
      </c>
      <c r="D9" s="198">
        <v>87597.187183333343</v>
      </c>
      <c r="E9" s="198">
        <v>87597.187183333343</v>
      </c>
      <c r="F9" s="198">
        <v>87597.187183333343</v>
      </c>
      <c r="G9" s="198">
        <v>87597.187183333343</v>
      </c>
      <c r="H9" s="198">
        <v>87597.187183333343</v>
      </c>
      <c r="I9" s="198">
        <v>87597.187183333343</v>
      </c>
      <c r="J9" s="198">
        <v>87597.187183333343</v>
      </c>
      <c r="K9" s="198">
        <v>87597.187183333343</v>
      </c>
      <c r="L9" s="198">
        <v>87597.187183333343</v>
      </c>
      <c r="M9" s="198">
        <v>87597.187183333343</v>
      </c>
      <c r="N9" s="198">
        <v>87597.187183333343</v>
      </c>
      <c r="O9" s="198">
        <v>1051166.6666666667</v>
      </c>
      <c r="P9" s="198">
        <v>1051166.6666666667</v>
      </c>
      <c r="Q9" s="198">
        <v>1051166.6666666667</v>
      </c>
      <c r="R9" s="198">
        <v>1051166.6666666667</v>
      </c>
      <c r="S9" s="198">
        <v>1051166.6666666667</v>
      </c>
    </row>
    <row r="10" spans="2:19">
      <c r="B10" s="189" t="s">
        <v>250</v>
      </c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</row>
    <row r="11" spans="2:19">
      <c r="B11" s="189" t="s">
        <v>251</v>
      </c>
      <c r="C11" s="198">
        <v>18518.511111111111</v>
      </c>
      <c r="D11" s="198">
        <v>18518.511111111111</v>
      </c>
      <c r="E11" s="198">
        <v>18518.511111111111</v>
      </c>
      <c r="F11" s="198">
        <v>18518.511111111111</v>
      </c>
      <c r="G11" s="198">
        <v>18518.511111111111</v>
      </c>
      <c r="H11" s="198">
        <v>18518.511111111111</v>
      </c>
      <c r="I11" s="198">
        <v>18518.511111111111</v>
      </c>
      <c r="J11" s="198">
        <v>18518.511111111111</v>
      </c>
      <c r="K11" s="198">
        <v>18518.511111111111</v>
      </c>
      <c r="L11" s="198">
        <v>18518.511111111111</v>
      </c>
      <c r="M11" s="198">
        <v>18518.511111111111</v>
      </c>
      <c r="N11" s="198">
        <v>18518.511111111111</v>
      </c>
      <c r="O11" s="198">
        <v>222222.22222222222</v>
      </c>
      <c r="P11" s="198">
        <v>222222.22222222222</v>
      </c>
      <c r="Q11" s="198">
        <v>222222.22222222222</v>
      </c>
      <c r="R11" s="198">
        <v>222222.22222222222</v>
      </c>
      <c r="S11" s="199">
        <v>222222.22222222222</v>
      </c>
    </row>
    <row r="12" spans="2:19">
      <c r="B12" s="189" t="s">
        <v>252</v>
      </c>
      <c r="C12" s="198">
        <v>811669.37599038321</v>
      </c>
      <c r="D12" s="198">
        <v>974003.25118845969</v>
      </c>
      <c r="E12" s="198">
        <v>1136337.1263865365</v>
      </c>
      <c r="F12" s="198">
        <v>1298671.001584613</v>
      </c>
      <c r="G12" s="198">
        <v>1298671.001584613</v>
      </c>
      <c r="H12" s="198">
        <v>1136337.1263865365</v>
      </c>
      <c r="I12" s="198">
        <v>1461004.8767826897</v>
      </c>
      <c r="J12" s="198">
        <v>1298671.001584613</v>
      </c>
      <c r="K12" s="198">
        <v>1298671.001584613</v>
      </c>
      <c r="L12" s="198">
        <v>1785672.6271788429</v>
      </c>
      <c r="M12" s="198">
        <v>1948006.5023769194</v>
      </c>
      <c r="N12" s="198">
        <v>1785672.6271788429</v>
      </c>
      <c r="O12" s="198">
        <v>16233387.519807663</v>
      </c>
      <c r="P12" s="198">
        <v>16801556.083000928</v>
      </c>
      <c r="Q12" s="198">
        <v>17389610.545905959</v>
      </c>
      <c r="R12" s="198">
        <v>17998246.915012665</v>
      </c>
      <c r="S12" s="199">
        <v>18628185.557038106</v>
      </c>
    </row>
    <row r="13" spans="2:19">
      <c r="B13" s="189" t="s">
        <v>253</v>
      </c>
      <c r="C13" s="198">
        <v>1226700.1234875135</v>
      </c>
      <c r="D13" s="198">
        <v>1450817.0085261271</v>
      </c>
      <c r="E13" s="198">
        <v>1674933.8935647411</v>
      </c>
      <c r="F13" s="198">
        <v>1899050.7786033549</v>
      </c>
      <c r="G13" s="198">
        <v>1899050.7786033549</v>
      </c>
      <c r="H13" s="198">
        <v>1674933.8935647411</v>
      </c>
      <c r="I13" s="198">
        <v>2123167.6636419687</v>
      </c>
      <c r="J13" s="198">
        <v>1899050.7786033549</v>
      </c>
      <c r="K13" s="198">
        <v>1899050.7786033549</v>
      </c>
      <c r="L13" s="198">
        <v>2571401.4337191964</v>
      </c>
      <c r="M13" s="198">
        <v>2795518.3187578097</v>
      </c>
      <c r="N13" s="198">
        <v>2571401.4337191964</v>
      </c>
      <c r="O13" s="198">
        <v>23685077.392750267</v>
      </c>
      <c r="P13" s="198">
        <v>24356993.145940974</v>
      </c>
      <c r="Q13" s="198">
        <v>25046713.950493362</v>
      </c>
      <c r="R13" s="198">
        <v>25754634.503205057</v>
      </c>
      <c r="S13" s="199">
        <v>26481154.176061686</v>
      </c>
    </row>
    <row r="14" spans="2:19">
      <c r="B14" s="189" t="s">
        <v>254</v>
      </c>
      <c r="C14" s="200">
        <v>6.5394040420918245E-2</v>
      </c>
      <c r="D14" s="200">
        <v>6.4451221806613876E-2</v>
      </c>
      <c r="E14" s="200">
        <v>6.3777779939253626E-2</v>
      </c>
      <c r="F14" s="200">
        <v>6.3272698538733449E-2</v>
      </c>
      <c r="G14" s="200">
        <v>6.3272698538733449E-2</v>
      </c>
      <c r="H14" s="200">
        <v>6.3777779939253626E-2</v>
      </c>
      <c r="I14" s="200">
        <v>6.2879857449439955E-2</v>
      </c>
      <c r="J14" s="200">
        <v>6.3272698538733449E-2</v>
      </c>
      <c r="K14" s="200">
        <v>6.3272698538733449E-2</v>
      </c>
      <c r="L14" s="200">
        <v>6.2308452228649447E-2</v>
      </c>
      <c r="M14" s="200">
        <v>6.2094175270852994E-2</v>
      </c>
      <c r="N14" s="200">
        <v>6.2308452228649447E-2</v>
      </c>
      <c r="O14" s="200">
        <v>6.3131277104247124E-2</v>
      </c>
      <c r="P14" s="200">
        <v>6.272679397007537E-2</v>
      </c>
      <c r="Q14" s="200">
        <v>6.2321776287372781E-2</v>
      </c>
      <c r="R14" s="200">
        <v>6.1916173472166172E-2</v>
      </c>
      <c r="S14" s="200">
        <v>6.1509936319358478E-2</v>
      </c>
    </row>
    <row r="15" spans="2:19">
      <c r="B15" s="189" t="s">
        <v>248</v>
      </c>
      <c r="C15" s="201">
        <v>308915.04920268583</v>
      </c>
      <c r="D15" s="201">
        <v>370698.05904322292</v>
      </c>
      <c r="E15" s="201">
        <v>432481.06888376019</v>
      </c>
      <c r="F15" s="201">
        <v>494264.07872429729</v>
      </c>
      <c r="G15" s="201">
        <v>494264.07872429729</v>
      </c>
      <c r="H15" s="201">
        <v>432481.06888376019</v>
      </c>
      <c r="I15" s="201">
        <v>556047.08856483444</v>
      </c>
      <c r="J15" s="201">
        <v>494264.07872429729</v>
      </c>
      <c r="K15" s="201">
        <v>494264.07872429729</v>
      </c>
      <c r="L15" s="201">
        <v>679613.10824590875</v>
      </c>
      <c r="M15" s="201">
        <v>741396.11808644584</v>
      </c>
      <c r="N15" s="201">
        <v>679613.10824590875</v>
      </c>
      <c r="O15" s="201">
        <v>6178300.9840537161</v>
      </c>
      <c r="P15" s="201">
        <v>6282048.1740511572</v>
      </c>
      <c r="Q15" s="201">
        <v>6383714.515698513</v>
      </c>
      <c r="R15" s="201">
        <v>6482998.6993035022</v>
      </c>
      <c r="S15" s="201">
        <v>6579579.7301346902</v>
      </c>
    </row>
    <row r="16" spans="2:19">
      <c r="B16" s="189" t="s">
        <v>250</v>
      </c>
      <c r="C16" s="201"/>
      <c r="D16" s="201"/>
      <c r="E16" s="201"/>
      <c r="F16" s="201"/>
      <c r="G16" s="201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</row>
    <row r="17" spans="1:53">
      <c r="B17" s="189" t="s">
        <v>252</v>
      </c>
      <c r="C17" s="201">
        <v>811669.37599038321</v>
      </c>
      <c r="D17" s="201">
        <v>974003.25118845969</v>
      </c>
      <c r="E17" s="201">
        <v>1136337.1263865365</v>
      </c>
      <c r="F17" s="201">
        <v>1298671.001584613</v>
      </c>
      <c r="G17" s="201">
        <v>1298671.001584613</v>
      </c>
      <c r="H17" s="201">
        <v>1136337.1263865365</v>
      </c>
      <c r="I17" s="201">
        <v>1461004.8767826897</v>
      </c>
      <c r="J17" s="201">
        <v>1298671.001584613</v>
      </c>
      <c r="K17" s="201">
        <v>1298671.001584613</v>
      </c>
      <c r="L17" s="201">
        <v>1785672.6271788429</v>
      </c>
      <c r="M17" s="201">
        <v>1948006.5023769194</v>
      </c>
      <c r="N17" s="201">
        <v>1785672.6271788429</v>
      </c>
      <c r="O17" s="201">
        <v>16233387.519807663</v>
      </c>
      <c r="P17" s="201">
        <v>16801556.083000928</v>
      </c>
      <c r="Q17" s="201">
        <v>17389610.545905959</v>
      </c>
      <c r="R17" s="201">
        <v>17998246.915012665</v>
      </c>
      <c r="S17" s="201">
        <v>18628185.557038106</v>
      </c>
    </row>
    <row r="18" spans="1:53">
      <c r="B18" s="189" t="s">
        <v>15</v>
      </c>
      <c r="C18" s="201">
        <v>1120584.425193069</v>
      </c>
      <c r="D18" s="201">
        <v>1344701.3102316826</v>
      </c>
      <c r="E18" s="201">
        <v>1568818.1952702967</v>
      </c>
      <c r="F18" s="201">
        <v>1792935.0803089102</v>
      </c>
      <c r="G18" s="201">
        <v>1792935.0803089102</v>
      </c>
      <c r="H18" s="201">
        <v>1568818.1952702967</v>
      </c>
      <c r="I18" s="201">
        <v>2017051.9653475243</v>
      </c>
      <c r="J18" s="201">
        <v>1792935.0803089102</v>
      </c>
      <c r="K18" s="201">
        <v>1792935.0803089102</v>
      </c>
      <c r="L18" s="201">
        <v>2465285.7354247514</v>
      </c>
      <c r="M18" s="201">
        <v>2689402.6204633652</v>
      </c>
      <c r="N18" s="201">
        <v>2465285.7354247514</v>
      </c>
      <c r="O18" s="201">
        <v>22411688.503861379</v>
      </c>
      <c r="P18" s="201">
        <v>23083604.257052086</v>
      </c>
      <c r="Q18" s="201">
        <v>23773325.06160447</v>
      </c>
      <c r="R18" s="201">
        <v>24481245.614316165</v>
      </c>
      <c r="S18" s="201">
        <v>25207765.287172794</v>
      </c>
    </row>
    <row r="19" spans="1:53">
      <c r="B19" s="189" t="s">
        <v>271</v>
      </c>
      <c r="C19" s="202">
        <v>5.9737128735092113E-2</v>
      </c>
      <c r="D19" s="202">
        <v>5.9737128735092106E-2</v>
      </c>
      <c r="E19" s="202">
        <v>5.9737128735092113E-2</v>
      </c>
      <c r="F19" s="202">
        <v>5.9737128735092106E-2</v>
      </c>
      <c r="G19" s="202">
        <v>5.9737128735092106E-2</v>
      </c>
      <c r="H19" s="202">
        <v>5.9737128735092113E-2</v>
      </c>
      <c r="I19" s="202">
        <v>5.9737128735092113E-2</v>
      </c>
      <c r="J19" s="202">
        <v>5.9737128735092106E-2</v>
      </c>
      <c r="K19" s="202">
        <v>5.9737128735092106E-2</v>
      </c>
      <c r="L19" s="202">
        <v>5.9737128735092106E-2</v>
      </c>
      <c r="M19" s="202">
        <v>5.9737128735092106E-2</v>
      </c>
      <c r="N19" s="202">
        <v>5.9737128735092106E-2</v>
      </c>
      <c r="O19" s="202">
        <v>5.9737128735092106E-2</v>
      </c>
      <c r="P19" s="202">
        <v>5.9447423565094679E-2</v>
      </c>
      <c r="Q19" s="202">
        <v>5.9153302466135385E-2</v>
      </c>
      <c r="R19" s="202">
        <v>5.8854846108651784E-2</v>
      </c>
      <c r="S19" s="202">
        <v>5.8552132103402543E-2</v>
      </c>
    </row>
    <row r="21" spans="1:53" s="191" customFormat="1">
      <c r="A21" s="203"/>
      <c r="B21" s="192" t="s">
        <v>272</v>
      </c>
      <c r="C21" s="193" t="s">
        <v>256</v>
      </c>
      <c r="D21" s="193" t="s">
        <v>257</v>
      </c>
      <c r="E21" s="193" t="s">
        <v>258</v>
      </c>
      <c r="F21" s="193" t="s">
        <v>259</v>
      </c>
      <c r="G21" s="193" t="s">
        <v>260</v>
      </c>
      <c r="H21" s="193" t="s">
        <v>261</v>
      </c>
      <c r="I21" s="193" t="s">
        <v>262</v>
      </c>
      <c r="J21" s="193" t="s">
        <v>263</v>
      </c>
      <c r="K21" s="193" t="s">
        <v>264</v>
      </c>
      <c r="L21" s="193" t="s">
        <v>265</v>
      </c>
      <c r="M21" s="193" t="s">
        <v>266</v>
      </c>
      <c r="N21" s="193" t="s">
        <v>267</v>
      </c>
      <c r="O21" s="194">
        <v>2022</v>
      </c>
      <c r="P21" s="194">
        <v>2023</v>
      </c>
      <c r="Q21" s="194">
        <v>2024</v>
      </c>
      <c r="R21" s="194">
        <v>2025</v>
      </c>
      <c r="S21" s="205">
        <v>2026</v>
      </c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204"/>
    </row>
    <row r="22" spans="1:53">
      <c r="B22" s="190" t="s">
        <v>273</v>
      </c>
      <c r="C22" s="210">
        <f>+Balance!D15/Balance!D43</f>
        <v>1.2095928003945269</v>
      </c>
      <c r="D22" s="210">
        <f>+Balance!E15/Balance!E43</f>
        <v>1.1044753258616877</v>
      </c>
      <c r="E22" s="210">
        <f>+Balance!F15/Balance!F43</f>
        <v>1.0712819126103184</v>
      </c>
      <c r="F22" s="210">
        <f>+Balance!G15/Balance!G43</f>
        <v>1.0599692305217223</v>
      </c>
      <c r="G22" s="210">
        <f>+Balance!H15/Balance!H43</f>
        <v>1.0534070849542576</v>
      </c>
      <c r="H22" s="210">
        <f>+Balance!I15/Balance!I43</f>
        <v>1.0466204708181543</v>
      </c>
      <c r="I22" s="210">
        <f>+Balance!J15/Balance!J43</f>
        <v>1.0517667274145641</v>
      </c>
      <c r="J22" s="210">
        <f>+Balance!K15/Balance!K43</f>
        <v>1.0481033624293332</v>
      </c>
      <c r="K22" s="210">
        <f>+Balance!L15/Balance!L43</f>
        <v>1.0451716302395706</v>
      </c>
      <c r="L22" s="210">
        <f>+Balance!M15/Balance!M43</f>
        <v>1.0472825814989133</v>
      </c>
      <c r="M22" s="210">
        <f>+Balance!N15/Balance!N43</f>
        <v>1.0503439037740641</v>
      </c>
      <c r="N22" s="210">
        <f>+Balance!O15/Balance!O43</f>
        <v>1.0986271029581416</v>
      </c>
      <c r="O22" s="210">
        <f>+Balance!P15/Balance!P43</f>
        <v>1.0986271029581416</v>
      </c>
      <c r="P22" s="210">
        <f>+Balance!Q15/Balance!Q43</f>
        <v>1.1785122405177353</v>
      </c>
      <c r="Q22" s="210">
        <f>+Balance!R15/Balance!R43</f>
        <v>1.2615892904659225</v>
      </c>
      <c r="R22" s="210">
        <f>+Balance!S15/Balance!S43</f>
        <v>1.2857570428756118</v>
      </c>
      <c r="S22" s="210">
        <f>+Balance!T15/Balance!T43</f>
        <v>1.2489269844159396</v>
      </c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</row>
    <row r="23" spans="1:53">
      <c r="B23" s="189" t="s">
        <v>274</v>
      </c>
      <c r="C23" s="201" t="s">
        <v>117</v>
      </c>
      <c r="D23" s="201" t="s">
        <v>117</v>
      </c>
      <c r="E23" s="201" t="s">
        <v>117</v>
      </c>
      <c r="F23" s="201" t="s">
        <v>117</v>
      </c>
      <c r="G23" s="201" t="s">
        <v>117</v>
      </c>
      <c r="H23" s="201" t="s">
        <v>117</v>
      </c>
      <c r="I23" s="201" t="s">
        <v>117</v>
      </c>
      <c r="J23" s="201" t="s">
        <v>117</v>
      </c>
      <c r="K23" s="201" t="s">
        <v>117</v>
      </c>
      <c r="L23" s="201" t="s">
        <v>117</v>
      </c>
      <c r="M23" s="201" t="s">
        <v>117</v>
      </c>
      <c r="N23" s="201" t="s">
        <v>117</v>
      </c>
      <c r="O23" s="201" t="s">
        <v>117</v>
      </c>
      <c r="P23" s="201" t="s">
        <v>117</v>
      </c>
      <c r="Q23" s="201" t="s">
        <v>117</v>
      </c>
      <c r="R23" s="201" t="s">
        <v>117</v>
      </c>
      <c r="S23" s="201" t="s">
        <v>117</v>
      </c>
    </row>
    <row r="24" spans="1:53">
      <c r="B24" s="189" t="s">
        <v>275</v>
      </c>
      <c r="C24" s="201">
        <f>+Balance!D15-Balance!D43</f>
        <v>2340460.7095369697</v>
      </c>
      <c r="D24" s="201">
        <f>+Balance!E15-Balance!E43</f>
        <v>1996937.8216586672</v>
      </c>
      <c r="E24" s="201">
        <f>+Balance!F15-Balance!F43</f>
        <v>2207280.184154667</v>
      </c>
      <c r="F24" s="201">
        <f>+Balance!G15-Balance!G43</f>
        <v>2558557.9066506699</v>
      </c>
      <c r="G24" s="201">
        <f>+Balance!H15-Balance!H43</f>
        <v>2898011.1791466624</v>
      </c>
      <c r="H24" s="201">
        <f>+Balance!I15-Balance!I43</f>
        <v>3072872.381642662</v>
      </c>
      <c r="I24" s="201">
        <f>+Balance!J15-Balance!J43</f>
        <v>3540473.7141386718</v>
      </c>
      <c r="J24" s="201">
        <f>+Balance!K15-Balance!K43</f>
        <v>3842985.216634661</v>
      </c>
      <c r="K24" s="201">
        <f>+Balance!L15-Balance!L43</f>
        <v>4132676.5391306728</v>
      </c>
      <c r="L24" s="201">
        <f>+Balance!M15-Balance!M43</f>
        <v>4866864.4916266799</v>
      </c>
      <c r="M24" s="201">
        <f>+Balance!N15-Balance!N43</f>
        <v>5740229.5741226822</v>
      </c>
      <c r="N24" s="201">
        <f>+Balance!O15-Balance!O43</f>
        <v>12450196.274406508</v>
      </c>
      <c r="O24" s="201">
        <f>+Balance!P15-Balance!P43</f>
        <v>12450196.274406508</v>
      </c>
      <c r="P24" s="201">
        <f>+Balance!Q15-Balance!Q43</f>
        <v>23752928.848200545</v>
      </c>
      <c r="Q24" s="201">
        <f>+Balance!R15-Balance!R43</f>
        <v>37058472.159721613</v>
      </c>
      <c r="R24" s="201">
        <f>+Balance!S15-Balance!S43</f>
        <v>46848622.643712163</v>
      </c>
      <c r="S24" s="201">
        <f>+Balance!T15-Balance!T43</f>
        <v>51615569.268982857</v>
      </c>
    </row>
    <row r="25" spans="1:53">
      <c r="B25" s="189" t="s">
        <v>276</v>
      </c>
      <c r="C25" s="211">
        <f>+C24/'Estado De Resultados'!D9</f>
        <v>0.12476739776295415</v>
      </c>
      <c r="D25" s="211">
        <f>+D24/'Estado De Resultados'!E9</f>
        <v>8.8712140622399738E-2</v>
      </c>
      <c r="E25" s="211">
        <f>+E24/'Estado De Resultados'!F9</f>
        <v>8.4048349842441222E-2</v>
      </c>
      <c r="F25" s="211">
        <f>+F24/'Estado De Resultados'!G9</f>
        <v>8.5246200336180286E-2</v>
      </c>
      <c r="G25" s="211">
        <f>+G24/'Estado De Resultados'!H9</f>
        <v>9.6556126758696181E-2</v>
      </c>
      <c r="H25" s="211">
        <f>+H24/'Estado De Resultados'!I9</f>
        <v>0.1170081871832637</v>
      </c>
      <c r="I25" s="211">
        <f>+I24/'Estado De Resultados'!J9</f>
        <v>0.10485487616491423</v>
      </c>
      <c r="J25" s="211">
        <f>+J24/'Estado De Resultados'!K9</f>
        <v>0.12804083378947967</v>
      </c>
      <c r="K25" s="211">
        <f>+K24/'Estado De Resultados'!L9</f>
        <v>0.13769278829438109</v>
      </c>
      <c r="L25" s="211">
        <f>+L24/'Estado De Resultados'!M9</f>
        <v>0.1179305532396878</v>
      </c>
      <c r="M25" s="211">
        <f>+M24/'Estado De Resultados'!N9</f>
        <v>0.12750223058058505</v>
      </c>
      <c r="N25" s="211">
        <f>+N24/'Estado De Resultados'!O9</f>
        <v>0.30168469599052161</v>
      </c>
      <c r="O25" s="211">
        <f>+O24/'Estado De Resultados'!P9</f>
        <v>3.318531655895738E-2</v>
      </c>
      <c r="P25" s="211">
        <f>+P24/'Estado De Resultados'!Q9</f>
        <v>6.1171141491872964E-2</v>
      </c>
      <c r="Q25" s="211">
        <f>+Q24/'Estado De Resultados'!R9</f>
        <v>9.1704653178736106E-2</v>
      </c>
      <c r="R25" s="211">
        <f>+R24/'Estado De Resultados'!S9</f>
        <v>0.11139742060849003</v>
      </c>
      <c r="S25" s="211">
        <f>+S24/'Estado De Resultados'!T9</f>
        <v>0.11793249178846861</v>
      </c>
    </row>
    <row r="26" spans="1:53">
      <c r="B26" s="189" t="s">
        <v>277</v>
      </c>
      <c r="C26" s="209">
        <f>+Balance!D47/Balance!D25</f>
        <v>0.88461382542827049</v>
      </c>
      <c r="D26" s="209">
        <f>+Balance!E47/Balance!E25</f>
        <v>0.90459712724152419</v>
      </c>
      <c r="E26" s="209">
        <f>+Balance!F47/Balance!F25</f>
        <v>0.91978078397437857</v>
      </c>
      <c r="F26" s="209">
        <f>+Balance!G47/Balance!G25</f>
        <v>0.93063983142774609</v>
      </c>
      <c r="G26" s="209">
        <f>+Balance!H47/Balance!H25</f>
        <v>0.93952417211170502</v>
      </c>
      <c r="H26" s="209">
        <f>+Balance!I47/Balance!I25</f>
        <v>0.94808537404225202</v>
      </c>
      <c r="I26" s="209">
        <f>+Balance!J47/Balance!J25</f>
        <v>0.9501542413356564</v>
      </c>
      <c r="J26" s="209">
        <f>+Balance!K47/Balance!K25</f>
        <v>0.95615429992676371</v>
      </c>
      <c r="K26" s="209">
        <f>+Balance!L47/Balance!L25</f>
        <v>0.96136207216496827</v>
      </c>
      <c r="L26" s="209">
        <f>+Balance!M47/Balance!M25</f>
        <v>0.96320836611910898</v>
      </c>
      <c r="M26" s="209">
        <f>+Balance!N47/Balance!N25</f>
        <v>0.96392186420337611</v>
      </c>
      <c r="N26" s="209">
        <f>+Balance!O47/Balance!O25</f>
        <v>0.9357408183934417</v>
      </c>
      <c r="O26" s="209">
        <f>+Balance!P47/Balance!P25</f>
        <v>0.9357408183934417</v>
      </c>
      <c r="P26" s="209">
        <f>+Balance!Q47/Balance!Q25</f>
        <v>0.90950117122311702</v>
      </c>
      <c r="Q26" s="209">
        <f>+Balance!R47/Balance!R25</f>
        <v>0.86377107535046216</v>
      </c>
      <c r="R26" s="209">
        <f>+Balance!S47/Balance!S25</f>
        <v>0.82037557931652783</v>
      </c>
      <c r="S26" s="209">
        <f>+Balance!T47/Balance!T25</f>
        <v>0.80068731997783704</v>
      </c>
    </row>
    <row r="27" spans="1:53">
      <c r="B27" s="188"/>
    </row>
    <row r="28" spans="1:53">
      <c r="B28" s="189" t="s">
        <v>278</v>
      </c>
      <c r="C28" s="209">
        <f>+Balance!D55/Balance!D47</f>
        <v>0.13739461484981516</v>
      </c>
      <c r="D28" s="209">
        <f>+Balance!E55/Balance!E47</f>
        <v>0.12671798299169398</v>
      </c>
      <c r="E28" s="209">
        <f>+Balance!F55/Balance!F47</f>
        <v>0.11312961733387933</v>
      </c>
      <c r="F28" s="209">
        <f>+Balance!G55/Balance!G47</f>
        <v>0.10290368031281991</v>
      </c>
      <c r="G28" s="209">
        <f>+Balance!H55/Balance!H47</f>
        <v>9.4755277956335329E-2</v>
      </c>
      <c r="H28" s="209">
        <f>+Balance!I55/Balance!I47</f>
        <v>8.7809546553507048E-2</v>
      </c>
      <c r="I28" s="209">
        <f>+Balance!J55/Balance!J47</f>
        <v>8.8287884266675068E-2</v>
      </c>
      <c r="J28" s="209">
        <f>+Balance!K55/Balance!K47</f>
        <v>8.2792338027468493E-2</v>
      </c>
      <c r="K28" s="209">
        <f>+Balance!L55/Balance!L47</f>
        <v>7.8051738832153494E-2</v>
      </c>
      <c r="L28" s="209">
        <f>+Balance!M55/Balance!M47</f>
        <v>7.4505463037190009E-2</v>
      </c>
      <c r="M28" s="209">
        <f>+Balance!N55/Balance!N47</f>
        <v>7.1707670415474253E-2</v>
      </c>
      <c r="N28" s="209">
        <f>+Balance!O55/Balance!O47</f>
        <v>6.8671987326238679E-2</v>
      </c>
      <c r="O28" s="209">
        <f>+Balance!P55/Balance!P47</f>
        <v>6.8671987326238679E-2</v>
      </c>
      <c r="P28" s="209">
        <f>+Balance!Q55/Balance!Q47</f>
        <v>9.9503806768141648E-2</v>
      </c>
      <c r="Q28" s="209">
        <f>+Balance!R55/Balance!R47</f>
        <v>0.1582651923917579</v>
      </c>
      <c r="R28" s="209">
        <f>+Balance!S55/Balance!S47</f>
        <v>0.22026585770615784</v>
      </c>
      <c r="S28" s="209">
        <f>+Balance!T55/Balance!T47</f>
        <v>0.25111865501668373</v>
      </c>
    </row>
    <row r="29" spans="1:53">
      <c r="B29" s="189" t="s">
        <v>279</v>
      </c>
      <c r="C29" s="209">
        <f>+Balance!D46/Balance!D47</f>
        <v>0.84846722149101728</v>
      </c>
      <c r="D29" s="209">
        <f>+Balance!E46/Balance!E47</f>
        <v>0.76426600527135247</v>
      </c>
      <c r="E29" s="209">
        <f>+Balance!F46/Balance!F47</f>
        <v>0.66475503703077221</v>
      </c>
      <c r="F29" s="209">
        <f>+Balance!G46/Balance!G47</f>
        <v>0.58772950903050336</v>
      </c>
      <c r="G29" s="209">
        <f>+Balance!H46/Balance!H47</f>
        <v>0.52606506469495762</v>
      </c>
      <c r="H29" s="209">
        <f>+Balance!I46/Balance!I47</f>
        <v>0.47497127233428998</v>
      </c>
      <c r="I29" s="209">
        <f>+Balance!J46/Balance!J47</f>
        <v>0.46318891952859303</v>
      </c>
      <c r="J29" s="209">
        <f>+Balance!K46/Balance!K47</f>
        <v>0.42223815787181224</v>
      </c>
      <c r="K29" s="209">
        <f>+Balance!L46/Balance!L47</f>
        <v>0.38694191993015647</v>
      </c>
      <c r="L29" s="209">
        <f>+Balance!M46/Balance!M47</f>
        <v>0.35676716710740575</v>
      </c>
      <c r="M29" s="209">
        <f>+Balance!N46/Balance!N47</f>
        <v>0.33103862341346985</v>
      </c>
      <c r="N29" s="209">
        <f>+Balance!O46/Balance!O47</f>
        <v>0.30631623821451726</v>
      </c>
      <c r="O29" s="209">
        <f>+Balance!P46/Balance!P47</f>
        <v>0.30631623821451726</v>
      </c>
      <c r="P29" s="209">
        <f>+Balance!Q46/Balance!Q47</f>
        <v>0.25856996582916669</v>
      </c>
      <c r="Q29" s="209">
        <f>+Balance!R46/Balance!R47</f>
        <v>0.19584718464249742</v>
      </c>
      <c r="R29" s="209">
        <f>+Balance!S46/Balance!S47</f>
        <v>0.10548439848092769</v>
      </c>
      <c r="S29" s="209">
        <f>+Balance!T46/Balance!T47</f>
        <v>6.4565309894866918E-16</v>
      </c>
    </row>
    <row r="30" spans="1:53">
      <c r="B30" s="189" t="s">
        <v>280</v>
      </c>
      <c r="C30" s="209">
        <f>+Balance!D43/Balance!D47</f>
        <v>0.15153277850898267</v>
      </c>
      <c r="D30" s="209">
        <f>+Balance!E43/Balance!E47</f>
        <v>0.23573399472864751</v>
      </c>
      <c r="E30" s="209">
        <f>+Balance!F43/Balance!F47</f>
        <v>0.33524496296922784</v>
      </c>
      <c r="F30" s="209">
        <f>+Balance!G43/Balance!G47</f>
        <v>0.41227049096949669</v>
      </c>
      <c r="G30" s="209">
        <f>+Balance!H43/Balance!H47</f>
        <v>0.47393493530504233</v>
      </c>
      <c r="H30" s="209">
        <f>+Balance!I43/Balance!I47</f>
        <v>0.52502872766571007</v>
      </c>
      <c r="I30" s="209">
        <f>+Balance!J43/Balance!J47</f>
        <v>0.53681108047140702</v>
      </c>
      <c r="J30" s="209">
        <f>+Balance!K43/Balance!K47</f>
        <v>0.57776184212818771</v>
      </c>
      <c r="K30" s="209">
        <f>+Balance!L43/Balance!L47</f>
        <v>0.61305808006984353</v>
      </c>
      <c r="L30" s="209">
        <f>+Balance!M43/Balance!M47</f>
        <v>0.64323283289259436</v>
      </c>
      <c r="M30" s="209">
        <f>+Balance!N43/Balance!N47</f>
        <v>0.66896137658653021</v>
      </c>
      <c r="N30" s="209">
        <f>+Balance!O43/Balance!O47</f>
        <v>0.69368376178548274</v>
      </c>
      <c r="O30" s="209">
        <f>+Balance!P43/Balance!P47</f>
        <v>0.69368376178548274</v>
      </c>
      <c r="P30" s="209">
        <f>+Balance!Q43/Balance!Q47</f>
        <v>0.7414300341708332</v>
      </c>
      <c r="Q30" s="209">
        <f>+Balance!R43/Balance!R47</f>
        <v>0.8041528153575026</v>
      </c>
      <c r="R30" s="209">
        <f>+Balance!S43/Balance!S47</f>
        <v>0.89451560151907228</v>
      </c>
      <c r="S30" s="209">
        <f>+Balance!T43/Balance!T47</f>
        <v>0.99999999999999944</v>
      </c>
    </row>
    <row r="31" spans="1:53" s="76" customFormat="1"/>
    <row r="32" spans="1:53" s="76" customFormat="1"/>
    <row r="33" s="76" customFormat="1"/>
    <row r="34" s="76" customFormat="1"/>
    <row r="35" s="76" customFormat="1"/>
    <row r="36" s="76" customFormat="1"/>
    <row r="37" s="76" customFormat="1"/>
    <row r="38" s="76" customFormat="1"/>
    <row r="39" s="76" customFormat="1"/>
    <row r="40" s="76" customFormat="1"/>
    <row r="41" s="76" customFormat="1"/>
    <row r="42" s="76" customFormat="1"/>
    <row r="43" s="76" customFormat="1"/>
    <row r="44" s="76" customFormat="1"/>
    <row r="45" s="76" customFormat="1"/>
    <row r="46" s="76" customFormat="1"/>
    <row r="47" s="76" customFormat="1"/>
    <row r="48" s="76" customFormat="1"/>
    <row r="49" s="76" customFormat="1"/>
    <row r="50" s="76" customFormat="1"/>
    <row r="51" s="76" customFormat="1"/>
    <row r="52" s="76" customFormat="1"/>
    <row r="53" s="76" customFormat="1"/>
    <row r="54" s="76" customFormat="1"/>
    <row r="55" s="76" customFormat="1"/>
    <row r="56" s="76" customFormat="1"/>
    <row r="57" s="76" customFormat="1"/>
    <row r="58" s="76" customFormat="1"/>
    <row r="59" s="76" customFormat="1"/>
    <row r="60" s="76" customFormat="1"/>
    <row r="61" s="76" customFormat="1"/>
    <row r="62" s="76" customFormat="1"/>
    <row r="63" s="76" customFormat="1"/>
    <row r="64" s="76" customFormat="1"/>
    <row r="65" s="76" customFormat="1"/>
    <row r="66" s="76" customFormat="1"/>
    <row r="67" s="76" customFormat="1"/>
    <row r="68" s="76" customFormat="1"/>
    <row r="69" s="76" customFormat="1"/>
    <row r="70" s="76" customFormat="1"/>
    <row r="71" s="76" customFormat="1"/>
    <row r="72" s="76" customFormat="1"/>
    <row r="73" s="76" customFormat="1"/>
    <row r="74" s="76" customFormat="1"/>
    <row r="75" s="76" customFormat="1"/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PRESENTACION </vt:lpstr>
      <vt:lpstr>DATOS GENERALES</vt:lpstr>
      <vt:lpstr>Detalle escenarios</vt:lpstr>
      <vt:lpstr>Ppto Gral</vt:lpstr>
      <vt:lpstr>Nomina</vt:lpstr>
      <vt:lpstr>Ppto Aplic</vt:lpstr>
      <vt:lpstr>Balance</vt:lpstr>
      <vt:lpstr>Estado De Resultados</vt:lpstr>
      <vt:lpstr>INDICADORES</vt:lpstr>
      <vt:lpstr>Flujo de caja</vt:lpstr>
      <vt:lpstr>Gráficas</vt:lpstr>
      <vt:lpstr>Evaluacion de Proyecto</vt:lpstr>
      <vt:lpstr>'Ppto Aplic'!Área_de_impresión</vt:lpstr>
      <vt:lpstr>CFIJOS</vt:lpstr>
      <vt:lpstr>COMISION</vt:lpstr>
      <vt:lpstr>COMISIÓN</vt:lpstr>
      <vt:lpstr>CVARIABLE</vt:lpstr>
      <vt:lpstr>GASTOS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Ferrin</dc:creator>
  <cp:lastModifiedBy>Fausto Alexander Ramirez Ladino</cp:lastModifiedBy>
  <cp:lastPrinted>2022-03-08T02:03:11Z</cp:lastPrinted>
  <dcterms:created xsi:type="dcterms:W3CDTF">2017-10-24T00:08:46Z</dcterms:created>
  <dcterms:modified xsi:type="dcterms:W3CDTF">2022-03-08T02:03:45Z</dcterms:modified>
</cp:coreProperties>
</file>