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ontabilidad-01\Drive\MIS DOCUMENTOS\CLARA\AIDA GOMEZ\PERSONAL\ESPECIALIZACION GAF82\OPCION TRABAJO DE GRADO\TRABAJO FINAL GRADO\ENTREGA DEFINITIVA\"/>
    </mc:Choice>
  </mc:AlternateContent>
  <xr:revisionPtr revIDLastSave="0" documentId="8_{DFDD2181-012D-4D55-BAA8-36A1E50E61D4}" xr6:coauthVersionLast="47" xr6:coauthVersionMax="47" xr10:uidLastSave="{00000000-0000-0000-0000-000000000000}"/>
  <bookViews>
    <workbookView xWindow="-120" yWindow="-120" windowWidth="20730" windowHeight="11160" tabRatio="824" xr2:uid="{00000000-000D-0000-FFFF-FFFF00000000}"/>
  </bookViews>
  <sheets>
    <sheet name="Menú de Navegación" sheetId="15" r:id="rId1"/>
    <sheet name="Proyecciones" sheetId="7" r:id="rId2"/>
    <sheet name="Indicadores " sheetId="13" r:id="rId3"/>
    <sheet name="Costo De Ventas " sheetId="6" r:id="rId4"/>
    <sheet name="Riesgo Sector" sheetId="10" r:id="rId5"/>
    <sheet name="Escenarios" sheetId="14" r:id="rId6"/>
    <sheet name="PIB" sheetId="9" state="hidden" r:id="rId7"/>
    <sheet name="GUIA" sheetId="8" state="hidden" r:id="rId8"/>
    <sheet name="Nomina" sheetId="4" state="hidden" r:id="rId9"/>
  </sheets>
  <externalReferences>
    <externalReference r:id="rId10"/>
    <externalReference r:id="rId11"/>
  </externalReferences>
  <definedNames>
    <definedName name="ANALISIS_1">Proyecciones!#REF!</definedName>
    <definedName name="ANALISIS_2">Proyecciones!#REF!</definedName>
    <definedName name="DATOS">#REF!</definedName>
    <definedName name="EBITDA">Proyecciones!$B$183</definedName>
    <definedName name="ENTRADA">Proyecciones!$A$2</definedName>
    <definedName name="ER">Proyecciones!$B$53</definedName>
    <definedName name="ESF">Proyecciones!$B$70</definedName>
    <definedName name="EVA">Proyecciones!$B$166</definedName>
    <definedName name="FCL">Proyecciones!$B$125</definedName>
    <definedName name="IPC" localSheetId="3">[1]INDICADORES!$C$17</definedName>
    <definedName name="IPC">Nomina!#REF!</definedName>
    <definedName name="MRE">Proyecciones!$B$256</definedName>
    <definedName name="NUMERO">[2]SIMULACIÓN!$J$201</definedName>
    <definedName name="PROCESO">Proyecciones!$A$27</definedName>
    <definedName name="PT">Proyecciones!$B$97</definedName>
    <definedName name="RESULTADO">#REF!</definedName>
    <definedName name="SALIDA">Proyecciones!#REF!</definedName>
    <definedName name="utilidad">Proyecciones!$C$68:$H$68</definedName>
    <definedName name="VC">Proyecciones!$B$231</definedName>
    <definedName name="VP">Proyecciones!$B$239</definedName>
    <definedName name="WACC">Proyecciones!$B$148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67" i="7" l="1"/>
  <c r="Z66" i="7"/>
  <c r="AA15" i="7"/>
  <c r="AB15" i="7" s="1"/>
  <c r="AA16" i="7"/>
  <c r="AA14" i="7"/>
  <c r="D5" i="15"/>
  <c r="H10" i="10"/>
  <c r="I10" i="10"/>
  <c r="J3" i="10"/>
  <c r="K3" i="10" s="1"/>
  <c r="L3" i="10" s="1"/>
  <c r="M3" i="10" s="1"/>
  <c r="I3" i="10"/>
  <c r="J10" i="10"/>
  <c r="K10" i="10"/>
  <c r="L10" i="10"/>
  <c r="M10" i="10"/>
  <c r="J1" i="6"/>
  <c r="K1" i="6"/>
  <c r="L1" i="6"/>
  <c r="M1" i="6"/>
  <c r="M142" i="7"/>
  <c r="I5" i="7"/>
  <c r="J5" i="7" s="1"/>
  <c r="K5" i="7" s="1"/>
  <c r="L5" i="7" s="1"/>
  <c r="M5" i="7" s="1"/>
  <c r="I4" i="7"/>
  <c r="J4" i="7" s="1"/>
  <c r="K4" i="7" s="1"/>
  <c r="L4" i="7" s="1"/>
  <c r="M4" i="7" s="1"/>
  <c r="I3" i="7"/>
  <c r="J3" i="7" s="1"/>
  <c r="K3" i="7" s="1"/>
  <c r="L3" i="7" s="1"/>
  <c r="M3" i="7" s="1"/>
  <c r="D10" i="7"/>
  <c r="C9" i="7"/>
  <c r="D85" i="10"/>
  <c r="M2" i="6" l="1"/>
  <c r="L2" i="6"/>
  <c r="K2" i="6"/>
  <c r="J2" i="6"/>
  <c r="AB16" i="7"/>
  <c r="AB14" i="7"/>
  <c r="AB8" i="7"/>
  <c r="AB9" i="7"/>
  <c r="AB10" i="7"/>
  <c r="AB11" i="7"/>
  <c r="AB12" i="7"/>
  <c r="AB13" i="7"/>
  <c r="AB21" i="7"/>
  <c r="AA22" i="7"/>
  <c r="AB22" i="7" s="1"/>
  <c r="AB23" i="7"/>
  <c r="AA24" i="7"/>
  <c r="AB24" i="7" s="1"/>
  <c r="AB25" i="7"/>
  <c r="AB26" i="7"/>
  <c r="AA27" i="7"/>
  <c r="AB27" i="7" s="1"/>
  <c r="AB28" i="7"/>
  <c r="AB32" i="7"/>
  <c r="AB33" i="7"/>
  <c r="AB34" i="7"/>
  <c r="AB35" i="7"/>
  <c r="AB37" i="7"/>
  <c r="AB38" i="7"/>
  <c r="AB39" i="7"/>
  <c r="Z40" i="7"/>
  <c r="AB40" i="7" s="1"/>
  <c r="AB41" i="7"/>
  <c r="AB42" i="7"/>
  <c r="AB50" i="7"/>
  <c r="AC50" i="7"/>
  <c r="AB52" i="7"/>
  <c r="AC52" i="7"/>
  <c r="AB56" i="7"/>
  <c r="AC56" i="7"/>
  <c r="AB57" i="7"/>
  <c r="AC57" i="7"/>
  <c r="AB58" i="7"/>
  <c r="AC58" i="7"/>
  <c r="AB61" i="7"/>
  <c r="AC61" i="7"/>
  <c r="AC62" i="7"/>
  <c r="AB63" i="7"/>
  <c r="AC63" i="7"/>
  <c r="AB64" i="7"/>
  <c r="AC64" i="7"/>
  <c r="AB65" i="7"/>
  <c r="AC65" i="7"/>
  <c r="C8" i="7" l="1"/>
  <c r="AC67" i="7"/>
  <c r="C5" i="6"/>
  <c r="C134" i="7" l="1"/>
  <c r="M39" i="7"/>
  <c r="I39" i="7"/>
  <c r="J39" i="7"/>
  <c r="I40" i="7"/>
  <c r="J40" i="7"/>
  <c r="J59" i="7" s="1"/>
  <c r="K40" i="7"/>
  <c r="K59" i="7" s="1"/>
  <c r="L40" i="7"/>
  <c r="L59" i="7" s="1"/>
  <c r="M40" i="7"/>
  <c r="M59" i="7" s="1"/>
  <c r="K39" i="7"/>
  <c r="L39" i="7"/>
  <c r="AC66" i="7"/>
  <c r="AB66" i="7"/>
  <c r="D49" i="10"/>
  <c r="D43" i="10"/>
  <c r="D40" i="10"/>
  <c r="D37" i="10"/>
  <c r="D36" i="10"/>
  <c r="K191" i="7" l="1"/>
  <c r="K132" i="7"/>
  <c r="L191" i="7"/>
  <c r="L132" i="7"/>
  <c r="I59" i="7"/>
  <c r="J132" i="7"/>
  <c r="J191" i="7"/>
  <c r="M191" i="7"/>
  <c r="M132" i="7"/>
  <c r="D38" i="10"/>
  <c r="D41" i="10" s="1"/>
  <c r="D45" i="10" s="1"/>
  <c r="I2" i="6"/>
  <c r="G2" i="6"/>
  <c r="F2" i="6"/>
  <c r="E2" i="6"/>
  <c r="I132" i="7" l="1"/>
  <c r="I191" i="7"/>
  <c r="AD50" i="7"/>
  <c r="AD61" i="7"/>
  <c r="AE61" i="7" s="1"/>
  <c r="AF61" i="7" s="1"/>
  <c r="AD67" i="7"/>
  <c r="AE67" i="7" s="1"/>
  <c r="AF67" i="7" s="1"/>
  <c r="AD65" i="7"/>
  <c r="AE65" i="7" s="1"/>
  <c r="AF65" i="7" s="1"/>
  <c r="AD66" i="7"/>
  <c r="AE66" i="7" s="1"/>
  <c r="AF66" i="7" s="1"/>
  <c r="AD62" i="7"/>
  <c r="AE62" i="7" s="1"/>
  <c r="AF62" i="7" s="1"/>
  <c r="AD52" i="7"/>
  <c r="AE52" i="7" s="1"/>
  <c r="AF52" i="7" s="1"/>
  <c r="AD63" i="7"/>
  <c r="AE63" i="7" s="1"/>
  <c r="AF63" i="7" s="1"/>
  <c r="AD64" i="7"/>
  <c r="AE64" i="7" s="1"/>
  <c r="AF64" i="7" s="1"/>
  <c r="AD56" i="7"/>
  <c r="AE56" i="7" s="1"/>
  <c r="AD57" i="7"/>
  <c r="AE57" i="7" s="1"/>
  <c r="AD58" i="7"/>
  <c r="AE58" i="7" s="1"/>
  <c r="C17" i="6"/>
  <c r="D17" i="6"/>
  <c r="AE50" i="7" l="1"/>
  <c r="E17" i="6"/>
  <c r="C16" i="4"/>
  <c r="C15" i="4"/>
  <c r="AA51" i="7" l="1"/>
  <c r="AA53" i="7"/>
  <c r="AF50" i="7"/>
  <c r="F17" i="6"/>
  <c r="B268" i="7"/>
  <c r="B262" i="7"/>
  <c r="C243" i="7"/>
  <c r="C197" i="7"/>
  <c r="C196" i="7"/>
  <c r="AC53" i="7" l="1"/>
  <c r="AD53" i="7" s="1"/>
  <c r="AE53" i="7" s="1"/>
  <c r="AB53" i="7"/>
  <c r="AB51" i="7"/>
  <c r="AC51" i="7"/>
  <c r="C198" i="7"/>
  <c r="AB68" i="7" l="1"/>
  <c r="AC68" i="7"/>
  <c r="AD51" i="7"/>
  <c r="D28" i="7"/>
  <c r="C24" i="7"/>
  <c r="E85" i="10"/>
  <c r="F85" i="10"/>
  <c r="G85" i="10"/>
  <c r="H85" i="10"/>
  <c r="N82" i="10"/>
  <c r="K82" i="10"/>
  <c r="N81" i="10"/>
  <c r="K81" i="10"/>
  <c r="N80" i="10"/>
  <c r="K80" i="10"/>
  <c r="N79" i="10"/>
  <c r="K79" i="10"/>
  <c r="C59" i="10"/>
  <c r="B59" i="10"/>
  <c r="C25" i="7"/>
  <c r="D52" i="10"/>
  <c r="D48" i="10"/>
  <c r="AE51" i="7" l="1"/>
  <c r="AE68" i="7" s="1"/>
  <c r="AD68" i="7"/>
  <c r="D66" i="10"/>
  <c r="D35" i="10" l="1"/>
  <c r="D10" i="10"/>
  <c r="D11" i="10"/>
  <c r="D159" i="7" s="1"/>
  <c r="G10" i="10"/>
  <c r="F10" i="10"/>
  <c r="E10" i="10"/>
  <c r="C23" i="7" l="1"/>
  <c r="E11" i="10"/>
  <c r="E159" i="7" l="1"/>
  <c r="F11" i="10"/>
  <c r="F159" i="7" l="1"/>
  <c r="G11" i="10"/>
  <c r="G159" i="7" l="1"/>
  <c r="H11" i="10"/>
  <c r="I11" i="10" s="1"/>
  <c r="J11" i="10" l="1"/>
  <c r="I159" i="7"/>
  <c r="H159" i="7"/>
  <c r="K11" i="10" l="1"/>
  <c r="J159" i="7"/>
  <c r="D47" i="7"/>
  <c r="S3" i="6"/>
  <c r="C58" i="7"/>
  <c r="BO4" i="9"/>
  <c r="BN4" i="9"/>
  <c r="BM4" i="9"/>
  <c r="BL4" i="9"/>
  <c r="BK4" i="9"/>
  <c r="BJ4" i="9"/>
  <c r="BI4" i="9"/>
  <c r="BH4" i="9"/>
  <c r="BG4" i="9"/>
  <c r="BF4" i="9"/>
  <c r="BE4" i="9"/>
  <c r="BD4" i="9"/>
  <c r="BC4" i="9"/>
  <c r="BB4" i="9"/>
  <c r="BA4" i="9"/>
  <c r="AZ4" i="9"/>
  <c r="AY4" i="9"/>
  <c r="AX4" i="9"/>
  <c r="AW4" i="9"/>
  <c r="AV4" i="9"/>
  <c r="AU4" i="9"/>
  <c r="AT4" i="9"/>
  <c r="AS4" i="9"/>
  <c r="AR4" i="9"/>
  <c r="AQ4" i="9"/>
  <c r="AP4" i="9"/>
  <c r="AO4" i="9"/>
  <c r="AN4" i="9"/>
  <c r="AM4" i="9"/>
  <c r="AL4" i="9"/>
  <c r="AK4" i="9"/>
  <c r="AJ4" i="9"/>
  <c r="AI4" i="9"/>
  <c r="AH4" i="9"/>
  <c r="AG4" i="9"/>
  <c r="AF4" i="9"/>
  <c r="AE4" i="9"/>
  <c r="AD4" i="9"/>
  <c r="AC4" i="9"/>
  <c r="AB4" i="9"/>
  <c r="AA4" i="9"/>
  <c r="Z4" i="9"/>
  <c r="Y4" i="9"/>
  <c r="X4" i="9"/>
  <c r="W4" i="9"/>
  <c r="V4" i="9"/>
  <c r="U4" i="9"/>
  <c r="T4" i="9"/>
  <c r="S4" i="9"/>
  <c r="R4" i="9"/>
  <c r="Q4" i="9"/>
  <c r="P4" i="9"/>
  <c r="O4" i="9"/>
  <c r="N4" i="9"/>
  <c r="M4" i="9"/>
  <c r="L4" i="9"/>
  <c r="K4" i="9"/>
  <c r="J4" i="9"/>
  <c r="I4" i="9"/>
  <c r="H4" i="9"/>
  <c r="G4" i="9"/>
  <c r="F4" i="9"/>
  <c r="E4" i="9"/>
  <c r="BO2" i="9"/>
  <c r="BN2" i="9"/>
  <c r="BM2" i="9"/>
  <c r="BL2" i="9"/>
  <c r="BK2" i="9"/>
  <c r="BJ2" i="9"/>
  <c r="BI2" i="9"/>
  <c r="BH2" i="9"/>
  <c r="BG2" i="9"/>
  <c r="BF2" i="9"/>
  <c r="BE2" i="9"/>
  <c r="BD2" i="9"/>
  <c r="BC2" i="9"/>
  <c r="BB2" i="9"/>
  <c r="BA2" i="9"/>
  <c r="AZ2" i="9"/>
  <c r="AY2" i="9"/>
  <c r="AX2" i="9"/>
  <c r="AW2" i="9"/>
  <c r="AV2" i="9"/>
  <c r="AU2" i="9"/>
  <c r="AT2" i="9"/>
  <c r="AS2" i="9"/>
  <c r="AR2" i="9"/>
  <c r="AQ2" i="9"/>
  <c r="AP2" i="9"/>
  <c r="AO2" i="9"/>
  <c r="AN2" i="9"/>
  <c r="AM2" i="9"/>
  <c r="AL2" i="9"/>
  <c r="AK2" i="9"/>
  <c r="AJ2" i="9"/>
  <c r="AI2" i="9"/>
  <c r="AH2" i="9"/>
  <c r="AG2" i="9"/>
  <c r="AF2" i="9"/>
  <c r="AE2" i="9"/>
  <c r="AD2" i="9"/>
  <c r="AC2" i="9"/>
  <c r="AB2" i="9"/>
  <c r="AA2" i="9"/>
  <c r="Z2" i="9"/>
  <c r="Y2" i="9"/>
  <c r="X2" i="9"/>
  <c r="W2" i="9"/>
  <c r="V2" i="9"/>
  <c r="U2" i="9"/>
  <c r="T2" i="9"/>
  <c r="S2" i="9"/>
  <c r="R2" i="9"/>
  <c r="Q2" i="9"/>
  <c r="P2" i="9"/>
  <c r="O2" i="9"/>
  <c r="N2" i="9"/>
  <c r="M2" i="9"/>
  <c r="L2" i="9"/>
  <c r="K2" i="9"/>
  <c r="J2" i="9"/>
  <c r="I2" i="9"/>
  <c r="H2" i="9"/>
  <c r="G2" i="9"/>
  <c r="F2" i="9"/>
  <c r="E2" i="9"/>
  <c r="D4" i="9"/>
  <c r="D2" i="9"/>
  <c r="D5" i="6"/>
  <c r="L11" i="10" l="1"/>
  <c r="K159" i="7"/>
  <c r="BP2" i="9"/>
  <c r="BP4" i="9"/>
  <c r="C108" i="7"/>
  <c r="C201" i="7"/>
  <c r="C208" i="7"/>
  <c r="C195" i="7"/>
  <c r="C185" i="7"/>
  <c r="C167" i="7"/>
  <c r="C148" i="7"/>
  <c r="C125" i="7"/>
  <c r="C97" i="7"/>
  <c r="C70" i="7"/>
  <c r="C53" i="7"/>
  <c r="C45" i="7"/>
  <c r="D29" i="7"/>
  <c r="E29" i="7" s="1"/>
  <c r="F29" i="7" s="1"/>
  <c r="G29" i="7" s="1"/>
  <c r="H29" i="7" s="1"/>
  <c r="I29" i="7" s="1"/>
  <c r="J29" i="7" s="1"/>
  <c r="K29" i="7" s="1"/>
  <c r="L29" i="7" s="1"/>
  <c r="M29" i="7" s="1"/>
  <c r="N29" i="7" s="1"/>
  <c r="C27" i="7"/>
  <c r="E5" i="7"/>
  <c r="F5" i="7" s="1"/>
  <c r="G5" i="7" s="1"/>
  <c r="G3" i="7"/>
  <c r="H234" i="7" s="1"/>
  <c r="J234" i="7" s="1"/>
  <c r="D2" i="7"/>
  <c r="E5" i="6"/>
  <c r="E1" i="6"/>
  <c r="F1" i="6" s="1"/>
  <c r="G1" i="6" s="1"/>
  <c r="H1" i="6" s="1"/>
  <c r="I1" i="6" s="1"/>
  <c r="L159" i="7" l="1"/>
  <c r="M11" i="10"/>
  <c r="M159" i="7" s="1"/>
  <c r="C6" i="6"/>
  <c r="C11" i="6"/>
  <c r="H2" i="6"/>
  <c r="U3" i="6"/>
  <c r="V3" i="6" s="1"/>
  <c r="D54" i="7"/>
  <c r="D15" i="6" s="1"/>
  <c r="D13" i="6"/>
  <c r="F5" i="6"/>
  <c r="D167" i="7"/>
  <c r="D53" i="7"/>
  <c r="P53" i="7" s="1"/>
  <c r="D185" i="7"/>
  <c r="D148" i="7"/>
  <c r="D195" i="7"/>
  <c r="D208" i="7"/>
  <c r="D125" i="7"/>
  <c r="D70" i="7"/>
  <c r="E2" i="7"/>
  <c r="D45" i="7"/>
  <c r="E28" i="7"/>
  <c r="D97" i="7"/>
  <c r="D27" i="7"/>
  <c r="AF51" i="7" l="1"/>
  <c r="AF53" i="7"/>
  <c r="AG53" i="7" s="1"/>
  <c r="AH53" i="7" s="1"/>
  <c r="AI53" i="7" s="1"/>
  <c r="AJ53" i="7" s="1"/>
  <c r="AK53" i="7" s="1"/>
  <c r="AL53" i="7" s="1"/>
  <c r="AG62" i="7"/>
  <c r="AH62" i="7" s="1"/>
  <c r="AI62" i="7" s="1"/>
  <c r="AJ62" i="7" s="1"/>
  <c r="AK62" i="7" s="1"/>
  <c r="AL62" i="7" s="1"/>
  <c r="AG61" i="7"/>
  <c r="AH61" i="7" s="1"/>
  <c r="AI61" i="7" s="1"/>
  <c r="AJ61" i="7" s="1"/>
  <c r="AF56" i="7"/>
  <c r="AG56" i="7" s="1"/>
  <c r="AH56" i="7" s="1"/>
  <c r="AG52" i="7"/>
  <c r="AH52" i="7" s="1"/>
  <c r="AG67" i="7"/>
  <c r="AH67" i="7" s="1"/>
  <c r="AI67" i="7" s="1"/>
  <c r="AJ67" i="7" s="1"/>
  <c r="AK67" i="7" s="1"/>
  <c r="AL67" i="7" s="1"/>
  <c r="AF57" i="7"/>
  <c r="AG57" i="7" s="1"/>
  <c r="AH57" i="7" s="1"/>
  <c r="AI57" i="7" s="1"/>
  <c r="AJ57" i="7" s="1"/>
  <c r="AK57" i="7" s="1"/>
  <c r="AG63" i="7"/>
  <c r="AH63" i="7" s="1"/>
  <c r="AI63" i="7" s="1"/>
  <c r="AJ63" i="7" s="1"/>
  <c r="AK63" i="7" s="1"/>
  <c r="AL63" i="7" s="1"/>
  <c r="AG65" i="7"/>
  <c r="AH65" i="7" s="1"/>
  <c r="AI65" i="7" s="1"/>
  <c r="AJ65" i="7" s="1"/>
  <c r="AK65" i="7" s="1"/>
  <c r="AL65" i="7" s="1"/>
  <c r="AF58" i="7"/>
  <c r="AG58" i="7" s="1"/>
  <c r="AH58" i="7" s="1"/>
  <c r="AI58" i="7" s="1"/>
  <c r="AJ58" i="7" s="1"/>
  <c r="AK58" i="7" s="1"/>
  <c r="AG64" i="7"/>
  <c r="AH64" i="7" s="1"/>
  <c r="AI64" i="7" s="1"/>
  <c r="AJ64" i="7" s="1"/>
  <c r="AK64" i="7" s="1"/>
  <c r="AL64" i="7" s="1"/>
  <c r="AG66" i="7"/>
  <c r="AH66" i="7" s="1"/>
  <c r="AI66" i="7" s="1"/>
  <c r="AJ66" i="7" s="1"/>
  <c r="AK66" i="7" s="1"/>
  <c r="AL66" i="7" s="1"/>
  <c r="AG50" i="7"/>
  <c r="AH50" i="7" s="1"/>
  <c r="D6" i="6"/>
  <c r="D11" i="6"/>
  <c r="U4" i="6"/>
  <c r="V4" i="6" s="1"/>
  <c r="D77" i="10"/>
  <c r="D196" i="7"/>
  <c r="C7" i="6"/>
  <c r="AB44" i="7" s="1"/>
  <c r="AB46" i="7" s="1"/>
  <c r="AC46" i="7" s="1"/>
  <c r="D73" i="7"/>
  <c r="D100" i="7" s="1"/>
  <c r="E13" i="6"/>
  <c r="G5" i="6"/>
  <c r="E54" i="7"/>
  <c r="F28" i="7"/>
  <c r="E185" i="7"/>
  <c r="E148" i="7"/>
  <c r="E195" i="7"/>
  <c r="E208" i="7"/>
  <c r="E125" i="7"/>
  <c r="E70" i="7"/>
  <c r="E97" i="7"/>
  <c r="E53" i="7"/>
  <c r="Q53" i="7" s="1"/>
  <c r="E45" i="7"/>
  <c r="F2" i="7"/>
  <c r="E27" i="7"/>
  <c r="E167" i="7"/>
  <c r="AK61" i="7" l="1"/>
  <c r="AI56" i="7"/>
  <c r="I17" i="6"/>
  <c r="AL58" i="7"/>
  <c r="AL57" i="7"/>
  <c r="AI50" i="7"/>
  <c r="AI52" i="7"/>
  <c r="E15" i="6"/>
  <c r="P54" i="7"/>
  <c r="AG51" i="7"/>
  <c r="AF68" i="7"/>
  <c r="E6" i="6"/>
  <c r="E11" i="6"/>
  <c r="U5" i="6"/>
  <c r="V5" i="6" s="1"/>
  <c r="G17" i="6"/>
  <c r="H17" i="6"/>
  <c r="E77" i="10"/>
  <c r="E196" i="7"/>
  <c r="F13" i="6"/>
  <c r="D7" i="6"/>
  <c r="H5" i="6"/>
  <c r="I5" i="6" s="1"/>
  <c r="E73" i="7"/>
  <c r="E100" i="7" s="1"/>
  <c r="F54" i="7"/>
  <c r="G28" i="7"/>
  <c r="F185" i="7"/>
  <c r="F148" i="7"/>
  <c r="F195" i="7"/>
  <c r="F208" i="7"/>
  <c r="F125" i="7"/>
  <c r="F70" i="7"/>
  <c r="F97" i="7"/>
  <c r="F167" i="7"/>
  <c r="F53" i="7"/>
  <c r="R53" i="7" s="1"/>
  <c r="F45" i="7"/>
  <c r="G2" i="7"/>
  <c r="F27" i="7"/>
  <c r="I13" i="6" l="1"/>
  <c r="AG68" i="7"/>
  <c r="AH51" i="7"/>
  <c r="AJ52" i="7"/>
  <c r="J5" i="6"/>
  <c r="J17" i="6"/>
  <c r="AJ56" i="7"/>
  <c r="AL61" i="7"/>
  <c r="AJ50" i="7"/>
  <c r="F15" i="6"/>
  <c r="Q54" i="7"/>
  <c r="G6" i="6"/>
  <c r="G11" i="6"/>
  <c r="F6" i="6"/>
  <c r="F7" i="6" s="1"/>
  <c r="F11" i="6"/>
  <c r="G13" i="6"/>
  <c r="F77" i="10"/>
  <c r="F196" i="7"/>
  <c r="E7" i="6"/>
  <c r="H13" i="6"/>
  <c r="G195" i="7"/>
  <c r="G208" i="7"/>
  <c r="G125" i="7"/>
  <c r="G70" i="7"/>
  <c r="G97" i="7"/>
  <c r="G167" i="7"/>
  <c r="G53" i="7"/>
  <c r="S53" i="7" s="1"/>
  <c r="G45" i="7"/>
  <c r="H2" i="7"/>
  <c r="G148" i="7"/>
  <c r="G185" i="7"/>
  <c r="G27" i="7"/>
  <c r="G54" i="7"/>
  <c r="H28" i="7"/>
  <c r="I28" i="7" s="1"/>
  <c r="J28" i="7" s="1"/>
  <c r="K28" i="7" s="1"/>
  <c r="L28" i="7" s="1"/>
  <c r="M28" i="7" s="1"/>
  <c r="F73" i="7"/>
  <c r="I54" i="7" l="1"/>
  <c r="I73" i="7" s="1"/>
  <c r="I6" i="6"/>
  <c r="I7" i="6" s="1"/>
  <c r="J54" i="7"/>
  <c r="J13" i="6"/>
  <c r="I11" i="6"/>
  <c r="AK50" i="7"/>
  <c r="K5" i="6"/>
  <c r="AK52" i="7"/>
  <c r="K17" i="6"/>
  <c r="AK56" i="7"/>
  <c r="AI51" i="7"/>
  <c r="I9" i="6"/>
  <c r="AH68" i="7"/>
  <c r="I2" i="7"/>
  <c r="G15" i="6"/>
  <c r="R54" i="7"/>
  <c r="H6" i="6"/>
  <c r="H7" i="6" s="1"/>
  <c r="H11" i="6"/>
  <c r="G77" i="10"/>
  <c r="G196" i="7"/>
  <c r="G7" i="6"/>
  <c r="G73" i="7"/>
  <c r="F100" i="7"/>
  <c r="H195" i="7"/>
  <c r="H208" i="7"/>
  <c r="H125" i="7"/>
  <c r="H70" i="7"/>
  <c r="H97" i="7"/>
  <c r="H167" i="7"/>
  <c r="H53" i="7"/>
  <c r="H185" i="7"/>
  <c r="H148" i="7"/>
  <c r="H27" i="7"/>
  <c r="H45" i="7"/>
  <c r="H54" i="7"/>
  <c r="I58" i="7" l="1"/>
  <c r="I108" i="7" s="1"/>
  <c r="I196" i="7"/>
  <c r="I15" i="6"/>
  <c r="I19" i="6" s="1"/>
  <c r="J2" i="7"/>
  <c r="I167" i="7"/>
  <c r="I53" i="7"/>
  <c r="I208" i="7"/>
  <c r="I125" i="7"/>
  <c r="I195" i="7"/>
  <c r="I185" i="7"/>
  <c r="I70" i="7"/>
  <c r="I45" i="7"/>
  <c r="I148" i="7"/>
  <c r="I27" i="7"/>
  <c r="I97" i="7"/>
  <c r="J73" i="7"/>
  <c r="J100" i="7" s="1"/>
  <c r="J15" i="6"/>
  <c r="J196" i="7"/>
  <c r="J58" i="7"/>
  <c r="K54" i="7"/>
  <c r="J6" i="6"/>
  <c r="J7" i="6" s="1"/>
  <c r="K13" i="6"/>
  <c r="J11" i="6"/>
  <c r="AJ51" i="7"/>
  <c r="J9" i="6"/>
  <c r="AI68" i="7"/>
  <c r="AL52" i="7"/>
  <c r="L5" i="6"/>
  <c r="AL56" i="7"/>
  <c r="M17" i="6" s="1"/>
  <c r="L17" i="6"/>
  <c r="AL50" i="7"/>
  <c r="H15" i="6"/>
  <c r="S54" i="7"/>
  <c r="H77" i="10"/>
  <c r="H196" i="7"/>
  <c r="H73" i="7"/>
  <c r="G100" i="7"/>
  <c r="I201" i="7" l="1"/>
  <c r="I60" i="7"/>
  <c r="I55" i="7"/>
  <c r="I56" i="7" s="1"/>
  <c r="I21" i="6"/>
  <c r="K2" i="7"/>
  <c r="J97" i="7"/>
  <c r="J167" i="7"/>
  <c r="J27" i="7"/>
  <c r="J53" i="7"/>
  <c r="J208" i="7"/>
  <c r="J45" i="7"/>
  <c r="J125" i="7"/>
  <c r="J185" i="7"/>
  <c r="J70" i="7"/>
  <c r="J148" i="7"/>
  <c r="J195" i="7"/>
  <c r="J19" i="6"/>
  <c r="J55" i="7" s="1"/>
  <c r="J60" i="7"/>
  <c r="J108" i="7"/>
  <c r="J201" i="7"/>
  <c r="H100" i="7"/>
  <c r="I100" i="7"/>
  <c r="K73" i="7"/>
  <c r="K100" i="7" s="1"/>
  <c r="K196" i="7"/>
  <c r="K15" i="6"/>
  <c r="K58" i="7"/>
  <c r="L54" i="7"/>
  <c r="K6" i="6"/>
  <c r="K7" i="6" s="1"/>
  <c r="L13" i="6"/>
  <c r="K11" i="6"/>
  <c r="AK51" i="7"/>
  <c r="K9" i="6"/>
  <c r="AJ68" i="7"/>
  <c r="M5" i="6"/>
  <c r="I63" i="7"/>
  <c r="D322" i="7"/>
  <c r="I61" i="7" l="1"/>
  <c r="I74" i="7"/>
  <c r="I200" i="7"/>
  <c r="I202" i="7" s="1"/>
  <c r="I80" i="7"/>
  <c r="J21" i="6"/>
  <c r="K195" i="7"/>
  <c r="K70" i="7"/>
  <c r="K97" i="7"/>
  <c r="K167" i="7"/>
  <c r="K27" i="7"/>
  <c r="K148" i="7"/>
  <c r="K53" i="7"/>
  <c r="K208" i="7"/>
  <c r="K125" i="7"/>
  <c r="K185" i="7"/>
  <c r="K45" i="7"/>
  <c r="L2" i="7"/>
  <c r="L73" i="7"/>
  <c r="L15" i="6"/>
  <c r="L196" i="7"/>
  <c r="L58" i="7"/>
  <c r="K201" i="7"/>
  <c r="K108" i="7"/>
  <c r="K60" i="7"/>
  <c r="L6" i="6"/>
  <c r="L7" i="6" s="1"/>
  <c r="M54" i="7"/>
  <c r="L11" i="6"/>
  <c r="M13" i="6"/>
  <c r="K19" i="6"/>
  <c r="K21" i="6" s="1"/>
  <c r="AL51" i="7"/>
  <c r="AK68" i="7"/>
  <c r="L9" i="6"/>
  <c r="I101" i="7"/>
  <c r="I104" i="7" s="1"/>
  <c r="I197" i="7"/>
  <c r="I198" i="7" s="1"/>
  <c r="J266" i="7" s="1"/>
  <c r="J80" i="7"/>
  <c r="J200" i="7"/>
  <c r="J202" i="7" s="1"/>
  <c r="J56" i="7"/>
  <c r="J61" i="7" s="1"/>
  <c r="J74" i="7"/>
  <c r="J63" i="7"/>
  <c r="C40" i="7"/>
  <c r="D40" i="7"/>
  <c r="D59" i="7" s="1"/>
  <c r="G40" i="7"/>
  <c r="G59" i="7" s="1"/>
  <c r="E40" i="7"/>
  <c r="E59" i="7" s="1"/>
  <c r="H39" i="7"/>
  <c r="F39" i="7"/>
  <c r="D39" i="7"/>
  <c r="H40" i="7"/>
  <c r="H59" i="7" s="1"/>
  <c r="F40" i="7"/>
  <c r="F59" i="7" s="1"/>
  <c r="G39" i="7"/>
  <c r="E39" i="7"/>
  <c r="C39" i="7"/>
  <c r="C109" i="7" s="1"/>
  <c r="D58" i="7"/>
  <c r="L53" i="7" l="1"/>
  <c r="L208" i="7"/>
  <c r="L70" i="7"/>
  <c r="L97" i="7"/>
  <c r="L195" i="7"/>
  <c r="L45" i="7"/>
  <c r="L185" i="7"/>
  <c r="L125" i="7"/>
  <c r="L27" i="7"/>
  <c r="L148" i="7"/>
  <c r="L167" i="7"/>
  <c r="M2" i="7"/>
  <c r="K55" i="7"/>
  <c r="K80" i="7" s="1"/>
  <c r="J107" i="7"/>
  <c r="M15" i="6"/>
  <c r="M73" i="7"/>
  <c r="M100" i="7" s="1"/>
  <c r="M196" i="7"/>
  <c r="M58" i="7"/>
  <c r="L108" i="7"/>
  <c r="L60" i="7"/>
  <c r="L201" i="7"/>
  <c r="L19" i="6"/>
  <c r="L55" i="7" s="1"/>
  <c r="L100" i="7"/>
  <c r="M6" i="6"/>
  <c r="M7" i="6" s="1"/>
  <c r="M11" i="6"/>
  <c r="M9" i="6"/>
  <c r="AL68" i="7"/>
  <c r="J197" i="7"/>
  <c r="J198" i="7" s="1"/>
  <c r="J209" i="7" s="1"/>
  <c r="J101" i="7"/>
  <c r="J104" i="7" s="1"/>
  <c r="I209" i="7"/>
  <c r="I204" i="7"/>
  <c r="I210" i="7" s="1"/>
  <c r="K56" i="7"/>
  <c r="K61" i="7" s="1"/>
  <c r="P59" i="7"/>
  <c r="S59" i="7"/>
  <c r="R59" i="7"/>
  <c r="Q59" i="7"/>
  <c r="F191" i="7"/>
  <c r="F132" i="7"/>
  <c r="G191" i="7"/>
  <c r="G132" i="7"/>
  <c r="D191" i="7"/>
  <c r="D132" i="7"/>
  <c r="H191" i="7"/>
  <c r="H132" i="7"/>
  <c r="E191" i="7"/>
  <c r="E132" i="7"/>
  <c r="C41" i="7"/>
  <c r="D41" i="7" s="1"/>
  <c r="E41" i="7" s="1"/>
  <c r="C59" i="7"/>
  <c r="E58" i="7"/>
  <c r="P58" i="7" s="1"/>
  <c r="D201" i="7"/>
  <c r="D60" i="7"/>
  <c r="D108" i="7"/>
  <c r="C9" i="6"/>
  <c r="C19" i="6" s="1"/>
  <c r="C55" i="7" s="1"/>
  <c r="C200" i="7" s="1"/>
  <c r="C202" i="7" s="1"/>
  <c r="C204" i="7" s="1"/>
  <c r="D9" i="6"/>
  <c r="D19" i="6" s="1"/>
  <c r="K63" i="7" l="1"/>
  <c r="K197" i="7" s="1"/>
  <c r="K198" i="7" s="1"/>
  <c r="K200" i="7"/>
  <c r="K202" i="7" s="1"/>
  <c r="K74" i="7"/>
  <c r="M97" i="7"/>
  <c r="M45" i="7"/>
  <c r="M70" i="7"/>
  <c r="M125" i="7"/>
  <c r="M53" i="7"/>
  <c r="M148" i="7"/>
  <c r="M167" i="7"/>
  <c r="M27" i="7"/>
  <c r="M185" i="7"/>
  <c r="M195" i="7"/>
  <c r="M208" i="7"/>
  <c r="M19" i="6"/>
  <c r="M21" i="6" s="1"/>
  <c r="L21" i="6"/>
  <c r="M60" i="7"/>
  <c r="M201" i="7"/>
  <c r="M108" i="7"/>
  <c r="U108" i="7" s="1"/>
  <c r="J204" i="7"/>
  <c r="J210" i="7" s="1"/>
  <c r="K266" i="7"/>
  <c r="K107" i="7"/>
  <c r="L200" i="7"/>
  <c r="L202" i="7" s="1"/>
  <c r="L74" i="7"/>
  <c r="L56" i="7"/>
  <c r="L61" i="7" s="1"/>
  <c r="L80" i="7"/>
  <c r="L63" i="7"/>
  <c r="C42" i="7"/>
  <c r="C76" i="7" s="1"/>
  <c r="D42" i="7"/>
  <c r="D76" i="7" s="1"/>
  <c r="C60" i="7"/>
  <c r="C132" i="7"/>
  <c r="C191" i="7"/>
  <c r="E42" i="7"/>
  <c r="E76" i="7" s="1"/>
  <c r="F41" i="7"/>
  <c r="F58" i="7"/>
  <c r="Q58" i="7" s="1"/>
  <c r="E60" i="7"/>
  <c r="P60" i="7" s="1"/>
  <c r="E201" i="7"/>
  <c r="E108" i="7"/>
  <c r="Q108" i="7" s="1"/>
  <c r="C107" i="7"/>
  <c r="C56" i="7"/>
  <c r="D55" i="7"/>
  <c r="D21" i="6"/>
  <c r="E9" i="6"/>
  <c r="E19" i="6" s="1"/>
  <c r="K101" i="7" l="1"/>
  <c r="K104" i="7" s="1"/>
  <c r="M55" i="7"/>
  <c r="M200" i="7" s="1"/>
  <c r="M202" i="7" s="1"/>
  <c r="L107" i="7"/>
  <c r="D200" i="7"/>
  <c r="D202" i="7" s="1"/>
  <c r="K204" i="7"/>
  <c r="K210" i="7" s="1"/>
  <c r="L266" i="7"/>
  <c r="K209" i="7"/>
  <c r="L101" i="7"/>
  <c r="L104" i="7" s="1"/>
  <c r="L197" i="7"/>
  <c r="L198" i="7" s="1"/>
  <c r="C61" i="7"/>
  <c r="G41" i="7"/>
  <c r="F42" i="7"/>
  <c r="F76" i="7" s="1"/>
  <c r="F201" i="7"/>
  <c r="F60" i="7"/>
  <c r="Q60" i="7" s="1"/>
  <c r="F108" i="7"/>
  <c r="R108" i="7" s="1"/>
  <c r="H58" i="7"/>
  <c r="G58" i="7"/>
  <c r="R58" i="7" s="1"/>
  <c r="D74" i="7"/>
  <c r="D63" i="7"/>
  <c r="D56" i="7"/>
  <c r="D61" i="7" s="1"/>
  <c r="D80" i="7"/>
  <c r="E55" i="7"/>
  <c r="P55" i="7" s="1"/>
  <c r="E21" i="6"/>
  <c r="F9" i="6"/>
  <c r="F19" i="6" s="1"/>
  <c r="M74" i="7" l="1"/>
  <c r="M63" i="7"/>
  <c r="M101" i="7" s="1"/>
  <c r="M104" i="7" s="1"/>
  <c r="M80" i="7"/>
  <c r="M56" i="7"/>
  <c r="M61" i="7" s="1"/>
  <c r="D107" i="7"/>
  <c r="C122" i="7" s="1"/>
  <c r="M107" i="7"/>
  <c r="L204" i="7"/>
  <c r="L210" i="7" s="1"/>
  <c r="M266" i="7"/>
  <c r="M197" i="7"/>
  <c r="M198" i="7" s="1"/>
  <c r="L209" i="7"/>
  <c r="S58" i="7"/>
  <c r="C7" i="7"/>
  <c r="H41" i="7"/>
  <c r="G42" i="7"/>
  <c r="G76" i="7" s="1"/>
  <c r="H201" i="7"/>
  <c r="H108" i="7"/>
  <c r="H60" i="7"/>
  <c r="G201" i="7"/>
  <c r="G60" i="7"/>
  <c r="R60" i="7" s="1"/>
  <c r="G108" i="7"/>
  <c r="S108" i="7" s="1"/>
  <c r="E63" i="7"/>
  <c r="P63" i="7" s="1"/>
  <c r="E200" i="7"/>
  <c r="E202" i="7" s="1"/>
  <c r="D101" i="7"/>
  <c r="D104" i="7" s="1"/>
  <c r="D197" i="7"/>
  <c r="D198" i="7" s="1"/>
  <c r="E74" i="7"/>
  <c r="E80" i="7"/>
  <c r="E56" i="7"/>
  <c r="F55" i="7"/>
  <c r="Q55" i="7" s="1"/>
  <c r="F21" i="6"/>
  <c r="G9" i="6"/>
  <c r="G19" i="6" s="1"/>
  <c r="M204" i="7" l="1"/>
  <c r="M210" i="7" s="1"/>
  <c r="N266" i="7"/>
  <c r="P108" i="7"/>
  <c r="T108" i="7"/>
  <c r="H42" i="7"/>
  <c r="H76" i="7" s="1"/>
  <c r="I41" i="7"/>
  <c r="M209" i="7"/>
  <c r="S60" i="7"/>
  <c r="E61" i="7"/>
  <c r="P61" i="7" s="1"/>
  <c r="P56" i="7"/>
  <c r="C36" i="7"/>
  <c r="E266" i="7"/>
  <c r="D209" i="7"/>
  <c r="E107" i="7"/>
  <c r="D122" i="7" s="1"/>
  <c r="F56" i="7"/>
  <c r="F200" i="7"/>
  <c r="F202" i="7" s="1"/>
  <c r="D204" i="7"/>
  <c r="D210" i="7" s="1"/>
  <c r="E101" i="7"/>
  <c r="E104" i="7" s="1"/>
  <c r="E197" i="7"/>
  <c r="E198" i="7" s="1"/>
  <c r="F63" i="7"/>
  <c r="Q63" i="7" s="1"/>
  <c r="F74" i="7"/>
  <c r="F80" i="7"/>
  <c r="G55" i="7"/>
  <c r="R55" i="7" s="1"/>
  <c r="G21" i="6"/>
  <c r="H9" i="6"/>
  <c r="H19" i="6" s="1"/>
  <c r="J41" i="7" l="1"/>
  <c r="I42" i="7"/>
  <c r="I76" i="7" s="1"/>
  <c r="J33" i="7"/>
  <c r="L33" i="7"/>
  <c r="K33" i="7"/>
  <c r="M33" i="7"/>
  <c r="F61" i="7"/>
  <c r="Q61" i="7" s="1"/>
  <c r="Q56" i="7"/>
  <c r="H33" i="7"/>
  <c r="G33" i="7"/>
  <c r="E33" i="7"/>
  <c r="D33" i="7"/>
  <c r="I33" i="7"/>
  <c r="D32" i="7"/>
  <c r="C102" i="7"/>
  <c r="F33" i="7"/>
  <c r="C87" i="7"/>
  <c r="E204" i="7"/>
  <c r="E210" i="7" s="1"/>
  <c r="F266" i="7"/>
  <c r="F101" i="7"/>
  <c r="F104" i="7" s="1"/>
  <c r="F197" i="7"/>
  <c r="F198" i="7" s="1"/>
  <c r="F209" i="7" s="1"/>
  <c r="E209" i="7"/>
  <c r="G80" i="7"/>
  <c r="G200" i="7"/>
  <c r="G202" i="7" s="1"/>
  <c r="F107" i="7"/>
  <c r="G63" i="7"/>
  <c r="R63" i="7" s="1"/>
  <c r="G74" i="7"/>
  <c r="G56" i="7"/>
  <c r="R56" i="7" s="1"/>
  <c r="H55" i="7"/>
  <c r="S55" i="7" s="1"/>
  <c r="H21" i="6"/>
  <c r="G107" i="7" l="1"/>
  <c r="S107" i="7" s="1"/>
  <c r="K122" i="7" s="1"/>
  <c r="E122" i="7"/>
  <c r="R107" i="7"/>
  <c r="J122" i="7" s="1"/>
  <c r="K41" i="7"/>
  <c r="J42" i="7"/>
  <c r="J76" i="7" s="1"/>
  <c r="C103" i="7"/>
  <c r="C104" i="7" s="1"/>
  <c r="D87" i="7"/>
  <c r="E87" i="7" s="1"/>
  <c r="F87" i="7" s="1"/>
  <c r="G87" i="7" s="1"/>
  <c r="H87" i="7" s="1"/>
  <c r="I87" i="7" s="1"/>
  <c r="J87" i="7" s="1"/>
  <c r="K87" i="7" s="1"/>
  <c r="L87" i="7" s="1"/>
  <c r="M87" i="7" s="1"/>
  <c r="D34" i="7"/>
  <c r="D64" i="7" s="1"/>
  <c r="D65" i="7" s="1"/>
  <c r="F204" i="7"/>
  <c r="F210" i="7" s="1"/>
  <c r="G266" i="7"/>
  <c r="H74" i="7"/>
  <c r="H200" i="7"/>
  <c r="H202" i="7" s="1"/>
  <c r="G101" i="7"/>
  <c r="G104" i="7" s="1"/>
  <c r="G197" i="7"/>
  <c r="G198" i="7" s="1"/>
  <c r="H63" i="7"/>
  <c r="S63" i="7" s="1"/>
  <c r="H80" i="7"/>
  <c r="H56" i="7"/>
  <c r="S56" i="7" s="1"/>
  <c r="G61" i="7"/>
  <c r="R61" i="7" s="1"/>
  <c r="F122" i="7" l="1"/>
  <c r="H107" i="7"/>
  <c r="P107" i="7" s="1"/>
  <c r="H122" i="7" s="1"/>
  <c r="L41" i="7"/>
  <c r="K42" i="7"/>
  <c r="K76" i="7" s="1"/>
  <c r="I107" i="7"/>
  <c r="D35" i="7"/>
  <c r="D36" i="7" s="1"/>
  <c r="E32" i="7" s="1"/>
  <c r="E34" i="7" s="1"/>
  <c r="C34" i="7"/>
  <c r="C64" i="7" s="1"/>
  <c r="G204" i="7"/>
  <c r="G210" i="7" s="1"/>
  <c r="H266" i="7"/>
  <c r="H61" i="7"/>
  <c r="S61" i="7" s="1"/>
  <c r="H101" i="7"/>
  <c r="H104" i="7" s="1"/>
  <c r="H197" i="7"/>
  <c r="H198" i="7" s="1"/>
  <c r="G209" i="7"/>
  <c r="T107" i="7" l="1"/>
  <c r="L122" i="7" s="1"/>
  <c r="G122" i="7"/>
  <c r="M41" i="7"/>
  <c r="M42" i="7" s="1"/>
  <c r="M76" i="7" s="1"/>
  <c r="L42" i="7"/>
  <c r="L76" i="7" s="1"/>
  <c r="Q107" i="7"/>
  <c r="I122" i="7" s="1"/>
  <c r="U107" i="7"/>
  <c r="M122" i="7" s="1"/>
  <c r="D112" i="7"/>
  <c r="C82" i="7"/>
  <c r="C84" i="7" s="1"/>
  <c r="D149" i="7" s="1"/>
  <c r="C65" i="7"/>
  <c r="C79" i="10"/>
  <c r="C189" i="7"/>
  <c r="C111" i="7"/>
  <c r="D111" i="7"/>
  <c r="D128" i="7" s="1"/>
  <c r="D189" i="7"/>
  <c r="D79" i="10"/>
  <c r="E64" i="7"/>
  <c r="P64" i="7" s="1"/>
  <c r="E35" i="7"/>
  <c r="H204" i="7"/>
  <c r="H210" i="7" s="1"/>
  <c r="I266" i="7"/>
  <c r="H209" i="7"/>
  <c r="C142" i="7" l="1"/>
  <c r="E189" i="7"/>
  <c r="E79" i="10"/>
  <c r="E111" i="7"/>
  <c r="E128" i="7" s="1"/>
  <c r="E65" i="7"/>
  <c r="C251" i="7"/>
  <c r="D78" i="10"/>
  <c r="D81" i="10" s="1"/>
  <c r="D67" i="10" s="1"/>
  <c r="D72" i="10" s="1"/>
  <c r="D74" i="10" s="1"/>
  <c r="D86" i="10" s="1"/>
  <c r="D87" i="10" s="1"/>
  <c r="D67" i="7"/>
  <c r="D68" i="7" s="1"/>
  <c r="C128" i="7"/>
  <c r="C114" i="7"/>
  <c r="C116" i="7" s="1"/>
  <c r="D82" i="7"/>
  <c r="E112" i="7"/>
  <c r="E36" i="7"/>
  <c r="F32" i="7" s="1"/>
  <c r="F34" i="7" s="1"/>
  <c r="F35" i="7" s="1"/>
  <c r="C78" i="10"/>
  <c r="C67" i="7"/>
  <c r="C68" i="7" s="1"/>
  <c r="P65" i="7" l="1"/>
  <c r="F64" i="7"/>
  <c r="E67" i="7"/>
  <c r="E68" i="7" s="1"/>
  <c r="E78" i="10"/>
  <c r="C186" i="7"/>
  <c r="C89" i="7"/>
  <c r="C126" i="7"/>
  <c r="C123" i="7"/>
  <c r="D186" i="7"/>
  <c r="D89" i="7"/>
  <c r="E46" i="7" s="1"/>
  <c r="E48" i="7" s="1"/>
  <c r="D126" i="7"/>
  <c r="C187" i="7"/>
  <c r="C81" i="7"/>
  <c r="C127" i="7"/>
  <c r="D84" i="7"/>
  <c r="E149" i="7" s="1"/>
  <c r="D142" i="7"/>
  <c r="D81" i="7"/>
  <c r="D127" i="7"/>
  <c r="D187" i="7"/>
  <c r="E82" i="7"/>
  <c r="F112" i="7"/>
  <c r="F36" i="7"/>
  <c r="P68" i="7" l="1"/>
  <c r="P67" i="7"/>
  <c r="F111" i="7"/>
  <c r="F128" i="7" s="1"/>
  <c r="Q64" i="7"/>
  <c r="F79" i="10"/>
  <c r="D251" i="7"/>
  <c r="F189" i="7"/>
  <c r="F65" i="7"/>
  <c r="D157" i="7"/>
  <c r="D110" i="7"/>
  <c r="D129" i="7"/>
  <c r="D130" i="7" s="1"/>
  <c r="D131" i="7" s="1"/>
  <c r="C129" i="7"/>
  <c r="C130" i="7" s="1"/>
  <c r="C131" i="7" s="1"/>
  <c r="C133" i="7" s="1"/>
  <c r="C188" i="7"/>
  <c r="C190" i="7" s="1"/>
  <c r="C192" i="7" s="1"/>
  <c r="E80" i="10"/>
  <c r="E66" i="10" s="1"/>
  <c r="E81" i="10"/>
  <c r="E67" i="10" s="1"/>
  <c r="D170" i="7"/>
  <c r="D188" i="7"/>
  <c r="D190" i="7" s="1"/>
  <c r="D192" i="7" s="1"/>
  <c r="C119" i="7"/>
  <c r="C72" i="7" s="1"/>
  <c r="C118" i="7"/>
  <c r="C91" i="7"/>
  <c r="D46" i="7"/>
  <c r="E127" i="7"/>
  <c r="E81" i="7"/>
  <c r="E110" i="7" s="1"/>
  <c r="E187" i="7"/>
  <c r="G32" i="7"/>
  <c r="E142" i="7"/>
  <c r="E84" i="7"/>
  <c r="F149" i="7" s="1"/>
  <c r="E186" i="7" l="1"/>
  <c r="E188" i="7" s="1"/>
  <c r="E190" i="7" s="1"/>
  <c r="E192" i="7" s="1"/>
  <c r="E89" i="7"/>
  <c r="F46" i="7" s="1"/>
  <c r="F48" i="7" s="1"/>
  <c r="E126" i="7"/>
  <c r="E129" i="7" s="1"/>
  <c r="E130" i="7" s="1"/>
  <c r="E131" i="7" s="1"/>
  <c r="F67" i="7"/>
  <c r="F127" i="7" s="1"/>
  <c r="Q65" i="7"/>
  <c r="F78" i="10"/>
  <c r="F81" i="10" s="1"/>
  <c r="F67" i="10" s="1"/>
  <c r="E72" i="10"/>
  <c r="E74" i="10" s="1"/>
  <c r="E86" i="10" s="1"/>
  <c r="E87" i="10" s="1"/>
  <c r="D48" i="7"/>
  <c r="D88" i="7" s="1"/>
  <c r="C79" i="7"/>
  <c r="C120" i="7"/>
  <c r="D133" i="7"/>
  <c r="D168" i="7"/>
  <c r="E157" i="7"/>
  <c r="E170" i="7"/>
  <c r="E251" i="7"/>
  <c r="G34" i="7"/>
  <c r="F187" i="7" l="1"/>
  <c r="F81" i="7"/>
  <c r="F110" i="7" s="1"/>
  <c r="F68" i="7"/>
  <c r="Q67" i="7"/>
  <c r="F80" i="10"/>
  <c r="F66" i="10" s="1"/>
  <c r="F72" i="10" s="1"/>
  <c r="F74" i="10" s="1"/>
  <c r="F86" i="10" s="1"/>
  <c r="F87" i="10" s="1"/>
  <c r="C71" i="7"/>
  <c r="C75" i="7" s="1"/>
  <c r="D98" i="7"/>
  <c r="D49" i="7"/>
  <c r="D50" i="7" s="1"/>
  <c r="D51" i="7" s="1"/>
  <c r="D90" i="7" s="1"/>
  <c r="E47" i="7" s="1"/>
  <c r="E49" i="7" s="1"/>
  <c r="E168" i="7"/>
  <c r="E133" i="7"/>
  <c r="C83" i="7"/>
  <c r="D106" i="7"/>
  <c r="D114" i="7" s="1"/>
  <c r="E88" i="7"/>
  <c r="F88" i="7" s="1"/>
  <c r="G64" i="7"/>
  <c r="R64" i="7" s="1"/>
  <c r="G35" i="7"/>
  <c r="Q68" i="7" l="1"/>
  <c r="F89" i="7"/>
  <c r="G46" i="7" s="1"/>
  <c r="G48" i="7" s="1"/>
  <c r="G88" i="7" s="1"/>
  <c r="F186" i="7"/>
  <c r="F188" i="7" s="1"/>
  <c r="F190" i="7" s="1"/>
  <c r="F192" i="7" s="1"/>
  <c r="F126" i="7"/>
  <c r="F129" i="7" s="1"/>
  <c r="F130" i="7" s="1"/>
  <c r="F131" i="7" s="1"/>
  <c r="F168" i="7" s="1"/>
  <c r="D91" i="7"/>
  <c r="E50" i="7"/>
  <c r="E113" i="7" s="1"/>
  <c r="C139" i="7"/>
  <c r="C77" i="7"/>
  <c r="C141" i="7"/>
  <c r="C143" i="7" s="1"/>
  <c r="C250" i="7" s="1"/>
  <c r="C85" i="7"/>
  <c r="D116" i="7"/>
  <c r="G79" i="10"/>
  <c r="G111" i="7"/>
  <c r="G128" i="7" s="1"/>
  <c r="G189" i="7"/>
  <c r="G65" i="7"/>
  <c r="R65" i="7" s="1"/>
  <c r="F82" i="7"/>
  <c r="G112" i="7"/>
  <c r="G36" i="7"/>
  <c r="F133" i="7" l="1"/>
  <c r="C93" i="7"/>
  <c r="E51" i="7"/>
  <c r="E90" i="7" s="1"/>
  <c r="D123" i="7"/>
  <c r="C145" i="7"/>
  <c r="C252" i="7" s="1"/>
  <c r="C146" i="7"/>
  <c r="C135" i="7" s="1"/>
  <c r="C136" i="7" s="1"/>
  <c r="C298" i="7" s="1"/>
  <c r="G67" i="7"/>
  <c r="G78" i="10"/>
  <c r="H32" i="7"/>
  <c r="F142" i="7"/>
  <c r="F84" i="7"/>
  <c r="G149" i="7" s="1"/>
  <c r="E298" i="7" l="1"/>
  <c r="G68" i="7"/>
  <c r="R68" i="7" s="1"/>
  <c r="R67" i="7"/>
  <c r="C244" i="7"/>
  <c r="C95" i="7"/>
  <c r="D118" i="7"/>
  <c r="D119" i="7"/>
  <c r="D72" i="7" s="1"/>
  <c r="E91" i="7"/>
  <c r="F47" i="7"/>
  <c r="F49" i="7" s="1"/>
  <c r="F157" i="7"/>
  <c r="F251" i="7"/>
  <c r="F170" i="7"/>
  <c r="H34" i="7"/>
  <c r="G80" i="10"/>
  <c r="G66" i="10" s="1"/>
  <c r="G81" i="10"/>
  <c r="G67" i="10" s="1"/>
  <c r="G187" i="7"/>
  <c r="G81" i="7"/>
  <c r="G110" i="7" s="1"/>
  <c r="G127" i="7"/>
  <c r="G89" i="7" l="1"/>
  <c r="H46" i="7" s="1"/>
  <c r="H48" i="7" s="1"/>
  <c r="H88" i="7" s="1"/>
  <c r="G186" i="7"/>
  <c r="G188" i="7" s="1"/>
  <c r="G190" i="7" s="1"/>
  <c r="G192" i="7" s="1"/>
  <c r="G126" i="7"/>
  <c r="G129" i="7" s="1"/>
  <c r="G130" i="7" s="1"/>
  <c r="G131" i="7" s="1"/>
  <c r="F50" i="7"/>
  <c r="F113" i="7" s="1"/>
  <c r="D79" i="7"/>
  <c r="D120" i="7"/>
  <c r="H64" i="7"/>
  <c r="S64" i="7" s="1"/>
  <c r="H35" i="7"/>
  <c r="G72" i="10"/>
  <c r="G74" i="10" s="1"/>
  <c r="G86" i="10" s="1"/>
  <c r="G87" i="10" s="1"/>
  <c r="E98" i="7" l="1"/>
  <c r="D71" i="7"/>
  <c r="D75" i="7" s="1"/>
  <c r="F51" i="7"/>
  <c r="F90" i="7" s="1"/>
  <c r="D83" i="7"/>
  <c r="E106" i="7"/>
  <c r="E114" i="7" s="1"/>
  <c r="G82" i="7"/>
  <c r="H112" i="7"/>
  <c r="H36" i="7"/>
  <c r="G168" i="7"/>
  <c r="G133" i="7"/>
  <c r="H79" i="10"/>
  <c r="H189" i="7"/>
  <c r="H111" i="7"/>
  <c r="H128" i="7" s="1"/>
  <c r="H65" i="7"/>
  <c r="S65" i="7" s="1"/>
  <c r="E116" i="7" l="1"/>
  <c r="E123" i="7" s="1"/>
  <c r="D141" i="7"/>
  <c r="D143" i="7" s="1"/>
  <c r="D250" i="7" s="1"/>
  <c r="D85" i="7"/>
  <c r="D139" i="7"/>
  <c r="D77" i="7"/>
  <c r="G47" i="7"/>
  <c r="G49" i="7" s="1"/>
  <c r="F91" i="7"/>
  <c r="H78" i="10"/>
  <c r="H67" i="7"/>
  <c r="S67" i="7" s="1"/>
  <c r="I32" i="7"/>
  <c r="G142" i="7"/>
  <c r="G84" i="7"/>
  <c r="H149" i="7" s="1"/>
  <c r="D93" i="7" l="1"/>
  <c r="D145" i="7"/>
  <c r="D252" i="7" s="1"/>
  <c r="G50" i="7"/>
  <c r="G51" i="7" s="1"/>
  <c r="G90" i="7" s="1"/>
  <c r="E119" i="7"/>
  <c r="E72" i="7" s="1"/>
  <c r="E118" i="7"/>
  <c r="G251" i="7"/>
  <c r="I34" i="7"/>
  <c r="H187" i="7"/>
  <c r="H81" i="7"/>
  <c r="H127" i="7"/>
  <c r="G157" i="7"/>
  <c r="G170" i="7"/>
  <c r="H68" i="7"/>
  <c r="S68" i="7" s="1"/>
  <c r="H81" i="10"/>
  <c r="H67" i="10" s="1"/>
  <c r="H80" i="10"/>
  <c r="H66" i="10" s="1"/>
  <c r="I35" i="7" l="1"/>
  <c r="I36" i="7" s="1"/>
  <c r="J32" i="7" s="1"/>
  <c r="J34" i="7" s="1"/>
  <c r="I64" i="7"/>
  <c r="H110" i="7"/>
  <c r="D95" i="7"/>
  <c r="D146" i="7"/>
  <c r="D135" i="7" s="1"/>
  <c r="D136" i="7" s="1"/>
  <c r="G113" i="7"/>
  <c r="E79" i="7"/>
  <c r="E120" i="7"/>
  <c r="H47" i="7"/>
  <c r="H49" i="7" s="1"/>
  <c r="H50" i="7" s="1"/>
  <c r="G91" i="7"/>
  <c r="H72" i="10"/>
  <c r="H74" i="10" s="1"/>
  <c r="H86" i="10" s="1"/>
  <c r="H87" i="10" s="1"/>
  <c r="H186" i="7"/>
  <c r="H188" i="7" s="1"/>
  <c r="H190" i="7" s="1"/>
  <c r="H192" i="7" s="1"/>
  <c r="H89" i="7"/>
  <c r="I46" i="7" s="1"/>
  <c r="H126" i="7"/>
  <c r="H129" i="7" s="1"/>
  <c r="H130" i="7" s="1"/>
  <c r="H131" i="7" s="1"/>
  <c r="I48" i="7" l="1"/>
  <c r="I88" i="7" s="1"/>
  <c r="J35" i="7"/>
  <c r="J64" i="7"/>
  <c r="I189" i="7"/>
  <c r="I111" i="7"/>
  <c r="I128" i="7" s="1"/>
  <c r="I65" i="7"/>
  <c r="H82" i="7"/>
  <c r="I112" i="7"/>
  <c r="D244" i="7"/>
  <c r="E265" i="7" s="1"/>
  <c r="E267" i="7" s="1"/>
  <c r="E268" i="7" s="1"/>
  <c r="C299" i="7"/>
  <c r="F98" i="7"/>
  <c r="E71" i="7"/>
  <c r="E75" i="7" s="1"/>
  <c r="H51" i="7"/>
  <c r="H90" i="7" s="1"/>
  <c r="F106" i="7"/>
  <c r="F114" i="7" s="1"/>
  <c r="E83" i="7"/>
  <c r="H168" i="7"/>
  <c r="H133" i="7"/>
  <c r="I67" i="7" l="1"/>
  <c r="J36" i="7"/>
  <c r="I82" i="7"/>
  <c r="J112" i="7"/>
  <c r="H91" i="7"/>
  <c r="I150" i="7" s="1"/>
  <c r="I47" i="7"/>
  <c r="I49" i="7" s="1"/>
  <c r="I50" i="7" s="1"/>
  <c r="J189" i="7"/>
  <c r="J111" i="7"/>
  <c r="J128" i="7" s="1"/>
  <c r="J65" i="7"/>
  <c r="H84" i="7"/>
  <c r="H142" i="7"/>
  <c r="H113" i="7"/>
  <c r="E139" i="7"/>
  <c r="E77" i="7"/>
  <c r="E141" i="7"/>
  <c r="E143" i="7" s="1"/>
  <c r="E250" i="7" s="1"/>
  <c r="E85" i="7"/>
  <c r="F116" i="7"/>
  <c r="K32" i="7" l="1"/>
  <c r="I113" i="7"/>
  <c r="H157" i="7"/>
  <c r="H170" i="7"/>
  <c r="H251" i="7"/>
  <c r="I149" i="7"/>
  <c r="I12" i="10" s="1"/>
  <c r="I13" i="10" s="1"/>
  <c r="I81" i="7"/>
  <c r="I110" i="7" s="1"/>
  <c r="I127" i="7"/>
  <c r="I187" i="7"/>
  <c r="I84" i="7"/>
  <c r="I157" i="7" s="1"/>
  <c r="I142" i="7"/>
  <c r="J67" i="7"/>
  <c r="I68" i="7"/>
  <c r="E93" i="7"/>
  <c r="F123" i="7"/>
  <c r="E145" i="7"/>
  <c r="E146" i="7" s="1"/>
  <c r="I161" i="7" l="1"/>
  <c r="I160" i="7"/>
  <c r="I251" i="7"/>
  <c r="J149" i="7"/>
  <c r="I170" i="7"/>
  <c r="J127" i="7"/>
  <c r="J81" i="7"/>
  <c r="J110" i="7" s="1"/>
  <c r="J187" i="7"/>
  <c r="I126" i="7"/>
  <c r="I129" i="7" s="1"/>
  <c r="I89" i="7"/>
  <c r="I186" i="7"/>
  <c r="I188" i="7" s="1"/>
  <c r="I190" i="7" s="1"/>
  <c r="I192" i="7" s="1"/>
  <c r="J68" i="7"/>
  <c r="I156" i="7"/>
  <c r="I151" i="7"/>
  <c r="I155" i="7" s="1"/>
  <c r="I51" i="7"/>
  <c r="I90" i="7" s="1"/>
  <c r="J47" i="7" s="1"/>
  <c r="K34" i="7"/>
  <c r="E95" i="7"/>
  <c r="E252" i="7"/>
  <c r="E135" i="7"/>
  <c r="E136" i="7" s="1"/>
  <c r="C300" i="7" s="1"/>
  <c r="F118" i="7"/>
  <c r="F119" i="7"/>
  <c r="F72" i="7" s="1"/>
  <c r="I91" i="7" l="1"/>
  <c r="J46" i="7"/>
  <c r="I130" i="7"/>
  <c r="I131" i="7" s="1"/>
  <c r="I154" i="7"/>
  <c r="I163" i="7" s="1"/>
  <c r="J126" i="7"/>
  <c r="J129" i="7" s="1"/>
  <c r="J130" i="7" s="1"/>
  <c r="J131" i="7" s="1"/>
  <c r="J186" i="7"/>
  <c r="J188" i="7" s="1"/>
  <c r="J190" i="7" s="1"/>
  <c r="J192" i="7" s="1"/>
  <c r="J89" i="7"/>
  <c r="K46" i="7" s="1"/>
  <c r="K48" i="7" s="1"/>
  <c r="K35" i="7"/>
  <c r="K64" i="7"/>
  <c r="E96" i="7"/>
  <c r="E244" i="7"/>
  <c r="F265" i="7" s="1"/>
  <c r="F267" i="7" s="1"/>
  <c r="F268" i="7" s="1"/>
  <c r="F79" i="7"/>
  <c r="G106" i="7" s="1"/>
  <c r="F120" i="7"/>
  <c r="I176" i="7" l="1"/>
  <c r="I243" i="7"/>
  <c r="J168" i="7"/>
  <c r="J133" i="7"/>
  <c r="I168" i="7"/>
  <c r="I133" i="7"/>
  <c r="K111" i="7"/>
  <c r="K128" i="7" s="1"/>
  <c r="K189" i="7"/>
  <c r="K65" i="7"/>
  <c r="J48" i="7"/>
  <c r="J88" i="7" s="1"/>
  <c r="K88" i="7" s="1"/>
  <c r="J82" i="7"/>
  <c r="K112" i="7"/>
  <c r="K36" i="7"/>
  <c r="J150" i="7"/>
  <c r="J12" i="10" s="1"/>
  <c r="J13" i="10" s="1"/>
  <c r="I171" i="7"/>
  <c r="I172" i="7" s="1"/>
  <c r="G98" i="7"/>
  <c r="F71" i="7"/>
  <c r="F75" i="7" s="1"/>
  <c r="F83" i="7"/>
  <c r="G114" i="7"/>
  <c r="J260" i="7" l="1"/>
  <c r="D304" i="7"/>
  <c r="J161" i="7"/>
  <c r="J160" i="7"/>
  <c r="I177" i="7"/>
  <c r="I179" i="7" s="1"/>
  <c r="K67" i="7"/>
  <c r="K68" i="7" s="1"/>
  <c r="I174" i="7"/>
  <c r="J156" i="7"/>
  <c r="J151" i="7"/>
  <c r="J154" i="7" s="1"/>
  <c r="J142" i="7"/>
  <c r="J84" i="7"/>
  <c r="J170" i="7" s="1"/>
  <c r="L32" i="7"/>
  <c r="J49" i="7"/>
  <c r="J50" i="7" s="1"/>
  <c r="F139" i="7"/>
  <c r="F77" i="7"/>
  <c r="F85" i="7"/>
  <c r="F141" i="7"/>
  <c r="F143" i="7" s="1"/>
  <c r="F250" i="7" s="1"/>
  <c r="G116" i="7"/>
  <c r="J251" i="7" l="1"/>
  <c r="I180" i="7"/>
  <c r="J259" i="7"/>
  <c r="J261" i="7" s="1"/>
  <c r="J155" i="7"/>
  <c r="J113" i="7"/>
  <c r="L34" i="7"/>
  <c r="J157" i="7"/>
  <c r="K149" i="7"/>
  <c r="K127" i="7"/>
  <c r="K187" i="7"/>
  <c r="K81" i="7"/>
  <c r="K110" i="7" s="1"/>
  <c r="K126" i="7"/>
  <c r="K89" i="7"/>
  <c r="L46" i="7" s="1"/>
  <c r="L48" i="7" s="1"/>
  <c r="L88" i="7" s="1"/>
  <c r="K186" i="7"/>
  <c r="F93" i="7"/>
  <c r="G123" i="7"/>
  <c r="G119" i="7" s="1"/>
  <c r="F145" i="7"/>
  <c r="J163" i="7" l="1"/>
  <c r="J176" i="7" s="1"/>
  <c r="J51" i="7"/>
  <c r="J90" i="7" s="1"/>
  <c r="J91" i="7" s="1"/>
  <c r="K188" i="7"/>
  <c r="K190" i="7" s="1"/>
  <c r="K192" i="7" s="1"/>
  <c r="L35" i="7"/>
  <c r="L64" i="7"/>
  <c r="K129" i="7"/>
  <c r="K130" i="7" s="1"/>
  <c r="K131" i="7" s="1"/>
  <c r="F95" i="7"/>
  <c r="F96" i="7" s="1"/>
  <c r="F252" i="7"/>
  <c r="F146" i="7"/>
  <c r="F135" i="7" s="1"/>
  <c r="F136" i="7" s="1"/>
  <c r="C301" i="7" s="1"/>
  <c r="G118" i="7"/>
  <c r="G72" i="7"/>
  <c r="J243" i="7" l="1"/>
  <c r="K47" i="7"/>
  <c r="K49" i="7" s="1"/>
  <c r="K150" i="7"/>
  <c r="K12" i="10" s="1"/>
  <c r="K13" i="10" s="1"/>
  <c r="J171" i="7"/>
  <c r="J172" i="7" s="1"/>
  <c r="L111" i="7"/>
  <c r="L128" i="7" s="1"/>
  <c r="L189" i="7"/>
  <c r="L65" i="7"/>
  <c r="K82" i="7"/>
  <c r="L112" i="7"/>
  <c r="L36" i="7"/>
  <c r="K133" i="7"/>
  <c r="K168" i="7"/>
  <c r="F244" i="7"/>
  <c r="G265" i="7" s="1"/>
  <c r="G267" i="7" s="1"/>
  <c r="G268" i="7" s="1"/>
  <c r="G79" i="7"/>
  <c r="G120" i="7"/>
  <c r="K260" i="7" l="1"/>
  <c r="D305" i="7"/>
  <c r="K161" i="7"/>
  <c r="K160" i="7"/>
  <c r="K50" i="7"/>
  <c r="K113" i="7" s="1"/>
  <c r="K142" i="7"/>
  <c r="K84" i="7"/>
  <c r="K157" i="7" s="1"/>
  <c r="J177" i="7"/>
  <c r="J179" i="7" s="1"/>
  <c r="J174" i="7"/>
  <c r="M32" i="7"/>
  <c r="M34" i="7" s="1"/>
  <c r="L67" i="7"/>
  <c r="K156" i="7"/>
  <c r="K151" i="7"/>
  <c r="K154" i="7" s="1"/>
  <c r="G71" i="7"/>
  <c r="G75" i="7" s="1"/>
  <c r="H98" i="7"/>
  <c r="G83" i="7"/>
  <c r="H106" i="7"/>
  <c r="H114" i="7" s="1"/>
  <c r="K251" i="7" l="1"/>
  <c r="K51" i="7"/>
  <c r="K90" i="7" s="1"/>
  <c r="K91" i="7" s="1"/>
  <c r="K171" i="7" s="1"/>
  <c r="J180" i="7"/>
  <c r="K259" i="7"/>
  <c r="K261" i="7" s="1"/>
  <c r="K155" i="7"/>
  <c r="K163" i="7" s="1"/>
  <c r="L127" i="7"/>
  <c r="L81" i="7"/>
  <c r="L110" i="7" s="1"/>
  <c r="L187" i="7"/>
  <c r="L68" i="7"/>
  <c r="K170" i="7"/>
  <c r="L149" i="7"/>
  <c r="H116" i="7"/>
  <c r="G141" i="7"/>
  <c r="G143" i="7" s="1"/>
  <c r="G250" i="7" s="1"/>
  <c r="G85" i="7"/>
  <c r="G77" i="7"/>
  <c r="G139" i="7"/>
  <c r="L150" i="7" l="1"/>
  <c r="L12" i="10" s="1"/>
  <c r="L13" i="10" s="1"/>
  <c r="L160" i="7" s="1"/>
  <c r="L47" i="7"/>
  <c r="L49" i="7" s="1"/>
  <c r="L50" i="7" s="1"/>
  <c r="K176" i="7"/>
  <c r="K243" i="7"/>
  <c r="L126" i="7"/>
  <c r="L129" i="7" s="1"/>
  <c r="L89" i="7"/>
  <c r="L186" i="7"/>
  <c r="L188" i="7" s="1"/>
  <c r="L190" i="7" s="1"/>
  <c r="L192" i="7" s="1"/>
  <c r="M35" i="7"/>
  <c r="M64" i="7"/>
  <c r="K172" i="7"/>
  <c r="G93" i="7"/>
  <c r="G145" i="7"/>
  <c r="G252" i="7" s="1"/>
  <c r="H123" i="7"/>
  <c r="L156" i="7" l="1"/>
  <c r="L151" i="7"/>
  <c r="L155" i="7" s="1"/>
  <c r="L113" i="7"/>
  <c r="L51" i="7"/>
  <c r="L90" i="7" s="1"/>
  <c r="M47" i="7" s="1"/>
  <c r="L161" i="7"/>
  <c r="L260" i="7"/>
  <c r="D306" i="7"/>
  <c r="M189" i="7"/>
  <c r="M111" i="7"/>
  <c r="M128" i="7" s="1"/>
  <c r="M65" i="7"/>
  <c r="M112" i="7"/>
  <c r="L82" i="7"/>
  <c r="M36" i="7"/>
  <c r="K177" i="7"/>
  <c r="K179" i="7" s="1"/>
  <c r="K174" i="7"/>
  <c r="M46" i="7"/>
  <c r="M48" i="7" s="1"/>
  <c r="M88" i="7" s="1"/>
  <c r="L130" i="7"/>
  <c r="L131" i="7" s="1"/>
  <c r="G95" i="7"/>
  <c r="G96" i="7" s="1"/>
  <c r="G146" i="7"/>
  <c r="G135" i="7" s="1"/>
  <c r="G136" i="7" s="1"/>
  <c r="H118" i="7"/>
  <c r="H119" i="7"/>
  <c r="H72" i="7" s="1"/>
  <c r="L154" i="7" l="1"/>
  <c r="L91" i="7"/>
  <c r="L171" i="7" s="1"/>
  <c r="M170" i="7"/>
  <c r="M251" i="7"/>
  <c r="K180" i="7"/>
  <c r="L259" i="7"/>
  <c r="L261" i="7" s="1"/>
  <c r="L168" i="7"/>
  <c r="L133" i="7"/>
  <c r="L142" i="7"/>
  <c r="L84" i="7"/>
  <c r="L170" i="7" s="1"/>
  <c r="M67" i="7"/>
  <c r="M68" i="7" s="1"/>
  <c r="M49" i="7"/>
  <c r="M50" i="7" s="1"/>
  <c r="G244" i="7"/>
  <c r="H265" i="7" s="1"/>
  <c r="H267" i="7" s="1"/>
  <c r="H268" i="7" s="1"/>
  <c r="C302" i="7"/>
  <c r="H79" i="7"/>
  <c r="H120" i="7"/>
  <c r="M150" i="7" l="1"/>
  <c r="L157" i="7"/>
  <c r="L163" i="7" s="1"/>
  <c r="L251" i="7"/>
  <c r="H83" i="7"/>
  <c r="H141" i="7" s="1"/>
  <c r="H143" i="7" s="1"/>
  <c r="H250" i="7" s="1"/>
  <c r="I106" i="7"/>
  <c r="I114" i="7" s="1"/>
  <c r="M51" i="7"/>
  <c r="M90" i="7" s="1"/>
  <c r="M113" i="7"/>
  <c r="M149" i="7"/>
  <c r="L172" i="7"/>
  <c r="M126" i="7"/>
  <c r="M186" i="7"/>
  <c r="M89" i="7"/>
  <c r="H71" i="7"/>
  <c r="H75" i="7" s="1"/>
  <c r="H77" i="7" s="1"/>
  <c r="I98" i="7"/>
  <c r="M81" i="7"/>
  <c r="M110" i="7" s="1"/>
  <c r="M127" i="7"/>
  <c r="M187" i="7"/>
  <c r="M12" i="10" l="1"/>
  <c r="M13" i="10" s="1"/>
  <c r="M161" i="7" s="1"/>
  <c r="L176" i="7"/>
  <c r="L177" i="7" s="1"/>
  <c r="L179" i="7" s="1"/>
  <c r="L243" i="7"/>
  <c r="D307" i="7" s="1"/>
  <c r="H139" i="7"/>
  <c r="H145" i="7" s="1"/>
  <c r="M188" i="7"/>
  <c r="M190" i="7" s="1"/>
  <c r="M192" i="7" s="1"/>
  <c r="M151" i="7"/>
  <c r="M155" i="7" s="1"/>
  <c r="M156" i="7"/>
  <c r="M91" i="7"/>
  <c r="M171" i="7" s="1"/>
  <c r="M172" i="7" s="1"/>
  <c r="L174" i="7"/>
  <c r="M129" i="7"/>
  <c r="I116" i="7"/>
  <c r="H85" i="7"/>
  <c r="H93" i="7" s="1"/>
  <c r="N85" i="7" s="1"/>
  <c r="N91" i="7" s="1"/>
  <c r="M160" i="7" l="1"/>
  <c r="M260" i="7"/>
  <c r="L180" i="7"/>
  <c r="M259" i="7"/>
  <c r="M154" i="7"/>
  <c r="M163" i="7" s="1"/>
  <c r="J233" i="7" s="1"/>
  <c r="I123" i="7"/>
  <c r="M130" i="7"/>
  <c r="M131" i="7" s="1"/>
  <c r="H95" i="7"/>
  <c r="H146" i="7"/>
  <c r="H135" i="7" s="1"/>
  <c r="H136" i="7" s="1"/>
  <c r="C303" i="7" s="1"/>
  <c r="H252" i="7"/>
  <c r="M261" i="7" l="1"/>
  <c r="M176" i="7"/>
  <c r="M177" i="7" s="1"/>
  <c r="M243" i="7"/>
  <c r="M168" i="7"/>
  <c r="M174" i="7" s="1"/>
  <c r="N259" i="7" s="1"/>
  <c r="M133" i="7"/>
  <c r="I119" i="7"/>
  <c r="I72" i="7" s="1"/>
  <c r="I118" i="7"/>
  <c r="H96" i="7"/>
  <c r="H244" i="7"/>
  <c r="D308" i="7" l="1"/>
  <c r="N260" i="7"/>
  <c r="N261" i="7" s="1"/>
  <c r="I79" i="7"/>
  <c r="I120" i="7"/>
  <c r="M180" i="7"/>
  <c r="M179" i="7"/>
  <c r="I265" i="7"/>
  <c r="I267" i="7" s="1"/>
  <c r="I268" i="7" s="1"/>
  <c r="J98" i="7" l="1"/>
  <c r="I71" i="7"/>
  <c r="I75" i="7" s="1"/>
  <c r="I83" i="7"/>
  <c r="J106" i="7"/>
  <c r="J114" i="7" s="1"/>
  <c r="J116" i="7" l="1"/>
  <c r="I85" i="7"/>
  <c r="I93" i="7" s="1"/>
  <c r="I141" i="7"/>
  <c r="I143" i="7" s="1"/>
  <c r="I250" i="7" s="1"/>
  <c r="I139" i="7"/>
  <c r="I77" i="7"/>
  <c r="J123" i="7" l="1"/>
  <c r="I145" i="7"/>
  <c r="I95" i="7"/>
  <c r="I96" i="7" s="1"/>
  <c r="I146" i="7" l="1"/>
  <c r="I135" i="7" s="1"/>
  <c r="I136" i="7" s="1"/>
  <c r="I252" i="7"/>
  <c r="J118" i="7"/>
  <c r="J119" i="7"/>
  <c r="J72" i="7" s="1"/>
  <c r="I244" i="7" l="1"/>
  <c r="J265" i="7" s="1"/>
  <c r="J267" i="7" s="1"/>
  <c r="J268" i="7" s="1"/>
  <c r="C304" i="7"/>
  <c r="E304" i="7" s="1"/>
  <c r="J79" i="7"/>
  <c r="J120" i="7"/>
  <c r="J270" i="7" l="1"/>
  <c r="K98" i="7"/>
  <c r="J71" i="7"/>
  <c r="J75" i="7" s="1"/>
  <c r="J83" i="7"/>
  <c r="K106" i="7"/>
  <c r="K114" i="7" s="1"/>
  <c r="J77" i="7" l="1"/>
  <c r="J139" i="7"/>
  <c r="J85" i="7"/>
  <c r="J93" i="7" s="1"/>
  <c r="J141" i="7"/>
  <c r="J143" i="7" s="1"/>
  <c r="J250" i="7" s="1"/>
  <c r="K116" i="7"/>
  <c r="J95" i="7" l="1"/>
  <c r="J96" i="7" s="1"/>
  <c r="K123" i="7"/>
  <c r="J145" i="7"/>
  <c r="J146" i="7" l="1"/>
  <c r="J135" i="7" s="1"/>
  <c r="J136" i="7" s="1"/>
  <c r="C305" i="7" s="1"/>
  <c r="E305" i="7" s="1"/>
  <c r="J252" i="7"/>
  <c r="K118" i="7"/>
  <c r="K119" i="7"/>
  <c r="K72" i="7" s="1"/>
  <c r="J244" i="7" l="1"/>
  <c r="K265" i="7" s="1"/>
  <c r="K267" i="7" s="1"/>
  <c r="K270" i="7" s="1"/>
  <c r="J137" i="7"/>
  <c r="K79" i="7"/>
  <c r="K120" i="7"/>
  <c r="D171" i="7"/>
  <c r="D172" i="7" s="1"/>
  <c r="D174" i="7" s="1"/>
  <c r="F171" i="7"/>
  <c r="F172" i="7" s="1"/>
  <c r="G150" i="7"/>
  <c r="G12" i="10" s="1"/>
  <c r="G13" i="10" s="1"/>
  <c r="H171" i="7"/>
  <c r="H172" i="7" s="1"/>
  <c r="H174" i="7" s="1"/>
  <c r="E171" i="7"/>
  <c r="E172" i="7" s="1"/>
  <c r="E174" i="7" s="1"/>
  <c r="E150" i="7"/>
  <c r="E151" i="7" s="1"/>
  <c r="D150" i="7"/>
  <c r="D151" i="7" s="1"/>
  <c r="G171" i="7"/>
  <c r="G172" i="7" s="1"/>
  <c r="H150" i="7"/>
  <c r="H12" i="10" s="1"/>
  <c r="H13" i="10" s="1"/>
  <c r="F150" i="7"/>
  <c r="F156" i="7" s="1"/>
  <c r="K268" i="7" l="1"/>
  <c r="D12" i="10"/>
  <c r="D13" i="10" s="1"/>
  <c r="D160" i="7" s="1"/>
  <c r="D156" i="7"/>
  <c r="E156" i="7"/>
  <c r="H156" i="7"/>
  <c r="K71" i="7"/>
  <c r="K75" i="7" s="1"/>
  <c r="L98" i="7"/>
  <c r="E12" i="10"/>
  <c r="E13" i="10" s="1"/>
  <c r="E160" i="7" s="1"/>
  <c r="H151" i="7"/>
  <c r="H154" i="7" s="1"/>
  <c r="G156" i="7"/>
  <c r="G151" i="7"/>
  <c r="G154" i="7" s="1"/>
  <c r="K83" i="7"/>
  <c r="L106" i="7"/>
  <c r="L114" i="7" s="1"/>
  <c r="E154" i="7"/>
  <c r="E155" i="7"/>
  <c r="H161" i="7"/>
  <c r="H160" i="7"/>
  <c r="F259" i="7"/>
  <c r="G161" i="7"/>
  <c r="G160" i="7"/>
  <c r="I259" i="7"/>
  <c r="F174" i="7"/>
  <c r="D154" i="7"/>
  <c r="D155" i="7"/>
  <c r="E259" i="7"/>
  <c r="F12" i="10"/>
  <c r="F13" i="10" s="1"/>
  <c r="G174" i="7"/>
  <c r="F151" i="7"/>
  <c r="F154" i="7" s="1"/>
  <c r="D161" i="7" l="1"/>
  <c r="D163" i="7" s="1"/>
  <c r="E161" i="7"/>
  <c r="E163" i="7" s="1"/>
  <c r="G155" i="7"/>
  <c r="G163" i="7" s="1"/>
  <c r="H155" i="7"/>
  <c r="H163" i="7" s="1"/>
  <c r="L116" i="7"/>
  <c r="K139" i="7"/>
  <c r="K77" i="7"/>
  <c r="K141" i="7"/>
  <c r="K143" i="7" s="1"/>
  <c r="K250" i="7" s="1"/>
  <c r="K85" i="7"/>
  <c r="K93" i="7" s="1"/>
  <c r="F160" i="7"/>
  <c r="F161" i="7"/>
  <c r="H259" i="7"/>
  <c r="F155" i="7"/>
  <c r="G259" i="7"/>
  <c r="H243" i="7" l="1"/>
  <c r="I260" i="7" s="1"/>
  <c r="I261" i="7" s="1"/>
  <c r="F163" i="7"/>
  <c r="F243" i="7" s="1"/>
  <c r="K145" i="7"/>
  <c r="G243" i="7"/>
  <c r="H260" i="7" s="1"/>
  <c r="H261" i="7" s="1"/>
  <c r="G176" i="7"/>
  <c r="G177" i="7" s="1"/>
  <c r="G179" i="7" s="1"/>
  <c r="H176" i="7"/>
  <c r="H177" i="7" s="1"/>
  <c r="H179" i="7" s="1"/>
  <c r="K95" i="7"/>
  <c r="K96" i="7" s="1"/>
  <c r="L123" i="7"/>
  <c r="D243" i="7"/>
  <c r="D176" i="7"/>
  <c r="E243" i="7"/>
  <c r="E176" i="7"/>
  <c r="D303" i="7" l="1"/>
  <c r="E303" i="7" s="1"/>
  <c r="K146" i="7"/>
  <c r="K135" i="7" s="1"/>
  <c r="K136" i="7" s="1"/>
  <c r="C306" i="7" s="1"/>
  <c r="E306" i="7" s="1"/>
  <c r="K252" i="7"/>
  <c r="F176" i="7"/>
  <c r="F177" i="7" s="1"/>
  <c r="F179" i="7" s="1"/>
  <c r="G180" i="7"/>
  <c r="D302" i="7"/>
  <c r="E302" i="7" s="1"/>
  <c r="H180" i="7"/>
  <c r="L118" i="7"/>
  <c r="L119" i="7"/>
  <c r="L72" i="7" s="1"/>
  <c r="H270" i="7"/>
  <c r="I270" i="7"/>
  <c r="E177" i="7"/>
  <c r="E179" i="7" s="1"/>
  <c r="E180" i="7"/>
  <c r="D300" i="7"/>
  <c r="E300" i="7" s="1"/>
  <c r="F260" i="7"/>
  <c r="F261" i="7" s="1"/>
  <c r="D177" i="7"/>
  <c r="D179" i="7" s="1"/>
  <c r="D180" i="7"/>
  <c r="D299" i="7"/>
  <c r="E299" i="7" s="1"/>
  <c r="E260" i="7"/>
  <c r="E261" i="7" s="1"/>
  <c r="N262" i="7" s="1"/>
  <c r="G260" i="7"/>
  <c r="G261" i="7" s="1"/>
  <c r="D301" i="7"/>
  <c r="E301" i="7" s="1"/>
  <c r="F180" i="7" l="1"/>
  <c r="K244" i="7"/>
  <c r="L265" i="7" s="1"/>
  <c r="L267" i="7" s="1"/>
  <c r="L268" i="7" s="1"/>
  <c r="K137" i="7"/>
  <c r="H262" i="7"/>
  <c r="J262" i="7"/>
  <c r="K262" i="7"/>
  <c r="L262" i="7"/>
  <c r="M262" i="7"/>
  <c r="L79" i="7"/>
  <c r="L120" i="7"/>
  <c r="F270" i="7"/>
  <c r="F262" i="7"/>
  <c r="E270" i="7"/>
  <c r="E262" i="7"/>
  <c r="I262" i="7"/>
  <c r="G270" i="7"/>
  <c r="G262" i="7"/>
  <c r="L270" i="7" l="1"/>
  <c r="L71" i="7"/>
  <c r="L75" i="7" s="1"/>
  <c r="M98" i="7"/>
  <c r="L83" i="7"/>
  <c r="M106" i="7"/>
  <c r="M114" i="7" s="1"/>
  <c r="M116" i="7" l="1"/>
  <c r="M123" i="7" s="1"/>
  <c r="L141" i="7"/>
  <c r="L143" i="7" s="1"/>
  <c r="L250" i="7" s="1"/>
  <c r="L85" i="7"/>
  <c r="L93" i="7" s="1"/>
  <c r="L139" i="7"/>
  <c r="L77" i="7"/>
  <c r="L145" i="7" l="1"/>
  <c r="M118" i="7"/>
  <c r="M119" i="7"/>
  <c r="M72" i="7" s="1"/>
  <c r="L95" i="7"/>
  <c r="L96" i="7" s="1"/>
  <c r="L146" i="7" l="1"/>
  <c r="L135" i="7" s="1"/>
  <c r="L136" i="7" s="1"/>
  <c r="C307" i="7" s="1"/>
  <c r="E307" i="7" s="1"/>
  <c r="L252" i="7"/>
  <c r="M79" i="7"/>
  <c r="M120" i="7"/>
  <c r="M71" i="7" s="1"/>
  <c r="M75" i="7" s="1"/>
  <c r="M83" i="7" l="1"/>
  <c r="D324" i="7"/>
  <c r="L244" i="7"/>
  <c r="M265" i="7" s="1"/>
  <c r="M267" i="7" s="1"/>
  <c r="M268" i="7" s="1"/>
  <c r="L137" i="7"/>
  <c r="M139" i="7"/>
  <c r="M77" i="7"/>
  <c r="M85" i="7"/>
  <c r="M93" i="7" s="1"/>
  <c r="M141" i="7"/>
  <c r="M143" i="7" s="1"/>
  <c r="M250" i="7" s="1"/>
  <c r="M270" i="7" l="1"/>
  <c r="M95" i="7"/>
  <c r="M96" i="7" s="1"/>
  <c r="M145" i="7"/>
  <c r="M146" i="7" l="1"/>
  <c r="M135" i="7" s="1"/>
  <c r="M136" i="7" s="1"/>
  <c r="M252" i="7"/>
  <c r="G1" i="7"/>
  <c r="M244" i="7" l="1"/>
  <c r="N265" i="7" s="1"/>
  <c r="N267" i="7" s="1"/>
  <c r="J232" i="7"/>
  <c r="M137" i="7"/>
  <c r="N268" i="7" l="1"/>
  <c r="N270" i="7"/>
  <c r="J236" i="7"/>
  <c r="M246" i="7" s="1"/>
  <c r="J237" i="7"/>
  <c r="D320" i="7" l="1"/>
  <c r="D326" i="7" s="1"/>
  <c r="C308" i="7" s="1"/>
  <c r="E308" i="7" l="1"/>
  <c r="E309" i="7" s="1"/>
  <c r="E312" i="7" s="1"/>
  <c r="E313" i="7"/>
  <c r="U4" i="13" s="1"/>
  <c r="M248" i="7"/>
  <c r="M253" i="7" s="1"/>
  <c r="L246" i="7"/>
  <c r="L248" i="7" l="1"/>
  <c r="L253" i="7" s="1"/>
  <c r="K246" i="7"/>
  <c r="U8" i="13"/>
  <c r="U6" i="13"/>
  <c r="J246" i="7" l="1"/>
  <c r="K248" i="7"/>
  <c r="K253" i="7" s="1"/>
  <c r="J248" i="7" l="1"/>
  <c r="J253" i="7" s="1"/>
  <c r="I246" i="7"/>
  <c r="H246" i="7" l="1"/>
  <c r="H248" i="7" s="1"/>
  <c r="I248" i="7"/>
  <c r="I253" i="7" s="1"/>
  <c r="G246" i="7" l="1"/>
  <c r="H253" i="7"/>
  <c r="F246" i="7" l="1"/>
  <c r="G248" i="7"/>
  <c r="G253" i="7" s="1"/>
  <c r="E246" i="7" l="1"/>
  <c r="F248" i="7"/>
  <c r="F253" i="7" s="1"/>
  <c r="D246" i="7" l="1"/>
  <c r="E248" i="7"/>
  <c r="E253" i="7" s="1"/>
  <c r="C246" i="7" l="1"/>
  <c r="C248" i="7" s="1"/>
  <c r="C253" i="7" s="1"/>
  <c r="D248" i="7"/>
  <c r="D253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Aida Yadira Gomez</author>
  </authors>
  <commentList>
    <comment ref="H3" authorId="0" shapeId="0" xr:uid="{D6E5E245-DC16-4DDF-9807-601AE5293024}">
      <text>
        <r>
          <rPr>
            <b/>
            <sz val="9"/>
            <color indexed="81"/>
            <rFont val="Tahoma"/>
            <family val="2"/>
          </rPr>
          <t>Aida Yadira Gomez:</t>
        </r>
        <r>
          <rPr>
            <sz val="9"/>
            <color indexed="81"/>
            <rFont val="Tahoma"/>
            <family val="2"/>
          </rPr>
          <t xml:space="preserve">
Lista desplegable de escenarios,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Personal</author>
    <author>JGC</author>
    <author>Aida Yadira Gomez</author>
  </authors>
  <commentList>
    <comment ref="D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Personal:</t>
        </r>
        <r>
          <rPr>
            <sz val="9"/>
            <color indexed="81"/>
            <rFont val="Tahoma"/>
            <family val="2"/>
          </rPr>
          <t xml:space="preserve">
IPC Real DANE</t>
        </r>
      </text>
    </comment>
    <comment ref="D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Personal:</t>
        </r>
        <r>
          <rPr>
            <sz val="9"/>
            <color indexed="81"/>
            <rFont val="Tahoma"/>
            <family val="2"/>
          </rPr>
          <t xml:space="preserve">
Crecimiento indicador de seguirmiento a la economía Nov 21 (DANE Ene 22)</t>
        </r>
      </text>
    </comment>
    <comment ref="E9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Personal:</t>
        </r>
        <r>
          <rPr>
            <sz val="9"/>
            <color indexed="81"/>
            <rFont val="Tahoma"/>
            <family val="2"/>
          </rPr>
          <t xml:space="preserve">
EA Tomado de Superfinanciera</t>
        </r>
      </text>
    </comment>
    <comment ref="B40" authorId="1" shapeId="0" xr:uid="{00000000-0006-0000-0100-000004000000}">
      <text>
        <r>
          <rPr>
            <sz val="9"/>
            <color indexed="81"/>
            <rFont val="Tahoma"/>
            <family val="2"/>
          </rPr>
          <t>Sólo se depreciación si el año depreciación es menor o igual que el plazo de depreciación</t>
        </r>
      </text>
    </comment>
    <comment ref="B149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JGC:</t>
        </r>
        <r>
          <rPr>
            <sz val="9"/>
            <color indexed="81"/>
            <rFont val="Tahoma"/>
            <family val="2"/>
          </rPr>
          <t xml:space="preserve">
Deuda al inicio del año más deudas contratadas durante el año</t>
        </r>
      </text>
    </comment>
    <comment ref="B150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>JGC:</t>
        </r>
        <r>
          <rPr>
            <sz val="9"/>
            <color indexed="81"/>
            <rFont val="Tahoma"/>
            <family val="2"/>
          </rPr>
          <t xml:space="preserve">
Patrimonio al inicio del año más aportes efectuados durante el año</t>
        </r>
      </text>
    </comment>
    <comment ref="D320" authorId="2" shapeId="0" xr:uid="{203D9A2B-EDF5-41F7-ABB2-5709743E2B69}">
      <text>
        <r>
          <rPr>
            <b/>
            <sz val="9"/>
            <color indexed="81"/>
            <rFont val="Tahoma"/>
            <family val="2"/>
          </rPr>
          <t xml:space="preserve">Aida Yadira Gomez
SE TOMA DEL FCL DEL AÑO 5Y SE MULTIPLICA POR (1+g) Y SE DIVIDE ENTRE (i-g) 
</t>
        </r>
      </text>
    </comment>
    <comment ref="D322" authorId="2" shapeId="0" xr:uid="{695451E4-88A1-4E12-B7C8-A97BC19E5FD5}">
      <text>
        <r>
          <rPr>
            <b/>
            <sz val="9"/>
            <color indexed="81"/>
            <rFont val="Tahoma"/>
            <family val="2"/>
          </rPr>
          <t>Aida Yadira Gomez:</t>
        </r>
        <r>
          <rPr>
            <sz val="9"/>
            <color indexed="81"/>
            <rFont val="Tahoma"/>
            <family val="2"/>
          </rPr>
          <t xml:space="preserve">
suma de la inversion de capitalde w requerido en cada año - paso 5
</t>
        </r>
      </text>
    </comment>
    <comment ref="D324" authorId="2" shapeId="0" xr:uid="{FDC1B0D1-BE81-48EA-BC2C-B2A75CB2F695}">
      <text>
        <r>
          <rPr>
            <b/>
            <sz val="9"/>
            <color indexed="81"/>
            <rFont val="Tahoma"/>
            <family val="2"/>
          </rPr>
          <t>Aida Yadira Gomez:</t>
        </r>
        <r>
          <rPr>
            <sz val="9"/>
            <color indexed="81"/>
            <rFont val="Tahoma"/>
            <family val="2"/>
          </rPr>
          <t xml:space="preserve">
siempre es 0 ya que es flujo de caja libre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Personal</author>
  </authors>
  <commentList>
    <comment ref="B1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Personal:</t>
        </r>
        <r>
          <rPr>
            <sz val="9"/>
            <color indexed="81"/>
            <rFont val="Tahoma"/>
            <family val="2"/>
          </rPr>
          <t xml:space="preserve">
Cuadro del sector Gst Ventas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Jairo Gutiérrez C.</author>
    <author>Jairo Gutiérrez Carmona</author>
  </authors>
  <commentList>
    <comment ref="D36" authorId="0" shapeId="0" xr:uid="{00000000-0006-0000-0300-000001000000}">
      <text>
        <r>
          <rPr>
            <sz val="10"/>
            <color indexed="81"/>
            <rFont val="Tahoma"/>
            <family val="2"/>
          </rPr>
          <t>Tasa promedio de 2011 a 2020</t>
        </r>
      </text>
    </comment>
    <comment ref="D37" authorId="0" shapeId="0" xr:uid="{00000000-0006-0000-0300-000002000000}">
      <text>
        <r>
          <rPr>
            <sz val="10"/>
            <color indexed="81"/>
            <rFont val="Tahoma"/>
            <family val="2"/>
          </rPr>
          <t>Tasa promedio de 2011 a 2020</t>
        </r>
      </text>
    </comment>
    <comment ref="D40" authorId="0" shapeId="0" xr:uid="{00000000-0006-0000-0300-000003000000}">
      <text>
        <r>
          <rPr>
            <sz val="10"/>
            <color indexed="81"/>
            <rFont val="Tahoma"/>
            <family val="2"/>
          </rPr>
          <t>Tasa promedio de 2011 a 2020</t>
        </r>
      </text>
    </comment>
    <comment ref="D43" authorId="0" shapeId="0" xr:uid="{00000000-0006-0000-0300-000004000000}">
      <text>
        <r>
          <rPr>
            <sz val="10"/>
            <color indexed="81"/>
            <rFont val="Tahoma"/>
            <family val="2"/>
          </rPr>
          <t>Tasa promedio de 2011 a 2020</t>
        </r>
      </text>
    </comment>
    <comment ref="D49" authorId="0" shapeId="0" xr:uid="{00000000-0006-0000-0300-000005000000}">
      <text>
        <r>
          <rPr>
            <sz val="10"/>
            <color indexed="81"/>
            <rFont val="Tahoma"/>
            <family val="2"/>
          </rPr>
          <t>Tasa promedio de 2012 a 2021</t>
        </r>
      </text>
    </comment>
    <comment ref="D53" authorId="1" shapeId="0" xr:uid="{00000000-0006-0000-0300-000006000000}">
      <text>
        <r>
          <rPr>
            <sz val="12"/>
            <color indexed="81"/>
            <rFont val="Tahoma"/>
            <family val="2"/>
          </rPr>
          <t>La empresa Ibbotson Associates agrega una prima de riesgo por tamaño según la siguiente escala:
Grandes       0.0%
Medianas     0.9%
Pequeñas    1.7%
Micros          4.0%</t>
        </r>
      </text>
    </comment>
  </commentList>
</comments>
</file>

<file path=xl/sharedStrings.xml><?xml version="1.0" encoding="utf-8"?>
<sst xmlns="http://schemas.openxmlformats.org/spreadsheetml/2006/main" count="795" uniqueCount="440">
  <si>
    <t>MENÚ</t>
  </si>
  <si>
    <t>Activos fijos</t>
  </si>
  <si>
    <t>Bascula electronica</t>
  </si>
  <si>
    <t>Compresor de aire</t>
  </si>
  <si>
    <t>Cosedora de empaque</t>
  </si>
  <si>
    <t>Equipos de computo</t>
  </si>
  <si>
    <t>Puestos de trabajo</t>
  </si>
  <si>
    <t>Bodega y cobertizo</t>
  </si>
  <si>
    <t>Gastos Preoperativos</t>
  </si>
  <si>
    <t>Constitucion de la sociedad</t>
  </si>
  <si>
    <t>Adecuación de terreno</t>
  </si>
  <si>
    <t>Señalizacion de areas</t>
  </si>
  <si>
    <t>Permiso de vertimientos</t>
  </si>
  <si>
    <t>Caseta de vigilancia</t>
  </si>
  <si>
    <t>Inventario</t>
  </si>
  <si>
    <t>Palas</t>
  </si>
  <si>
    <t>Carretillas</t>
  </si>
  <si>
    <t>Machetes</t>
  </si>
  <si>
    <t>Plastico</t>
  </si>
  <si>
    <t>Tubos y accesorios PVC</t>
  </si>
  <si>
    <t>global</t>
  </si>
  <si>
    <t>Fumigadoras de espalda</t>
  </si>
  <si>
    <t>Equipos de protección</t>
  </si>
  <si>
    <t>Rastrillos</t>
  </si>
  <si>
    <t>Capital de trabajo</t>
  </si>
  <si>
    <t>SALDO FINAL</t>
  </si>
  <si>
    <t>Salarios</t>
  </si>
  <si>
    <t>Carga prestacional</t>
  </si>
  <si>
    <t>Año 1</t>
  </si>
  <si>
    <t>Año 2</t>
  </si>
  <si>
    <t>Año 3</t>
  </si>
  <si>
    <t>Año 4</t>
  </si>
  <si>
    <t>Año 5</t>
  </si>
  <si>
    <t>Operarios fijos</t>
  </si>
  <si>
    <t>Contador</t>
  </si>
  <si>
    <t>Vigilante</t>
  </si>
  <si>
    <t>SERVICIOS PÚBLICOS</t>
  </si>
  <si>
    <t>Agua</t>
  </si>
  <si>
    <t>Luz</t>
  </si>
  <si>
    <t>OTROS GASTOS</t>
  </si>
  <si>
    <t>Aseo y cafeteria</t>
  </si>
  <si>
    <t>Papelería</t>
  </si>
  <si>
    <t>SUMA</t>
  </si>
  <si>
    <t>Caja de compensacion</t>
  </si>
  <si>
    <t>ARL</t>
  </si>
  <si>
    <t>Intereses de cesantias</t>
  </si>
  <si>
    <t>ICBF</t>
  </si>
  <si>
    <t>SENA</t>
  </si>
  <si>
    <t>Pensión</t>
  </si>
  <si>
    <t>Salud</t>
  </si>
  <si>
    <t>Vacaciones</t>
  </si>
  <si>
    <t>Prima</t>
  </si>
  <si>
    <t>Cesantias</t>
  </si>
  <si>
    <t>Impuesto predial</t>
  </si>
  <si>
    <t>Gastos de Notariado y Registro</t>
  </si>
  <si>
    <t>Telefonia e Internet</t>
  </si>
  <si>
    <t>Permiso de suelos</t>
  </si>
  <si>
    <t>ENTRADAS</t>
  </si>
  <si>
    <t>Inflación</t>
  </si>
  <si>
    <t>No de kilos de Residuos Organicos</t>
  </si>
  <si>
    <t>Crecimiento economía (PIB)</t>
  </si>
  <si>
    <t>Tasa impositiva</t>
  </si>
  <si>
    <t>Inversión inicial</t>
  </si>
  <si>
    <t>Activos fijos iniciales</t>
  </si>
  <si>
    <t>Financiado con crédito</t>
  </si>
  <si>
    <t>Precio inicial de venta</t>
  </si>
  <si>
    <t>Crece anualmente según la inflación del año anterior</t>
  </si>
  <si>
    <t>Cantidad inicial de ventas</t>
  </si>
  <si>
    <t>Ingresos no operacionales</t>
  </si>
  <si>
    <t>Plazo de cuentas por cobrar</t>
  </si>
  <si>
    <t>Plazo de inventarios</t>
  </si>
  <si>
    <t>dias de costo de ventas</t>
  </si>
  <si>
    <t>Plazo de cuentas por pagar</t>
  </si>
  <si>
    <t>Efectivo mínimo</t>
  </si>
  <si>
    <t>dias de pago de costos y gastos del año siguiente</t>
  </si>
  <si>
    <t>Distribución de utilidades</t>
  </si>
  <si>
    <t>Reserva legal</t>
  </si>
  <si>
    <t>Pago de impuestos</t>
  </si>
  <si>
    <t>En el mismo año en que se causan. El resto al año siguiente</t>
  </si>
  <si>
    <t>Tasa libre de riesgo</t>
  </si>
  <si>
    <t>Prima de riesgo del mercado</t>
  </si>
  <si>
    <t>PROCESO</t>
  </si>
  <si>
    <t>Precio de venta</t>
  </si>
  <si>
    <t>Cantidad vendida</t>
  </si>
  <si>
    <t>AMORTIZACIÓN DEL CRÉDITO</t>
  </si>
  <si>
    <t>Número de cuota</t>
  </si>
  <si>
    <t>Saldo inicial</t>
  </si>
  <si>
    <t>Cuota</t>
  </si>
  <si>
    <t>Interés</t>
  </si>
  <si>
    <t>Abono a capital</t>
  </si>
  <si>
    <t>Saldo final</t>
  </si>
  <si>
    <t>DEPRECIACIONES</t>
  </si>
  <si>
    <t>Gasto depreciación inversión inicial</t>
  </si>
  <si>
    <t>Depreciación acumulada</t>
  </si>
  <si>
    <t>Activo fijo neto (inicial)</t>
  </si>
  <si>
    <t>Compra de activos</t>
  </si>
  <si>
    <t>Gasto depreciación compras</t>
  </si>
  <si>
    <t>ASAMBLEA (Distribución de utilidades)</t>
  </si>
  <si>
    <t>Resultado del ejercicios (año anterior)</t>
  </si>
  <si>
    <t>Utilidades acumuladas (año anterior)</t>
  </si>
  <si>
    <t>Reserva Legal</t>
  </si>
  <si>
    <t>Disponible para distribuir</t>
  </si>
  <si>
    <t>Utilidades distribuidas</t>
  </si>
  <si>
    <t>Utilidades acumuladas</t>
  </si>
  <si>
    <t>ESTADO DE RESULTADOS</t>
  </si>
  <si>
    <t>Ventas</t>
  </si>
  <si>
    <t>Costo de ventas</t>
  </si>
  <si>
    <t>UTILIDAD BRUTA</t>
  </si>
  <si>
    <t>Gastos de administración</t>
  </si>
  <si>
    <t>Depreciación</t>
  </si>
  <si>
    <t>TOTAL GASTOS DE ADMINISTRACIÓN</t>
  </si>
  <si>
    <t>UTILIDAD OPERACIONAL</t>
  </si>
  <si>
    <t>Gasto financiero</t>
  </si>
  <si>
    <t>UTILIDAD ANTES DE IMPUESTOS</t>
  </si>
  <si>
    <t>Provisión de impuestos</t>
  </si>
  <si>
    <t>UTILIDAD NETA</t>
  </si>
  <si>
    <t>ESTADO DE SITUACIÓN</t>
  </si>
  <si>
    <t>Disponible</t>
  </si>
  <si>
    <t>Inversiones temporales</t>
  </si>
  <si>
    <t>Cuentas por cobrar clientes</t>
  </si>
  <si>
    <t>Inventarios</t>
  </si>
  <si>
    <t>Activo corriente</t>
  </si>
  <si>
    <t>Activo fijo neto</t>
  </si>
  <si>
    <t>TOTAL ACTIVO</t>
  </si>
  <si>
    <t>Crédito de tesorería</t>
  </si>
  <si>
    <t>Cuentas por pagar proveedores</t>
  </si>
  <si>
    <t>Impuestos por pagar</t>
  </si>
  <si>
    <t>Obligaciones financieras corto plazo</t>
  </si>
  <si>
    <t>Pasivo corriente</t>
  </si>
  <si>
    <t>Obligaciones financieras largo plazo</t>
  </si>
  <si>
    <t>TOTAL PASIVO</t>
  </si>
  <si>
    <t>Capital social</t>
  </si>
  <si>
    <t>Resultado del ejercicios</t>
  </si>
  <si>
    <t>TOTAL PATRIMONIO</t>
  </si>
  <si>
    <t>TOTAL PASIVO Y PATRIMONIO</t>
  </si>
  <si>
    <t>PRUEBA</t>
  </si>
  <si>
    <t>PRESUPUESTO TESORERÍA</t>
  </si>
  <si>
    <t>Ingresos por ventas</t>
  </si>
  <si>
    <t>Otros ingresos</t>
  </si>
  <si>
    <t>Crédito bancario</t>
  </si>
  <si>
    <t>Aporte socios</t>
  </si>
  <si>
    <t>TOTAL ENTRADAS</t>
  </si>
  <si>
    <t>Pago crédito de tesorería</t>
  </si>
  <si>
    <t>Pago costos</t>
  </si>
  <si>
    <t>Pago gastos</t>
  </si>
  <si>
    <t>Pago impuestos</t>
  </si>
  <si>
    <t>Pago de intereses crédito bancario</t>
  </si>
  <si>
    <t>Abono a capital crédito bancario</t>
  </si>
  <si>
    <t>TOTAL SALIDAS</t>
  </si>
  <si>
    <t>SALDO ACUMULADO</t>
  </si>
  <si>
    <t>Crédito de tesorería (sobregiro)</t>
  </si>
  <si>
    <t>Compra de inversiones temporales</t>
  </si>
  <si>
    <t>Sobrante (faltante)</t>
  </si>
  <si>
    <t>FLUJO DE CAJA LIBRE</t>
  </si>
  <si>
    <t>Utilidad neta</t>
  </si>
  <si>
    <t>(+) Impuestos causados</t>
  </si>
  <si>
    <t>(+) Gasto financiero</t>
  </si>
  <si>
    <t>EBIT</t>
  </si>
  <si>
    <t>(-) Impuestos ajustados</t>
  </si>
  <si>
    <t>EBIT (1 - tx)</t>
  </si>
  <si>
    <t>(+) Depreciaciones</t>
  </si>
  <si>
    <t>Flujo bruto</t>
  </si>
  <si>
    <t>(-) Inversiones en activo fijo</t>
  </si>
  <si>
    <t>(-) Inversión en capital de trabajo</t>
  </si>
  <si>
    <t>Inversión en capital de trabajo operativo</t>
  </si>
  <si>
    <t>1 Activo corriente</t>
  </si>
  <si>
    <t>- obligaciones financieras CP</t>
  </si>
  <si>
    <t>2 Deuda operacional</t>
  </si>
  <si>
    <t>Capital de trabajo operacional (1 - 2)</t>
  </si>
  <si>
    <t>Variación del capital de trabajo</t>
  </si>
  <si>
    <t>COSTO DE CAPITAL</t>
  </si>
  <si>
    <t>Estructura de capital</t>
  </si>
  <si>
    <t>Costo deuda después de impuestos</t>
  </si>
  <si>
    <t>Valor de continuidad</t>
  </si>
  <si>
    <t>AÑO ==&gt;</t>
  </si>
  <si>
    <t>RENTABILIDAD</t>
  </si>
  <si>
    <t>ECONOMIC VALUE ADDED  - EVA</t>
  </si>
  <si>
    <t>Rentabilidad de la inversión - ROI</t>
  </si>
  <si>
    <t>Costo de capital - WACC</t>
  </si>
  <si>
    <t>Costo de los recursos utilizados (Utilidad mínima)</t>
  </si>
  <si>
    <t>EVA = (ROI - WACC) * Recursos utilizados</t>
  </si>
  <si>
    <t>EBITDA y MARGEN EBITDA</t>
  </si>
  <si>
    <t>EBITDA  -  Depurando utilidad</t>
  </si>
  <si>
    <t>(+) Impuesto a las ganancias</t>
  </si>
  <si>
    <t>UTILIDAD ANTES DE INTERESES Y DE IMPUESTOS - EBIT</t>
  </si>
  <si>
    <t>EBITDA</t>
  </si>
  <si>
    <t>EBITDA  -  Depurando ingresos</t>
  </si>
  <si>
    <t>Ingresos TOTALES</t>
  </si>
  <si>
    <t>Gastos operacionales *</t>
  </si>
  <si>
    <t>TOTAL COSTOS Y GASTOS</t>
  </si>
  <si>
    <t>* No incluye depreciaciones, amortizaciones, gasto financiero de la deuda financiera,</t>
  </si>
  <si>
    <t xml:space="preserve">  ni los impuestos a las ganancias</t>
  </si>
  <si>
    <t>DISTRIBUCIÓN DE LOS INGRESOS</t>
  </si>
  <si>
    <t>Costo y gastos / Ingresos</t>
  </si>
  <si>
    <t>Margen EBITDA = EBITDA / Ingresos</t>
  </si>
  <si>
    <t>GUÍA PARA LA PROYECCIÓN DE ESTADOS FINANCIEROS</t>
  </si>
  <si>
    <t>Precio del año anterior * (1 + inflación del año anterior)</t>
  </si>
  <si>
    <t>Cantidad del año anterior * (1 + PIB) * (1 + crecimiento real)</t>
  </si>
  <si>
    <t>(Activo fijo bruto año anterior  +  compra de activos del año / 2)  / plazo depreciación</t>
  </si>
  <si>
    <t>Depreciación acumulada año anterior  -  gasto depreciación del año</t>
  </si>
  <si>
    <t>Distribución utilidades</t>
  </si>
  <si>
    <t>Si (disponible para distribuir &gt;0</t>
  </si>
  <si>
    <t xml:space="preserve">      ==&gt; disponible para distribuir * % de distribución de utilidades</t>
  </si>
  <si>
    <t>Si no ==&gt; 0</t>
  </si>
  <si>
    <t>Utilidades retenidas</t>
  </si>
  <si>
    <t>Disponible para distribuir  -  utilidades distribuidas</t>
  </si>
  <si>
    <t>Cantidad vendida * precio de venta</t>
  </si>
  <si>
    <t>Ventas * % de costo de ventas</t>
  </si>
  <si>
    <t>Gasto depreciación</t>
  </si>
  <si>
    <t>Gasto depreciación inversión inicial + gasto depreciación compras de activos</t>
  </si>
  <si>
    <t>Neto otros ingresos</t>
  </si>
  <si>
    <t>Costo de ventas * % otros ingresos</t>
  </si>
  <si>
    <t>Saldo final del flujo de tesorería del mismo año</t>
  </si>
  <si>
    <t>Saldo del año anterior + compra de inversiones del mismo año</t>
  </si>
  <si>
    <t>Cuentas por cobrar</t>
  </si>
  <si>
    <t>Ventas / 360  * Dias plazo cartera</t>
  </si>
  <si>
    <t>Costo de ventas / 360 * Dias plazo inventario</t>
  </si>
  <si>
    <t>Activo fijo neto inversión inicial  + activo fijo neto compras de activos</t>
  </si>
  <si>
    <t>Igual al crédito de tesorería contratado en el mismo año (ver flujo)</t>
  </si>
  <si>
    <t>Costo de ventas / 360  * Dias plazo pago proveedores</t>
  </si>
  <si>
    <t>Impuestos causados durante el año * (1 - % de impuestos que se paga en el mismo año)</t>
  </si>
  <si>
    <t>Obligaciones financieras CP</t>
  </si>
  <si>
    <t>Abonos de capital programados para el año siguiente</t>
  </si>
  <si>
    <t>Obligaciones financieras LP</t>
  </si>
  <si>
    <t>Saldo final de la deuda  -  obligaciones financieras CP</t>
  </si>
  <si>
    <t>FLUJO DE TESORERÍA</t>
  </si>
  <si>
    <t>Cero para el año 0 y después igual al saldo final del año anterior</t>
  </si>
  <si>
    <t>Cuentas por cobrar del año anterior  +  Ventas del año   -   cuentas por cobrar del año</t>
  </si>
  <si>
    <t>Saldo crédito de tesorería del año anterior (ver pasivo)</t>
  </si>
  <si>
    <t>+  Cuentas por pagar del año anterior</t>
  </si>
  <si>
    <t>+  Costo de ventas</t>
  </si>
  <si>
    <t>-   Cuentas por pagar del año</t>
  </si>
  <si>
    <t>+  Variación de inventarios</t>
  </si>
  <si>
    <t xml:space="preserve">    Impuestos por pagar del año anterior</t>
  </si>
  <si>
    <t xml:space="preserve"> +  causación de impuestos en el año</t>
  </si>
  <si>
    <t xml:space="preserve"> -  impuestos por pagar del año actual</t>
  </si>
  <si>
    <t>Saldo acumulado</t>
  </si>
  <si>
    <t>Saldo inicial  +  entradas  -  salidas</t>
  </si>
  <si>
    <t>UNA VEZ CALCULADO EL SALDO ACUMULADO</t>
  </si>
  <si>
    <t>(Pago de costos del año siguiente + pago de gastos del año siguiente) / 360</t>
  </si>
  <si>
    <t>* dias de efectivo mínimo requerido</t>
  </si>
  <si>
    <t>Saldo acumulado  -  efectivo mínimo</t>
  </si>
  <si>
    <t>Si (sobrante (faltante) &lt; 0</t>
  </si>
  <si>
    <r>
      <t xml:space="preserve">      ==&gt; </t>
    </r>
    <r>
      <rPr>
        <b/>
        <sz val="16"/>
        <color rgb="FFFF0000"/>
        <rFont val="Arial"/>
        <family val="2"/>
      </rPr>
      <t>-</t>
    </r>
    <r>
      <rPr>
        <sz val="12"/>
        <rFont val="Arial"/>
        <family val="2"/>
      </rPr>
      <t xml:space="preserve"> faltante</t>
    </r>
  </si>
  <si>
    <t>Compra de inversiones</t>
  </si>
  <si>
    <t>Si (sobrante (faltante) &gt; 0</t>
  </si>
  <si>
    <t xml:space="preserve">      ==&gt; sobrante</t>
  </si>
  <si>
    <t>Saldo acumulado  +  crédito de tesorería - compra de inversiones</t>
  </si>
  <si>
    <t>Año 0</t>
  </si>
  <si>
    <t>MATRIZ DE CANTIDADES COMPRAS</t>
  </si>
  <si>
    <t>Compras estimadas residuos</t>
  </si>
  <si>
    <t>065</t>
  </si>
  <si>
    <t>Recuperación de materiales (reciclaje)</t>
  </si>
  <si>
    <t>Producto interno bruto</t>
  </si>
  <si>
    <t>Personal</t>
  </si>
  <si>
    <t>Otros Costos</t>
  </si>
  <si>
    <t>Total Costos</t>
  </si>
  <si>
    <t>Empaque</t>
  </si>
  <si>
    <t>50 kilos</t>
  </si>
  <si>
    <t>medidas</t>
  </si>
  <si>
    <t xml:space="preserve">10 kilos </t>
  </si>
  <si>
    <t>3 kilos</t>
  </si>
  <si>
    <t>60x100</t>
  </si>
  <si>
    <t>50x60</t>
  </si>
  <si>
    <t>20x40</t>
  </si>
  <si>
    <t>mas 5000</t>
  </si>
  <si>
    <t>Distribución</t>
  </si>
  <si>
    <t>Costo Kilo Residuos Organicos y otros</t>
  </si>
  <si>
    <t>RIESGO ESPERADO DEL SECTOR</t>
  </si>
  <si>
    <t>Factor</t>
  </si>
  <si>
    <t>Puntaje ENTRE -2 y 2 (expectativas de riesgo del sector)
-2 perjudicial para el sector &lt;=========&gt; favorable para el sector +2</t>
  </si>
  <si>
    <t>Barreras de entrada</t>
  </si>
  <si>
    <t>Crecimiento de la demanda</t>
  </si>
  <si>
    <t>Evolución del precio</t>
  </si>
  <si>
    <t>Favorabilidad de legislación/impuestos</t>
  </si>
  <si>
    <t>Favorabilidad de aranceles/subsidios</t>
  </si>
  <si>
    <t>Exigencias de innovación</t>
  </si>
  <si>
    <t>PROMEDIO</t>
  </si>
  <si>
    <t>Estructura de capital de la empresa</t>
  </si>
  <si>
    <t>AÑO</t>
  </si>
  <si>
    <t>Rentabilidad Bonos del Tesoro USA (1)</t>
  </si>
  <si>
    <t>Inflación USA (2)</t>
  </si>
  <si>
    <t>Inflación Colombia (3)</t>
  </si>
  <si>
    <t>Riesgo país (4)</t>
  </si>
  <si>
    <t>Prima de riesgo del mercado (4)</t>
  </si>
  <si>
    <t>Variación real PIB (3)</t>
  </si>
  <si>
    <t>FUENTES:</t>
  </si>
  <si>
    <t>(1) www.damodaran.com archivo Historical Returns on Stocks, Bonds and Bills - United States</t>
  </si>
  <si>
    <t>(2) Fondo Monetario Internacional</t>
  </si>
  <si>
    <t>(4) www.damodaran.com archivo Risk Premiums for Other Markets</t>
  </si>
  <si>
    <t>Inflación en USA</t>
  </si>
  <si>
    <t>Inflación COLOMBIA</t>
  </si>
  <si>
    <t>Riesgo país Colombia</t>
  </si>
  <si>
    <t>Prima básica de riesgo compañía</t>
  </si>
  <si>
    <t>Riesgo Compañía</t>
  </si>
  <si>
    <t>PRIMA DE RIESGO COMPAÑÍA</t>
  </si>
  <si>
    <t>Puntaje 0-4 según riesgo de la empresa</t>
  </si>
  <si>
    <t>Tamaño de la compañía</t>
  </si>
  <si>
    <t xml:space="preserve">Facilidad de acceso a capital </t>
  </si>
  <si>
    <t>Concentración proveedores</t>
  </si>
  <si>
    <t>Capacidad de distribución</t>
  </si>
  <si>
    <t>Concentración de clientes</t>
  </si>
  <si>
    <t>Capacidad de innovación</t>
  </si>
  <si>
    <t>Apalancamiento operativo</t>
  </si>
  <si>
    <t>Cobertura de intereses</t>
  </si>
  <si>
    <t>Nivel de la gerencia</t>
  </si>
  <si>
    <t>Dependencia de empleados claves</t>
  </si>
  <si>
    <t>Sistemas de Calidad</t>
  </si>
  <si>
    <t xml:space="preserve">Riesgo geográfico </t>
  </si>
  <si>
    <t>TOTAL PUNTAJE</t>
  </si>
  <si>
    <t>Ajuste por características empresa</t>
  </si>
  <si>
    <t>UAII</t>
  </si>
  <si>
    <t>Tabla para clasificar apalancamiento</t>
  </si>
  <si>
    <t>Tabla para clasificar cobertura intereses</t>
  </si>
  <si>
    <t>Valor básico riesgo compañía</t>
  </si>
  <si>
    <t>Ajuste por características de la empresa</t>
  </si>
  <si>
    <t>ROI</t>
  </si>
  <si>
    <t>Ultimo FCL conocido</t>
  </si>
  <si>
    <t>FCLn</t>
  </si>
  <si>
    <t>Ultimo costo de capital conocido</t>
  </si>
  <si>
    <t>Crecimiento esperado del FCL</t>
  </si>
  <si>
    <t>g</t>
  </si>
  <si>
    <t>PIB crecimiento promedio esperado (2022-26) ==&gt;</t>
  </si>
  <si>
    <t>MODELO DE ANUALIDAD PERPETUA</t>
  </si>
  <si>
    <t>MODELO CRECIMIENTO CONSTANTE</t>
  </si>
  <si>
    <t>VALORIZACIÓN DEL PATRIMONIO</t>
  </si>
  <si>
    <t>VME y VMK EN LOS PRÓXIMOS AÑOS</t>
  </si>
  <si>
    <t>WACC</t>
  </si>
  <si>
    <t>Flujo de Caja Libre</t>
  </si>
  <si>
    <t>VALOR OPERACIONAL DE LA EMPRESA</t>
  </si>
  <si>
    <t>+ Valor de mercado de los activos no operacionales</t>
  </si>
  <si>
    <t>VALOR DE MERCADO DE LA EMPRESA</t>
  </si>
  <si>
    <t>(Menos) Deuda operacional</t>
  </si>
  <si>
    <t>(Menos) Deuda financiera</t>
  </si>
  <si>
    <t>(Más) Capital de trabajo operativo (KTNO)</t>
  </si>
  <si>
    <t>VALOR DE MERCADO DEL PATRIMONIO</t>
  </si>
  <si>
    <t>Contable</t>
  </si>
  <si>
    <t>MATRIZ DE RENTABILIDAD - EFICIENCIA</t>
  </si>
  <si>
    <t>ROI / WACC</t>
  </si>
  <si>
    <t>EFICIENCIA</t>
  </si>
  <si>
    <t>FCL</t>
  </si>
  <si>
    <t>INGRESOS</t>
  </si>
  <si>
    <t>FCL / INGRESOS</t>
  </si>
  <si>
    <t>Rentabilidad   eficiencia</t>
  </si>
  <si>
    <t xml:space="preserve">Camión transporte </t>
  </si>
  <si>
    <t>Minicargador -Bobcat</t>
  </si>
  <si>
    <t>Sub Transporte</t>
  </si>
  <si>
    <t>Gerente (Ingeniero Ambiental)</t>
  </si>
  <si>
    <t>Costos VH (Combustible-Mantenimientos)</t>
  </si>
  <si>
    <t>Mantenimiento Planta</t>
  </si>
  <si>
    <t>Otros Imprevistos</t>
  </si>
  <si>
    <t>Canecas de 55 Galones (208 Lts)</t>
  </si>
  <si>
    <t>Carretilla zorra de carga (180kls)</t>
  </si>
  <si>
    <t>Valor por Kilo</t>
  </si>
  <si>
    <t>Registro de Marca</t>
  </si>
  <si>
    <t>Arrendamiento (Lote y VH)</t>
  </si>
  <si>
    <t>Terreno</t>
  </si>
  <si>
    <t>https://people.stern.nyu.edu/adamodar/New_Home_Page/datafile/histretSP.html</t>
  </si>
  <si>
    <t>(3) Banco de la república y DANE</t>
  </si>
  <si>
    <t>Insumos Adicionales Poda</t>
  </si>
  <si>
    <t>Descripción</t>
  </si>
  <si>
    <t>Cantidad</t>
  </si>
  <si>
    <t>Valor Unitario</t>
  </si>
  <si>
    <t>Total</t>
  </si>
  <si>
    <t>Inventario de Herramientas</t>
  </si>
  <si>
    <t>GASTOS DE PERSONAL</t>
  </si>
  <si>
    <t>VALOR</t>
  </si>
  <si>
    <t>Polisombra tapar pilas</t>
  </si>
  <si>
    <r>
      <t xml:space="preserve">Beta desapalancada         </t>
    </r>
    <r>
      <rPr>
        <b/>
        <sz val="11"/>
        <color theme="1"/>
        <rFont val="Arial"/>
        <family val="2"/>
      </rPr>
      <t>b</t>
    </r>
    <r>
      <rPr>
        <b/>
        <vertAlign val="subscript"/>
        <sz val="11"/>
        <color theme="1"/>
        <rFont val="Arial"/>
        <family val="2"/>
      </rPr>
      <t>U</t>
    </r>
  </si>
  <si>
    <r>
      <t xml:space="preserve">Financiado con deuda            </t>
    </r>
    <r>
      <rPr>
        <b/>
        <sz val="11"/>
        <color theme="1"/>
        <rFont val="Arial"/>
        <family val="2"/>
      </rPr>
      <t>D</t>
    </r>
  </si>
  <si>
    <r>
      <t xml:space="preserve">Financiado con patrimonio      </t>
    </r>
    <r>
      <rPr>
        <b/>
        <sz val="11"/>
        <color theme="1"/>
        <rFont val="Arial"/>
        <family val="2"/>
      </rPr>
      <t>K</t>
    </r>
  </si>
  <si>
    <r>
      <t xml:space="preserve">Total financiación                   </t>
    </r>
    <r>
      <rPr>
        <b/>
        <sz val="11"/>
        <color theme="1"/>
        <rFont val="Arial"/>
        <family val="2"/>
      </rPr>
      <t>D + K</t>
    </r>
  </si>
  <si>
    <r>
      <t xml:space="preserve">Endeudamiento financiero       </t>
    </r>
    <r>
      <rPr>
        <b/>
        <sz val="11"/>
        <color theme="1"/>
        <rFont val="Arial"/>
        <family val="2"/>
      </rPr>
      <t>D / K</t>
    </r>
  </si>
  <si>
    <r>
      <t xml:space="preserve">Beta desapalancada       </t>
    </r>
    <r>
      <rPr>
        <b/>
        <sz val="11"/>
        <color theme="1"/>
        <rFont val="Arial"/>
        <family val="2"/>
      </rPr>
      <t>b</t>
    </r>
    <r>
      <rPr>
        <b/>
        <vertAlign val="subscript"/>
        <sz val="11"/>
        <color theme="1"/>
        <rFont val="Arial"/>
        <family val="2"/>
      </rPr>
      <t>U</t>
    </r>
  </si>
  <si>
    <r>
      <t xml:space="preserve">Beta apalancada            </t>
    </r>
    <r>
      <rPr>
        <b/>
        <sz val="11"/>
        <color theme="1"/>
        <rFont val="Arial"/>
        <family val="2"/>
      </rPr>
      <t>b</t>
    </r>
    <r>
      <rPr>
        <b/>
        <vertAlign val="subscript"/>
        <sz val="11"/>
        <color theme="1"/>
        <rFont val="Arial"/>
        <family val="2"/>
      </rPr>
      <t>L</t>
    </r>
  </si>
  <si>
    <r>
      <t xml:space="preserve">Costo del patrimonio       </t>
    </r>
    <r>
      <rPr>
        <b/>
        <sz val="11"/>
        <color theme="1"/>
        <rFont val="Arial"/>
        <family val="2"/>
      </rPr>
      <t>K</t>
    </r>
    <r>
      <rPr>
        <b/>
        <vertAlign val="subscript"/>
        <sz val="11"/>
        <color theme="1"/>
        <rFont val="Arial"/>
        <family val="2"/>
      </rPr>
      <t>e</t>
    </r>
  </si>
  <si>
    <r>
      <t>UODI - NOPAT - NOPLAT - EBIT(1-t</t>
    </r>
    <r>
      <rPr>
        <b/>
        <vertAlign val="subscript"/>
        <sz val="11"/>
        <rFont val="Arial"/>
        <family val="2"/>
      </rPr>
      <t>x</t>
    </r>
    <r>
      <rPr>
        <b/>
        <sz val="11"/>
        <rFont val="Arial"/>
        <family val="2"/>
      </rPr>
      <t>)</t>
    </r>
  </si>
  <si>
    <r>
      <t>EVA = EBIT (1 - t</t>
    </r>
    <r>
      <rPr>
        <b/>
        <vertAlign val="subscript"/>
        <sz val="11"/>
        <rFont val="Arial"/>
        <family val="2"/>
      </rPr>
      <t>x</t>
    </r>
    <r>
      <rPr>
        <b/>
        <sz val="11"/>
        <rFont val="Arial"/>
        <family val="2"/>
      </rPr>
      <t>)  -  Costo de recursos utilizados</t>
    </r>
  </si>
  <si>
    <r>
      <t>CPC</t>
    </r>
    <r>
      <rPr>
        <b/>
        <vertAlign val="subscript"/>
        <sz val="11"/>
        <rFont val="Arial"/>
        <family val="2"/>
      </rPr>
      <t>n</t>
    </r>
  </si>
  <si>
    <r>
      <t>b</t>
    </r>
    <r>
      <rPr>
        <b/>
        <vertAlign val="subscript"/>
        <sz val="11"/>
        <rFont val="Arial"/>
        <family val="2"/>
      </rPr>
      <t>U</t>
    </r>
    <r>
      <rPr>
        <b/>
        <sz val="11"/>
        <rFont val="Arial"/>
        <family val="2"/>
      </rPr>
      <t xml:space="preserve"> del sector</t>
    </r>
  </si>
  <si>
    <r>
      <t>b</t>
    </r>
    <r>
      <rPr>
        <b/>
        <vertAlign val="subscript"/>
        <sz val="11"/>
        <rFont val="Arial"/>
        <family val="2"/>
      </rPr>
      <t>L</t>
    </r>
    <r>
      <rPr>
        <b/>
        <sz val="11"/>
        <rFont val="Arial"/>
        <family val="2"/>
      </rPr>
      <t xml:space="preserve"> del sector</t>
    </r>
  </si>
  <si>
    <r>
      <t>TASA LIBRE DE RIESGO      R</t>
    </r>
    <r>
      <rPr>
        <b/>
        <vertAlign val="subscript"/>
        <sz val="11"/>
        <rFont val="Arial"/>
        <family val="2"/>
      </rPr>
      <t>f</t>
    </r>
  </si>
  <si>
    <r>
      <t xml:space="preserve">Tasa libre de riesgo </t>
    </r>
    <r>
      <rPr>
        <b/>
        <u/>
        <sz val="11"/>
        <rFont val="Arial"/>
        <family val="2"/>
      </rPr>
      <t>nominal</t>
    </r>
    <r>
      <rPr>
        <sz val="11"/>
        <rFont val="Arial"/>
        <family val="2"/>
      </rPr>
      <t xml:space="preserve"> en dólares </t>
    </r>
    <r>
      <rPr>
        <b/>
        <sz val="11"/>
        <rFont val="Arial"/>
        <family val="2"/>
      </rPr>
      <t>R</t>
    </r>
    <r>
      <rPr>
        <b/>
        <vertAlign val="subscript"/>
        <sz val="11"/>
        <rFont val="Arial"/>
        <family val="2"/>
      </rPr>
      <t>f  USA</t>
    </r>
  </si>
  <si>
    <r>
      <t xml:space="preserve">Tasa libre de riesgo </t>
    </r>
    <r>
      <rPr>
        <b/>
        <u/>
        <sz val="11"/>
        <rFont val="Arial"/>
        <family val="2"/>
      </rPr>
      <t>real</t>
    </r>
    <r>
      <rPr>
        <sz val="11"/>
        <rFont val="Arial"/>
        <family val="2"/>
      </rPr>
      <t xml:space="preserve"> en dólares</t>
    </r>
  </si>
  <si>
    <r>
      <t xml:space="preserve">Tasa libre de riesgo  </t>
    </r>
    <r>
      <rPr>
        <b/>
        <u/>
        <sz val="11"/>
        <rFont val="Arial"/>
        <family val="2"/>
      </rPr>
      <t>nominal</t>
    </r>
    <r>
      <rPr>
        <sz val="11"/>
        <rFont val="Arial"/>
        <family val="2"/>
      </rPr>
      <t xml:space="preserve"> COLOMBIA</t>
    </r>
  </si>
  <si>
    <r>
      <t>1 Tasa libre de riesgo  COLOMBIA    R</t>
    </r>
    <r>
      <rPr>
        <b/>
        <vertAlign val="subscript"/>
        <sz val="11"/>
        <rFont val="Arial"/>
        <family val="2"/>
      </rPr>
      <t>f  COL</t>
    </r>
  </si>
  <si>
    <r>
      <t>PRIMA DE RIESGO DEL MERCADO      (R</t>
    </r>
    <r>
      <rPr>
        <b/>
        <vertAlign val="subscript"/>
        <sz val="11"/>
        <rFont val="Arial"/>
        <family val="2"/>
      </rPr>
      <t>m</t>
    </r>
    <r>
      <rPr>
        <b/>
        <sz val="11"/>
        <rFont val="Arial"/>
        <family val="2"/>
      </rPr>
      <t xml:space="preserve">  -  R</t>
    </r>
    <r>
      <rPr>
        <b/>
        <vertAlign val="subscript"/>
        <sz val="11"/>
        <rFont val="Arial"/>
        <family val="2"/>
      </rPr>
      <t>f</t>
    </r>
    <r>
      <rPr>
        <b/>
        <sz val="11"/>
        <rFont val="Arial"/>
        <family val="2"/>
      </rPr>
      <t>)</t>
    </r>
  </si>
  <si>
    <r>
      <t>RIESGO COMPAÑÍA R</t>
    </r>
    <r>
      <rPr>
        <b/>
        <vertAlign val="subscript"/>
        <sz val="11"/>
        <rFont val="Arial"/>
        <family val="2"/>
      </rPr>
      <t>C</t>
    </r>
  </si>
  <si>
    <t>Precio Bajo</t>
  </si>
  <si>
    <t>Escenario</t>
  </si>
  <si>
    <t>2. Compra de Minicargador, Camión y Terreno / Financiado 50% Crédito / Precio Bajo</t>
  </si>
  <si>
    <t>Tipo</t>
  </si>
  <si>
    <t>Activos Fijos</t>
  </si>
  <si>
    <t>Otros Gastos Mensuales</t>
  </si>
  <si>
    <t>Crédito</t>
  </si>
  <si>
    <t>Precio de Venta</t>
  </si>
  <si>
    <t>5. Compra de Minicargador, Camión y Terreno / Financiado 50% Crédito / Precio Alto</t>
  </si>
  <si>
    <t>8. Arrendamiento de Minicargador, Camión y Terreno / Financiado 50% Crédito / Precio Bajo</t>
  </si>
  <si>
    <t>11. Arrendamiento de Minicargador, Camión y Terreno / Financiado 50% Crédito / Precio Alto</t>
  </si>
  <si>
    <t>TIR</t>
  </si>
  <si>
    <t>FLUJO</t>
  </si>
  <si>
    <t>VALOR RESIDUAL</t>
  </si>
  <si>
    <t>CON PERPETUIDAD</t>
  </si>
  <si>
    <t>(+) VALOR DE CONTINUIDAD</t>
  </si>
  <si>
    <t>(+) RECUPERACION DE CAPITAL DE TRABAJO</t>
  </si>
  <si>
    <t>(-) DEUDAS</t>
  </si>
  <si>
    <t>VALOR RESIDUAL CON PERPETUIDAD</t>
  </si>
  <si>
    <t>COSTO DEL APORTE</t>
  </si>
  <si>
    <t>VPN</t>
  </si>
  <si>
    <t>B/C</t>
  </si>
  <si>
    <t>7. Arrendamiento de Minicargador, Camión y Terreno / Financiado 0% Crédito / Precio Bajo</t>
  </si>
  <si>
    <t>3. Compra de Minicargador, Camión y Terreno / Financiado 100% Crédito / Precio Bajo</t>
  </si>
  <si>
    <t>6. Compra de Minicargador, Camión y Terreno / Financiado 100% Crédito / Precio Alto</t>
  </si>
  <si>
    <t>9. Arrendamiento de Minicargador, Camión y Terreno / Financiado 100% Crédito / Precio Bajo</t>
  </si>
  <si>
    <t>12. Arrendamiento de Minicargador, Camión y Terreno / Financiado 100% Crédito / Precio Alto</t>
  </si>
  <si>
    <t>Precio Alto</t>
  </si>
  <si>
    <r>
      <t xml:space="preserve">Deuda financiera al </t>
    </r>
    <r>
      <rPr>
        <b/>
        <sz val="11"/>
        <rFont val="Arial"/>
        <family val="2"/>
      </rPr>
      <t>inicio</t>
    </r>
    <r>
      <rPr>
        <sz val="11"/>
        <rFont val="Arial"/>
        <family val="2"/>
      </rPr>
      <t xml:space="preserve"> del año + Deudas contratadas </t>
    </r>
    <r>
      <rPr>
        <b/>
        <sz val="11"/>
        <rFont val="Arial"/>
        <family val="2"/>
      </rPr>
      <t>durante</t>
    </r>
    <r>
      <rPr>
        <sz val="11"/>
        <rFont val="Arial"/>
        <family val="2"/>
      </rPr>
      <t xml:space="preserve"> el año          </t>
    </r>
    <r>
      <rPr>
        <b/>
        <sz val="11"/>
        <rFont val="Arial"/>
        <family val="2"/>
      </rPr>
      <t>D</t>
    </r>
  </si>
  <si>
    <r>
      <t xml:space="preserve">Patrimonio al </t>
    </r>
    <r>
      <rPr>
        <b/>
        <sz val="11"/>
        <rFont val="Arial"/>
        <family val="2"/>
      </rPr>
      <t>inicio</t>
    </r>
    <r>
      <rPr>
        <sz val="11"/>
        <rFont val="Arial"/>
        <family val="2"/>
      </rPr>
      <t xml:space="preserve"> del año + Aportes efectuados </t>
    </r>
    <r>
      <rPr>
        <b/>
        <sz val="11"/>
        <rFont val="Arial"/>
        <family val="2"/>
      </rPr>
      <t>durante</t>
    </r>
    <r>
      <rPr>
        <sz val="11"/>
        <rFont val="Arial"/>
        <family val="2"/>
      </rPr>
      <t xml:space="preserve"> el año                            </t>
    </r>
    <r>
      <rPr>
        <b/>
        <sz val="11"/>
        <rFont val="Arial"/>
        <family val="2"/>
      </rPr>
      <t>K</t>
    </r>
  </si>
  <si>
    <t>Pesimista</t>
  </si>
  <si>
    <t>Optimista</t>
  </si>
  <si>
    <t>Realista</t>
  </si>
  <si>
    <t>Compra de Minicargador, Camión y Terreno / Financiado 0% Crédito / Precio Bajo</t>
  </si>
  <si>
    <t>Compra de Minicargador, Camión y Terreno / Financiado 0% Crédito / Precio Alto</t>
  </si>
  <si>
    <t>Arrendamiento de Minicargador, Camión y Terreno / Financiado 0% Crédito / Precio Alto</t>
  </si>
  <si>
    <t>Analisis Horizontal</t>
  </si>
  <si>
    <t>RECURSOS  =  INVERSIONES  =  D + K</t>
  </si>
  <si>
    <t xml:space="preserve">INDICADORES </t>
  </si>
  <si>
    <t>Año 6</t>
  </si>
  <si>
    <t>Año 7</t>
  </si>
  <si>
    <t>Año 8</t>
  </si>
  <si>
    <t>Año 9</t>
  </si>
  <si>
    <t>Año 10</t>
  </si>
  <si>
    <t>pesimista</t>
  </si>
  <si>
    <t>Arrendamiento (VH)</t>
  </si>
  <si>
    <t>realista</t>
  </si>
  <si>
    <t>Arrendamiento (Lote )</t>
  </si>
  <si>
    <t>optimista</t>
  </si>
  <si>
    <t>Compra de Terreno y Arriendo Minicargador /Camión  / Precio Bajo</t>
  </si>
  <si>
    <t>Arriendo Terreno y Compra de Minicargdor / Camión / Precio Alto</t>
  </si>
  <si>
    <t>Arriendo Terreno / Minicargador /  Camión / Precio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</si>
</sst>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0.0%"/>
    <numFmt numFmtId="166" formatCode="_-&quot;$&quot;\ * #,##0_-;\-&quot;$&quot;\ * #,##0_-;_-&quot;$&quot;\ * &quot;-&quot;??_-;_-@_-"/>
    <numFmt numFmtId="167" formatCode="&quot;VPN = &quot;#,##0;&quot;VPN = &quot;\-#,##0"/>
    <numFmt numFmtId="168" formatCode="&quot;Cuadre: &quot;#,##0"/>
    <numFmt numFmtId="169" formatCode="&quot;Se deprecia a &quot;0&quot; años&quot;"/>
    <numFmt numFmtId="170" formatCode="&quot;Plazo &quot;0&quot; años&quot;"/>
    <numFmt numFmtId="171" formatCode="&quot;Crece anualmente &quot;0%&quot; por encima del PIB del mismo año&quot;"/>
    <numFmt numFmtId="172" formatCode="&quot;Incrementa &quot;0.0\1&quot; anual&quot;"/>
    <numFmt numFmtId="173" formatCode="#,##0_ ;\(#,##0\)"/>
    <numFmt numFmtId="174" formatCode="0.0%\ ;\(0.0%\)"/>
    <numFmt numFmtId="175" formatCode="_-* #,##0_-;\-* #,##0_-;_-* &quot;-&quot;??_-;_-@_-"/>
    <numFmt numFmtId="176" formatCode="#,##0.0000"/>
    <numFmt numFmtId="177" formatCode="&quot;Año &quot;0"/>
    <numFmt numFmtId="178" formatCode="#,##0.00%_ ;\(#,##0.00%\)"/>
    <numFmt numFmtId="179" formatCode="#,##0\ ;\(#,##0\)"/>
    <numFmt numFmtId="180" formatCode="0.000%"/>
    <numFmt numFmtId="181" formatCode="0.0000%"/>
    <numFmt numFmtId="182" formatCode="&quot;Tasa &quot;0.0%&quot; EA&quot;"/>
    <numFmt numFmtId="183" formatCode="0\ &quot;Días&quot;"/>
    <numFmt numFmtId="184" formatCode="_-&quot;$&quot;\ * #,##0.000_-;\-&quot;$&quot;\ * #,##0.000_-;_-&quot;$&quot;\ * &quot;-&quot;??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b/>
      <u/>
      <sz val="16"/>
      <color indexed="12"/>
      <name val="Arial"/>
      <family val="2"/>
    </font>
    <font>
      <b/>
      <sz val="16"/>
      <color rgb="FFFF0000"/>
      <name val="Arial"/>
      <family val="2"/>
    </font>
    <font>
      <sz val="9"/>
      <name val="Segoe UI"/>
      <family val="2"/>
    </font>
    <font>
      <sz val="9"/>
      <color theme="1"/>
      <name val="Segoe UI"/>
      <family val="2"/>
    </font>
    <font>
      <b/>
      <sz val="9"/>
      <name val="Segoe UI"/>
      <family val="2"/>
    </font>
    <font>
      <b/>
      <sz val="9"/>
      <color theme="1"/>
      <name val="Segoe UI"/>
      <family val="2"/>
    </font>
    <font>
      <sz val="10"/>
      <color indexed="81"/>
      <name val="Tahoma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sz val="11"/>
      <color rgb="FF0000CC"/>
      <name val="Arial"/>
      <family val="2"/>
    </font>
    <font>
      <sz val="11"/>
      <color theme="0"/>
      <name val="Arial"/>
      <family val="2"/>
    </font>
    <font>
      <b/>
      <vertAlign val="subscript"/>
      <sz val="11"/>
      <name val="Arial"/>
      <family val="2"/>
    </font>
    <font>
      <u/>
      <sz val="11"/>
      <color theme="10"/>
      <name val="Arial"/>
      <family val="2"/>
    </font>
    <font>
      <b/>
      <u/>
      <sz val="11"/>
      <name val="Arial"/>
      <family val="2"/>
    </font>
    <font>
      <sz val="11"/>
      <color theme="4"/>
      <name val="Arial"/>
      <family val="2"/>
    </font>
    <font>
      <b/>
      <u/>
      <sz val="11"/>
      <color theme="1"/>
      <name val="Arial"/>
      <family val="2"/>
    </font>
    <font>
      <b/>
      <sz val="11"/>
      <color rgb="FF008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 "/>
    </font>
    <font>
      <b/>
      <sz val="11"/>
      <color theme="1"/>
      <name val="Calibri "/>
    </font>
    <font>
      <b/>
      <sz val="11"/>
      <color theme="0"/>
      <name val="Calibri"/>
      <family val="2"/>
      <scheme val="minor"/>
    </font>
    <font>
      <b/>
      <sz val="28"/>
      <color theme="1"/>
      <name val="Arial"/>
      <family val="2"/>
    </font>
    <font>
      <b/>
      <sz val="20"/>
      <color theme="1"/>
      <name val="Arial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0" fillId="0" borderId="0"/>
    <xf numFmtId="164" fontId="1" fillId="0" borderId="0" applyFont="0" applyFill="0" applyBorder="0" applyAlignment="0" applyProtection="0"/>
  </cellStyleXfs>
  <cellXfs count="398">
    <xf numFmtId="0" fontId="0" fillId="0" borderId="0" xfId="0"/>
    <xf numFmtId="0" fontId="2" fillId="2" borderId="0" xfId="4" applyFill="1"/>
    <xf numFmtId="0" fontId="0" fillId="2" borderId="0" xfId="0" applyFill="1"/>
    <xf numFmtId="9" fontId="0" fillId="2" borderId="0" xfId="3" applyFont="1" applyFill="1"/>
    <xf numFmtId="10" fontId="0" fillId="2" borderId="0" xfId="3" applyNumberFormat="1" applyFont="1" applyFill="1"/>
    <xf numFmtId="10" fontId="10" fillId="0" borderId="0" xfId="7" applyNumberFormat="1" applyFont="1" applyFill="1" applyAlignment="1"/>
    <xf numFmtId="174" fontId="9" fillId="0" borderId="0" xfId="6" applyNumberFormat="1" applyFont="1"/>
    <xf numFmtId="0" fontId="6" fillId="0" borderId="0" xfId="10"/>
    <xf numFmtId="0" fontId="14" fillId="0" borderId="0" xfId="10" quotePrefix="1" applyFont="1" applyAlignment="1">
      <alignment horizontal="left"/>
    </xf>
    <xf numFmtId="0" fontId="14" fillId="0" borderId="0" xfId="10" quotePrefix="1" applyFont="1"/>
    <xf numFmtId="0" fontId="7" fillId="0" borderId="0" xfId="11" applyFont="1"/>
    <xf numFmtId="0" fontId="8" fillId="0" borderId="11" xfId="11" applyFont="1" applyBorder="1"/>
    <xf numFmtId="0" fontId="10" fillId="0" borderId="12" xfId="11" applyBorder="1"/>
    <xf numFmtId="0" fontId="10" fillId="0" borderId="13" xfId="11" applyBorder="1"/>
    <xf numFmtId="0" fontId="10" fillId="0" borderId="0" xfId="11"/>
    <xf numFmtId="0" fontId="3" fillId="2" borderId="5" xfId="9" applyFont="1" applyFill="1" applyBorder="1"/>
    <xf numFmtId="0" fontId="7" fillId="0" borderId="0" xfId="11" quotePrefix="1" applyFont="1" applyAlignment="1">
      <alignment horizontal="left"/>
    </xf>
    <xf numFmtId="0" fontId="10" fillId="0" borderId="14" xfId="11" applyBorder="1"/>
    <xf numFmtId="0" fontId="0" fillId="2" borderId="5" xfId="9" applyFont="1" applyFill="1" applyBorder="1"/>
    <xf numFmtId="0" fontId="7" fillId="0" borderId="5" xfId="11" quotePrefix="1" applyFont="1" applyBorder="1" applyAlignment="1">
      <alignment horizontal="left"/>
    </xf>
    <xf numFmtId="0" fontId="7" fillId="0" borderId="14" xfId="11" applyFont="1" applyBorder="1"/>
    <xf numFmtId="0" fontId="7" fillId="0" borderId="5" xfId="11" applyFont="1" applyBorder="1"/>
    <xf numFmtId="0" fontId="3" fillId="2" borderId="15" xfId="9" applyFont="1" applyFill="1" applyBorder="1"/>
    <xf numFmtId="0" fontId="10" fillId="0" borderId="10" xfId="11" applyBorder="1"/>
    <xf numFmtId="0" fontId="10" fillId="0" borderId="16" xfId="11" applyBorder="1"/>
    <xf numFmtId="0" fontId="10" fillId="0" borderId="5" xfId="11" applyBorder="1"/>
    <xf numFmtId="0" fontId="10" fillId="0" borderId="15" xfId="11" applyBorder="1"/>
    <xf numFmtId="0" fontId="5" fillId="13" borderId="17" xfId="11" applyFont="1" applyFill="1" applyBorder="1"/>
    <xf numFmtId="0" fontId="7" fillId="13" borderId="18" xfId="11" applyFont="1" applyFill="1" applyBorder="1"/>
    <xf numFmtId="0" fontId="7" fillId="13" borderId="19" xfId="11" applyFont="1" applyFill="1" applyBorder="1"/>
    <xf numFmtId="0" fontId="7" fillId="13" borderId="20" xfId="11" applyFont="1" applyFill="1" applyBorder="1"/>
    <xf numFmtId="0" fontId="7" fillId="13" borderId="0" xfId="11" quotePrefix="1" applyFont="1" applyFill="1" applyAlignment="1">
      <alignment horizontal="left"/>
    </xf>
    <xf numFmtId="0" fontId="7" fillId="13" borderId="0" xfId="11" applyFont="1" applyFill="1"/>
    <xf numFmtId="0" fontId="7" fillId="13" borderId="21" xfId="11" applyFont="1" applyFill="1" applyBorder="1"/>
    <xf numFmtId="0" fontId="7" fillId="13" borderId="22" xfId="11" applyFont="1" applyFill="1" applyBorder="1"/>
    <xf numFmtId="0" fontId="7" fillId="13" borderId="23" xfId="11" applyFont="1" applyFill="1" applyBorder="1"/>
    <xf numFmtId="0" fontId="7" fillId="13" borderId="24" xfId="11" applyFont="1" applyFill="1" applyBorder="1"/>
    <xf numFmtId="0" fontId="10" fillId="0" borderId="10" xfId="11" quotePrefix="1" applyBorder="1" applyAlignment="1">
      <alignment horizontal="left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3" fontId="17" fillId="0" borderId="0" xfId="0" applyNumberFormat="1" applyFont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3" fontId="18" fillId="0" borderId="16" xfId="0" applyNumberFormat="1" applyFont="1" applyBorder="1" applyAlignment="1">
      <alignment horizontal="center"/>
    </xf>
    <xf numFmtId="0" fontId="17" fillId="0" borderId="10" xfId="0" applyFont="1" applyBorder="1"/>
    <xf numFmtId="0" fontId="19" fillId="0" borderId="10" xfId="0" applyFont="1" applyBorder="1" applyAlignment="1">
      <alignment vertical="center" wrapText="1"/>
    </xf>
    <xf numFmtId="9" fontId="17" fillId="0" borderId="0" xfId="3" applyFont="1" applyAlignment="1">
      <alignment horizontal="center" vertical="center"/>
    </xf>
    <xf numFmtId="10" fontId="0" fillId="0" borderId="0" xfId="0" applyNumberFormat="1"/>
    <xf numFmtId="0" fontId="21" fillId="0" borderId="1" xfId="0" applyFont="1" applyBorder="1"/>
    <xf numFmtId="3" fontId="21" fillId="0" borderId="1" xfId="0" applyNumberFormat="1" applyFont="1" applyBorder="1" applyAlignment="1">
      <alignment wrapText="1"/>
    </xf>
    <xf numFmtId="0" fontId="21" fillId="6" borderId="1" xfId="0" applyFont="1" applyFill="1" applyBorder="1"/>
    <xf numFmtId="0" fontId="9" fillId="0" borderId="0" xfId="0" quotePrefix="1" applyFont="1" applyAlignment="1">
      <alignment horizontal="left"/>
    </xf>
    <xf numFmtId="0" fontId="22" fillId="0" borderId="0" xfId="0" applyFont="1"/>
    <xf numFmtId="165" fontId="10" fillId="0" borderId="1" xfId="7" applyNumberFormat="1" applyFont="1" applyFill="1" applyBorder="1"/>
    <xf numFmtId="9" fontId="10" fillId="0" borderId="1" xfId="7" applyFont="1" applyFill="1" applyBorder="1"/>
    <xf numFmtId="9" fontId="22" fillId="0" borderId="1" xfId="7" applyFont="1" applyFill="1" applyBorder="1"/>
    <xf numFmtId="9" fontId="22" fillId="0" borderId="7" xfId="7" applyFont="1" applyBorder="1"/>
    <xf numFmtId="9" fontId="22" fillId="0" borderId="8" xfId="7" applyFont="1" applyBorder="1"/>
    <xf numFmtId="10" fontId="22" fillId="0" borderId="1" xfId="7" applyNumberFormat="1" applyFont="1" applyFill="1" applyBorder="1"/>
    <xf numFmtId="4" fontId="10" fillId="0" borderId="1" xfId="7" applyNumberFormat="1" applyFont="1" applyFill="1" applyBorder="1"/>
    <xf numFmtId="0" fontId="22" fillId="0" borderId="7" xfId="0" applyFont="1" applyBorder="1"/>
    <xf numFmtId="3" fontId="22" fillId="0" borderId="0" xfId="0" applyNumberFormat="1" applyFont="1"/>
    <xf numFmtId="165" fontId="22" fillId="0" borderId="0" xfId="3" applyNumberFormat="1" applyFont="1"/>
    <xf numFmtId="0" fontId="22" fillId="0" borderId="0" xfId="6" applyFont="1"/>
    <xf numFmtId="0" fontId="23" fillId="0" borderId="0" xfId="6" applyFont="1"/>
    <xf numFmtId="0" fontId="4" fillId="4" borderId="0" xfId="6" quotePrefix="1" applyFont="1" applyFill="1" applyAlignment="1">
      <alignment horizontal="left"/>
    </xf>
    <xf numFmtId="0" fontId="4" fillId="4" borderId="0" xfId="6" applyFont="1" applyFill="1"/>
    <xf numFmtId="0" fontId="22" fillId="0" borderId="1" xfId="6" applyFont="1" applyBorder="1"/>
    <xf numFmtId="0" fontId="22" fillId="5" borderId="1" xfId="6" applyFont="1" applyFill="1" applyBorder="1"/>
    <xf numFmtId="10" fontId="10" fillId="0" borderId="1" xfId="7" applyNumberFormat="1" applyFont="1" applyFill="1" applyBorder="1"/>
    <xf numFmtId="165" fontId="10" fillId="0" borderId="1" xfId="7" applyNumberFormat="1" applyFont="1" applyBorder="1"/>
    <xf numFmtId="3" fontId="10" fillId="0" borderId="1" xfId="6" applyNumberFormat="1" applyFont="1" applyFill="1" applyBorder="1"/>
    <xf numFmtId="169" fontId="10" fillId="0" borderId="7" xfId="6" applyNumberFormat="1" applyFont="1" applyFill="1" applyBorder="1"/>
    <xf numFmtId="169" fontId="22" fillId="0" borderId="7" xfId="6" applyNumberFormat="1" applyFont="1" applyBorder="1"/>
    <xf numFmtId="169" fontId="22" fillId="0" borderId="8" xfId="6" applyNumberFormat="1" applyFont="1" applyBorder="1"/>
    <xf numFmtId="170" fontId="10" fillId="0" borderId="1" xfId="6" applyNumberFormat="1" applyFont="1" applyFill="1" applyBorder="1"/>
    <xf numFmtId="182" fontId="10" fillId="0" borderId="1" xfId="6" applyNumberFormat="1" applyFont="1" applyFill="1" applyBorder="1"/>
    <xf numFmtId="0" fontId="10" fillId="0" borderId="0" xfId="6" applyFont="1" applyFill="1"/>
    <xf numFmtId="0" fontId="22" fillId="0" borderId="1" xfId="6" quotePrefix="1" applyFont="1" applyBorder="1" applyAlignment="1">
      <alignment horizontal="left"/>
    </xf>
    <xf numFmtId="3" fontId="10" fillId="0" borderId="6" xfId="6" quotePrefix="1" applyNumberFormat="1" applyFont="1" applyFill="1" applyBorder="1" applyAlignment="1">
      <alignment horizontal="left"/>
    </xf>
    <xf numFmtId="3" fontId="10" fillId="0" borderId="7" xfId="6" applyNumberFormat="1" applyFont="1" applyFill="1" applyBorder="1"/>
    <xf numFmtId="3" fontId="10" fillId="0" borderId="8" xfId="6" applyNumberFormat="1" applyFont="1" applyFill="1" applyBorder="1"/>
    <xf numFmtId="3" fontId="10" fillId="0" borderId="6" xfId="6" applyNumberFormat="1" applyFont="1" applyFill="1" applyBorder="1"/>
    <xf numFmtId="3" fontId="22" fillId="0" borderId="6" xfId="6" applyNumberFormat="1" applyFont="1" applyBorder="1"/>
    <xf numFmtId="3" fontId="22" fillId="0" borderId="7" xfId="6" applyNumberFormat="1" applyFont="1" applyBorder="1"/>
    <xf numFmtId="3" fontId="22" fillId="0" borderId="8" xfId="6" applyNumberFormat="1" applyFont="1" applyBorder="1"/>
    <xf numFmtId="3" fontId="22" fillId="0" borderId="6" xfId="6" quotePrefix="1" applyNumberFormat="1" applyFont="1" applyBorder="1" applyAlignment="1">
      <alignment horizontal="left"/>
    </xf>
    <xf numFmtId="169" fontId="22" fillId="0" borderId="6" xfId="6" quotePrefix="1" applyNumberFormat="1" applyFont="1" applyBorder="1" applyAlignment="1">
      <alignment horizontal="left"/>
    </xf>
    <xf numFmtId="169" fontId="22" fillId="0" borderId="7" xfId="6" applyNumberFormat="1" applyFont="1" applyBorder="1" applyAlignment="1">
      <alignment horizontal="left"/>
    </xf>
    <xf numFmtId="0" fontId="4" fillId="8" borderId="0" xfId="6" quotePrefix="1" applyFont="1" applyFill="1" applyAlignment="1">
      <alignment horizontal="left"/>
    </xf>
    <xf numFmtId="0" fontId="4" fillId="8" borderId="0" xfId="6" applyFont="1" applyFill="1"/>
    <xf numFmtId="3" fontId="22" fillId="0" borderId="1" xfId="6" applyNumberFormat="1" applyFont="1" applyBorder="1"/>
    <xf numFmtId="3" fontId="22" fillId="5" borderId="1" xfId="6" applyNumberFormat="1" applyFont="1" applyFill="1" applyBorder="1"/>
    <xf numFmtId="3" fontId="22" fillId="0" borderId="0" xfId="6" applyNumberFormat="1" applyFont="1"/>
    <xf numFmtId="43" fontId="22" fillId="0" borderId="0" xfId="12" applyFont="1"/>
    <xf numFmtId="0" fontId="4" fillId="9" borderId="0" xfId="6" applyFont="1" applyFill="1"/>
    <xf numFmtId="41" fontId="22" fillId="0" borderId="1" xfId="6" applyNumberFormat="1" applyFont="1" applyFill="1" applyBorder="1"/>
    <xf numFmtId="0" fontId="25" fillId="0" borderId="1" xfId="6" applyFont="1" applyBorder="1"/>
    <xf numFmtId="3" fontId="25" fillId="0" borderId="1" xfId="6" applyNumberFormat="1" applyFont="1" applyBorder="1"/>
    <xf numFmtId="0" fontId="23" fillId="0" borderId="1" xfId="6" applyFont="1" applyBorder="1"/>
    <xf numFmtId="3" fontId="23" fillId="0" borderId="1" xfId="6" applyNumberFormat="1" applyFont="1" applyBorder="1"/>
    <xf numFmtId="0" fontId="25" fillId="0" borderId="1" xfId="6" quotePrefix="1" applyFont="1" applyBorder="1" applyAlignment="1">
      <alignment horizontal="left"/>
    </xf>
    <xf numFmtId="10" fontId="22" fillId="0" borderId="0" xfId="3" applyNumberFormat="1" applyFont="1"/>
    <xf numFmtId="0" fontId="23" fillId="0" borderId="1" xfId="6" quotePrefix="1" applyFont="1" applyBorder="1" applyAlignment="1">
      <alignment horizontal="left"/>
    </xf>
    <xf numFmtId="0" fontId="4" fillId="10" borderId="1" xfId="6" applyFont="1" applyFill="1" applyBorder="1" applyAlignment="1">
      <alignment horizontal="left"/>
    </xf>
    <xf numFmtId="3" fontId="4" fillId="10" borderId="1" xfId="6" applyNumberFormat="1" applyFont="1" applyFill="1" applyBorder="1"/>
    <xf numFmtId="0" fontId="22" fillId="0" borderId="0" xfId="6" quotePrefix="1" applyFont="1" applyAlignment="1">
      <alignment horizontal="left"/>
    </xf>
    <xf numFmtId="0" fontId="22" fillId="11" borderId="1" xfId="6" quotePrefix="1" applyFont="1" applyFill="1" applyBorder="1" applyAlignment="1">
      <alignment horizontal="left"/>
    </xf>
    <xf numFmtId="3" fontId="22" fillId="11" borderId="1" xfId="6" applyNumberFormat="1" applyFont="1" applyFill="1" applyBorder="1"/>
    <xf numFmtId="0" fontId="23" fillId="0" borderId="0" xfId="6" applyFont="1" applyAlignment="1">
      <alignment horizontal="left"/>
    </xf>
    <xf numFmtId="165" fontId="22" fillId="0" borderId="1" xfId="7" applyNumberFormat="1" applyFont="1" applyFill="1" applyBorder="1"/>
    <xf numFmtId="4" fontId="22" fillId="0" borderId="1" xfId="6" applyNumberFormat="1" applyFont="1" applyBorder="1"/>
    <xf numFmtId="10" fontId="4" fillId="4" borderId="1" xfId="0" applyNumberFormat="1" applyFont="1" applyFill="1" applyBorder="1"/>
    <xf numFmtId="0" fontId="9" fillId="0" borderId="0" xfId="6" quotePrefix="1" applyFont="1" applyAlignment="1">
      <alignment horizontal="left"/>
    </xf>
    <xf numFmtId="173" fontId="10" fillId="0" borderId="0" xfId="6" applyNumberFormat="1" applyFont="1"/>
    <xf numFmtId="0" fontId="10" fillId="0" borderId="0" xfId="6" applyFont="1"/>
    <xf numFmtId="0" fontId="4" fillId="8" borderId="7" xfId="6" quotePrefix="1" applyFont="1" applyFill="1" applyBorder="1" applyAlignment="1">
      <alignment vertical="center"/>
    </xf>
    <xf numFmtId="0" fontId="26" fillId="0" borderId="0" xfId="6" applyFont="1"/>
    <xf numFmtId="0" fontId="4" fillId="0" borderId="9" xfId="6" applyFont="1" applyBorder="1"/>
    <xf numFmtId="0" fontId="9" fillId="12" borderId="6" xfId="6" quotePrefix="1" applyFont="1" applyFill="1" applyBorder="1" applyAlignment="1">
      <alignment horizontal="left"/>
    </xf>
    <xf numFmtId="0" fontId="9" fillId="12" borderId="7" xfId="6" applyFont="1" applyFill="1" applyBorder="1"/>
    <xf numFmtId="3" fontId="9" fillId="12" borderId="8" xfId="6" applyNumberFormat="1" applyFont="1" applyFill="1" applyBorder="1"/>
    <xf numFmtId="173" fontId="10" fillId="5" borderId="0" xfId="6" applyNumberFormat="1" applyFont="1" applyFill="1"/>
    <xf numFmtId="0" fontId="9" fillId="0" borderId="0" xfId="6" applyFont="1"/>
    <xf numFmtId="3" fontId="10" fillId="0" borderId="8" xfId="6" applyNumberFormat="1" applyFont="1" applyBorder="1"/>
    <xf numFmtId="0" fontId="9" fillId="0" borderId="6" xfId="6" quotePrefix="1" applyFont="1" applyBorder="1" applyAlignment="1">
      <alignment horizontal="left"/>
    </xf>
    <xf numFmtId="0" fontId="9" fillId="0" borderId="7" xfId="6" applyFont="1" applyBorder="1"/>
    <xf numFmtId="3" fontId="9" fillId="0" borderId="1" xfId="6" applyNumberFormat="1" applyFont="1" applyBorder="1"/>
    <xf numFmtId="0" fontId="10" fillId="0" borderId="6" xfId="6" quotePrefix="1" applyFont="1" applyBorder="1" applyAlignment="1">
      <alignment horizontal="left"/>
    </xf>
    <xf numFmtId="0" fontId="10" fillId="0" borderId="7" xfId="6" applyFont="1" applyBorder="1"/>
    <xf numFmtId="174" fontId="10" fillId="0" borderId="1" xfId="6" applyNumberFormat="1" applyFont="1" applyBorder="1"/>
    <xf numFmtId="3" fontId="9" fillId="12" borderId="1" xfId="6" applyNumberFormat="1" applyFont="1" applyFill="1" applyBorder="1"/>
    <xf numFmtId="3" fontId="10" fillId="0" borderId="1" xfId="6" applyNumberFormat="1" applyFont="1" applyBorder="1"/>
    <xf numFmtId="3" fontId="9" fillId="0" borderId="8" xfId="6" applyNumberFormat="1" applyFont="1" applyBorder="1"/>
    <xf numFmtId="0" fontId="9" fillId="0" borderId="6" xfId="6" quotePrefix="1" applyFont="1" applyBorder="1" applyAlignment="1">
      <alignment horizontal="left" wrapText="1"/>
    </xf>
    <xf numFmtId="0" fontId="9" fillId="0" borderId="0" xfId="6" quotePrefix="1" applyFont="1" applyAlignment="1">
      <alignment horizontal="left" wrapText="1"/>
    </xf>
    <xf numFmtId="3" fontId="9" fillId="0" borderId="0" xfId="6" applyNumberFormat="1" applyFont="1"/>
    <xf numFmtId="0" fontId="10" fillId="0" borderId="8" xfId="6" applyFont="1" applyBorder="1"/>
    <xf numFmtId="174" fontId="10" fillId="0" borderId="7" xfId="6" applyNumberFormat="1" applyFont="1" applyBorder="1"/>
    <xf numFmtId="0" fontId="10" fillId="0" borderId="6" xfId="6" quotePrefix="1" applyFont="1" applyBorder="1" applyAlignment="1">
      <alignment horizontal="left" wrapText="1"/>
    </xf>
    <xf numFmtId="173" fontId="10" fillId="0" borderId="8" xfId="6" applyNumberFormat="1" applyFont="1" applyBorder="1"/>
    <xf numFmtId="173" fontId="9" fillId="0" borderId="8" xfId="6" applyNumberFormat="1" applyFont="1" applyBorder="1"/>
    <xf numFmtId="0" fontId="10" fillId="0" borderId="0" xfId="6" quotePrefix="1" applyFont="1" applyAlignment="1">
      <alignment horizontal="left"/>
    </xf>
    <xf numFmtId="0" fontId="9" fillId="0" borderId="10" xfId="6" quotePrefix="1" applyFont="1" applyBorder="1" applyAlignment="1">
      <alignment horizontal="left"/>
    </xf>
    <xf numFmtId="165" fontId="9" fillId="0" borderId="8" xfId="7" applyNumberFormat="1" applyFont="1" applyFill="1" applyBorder="1" applyAlignment="1"/>
    <xf numFmtId="165" fontId="4" fillId="7" borderId="1" xfId="7" applyNumberFormat="1" applyFont="1" applyFill="1" applyBorder="1" applyAlignment="1"/>
    <xf numFmtId="0" fontId="4" fillId="8" borderId="0" xfId="0" quotePrefix="1" applyFont="1" applyFill="1" applyAlignment="1">
      <alignment horizontal="left"/>
    </xf>
    <xf numFmtId="1" fontId="4" fillId="9" borderId="27" xfId="0" applyNumberFormat="1" applyFont="1" applyFill="1" applyBorder="1" applyAlignment="1">
      <alignment horizontal="right"/>
    </xf>
    <xf numFmtId="1" fontId="4" fillId="9" borderId="27" xfId="0" applyNumberFormat="1" applyFont="1" applyFill="1" applyBorder="1"/>
    <xf numFmtId="1" fontId="4" fillId="9" borderId="28" xfId="0" applyNumberFormat="1" applyFont="1" applyFill="1" applyBorder="1"/>
    <xf numFmtId="1" fontId="4" fillId="9" borderId="25" xfId="0" applyNumberFormat="1" applyFont="1" applyFill="1" applyBorder="1"/>
    <xf numFmtId="0" fontId="10" fillId="0" borderId="1" xfId="14" quotePrefix="1" applyFont="1" applyBorder="1" applyAlignment="1">
      <alignment horizontal="left"/>
    </xf>
    <xf numFmtId="0" fontId="9" fillId="0" borderId="29" xfId="14" quotePrefix="1" applyFont="1" applyBorder="1" applyAlignment="1">
      <alignment horizontal="left"/>
    </xf>
    <xf numFmtId="0" fontId="10" fillId="5" borderId="0" xfId="0" applyFont="1" applyFill="1"/>
    <xf numFmtId="173" fontId="10" fillId="0" borderId="1" xfId="0" applyNumberFormat="1" applyFont="1" applyBorder="1"/>
    <xf numFmtId="0" fontId="10" fillId="0" borderId="1" xfId="14" quotePrefix="1" applyFont="1" applyBorder="1"/>
    <xf numFmtId="0" fontId="9" fillId="0" borderId="1" xfId="14" quotePrefix="1" applyFont="1" applyBorder="1" applyAlignment="1">
      <alignment horizontal="center"/>
    </xf>
    <xf numFmtId="174" fontId="10" fillId="0" borderId="1" xfId="0" applyNumberFormat="1" applyFont="1" applyBorder="1"/>
    <xf numFmtId="0" fontId="10" fillId="0" borderId="6" xfId="14" quotePrefix="1" applyFont="1" applyBorder="1" applyAlignment="1">
      <alignment horizontal="left" wrapText="1"/>
    </xf>
    <xf numFmtId="0" fontId="9" fillId="0" borderId="1" xfId="14" applyFont="1" applyBorder="1" applyAlignment="1">
      <alignment horizontal="center" vertical="center"/>
    </xf>
    <xf numFmtId="0" fontId="10" fillId="0" borderId="0" xfId="0" applyFont="1"/>
    <xf numFmtId="178" fontId="9" fillId="6" borderId="1" xfId="0" applyNumberFormat="1" applyFont="1" applyFill="1" applyBorder="1"/>
    <xf numFmtId="9" fontId="9" fillId="6" borderId="1" xfId="3" applyFont="1" applyFill="1" applyBorder="1"/>
    <xf numFmtId="178" fontId="9" fillId="0" borderId="1" xfId="0" applyNumberFormat="1" applyFont="1" applyBorder="1"/>
    <xf numFmtId="0" fontId="9" fillId="0" borderId="1" xfId="0" quotePrefix="1" applyFont="1" applyBorder="1" applyAlignment="1">
      <alignment horizontal="center"/>
    </xf>
    <xf numFmtId="0" fontId="9" fillId="0" borderId="7" xfId="0" quotePrefix="1" applyFont="1" applyBorder="1" applyAlignment="1">
      <alignment horizontal="left"/>
    </xf>
    <xf numFmtId="0" fontId="10" fillId="0" borderId="7" xfId="0" applyFont="1" applyBorder="1"/>
    <xf numFmtId="0" fontId="10" fillId="0" borderId="8" xfId="0" applyFont="1" applyBorder="1"/>
    <xf numFmtId="173" fontId="9" fillId="0" borderId="1" xfId="0" applyNumberFormat="1" applyFont="1" applyBorder="1"/>
    <xf numFmtId="0" fontId="10" fillId="0" borderId="0" xfId="0" quotePrefix="1" applyFont="1" applyAlignment="1">
      <alignment horizontal="left"/>
    </xf>
    <xf numFmtId="0" fontId="4" fillId="8" borderId="7" xfId="0" quotePrefix="1" applyFont="1" applyFill="1" applyBorder="1" applyAlignment="1">
      <alignment vertical="center"/>
    </xf>
    <xf numFmtId="0" fontId="4" fillId="9" borderId="9" xfId="0" applyFont="1" applyFill="1" applyBorder="1"/>
    <xf numFmtId="1" fontId="4" fillId="9" borderId="9" xfId="0" applyNumberFormat="1" applyFont="1" applyFill="1" applyBorder="1"/>
    <xf numFmtId="0" fontId="9" fillId="0" borderId="1" xfId="0" applyFont="1" applyBorder="1"/>
    <xf numFmtId="174" fontId="9" fillId="0" borderId="1" xfId="0" applyNumberFormat="1" applyFont="1" applyBorder="1"/>
    <xf numFmtId="0" fontId="9" fillId="0" borderId="1" xfId="0" quotePrefix="1" applyFont="1" applyBorder="1" applyAlignment="1">
      <alignment horizontal="left"/>
    </xf>
    <xf numFmtId="3" fontId="9" fillId="0" borderId="1" xfId="0" applyNumberFormat="1" applyFont="1" applyBorder="1"/>
    <xf numFmtId="3" fontId="10" fillId="0" borderId="0" xfId="0" applyNumberFormat="1" applyFont="1"/>
    <xf numFmtId="0" fontId="10" fillId="0" borderId="6" xfId="0" applyFont="1" applyBorder="1" applyAlignment="1">
      <alignment horizontal="left" wrapText="1"/>
    </xf>
    <xf numFmtId="3" fontId="10" fillId="0" borderId="1" xfId="0" applyNumberFormat="1" applyFont="1" applyBorder="1"/>
    <xf numFmtId="0" fontId="10" fillId="0" borderId="6" xfId="0" quotePrefix="1" applyFont="1" applyBorder="1" applyAlignment="1">
      <alignment horizontal="left"/>
    </xf>
    <xf numFmtId="0" fontId="9" fillId="0" borderId="6" xfId="0" quotePrefix="1" applyFont="1" applyBorder="1" applyAlignment="1">
      <alignment horizontal="left"/>
    </xf>
    <xf numFmtId="0" fontId="9" fillId="0" borderId="0" xfId="0" applyFont="1"/>
    <xf numFmtId="173" fontId="10" fillId="0" borderId="0" xfId="0" applyNumberFormat="1" applyFont="1"/>
    <xf numFmtId="0" fontId="10" fillId="0" borderId="1" xfId="0" quotePrefix="1" applyFont="1" applyBorder="1" applyAlignment="1">
      <alignment horizontal="left"/>
    </xf>
    <xf numFmtId="0" fontId="4" fillId="8" borderId="7" xfId="0" quotePrefix="1" applyFont="1" applyFill="1" applyBorder="1" applyAlignment="1">
      <alignment horizontal="left" vertical="center"/>
    </xf>
    <xf numFmtId="0" fontId="9" fillId="0" borderId="0" xfId="0" quotePrefix="1" applyFont="1" applyAlignment="1">
      <alignment horizontal="left" wrapText="1"/>
    </xf>
    <xf numFmtId="3" fontId="9" fillId="0" borderId="0" xfId="7" applyNumberFormat="1" applyFont="1" applyFill="1" applyBorder="1" applyAlignment="1"/>
    <xf numFmtId="165" fontId="10" fillId="0" borderId="1" xfId="7" applyNumberFormat="1" applyFont="1" applyFill="1" applyBorder="1" applyAlignment="1"/>
    <xf numFmtId="4" fontId="9" fillId="0" borderId="1" xfId="7" applyNumberFormat="1" applyFont="1" applyFill="1" applyBorder="1" applyAlignment="1"/>
    <xf numFmtId="0" fontId="9" fillId="0" borderId="6" xfId="0" quotePrefix="1" applyFont="1" applyBorder="1" applyAlignment="1">
      <alignment horizontal="left" wrapText="1"/>
    </xf>
    <xf numFmtId="0" fontId="9" fillId="0" borderId="8" xfId="0" quotePrefix="1" applyFont="1" applyBorder="1" applyAlignment="1">
      <alignment horizontal="left" wrapText="1"/>
    </xf>
    <xf numFmtId="3" fontId="4" fillId="4" borderId="1" xfId="7" applyNumberFormat="1" applyFont="1" applyFill="1" applyBorder="1" applyAlignment="1"/>
    <xf numFmtId="3" fontId="10" fillId="0" borderId="1" xfId="7" applyNumberFormat="1" applyFont="1" applyFill="1" applyBorder="1" applyAlignment="1"/>
    <xf numFmtId="165" fontId="9" fillId="0" borderId="1" xfId="3" applyNumberFormat="1" applyFont="1" applyFill="1" applyBorder="1" applyAlignment="1"/>
    <xf numFmtId="0" fontId="9" fillId="5" borderId="1" xfId="0" applyFont="1" applyFill="1" applyBorder="1"/>
    <xf numFmtId="4" fontId="9" fillId="0" borderId="1" xfId="0" applyNumberFormat="1" applyFont="1" applyBorder="1"/>
    <xf numFmtId="0" fontId="28" fillId="2" borderId="0" xfId="4" applyFont="1" applyFill="1"/>
    <xf numFmtId="0" fontId="22" fillId="2" borderId="0" xfId="0" applyFont="1" applyFill="1"/>
    <xf numFmtId="42" fontId="22" fillId="2" borderId="0" xfId="2" applyFont="1" applyFill="1"/>
    <xf numFmtId="0" fontId="29" fillId="0" borderId="1" xfId="0" applyFont="1" applyFill="1" applyBorder="1" applyAlignment="1">
      <alignment horizontal="center"/>
    </xf>
    <xf numFmtId="0" fontId="10" fillId="0" borderId="1" xfId="0" applyFont="1" applyFill="1" applyBorder="1"/>
    <xf numFmtId="42" fontId="10" fillId="0" borderId="1" xfId="2" applyFont="1" applyFill="1" applyBorder="1"/>
    <xf numFmtId="42" fontId="10" fillId="0" borderId="1" xfId="0" applyNumberFormat="1" applyFont="1" applyFill="1" applyBorder="1"/>
    <xf numFmtId="42" fontId="22" fillId="2" borderId="0" xfId="0" applyNumberFormat="1" applyFont="1" applyFill="1"/>
    <xf numFmtId="0" fontId="30" fillId="2" borderId="0" xfId="0" applyFont="1" applyFill="1"/>
    <xf numFmtId="42" fontId="30" fillId="2" borderId="0" xfId="2" applyFont="1" applyFill="1"/>
    <xf numFmtId="0" fontId="31" fillId="2" borderId="0" xfId="0" applyFont="1" applyFill="1"/>
    <xf numFmtId="183" fontId="10" fillId="0" borderId="1" xfId="0" applyNumberFormat="1" applyFont="1" applyFill="1" applyBorder="1"/>
    <xf numFmtId="0" fontId="31" fillId="2" borderId="1" xfId="0" applyFont="1" applyFill="1" applyBorder="1"/>
    <xf numFmtId="42" fontId="22" fillId="2" borderId="1" xfId="2" applyFont="1" applyFill="1" applyBorder="1"/>
    <xf numFmtId="42" fontId="23" fillId="3" borderId="2" xfId="0" applyNumberFormat="1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0" fontId="10" fillId="0" borderId="1" xfId="0" applyNumberFormat="1" applyFont="1" applyFill="1" applyBorder="1"/>
    <xf numFmtId="166" fontId="10" fillId="0" borderId="1" xfId="0" applyNumberFormat="1" applyFont="1" applyFill="1" applyBorder="1"/>
    <xf numFmtId="0" fontId="22" fillId="0" borderId="0" xfId="0" applyFont="1" applyFill="1"/>
    <xf numFmtId="166" fontId="22" fillId="0" borderId="0" xfId="0" applyNumberFormat="1" applyFont="1" applyFill="1"/>
    <xf numFmtId="166" fontId="22" fillId="2" borderId="0" xfId="0" applyNumberFormat="1" applyFont="1" applyFill="1"/>
    <xf numFmtId="166" fontId="23" fillId="2" borderId="3" xfId="0" applyNumberFormat="1" applyFont="1" applyFill="1" applyBorder="1"/>
    <xf numFmtId="0" fontId="22" fillId="0" borderId="1" xfId="0" applyFont="1" applyFill="1" applyBorder="1"/>
    <xf numFmtId="0" fontId="22" fillId="0" borderId="1" xfId="0" applyFont="1" applyBorder="1"/>
    <xf numFmtId="0" fontId="22" fillId="5" borderId="1" xfId="0" applyFont="1" applyFill="1" applyBorder="1"/>
    <xf numFmtId="0" fontId="9" fillId="0" borderId="6" xfId="13" applyFont="1" applyFill="1" applyBorder="1" applyAlignment="1"/>
    <xf numFmtId="0" fontId="9" fillId="0" borderId="8" xfId="13" applyFont="1" applyFill="1" applyBorder="1" applyAlignment="1"/>
    <xf numFmtId="0" fontId="25" fillId="0" borderId="0" xfId="0" quotePrefix="1" applyFont="1" applyAlignment="1">
      <alignment horizontal="left"/>
    </xf>
    <xf numFmtId="1" fontId="23" fillId="10" borderId="25" xfId="0" applyNumberFormat="1" applyFont="1" applyFill="1" applyBorder="1" applyAlignment="1">
      <alignment horizontal="right"/>
    </xf>
    <xf numFmtId="1" fontId="23" fillId="10" borderId="25" xfId="0" applyNumberFormat="1" applyFont="1" applyFill="1" applyBorder="1"/>
    <xf numFmtId="0" fontId="10" fillId="0" borderId="6" xfId="13" applyFont="1" applyFill="1" applyBorder="1" applyAlignment="1"/>
    <xf numFmtId="3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6" xfId="13" quotePrefix="1" applyFont="1" applyFill="1" applyBorder="1" applyAlignment="1">
      <alignment horizontal="left"/>
    </xf>
    <xf numFmtId="0" fontId="32" fillId="0" borderId="6" xfId="13" applyFont="1" applyFill="1" applyBorder="1" applyAlignment="1"/>
    <xf numFmtId="0" fontId="32" fillId="0" borderId="1" xfId="0" applyFont="1" applyFill="1" applyBorder="1"/>
    <xf numFmtId="176" fontId="32" fillId="0" borderId="1" xfId="0" applyNumberFormat="1" applyFont="1" applyFill="1" applyBorder="1" applyAlignment="1" applyProtection="1">
      <alignment horizontal="center"/>
      <protection locked="0"/>
    </xf>
    <xf numFmtId="4" fontId="9" fillId="0" borderId="1" xfId="3" applyNumberFormat="1" applyFont="1" applyFill="1" applyBorder="1" applyAlignment="1"/>
    <xf numFmtId="4" fontId="10" fillId="0" borderId="1" xfId="3" applyNumberFormat="1" applyFont="1" applyFill="1" applyBorder="1" applyAlignment="1"/>
    <xf numFmtId="0" fontId="10" fillId="0" borderId="1" xfId="0" applyFont="1" applyBorder="1"/>
    <xf numFmtId="10" fontId="10" fillId="0" borderId="1" xfId="3" applyNumberFormat="1" applyFont="1" applyFill="1" applyBorder="1"/>
    <xf numFmtId="0" fontId="10" fillId="14" borderId="1" xfId="0" applyFont="1" applyFill="1" applyBorder="1"/>
    <xf numFmtId="10" fontId="10" fillId="14" borderId="1" xfId="7" applyNumberFormat="1" applyFont="1" applyFill="1" applyBorder="1"/>
    <xf numFmtId="10" fontId="10" fillId="14" borderId="1" xfId="3" applyNumberFormat="1" applyFont="1" applyFill="1" applyBorder="1"/>
    <xf numFmtId="0" fontId="10" fillId="6" borderId="1" xfId="0" applyFont="1" applyFill="1" applyBorder="1"/>
    <xf numFmtId="10" fontId="10" fillId="6" borderId="1" xfId="7" applyNumberFormat="1" applyFont="1" applyFill="1" applyBorder="1"/>
    <xf numFmtId="10" fontId="10" fillId="6" borderId="4" xfId="7" applyNumberFormat="1" applyFont="1" applyFill="1" applyBorder="1"/>
    <xf numFmtId="0" fontId="9" fillId="0" borderId="0" xfId="0" applyFont="1" applyAlignment="1">
      <alignment horizontal="right"/>
    </xf>
    <xf numFmtId="0" fontId="9" fillId="0" borderId="0" xfId="0" quotePrefix="1" applyFont="1"/>
    <xf numFmtId="165" fontId="10" fillId="0" borderId="0" xfId="3" applyNumberFormat="1" applyFont="1" applyFill="1" applyBorder="1" applyAlignment="1"/>
    <xf numFmtId="0" fontId="9" fillId="6" borderId="0" xfId="0" quotePrefix="1" applyFont="1" applyFill="1" applyAlignment="1">
      <alignment horizontal="left"/>
    </xf>
    <xf numFmtId="177" fontId="4" fillId="9" borderId="4" xfId="0" applyNumberFormat="1" applyFont="1" applyFill="1" applyBorder="1" applyAlignment="1">
      <alignment horizontal="right" wrapText="1"/>
    </xf>
    <xf numFmtId="0" fontId="10" fillId="0" borderId="7" xfId="0" quotePrefix="1" applyFont="1" applyBorder="1" applyAlignment="1">
      <alignment horizontal="left"/>
    </xf>
    <xf numFmtId="178" fontId="10" fillId="0" borderId="1" xfId="0" applyNumberFormat="1" applyFont="1" applyBorder="1"/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178" fontId="10" fillId="0" borderId="0" xfId="0" applyNumberFormat="1" applyFont="1"/>
    <xf numFmtId="165" fontId="10" fillId="0" borderId="1" xfId="3" applyNumberFormat="1" applyFont="1" applyFill="1" applyBorder="1" applyAlignment="1"/>
    <xf numFmtId="0" fontId="10" fillId="0" borderId="1" xfId="0" quotePrefix="1" applyFont="1" applyBorder="1" applyAlignment="1">
      <alignment horizontal="left" wrapText="1"/>
    </xf>
    <xf numFmtId="0" fontId="4" fillId="15" borderId="1" xfId="0" applyFont="1" applyFill="1" applyBorder="1"/>
    <xf numFmtId="179" fontId="10" fillId="0" borderId="1" xfId="0" applyNumberFormat="1" applyFont="1" applyBorder="1" applyAlignment="1" applyProtection="1">
      <alignment horizontal="center"/>
      <protection locked="0"/>
    </xf>
    <xf numFmtId="179" fontId="10" fillId="5" borderId="1" xfId="0" applyNumberFormat="1" applyFont="1" applyFill="1" applyBorder="1" applyAlignment="1" applyProtection="1">
      <alignment horizontal="center"/>
      <protection locked="0"/>
    </xf>
    <xf numFmtId="179" fontId="10" fillId="0" borderId="0" xfId="0" applyNumberFormat="1" applyFont="1" applyBorder="1" applyAlignment="1" applyProtection="1">
      <alignment horizontal="center"/>
      <protection locked="0"/>
    </xf>
    <xf numFmtId="179" fontId="9" fillId="0" borderId="1" xfId="0" applyNumberFormat="1" applyFont="1" applyBorder="1" applyAlignment="1">
      <alignment horizontal="center"/>
    </xf>
    <xf numFmtId="179" fontId="9" fillId="0" borderId="0" xfId="0" applyNumberFormat="1" applyFont="1" applyBorder="1" applyAlignment="1">
      <alignment horizontal="center"/>
    </xf>
    <xf numFmtId="0" fontId="9" fillId="0" borderId="12" xfId="0" quotePrefix="1" applyFont="1" applyBorder="1" applyAlignment="1">
      <alignment horizontal="left"/>
    </xf>
    <xf numFmtId="173" fontId="9" fillId="0" borderId="12" xfId="0" applyNumberFormat="1" applyFont="1" applyBorder="1" applyAlignment="1">
      <alignment wrapText="1"/>
    </xf>
    <xf numFmtId="173" fontId="9" fillId="0" borderId="0" xfId="0" applyNumberFormat="1" applyFont="1" applyAlignment="1">
      <alignment wrapText="1"/>
    </xf>
    <xf numFmtId="173" fontId="9" fillId="0" borderId="10" xfId="0" applyNumberFormat="1" applyFont="1" applyBorder="1" applyAlignment="1">
      <alignment wrapText="1"/>
    </xf>
    <xf numFmtId="173" fontId="9" fillId="0" borderId="0" xfId="0" applyNumberFormat="1" applyFont="1" applyBorder="1" applyAlignment="1">
      <alignment wrapText="1"/>
    </xf>
    <xf numFmtId="0" fontId="10" fillId="5" borderId="1" xfId="0" applyFont="1" applyFill="1" applyBorder="1"/>
    <xf numFmtId="165" fontId="4" fillId="4" borderId="1" xfId="3" applyNumberFormat="1" applyFont="1" applyFill="1" applyBorder="1" applyAlignment="1"/>
    <xf numFmtId="3" fontId="10" fillId="0" borderId="1" xfId="0" applyNumberFormat="1" applyFont="1" applyBorder="1" applyAlignment="1">
      <alignment wrapText="1"/>
    </xf>
    <xf numFmtId="4" fontId="10" fillId="0" borderId="1" xfId="0" applyNumberFormat="1" applyFont="1" applyBorder="1" applyAlignment="1">
      <alignment wrapText="1"/>
    </xf>
    <xf numFmtId="10" fontId="10" fillId="0" borderId="1" xfId="3" applyNumberFormat="1" applyFont="1" applyFill="1" applyBorder="1" applyAlignment="1"/>
    <xf numFmtId="10" fontId="9" fillId="0" borderId="1" xfId="3" applyNumberFormat="1" applyFont="1" applyFill="1" applyBorder="1" applyAlignment="1"/>
    <xf numFmtId="44" fontId="22" fillId="2" borderId="0" xfId="1" applyFont="1" applyFill="1"/>
    <xf numFmtId="9" fontId="22" fillId="2" borderId="0" xfId="3" applyFont="1" applyFill="1"/>
    <xf numFmtId="3" fontId="22" fillId="2" borderId="0" xfId="0" applyNumberFormat="1" applyFont="1" applyFill="1"/>
    <xf numFmtId="43" fontId="22" fillId="2" borderId="0" xfId="12" applyFont="1" applyFill="1"/>
    <xf numFmtId="0" fontId="23" fillId="2" borderId="0" xfId="0" applyFont="1" applyFill="1"/>
    <xf numFmtId="0" fontId="23" fillId="2" borderId="4" xfId="0" applyFont="1" applyFill="1" applyBorder="1"/>
    <xf numFmtId="0" fontId="23" fillId="2" borderId="1" xfId="0" applyFont="1" applyFill="1" applyBorder="1"/>
    <xf numFmtId="41" fontId="22" fillId="2" borderId="1" xfId="0" applyNumberFormat="1" applyFont="1" applyFill="1" applyBorder="1"/>
    <xf numFmtId="41" fontId="22" fillId="2" borderId="1" xfId="5" applyFont="1" applyFill="1" applyBorder="1"/>
    <xf numFmtId="175" fontId="22" fillId="2" borderId="0" xfId="12" applyNumberFormat="1" applyFont="1" applyFill="1"/>
    <xf numFmtId="41" fontId="22" fillId="2" borderId="0" xfId="0" applyNumberFormat="1" applyFont="1" applyFill="1"/>
    <xf numFmtId="44" fontId="22" fillId="2" borderId="0" xfId="0" applyNumberFormat="1" applyFont="1" applyFill="1"/>
    <xf numFmtId="0" fontId="4" fillId="4" borderId="0" xfId="0" quotePrefix="1" applyFont="1" applyFill="1" applyAlignment="1">
      <alignment horizontal="left"/>
    </xf>
    <xf numFmtId="0" fontId="4" fillId="4" borderId="0" xfId="0" applyFont="1" applyFill="1"/>
    <xf numFmtId="165" fontId="10" fillId="0" borderId="1" xfId="3" applyNumberFormat="1" applyFont="1" applyFill="1" applyBorder="1"/>
    <xf numFmtId="9" fontId="9" fillId="0" borderId="1" xfId="3" applyFont="1" applyFill="1" applyBorder="1" applyAlignment="1"/>
    <xf numFmtId="180" fontId="9" fillId="0" borderId="1" xfId="3" applyNumberFormat="1" applyFont="1" applyBorder="1"/>
    <xf numFmtId="0" fontId="29" fillId="0" borderId="1" xfId="0" applyFont="1" applyFill="1" applyBorder="1" applyAlignment="1">
      <alignment horizontal="center"/>
    </xf>
    <xf numFmtId="3" fontId="22" fillId="0" borderId="1" xfId="6" applyNumberFormat="1" applyFont="1" applyFill="1" applyBorder="1"/>
    <xf numFmtId="0" fontId="0" fillId="0" borderId="0" xfId="0" applyBorder="1"/>
    <xf numFmtId="0" fontId="22" fillId="0" borderId="0" xfId="6" applyFont="1" applyBorder="1"/>
    <xf numFmtId="164" fontId="10" fillId="0" borderId="1" xfId="15" applyFont="1" applyFill="1" applyBorder="1"/>
    <xf numFmtId="9" fontId="22" fillId="0" borderId="1" xfId="3" applyFont="1" applyBorder="1"/>
    <xf numFmtId="0" fontId="0" fillId="0" borderId="1" xfId="0" applyBorder="1"/>
    <xf numFmtId="166" fontId="0" fillId="0" borderId="1" xfId="0" applyNumberFormat="1" applyBorder="1"/>
    <xf numFmtId="0" fontId="34" fillId="0" borderId="0" xfId="0" applyFont="1"/>
    <xf numFmtId="0" fontId="33" fillId="0" borderId="0" xfId="0" applyFont="1" applyAlignment="1">
      <alignment horizontal="center"/>
    </xf>
    <xf numFmtId="0" fontId="33" fillId="0" borderId="30" xfId="0" applyFont="1" applyBorder="1"/>
    <xf numFmtId="0" fontId="33" fillId="0" borderId="31" xfId="0" applyFont="1" applyBorder="1"/>
    <xf numFmtId="166" fontId="33" fillId="0" borderId="32" xfId="0" applyNumberFormat="1" applyFont="1" applyBorder="1"/>
    <xf numFmtId="0" fontId="33" fillId="0" borderId="33" xfId="0" applyFont="1" applyBorder="1"/>
    <xf numFmtId="0" fontId="33" fillId="0" borderId="35" xfId="0" applyFont="1" applyBorder="1"/>
    <xf numFmtId="174" fontId="22" fillId="0" borderId="1" xfId="6" applyNumberFormat="1" applyFont="1" applyBorder="1"/>
    <xf numFmtId="174" fontId="22" fillId="0" borderId="0" xfId="6" applyNumberFormat="1" applyFont="1"/>
    <xf numFmtId="0" fontId="33" fillId="0" borderId="0" xfId="0" applyFont="1" applyBorder="1"/>
    <xf numFmtId="10" fontId="0" fillId="0" borderId="0" xfId="0" applyNumberFormat="1" applyBorder="1"/>
    <xf numFmtId="8" fontId="0" fillId="0" borderId="0" xfId="0" applyNumberFormat="1" applyBorder="1"/>
    <xf numFmtId="181" fontId="0" fillId="0" borderId="0" xfId="0" applyNumberFormat="1" applyBorder="1"/>
    <xf numFmtId="184" fontId="0" fillId="0" borderId="0" xfId="0" applyNumberFormat="1" applyBorder="1"/>
    <xf numFmtId="184" fontId="0" fillId="0" borderId="34" xfId="0" applyNumberFormat="1" applyBorder="1"/>
    <xf numFmtId="10" fontId="0" fillId="0" borderId="36" xfId="0" applyNumberFormat="1" applyBorder="1"/>
    <xf numFmtId="174" fontId="22" fillId="0" borderId="4" xfId="6" applyNumberFormat="1" applyFont="1" applyBorder="1"/>
    <xf numFmtId="174" fontId="23" fillId="0" borderId="30" xfId="6" applyNumberFormat="1" applyFont="1" applyBorder="1"/>
    <xf numFmtId="0" fontId="0" fillId="0" borderId="20" xfId="0" applyBorder="1"/>
    <xf numFmtId="0" fontId="0" fillId="0" borderId="22" xfId="0" applyBorder="1"/>
    <xf numFmtId="166" fontId="35" fillId="0" borderId="1" xfId="6" applyNumberFormat="1" applyFont="1" applyBorder="1"/>
    <xf numFmtId="43" fontId="35" fillId="0" borderId="1" xfId="12" applyFont="1" applyBorder="1"/>
    <xf numFmtId="175" fontId="36" fillId="0" borderId="32" xfId="12" applyNumberFormat="1" applyFont="1" applyBorder="1"/>
    <xf numFmtId="0" fontId="29" fillId="0" borderId="1" xfId="0" applyFont="1" applyFill="1" applyBorder="1" applyAlignment="1">
      <alignment horizontal="center"/>
    </xf>
    <xf numFmtId="167" fontId="4" fillId="0" borderId="0" xfId="6" applyNumberFormat="1" applyFont="1" applyFill="1" applyAlignment="1">
      <alignment horizontal="center"/>
    </xf>
    <xf numFmtId="0" fontId="22" fillId="0" borderId="0" xfId="6" applyFont="1" applyFill="1"/>
    <xf numFmtId="0" fontId="23" fillId="0" borderId="0" xfId="6" applyFont="1" applyFill="1"/>
    <xf numFmtId="0" fontId="9" fillId="0" borderId="0" xfId="6" quotePrefix="1" applyFont="1" applyFill="1" applyAlignment="1">
      <alignment horizontal="left"/>
    </xf>
    <xf numFmtId="0" fontId="10" fillId="0" borderId="0" xfId="10" applyFont="1" applyFill="1"/>
    <xf numFmtId="0" fontId="10" fillId="6" borderId="0" xfId="0" applyFont="1" applyFill="1"/>
    <xf numFmtId="0" fontId="10" fillId="0" borderId="26" xfId="13" applyFont="1" applyFill="1" applyBorder="1" applyAlignment="1"/>
    <xf numFmtId="0" fontId="10" fillId="0" borderId="15" xfId="13" quotePrefix="1" applyFont="1" applyFill="1" applyBorder="1" applyAlignment="1">
      <alignment horizontal="left"/>
    </xf>
    <xf numFmtId="0" fontId="10" fillId="0" borderId="1" xfId="13" applyFont="1" applyFill="1" applyBorder="1" applyAlignment="1"/>
    <xf numFmtId="0" fontId="10" fillId="0" borderId="29" xfId="13" applyFont="1" applyFill="1" applyBorder="1" applyAlignment="1"/>
    <xf numFmtId="173" fontId="10" fillId="0" borderId="1" xfId="0" applyNumberFormat="1" applyFont="1" applyFill="1" applyBorder="1" applyAlignment="1">
      <alignment wrapText="1"/>
    </xf>
    <xf numFmtId="0" fontId="22" fillId="0" borderId="1" xfId="6" applyFont="1" applyFill="1" applyBorder="1"/>
    <xf numFmtId="168" fontId="4" fillId="0" borderId="0" xfId="6" applyNumberFormat="1" applyFont="1" applyFill="1"/>
    <xf numFmtId="41" fontId="22" fillId="0" borderId="6" xfId="6" applyNumberFormat="1" applyFont="1" applyFill="1" applyBorder="1"/>
    <xf numFmtId="3" fontId="25" fillId="0" borderId="6" xfId="6" applyNumberFormat="1" applyFont="1" applyBorder="1"/>
    <xf numFmtId="3" fontId="23" fillId="0" borderId="6" xfId="6" applyNumberFormat="1" applyFont="1" applyBorder="1"/>
    <xf numFmtId="10" fontId="22" fillId="0" borderId="1" xfId="3" applyNumberFormat="1" applyFont="1" applyBorder="1" applyAlignment="1">
      <alignment horizontal="center"/>
    </xf>
    <xf numFmtId="0" fontId="4" fillId="8" borderId="1" xfId="6" applyFont="1" applyFill="1" applyBorder="1" applyAlignment="1">
      <alignment horizontal="right"/>
    </xf>
    <xf numFmtId="0" fontId="4" fillId="0" borderId="0" xfId="6" applyFont="1"/>
    <xf numFmtId="165" fontId="26" fillId="0" borderId="0" xfId="3" applyNumberFormat="1" applyFont="1"/>
    <xf numFmtId="0" fontId="37" fillId="16" borderId="1" xfId="0" applyFont="1" applyFill="1" applyBorder="1" applyAlignment="1">
      <alignment horizontal="center"/>
    </xf>
    <xf numFmtId="0" fontId="0" fillId="0" borderId="23" xfId="0" applyBorder="1"/>
    <xf numFmtId="0" fontId="22" fillId="0" borderId="37" xfId="6" applyFont="1" applyBorder="1"/>
    <xf numFmtId="0" fontId="0" fillId="0" borderId="38" xfId="0" applyBorder="1"/>
    <xf numFmtId="166" fontId="0" fillId="0" borderId="38" xfId="1" applyNumberFormat="1" applyFont="1" applyBorder="1"/>
    <xf numFmtId="166" fontId="0" fillId="0" borderId="38" xfId="0" applyNumberFormat="1" applyBorder="1"/>
    <xf numFmtId="3" fontId="0" fillId="0" borderId="39" xfId="0" applyNumberFormat="1" applyBorder="1"/>
    <xf numFmtId="0" fontId="0" fillId="0" borderId="40" xfId="0" applyBorder="1"/>
    <xf numFmtId="0" fontId="4" fillId="17" borderId="1" xfId="6" applyFont="1" applyFill="1" applyBorder="1" applyAlignment="1">
      <alignment horizontal="center"/>
    </xf>
    <xf numFmtId="0" fontId="22" fillId="0" borderId="17" xfId="0" applyFont="1" applyBorder="1"/>
    <xf numFmtId="10" fontId="22" fillId="0" borderId="19" xfId="0" applyNumberFormat="1" applyFont="1" applyBorder="1"/>
    <xf numFmtId="0" fontId="22" fillId="0" borderId="0" xfId="0" applyFont="1" applyBorder="1"/>
    <xf numFmtId="0" fontId="22" fillId="0" borderId="20" xfId="0" applyFont="1" applyBorder="1"/>
    <xf numFmtId="0" fontId="22" fillId="0" borderId="21" xfId="0" applyFont="1" applyBorder="1"/>
    <xf numFmtId="43" fontId="22" fillId="0" borderId="21" xfId="0" applyNumberFormat="1" applyFont="1" applyBorder="1"/>
    <xf numFmtId="0" fontId="22" fillId="0" borderId="22" xfId="0" applyFont="1" applyBorder="1"/>
    <xf numFmtId="2" fontId="22" fillId="0" borderId="24" xfId="0" applyNumberFormat="1" applyFont="1" applyBorder="1"/>
    <xf numFmtId="0" fontId="38" fillId="0" borderId="0" xfId="0" applyFont="1"/>
    <xf numFmtId="0" fontId="23" fillId="0" borderId="0" xfId="0" applyFont="1"/>
    <xf numFmtId="0" fontId="39" fillId="0" borderId="30" xfId="0" applyFont="1" applyBorder="1"/>
    <xf numFmtId="0" fontId="22" fillId="0" borderId="31" xfId="0" applyFont="1" applyBorder="1"/>
    <xf numFmtId="0" fontId="22" fillId="0" borderId="40" xfId="0" applyFont="1" applyBorder="1"/>
    <xf numFmtId="0" fontId="40" fillId="0" borderId="0" xfId="6" applyFont="1"/>
    <xf numFmtId="0" fontId="40" fillId="2" borderId="0" xfId="0" applyFont="1" applyFill="1"/>
    <xf numFmtId="0" fontId="41" fillId="2" borderId="0" xfId="0" applyFont="1" applyFill="1"/>
    <xf numFmtId="0" fontId="23" fillId="0" borderId="1" xfId="0" applyFont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10" fillId="0" borderId="6" xfId="0" quotePrefix="1" applyFont="1" applyBorder="1" applyAlignment="1">
      <alignment horizontal="left" wrapText="1"/>
    </xf>
    <xf numFmtId="0" fontId="10" fillId="0" borderId="8" xfId="0" quotePrefix="1" applyFont="1" applyBorder="1" applyAlignment="1">
      <alignment horizontal="left" wrapText="1"/>
    </xf>
    <xf numFmtId="0" fontId="9" fillId="0" borderId="6" xfId="0" quotePrefix="1" applyFont="1" applyBorder="1" applyAlignment="1">
      <alignment horizontal="left" wrapText="1"/>
    </xf>
    <xf numFmtId="0" fontId="9" fillId="0" borderId="8" xfId="0" quotePrefix="1" applyFont="1" applyBorder="1" applyAlignment="1">
      <alignment horizontal="left" wrapText="1"/>
    </xf>
    <xf numFmtId="169" fontId="10" fillId="0" borderId="6" xfId="6" applyNumberFormat="1" applyFont="1" applyFill="1" applyBorder="1" applyAlignment="1">
      <alignment horizontal="left"/>
    </xf>
    <xf numFmtId="169" fontId="10" fillId="0" borderId="7" xfId="6" applyNumberFormat="1" applyFont="1" applyFill="1" applyBorder="1" applyAlignment="1">
      <alignment horizontal="left"/>
    </xf>
    <xf numFmtId="169" fontId="10" fillId="0" borderId="1" xfId="6" applyNumberFormat="1" applyFont="1" applyFill="1" applyBorder="1" applyAlignment="1">
      <alignment horizontal="left"/>
    </xf>
    <xf numFmtId="171" fontId="10" fillId="0" borderId="6" xfId="6" applyNumberFormat="1" applyFont="1" applyFill="1" applyBorder="1" applyAlignment="1">
      <alignment horizontal="left"/>
    </xf>
    <xf numFmtId="171" fontId="10" fillId="0" borderId="7" xfId="6" applyNumberFormat="1" applyFont="1" applyFill="1" applyBorder="1" applyAlignment="1">
      <alignment horizontal="left"/>
    </xf>
    <xf numFmtId="171" fontId="10" fillId="0" borderId="8" xfId="6" applyNumberFormat="1" applyFont="1" applyFill="1" applyBorder="1" applyAlignment="1">
      <alignment horizontal="left"/>
    </xf>
    <xf numFmtId="172" fontId="22" fillId="0" borderId="6" xfId="6" applyNumberFormat="1" applyFont="1" applyFill="1" applyBorder="1" applyAlignment="1">
      <alignment horizontal="right"/>
    </xf>
    <xf numFmtId="172" fontId="22" fillId="0" borderId="7" xfId="6" applyNumberFormat="1" applyFont="1" applyFill="1" applyBorder="1" applyAlignment="1">
      <alignment horizontal="right"/>
    </xf>
    <xf numFmtId="0" fontId="10" fillId="0" borderId="6" xfId="6" quotePrefix="1" applyFont="1" applyBorder="1" applyAlignment="1">
      <alignment horizontal="left" wrapText="1"/>
    </xf>
    <xf numFmtId="0" fontId="10" fillId="0" borderId="8" xfId="6" quotePrefix="1" applyFont="1" applyBorder="1" applyAlignment="1">
      <alignment horizontal="left" wrapText="1"/>
    </xf>
    <xf numFmtId="0" fontId="4" fillId="8" borderId="6" xfId="6" applyFont="1" applyFill="1" applyBorder="1" applyAlignment="1">
      <alignment horizontal="center"/>
    </xf>
    <xf numFmtId="0" fontId="4" fillId="8" borderId="7" xfId="6" applyFont="1" applyFill="1" applyBorder="1" applyAlignment="1">
      <alignment horizontal="center"/>
    </xf>
    <xf numFmtId="0" fontId="4" fillId="8" borderId="8" xfId="6" applyFont="1" applyFill="1" applyBorder="1" applyAlignment="1">
      <alignment horizontal="center"/>
    </xf>
    <xf numFmtId="0" fontId="9" fillId="0" borderId="1" xfId="0" quotePrefix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quotePrefix="1" applyFont="1" applyBorder="1" applyAlignment="1">
      <alignment horizontal="center" vertical="top" wrapText="1"/>
    </xf>
    <xf numFmtId="0" fontId="9" fillId="0" borderId="7" xfId="0" quotePrefix="1" applyFont="1" applyBorder="1" applyAlignment="1">
      <alignment horizontal="center" vertical="top"/>
    </xf>
    <xf numFmtId="0" fontId="9" fillId="0" borderId="8" xfId="0" quotePrefix="1" applyFont="1" applyBorder="1" applyAlignment="1">
      <alignment horizontal="center" vertical="top"/>
    </xf>
    <xf numFmtId="0" fontId="9" fillId="0" borderId="1" xfId="0" applyFont="1" applyBorder="1" applyAlignment="1">
      <alignment horizontal="right" wrapText="1"/>
    </xf>
    <xf numFmtId="0" fontId="9" fillId="0" borderId="1" xfId="0" quotePrefix="1" applyFont="1" applyBorder="1" applyAlignment="1">
      <alignment horizontal="right" wrapText="1"/>
    </xf>
    <xf numFmtId="0" fontId="9" fillId="0" borderId="6" xfId="0" quotePrefix="1" applyFont="1" applyBorder="1" applyAlignment="1">
      <alignment horizontal="center"/>
    </xf>
    <xf numFmtId="0" fontId="9" fillId="0" borderId="7" xfId="0" quotePrefix="1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</cellXfs>
  <cellStyles count="16">
    <cellStyle name="Hipervínculo" xfId="4" builtinId="8"/>
    <cellStyle name="Millares" xfId="12" builtinId="3"/>
    <cellStyle name="Millares [0]" xfId="5" builtinId="6"/>
    <cellStyle name="Moneda" xfId="1" builtinId="4"/>
    <cellStyle name="Moneda [0]" xfId="2" builtinId="7"/>
    <cellStyle name="Moneda [0] 2" xfId="15" xr:uid="{00000000-0005-0000-0000-000005000000}"/>
    <cellStyle name="Normal" xfId="0" builtinId="0"/>
    <cellStyle name="Normal 2" xfId="6" xr:uid="{00000000-0005-0000-0000-000007000000}"/>
    <cellStyle name="Normal 4" xfId="9" xr:uid="{00000000-0005-0000-0000-000008000000}"/>
    <cellStyle name="Normal 5" xfId="8" xr:uid="{00000000-0005-0000-0000-000009000000}"/>
    <cellStyle name="Normal_1-Modelo DM Panama Combinado (solo jugos)" xfId="13" xr:uid="{00000000-0005-0000-0000-00000A000000}"/>
    <cellStyle name="Normal_COSTO DEUDA Y PROPIETARIO" xfId="10" xr:uid="{00000000-0005-0000-0000-00000B000000}"/>
    <cellStyle name="Normal_GUIA TALLER A" xfId="11" xr:uid="{00000000-0005-0000-0000-00000C000000}"/>
    <cellStyle name="Normal_TALLER No 7 MODELOS VT_FCLO" xfId="14" xr:uid="{00000000-0005-0000-0000-00000D000000}"/>
    <cellStyle name="Porcentaje" xfId="3" builtinId="5"/>
    <cellStyle name="Porcentaje 2" xfId="7" xr:uid="{00000000-0005-0000-0000-00000F000000}"/>
  </cellStyles>
  <dxfs count="3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2"/>
      </font>
      <fill>
        <patternFill>
          <bgColor rgb="FF008000"/>
        </patternFill>
      </fill>
    </dxf>
    <dxf>
      <font>
        <b/>
        <i val="0"/>
        <color theme="2"/>
      </font>
      <fill>
        <patternFill>
          <bgColor rgb="FF008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8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FF0000"/>
                </a:solidFill>
              </a:rPr>
              <a:t>Distribución de los ingresos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v>Costos y gastos</c:v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dLbl>
              <c:idx val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A9C-4AD9-B14D-7B6E65078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Proyecciones!$D$208:$H$208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Proyecciones!$D$209:$H$209</c:f>
              <c:numCache>
                <c:formatCode>0.0%</c:formatCode>
                <c:ptCount val="5"/>
                <c:pt idx="0">
                  <c:v>0.89671125770127791</c:v>
                </c:pt>
                <c:pt idx="1">
                  <c:v>0.87000228095200927</c:v>
                </c:pt>
                <c:pt idx="2">
                  <c:v>0.84971282752701982</c:v>
                </c:pt>
                <c:pt idx="3">
                  <c:v>0.82829471904286534</c:v>
                </c:pt>
                <c:pt idx="4">
                  <c:v>0.80928786831036792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4C-4BA0-A242-DF09CD5A6CE9}"/>
            </c:ext>
          </c:extLst>
        </c:ser>
        <c:ser>
          <c:idx val="1"/>
          <c:order val="1"/>
          <c:tx>
            <c:v>Margen EBITDA</c:v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Proyecciones!$D$208:$H$208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Proyecciones!$D$210:$H$210</c:f>
              <c:numCache>
                <c:formatCode>0.0%</c:formatCode>
                <c:ptCount val="5"/>
                <c:pt idx="0">
                  <c:v>0.10328874229872209</c:v>
                </c:pt>
                <c:pt idx="1">
                  <c:v>0.12999771904799073</c:v>
                </c:pt>
                <c:pt idx="2">
                  <c:v>0.15028717247298012</c:v>
                </c:pt>
                <c:pt idx="3">
                  <c:v>0.17170528095713469</c:v>
                </c:pt>
                <c:pt idx="4">
                  <c:v>0.19071213168963208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4C-4BA0-A242-DF09CD5A6C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28735448"/>
        <c:axId val="328767784"/>
      </c:areaChart>
      <c:catAx>
        <c:axId val="328735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8767784"/>
        <c:crosses val="autoZero"/>
        <c:auto val="1"/>
        <c:lblAlgn val="ctr"/>
        <c:lblOffset val="100"/>
        <c:noMultiLvlLbl val="0"/>
      </c:catAx>
      <c:valAx>
        <c:axId val="32876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8735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Proyecciones!$B$210</c:f>
              <c:strCache>
                <c:ptCount val="1"/>
                <c:pt idx="0">
                  <c:v>Margen EBITDA = EBITDA / Ingresos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Proyecciones!$D$208:$M$208</c:f>
              <c:numCache>
                <c:formatCode>General</c:formatCode>
                <c:ptCount val="1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Proyecciones!$D$210:$M$210</c:f>
              <c:numCache>
                <c:formatCode>0.0%</c:formatCode>
                <c:ptCount val="10"/>
                <c:pt idx="0">
                  <c:v>0.10328874229872209</c:v>
                </c:pt>
                <c:pt idx="1">
                  <c:v>0.12999771904799073</c:v>
                </c:pt>
                <c:pt idx="2">
                  <c:v>0.15028717247298012</c:v>
                </c:pt>
                <c:pt idx="3">
                  <c:v>0.17170528095713469</c:v>
                </c:pt>
                <c:pt idx="4">
                  <c:v>0.19071213168963208</c:v>
                </c:pt>
                <c:pt idx="5">
                  <c:v>0.2104143873672058</c:v>
                </c:pt>
                <c:pt idx="6">
                  <c:v>0.22967646153406676</c:v>
                </c:pt>
                <c:pt idx="7">
                  <c:v>0.24187306143549361</c:v>
                </c:pt>
                <c:pt idx="8">
                  <c:v>0.24301751755170359</c:v>
                </c:pt>
                <c:pt idx="9">
                  <c:v>0.25082699188219748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5-4A5E-A616-A5B6138A10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372252880"/>
        <c:axId val="372251312"/>
        <c:axId val="0"/>
      </c:bar3DChart>
      <c:catAx>
        <c:axId val="37225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2251312"/>
        <c:crosses val="autoZero"/>
        <c:auto val="1"/>
        <c:lblAlgn val="ctr"/>
        <c:lblOffset val="100"/>
        <c:noMultiLvlLbl val="0"/>
      </c:catAx>
      <c:valAx>
        <c:axId val="37225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2252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Indice de Rentabilidad vs Eficiencia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Indice Rentabilidad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Proyecciones!$E$258:$M$258</c:f>
              <c:numCache>
                <c:formatCode>0</c:formatCode>
                <c:ptCount val="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</c:numCache>
            </c:numRef>
          </c:cat>
          <c:val>
            <c:numRef>
              <c:f>Proyecciones!$E$262:$M$262</c:f>
              <c:numCache>
                <c:formatCode>#,##0</c:formatCode>
                <c:ptCount val="9"/>
                <c:pt idx="0">
                  <c:v>100</c:v>
                </c:pt>
                <c:pt idx="1">
                  <c:v>103.70514275744847</c:v>
                </c:pt>
                <c:pt idx="2">
                  <c:v>97.936225978687631</c:v>
                </c:pt>
                <c:pt idx="3">
                  <c:v>93.508982428593953</c:v>
                </c:pt>
                <c:pt idx="4">
                  <c:v>98.499039575717589</c:v>
                </c:pt>
                <c:pt idx="5">
                  <c:v>121.47663492665184</c:v>
                </c:pt>
                <c:pt idx="6">
                  <c:v>132.91716471452045</c:v>
                </c:pt>
                <c:pt idx="7">
                  <c:v>139.92298117952811</c:v>
                </c:pt>
                <c:pt idx="8">
                  <c:v>140.45823868219443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0-44F3-B11A-823176DF68DB}"/>
            </c:ext>
          </c:extLst>
        </c:ser>
        <c:ser>
          <c:idx val="2"/>
          <c:order val="1"/>
          <c:tx>
            <c:v>Indice Eficiencia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Proyecciones!$E$258:$M$258</c:f>
              <c:numCache>
                <c:formatCode>0</c:formatCode>
                <c:ptCount val="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</c:numCache>
            </c:numRef>
          </c:cat>
          <c:val>
            <c:numRef>
              <c:f>Proyecciones!$E$268:$M$268</c:f>
              <c:numCache>
                <c:formatCode>#,##0</c:formatCode>
                <c:ptCount val="9"/>
                <c:pt idx="0">
                  <c:v>100</c:v>
                </c:pt>
                <c:pt idx="1">
                  <c:v>93.750646239840535</c:v>
                </c:pt>
                <c:pt idx="2">
                  <c:v>90.117694545731354</c:v>
                </c:pt>
                <c:pt idx="3">
                  <c:v>86.782740289572317</c:v>
                </c:pt>
                <c:pt idx="4">
                  <c:v>7842016295146.376</c:v>
                </c:pt>
                <c:pt idx="5">
                  <c:v>13293403666817.449</c:v>
                </c:pt>
                <c:pt idx="6">
                  <c:v>14688410968188.01</c:v>
                </c:pt>
                <c:pt idx="7">
                  <c:v>16226941890778.52</c:v>
                </c:pt>
                <c:pt idx="8">
                  <c:v>17387147296893.848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0-44F3-B11A-823176DF68D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4610920"/>
        <c:axId val="494610136"/>
      </c:lineChart>
      <c:valAx>
        <c:axId val="494610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4610920"/>
        <c:crosses val="max"/>
        <c:crossBetween val="between"/>
        <c:minorUnit val="20000000"/>
      </c:valAx>
      <c:catAx>
        <c:axId val="4946109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4610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Proyecciones!$B$85</c:f>
              <c:strCache>
                <c:ptCount val="1"/>
                <c:pt idx="0">
                  <c:v>TOTAL PASIVO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Proyecciones!$C$70:$M$70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Proyecciones!$D$85:$M$85</c:f>
              <c:numCache>
                <c:formatCode>#,##0</c:formatCode>
                <c:ptCount val="10"/>
                <c:pt idx="0">
                  <c:v>94487993.69920668</c:v>
                </c:pt>
                <c:pt idx="1">
                  <c:v>67658456.362370268</c:v>
                </c:pt>
                <c:pt idx="2">
                  <c:v>30395423.040842246</c:v>
                </c:pt>
                <c:pt idx="3">
                  <c:v>24727938.543188907</c:v>
                </c:pt>
                <c:pt idx="4">
                  <c:v>26782709.65415002</c:v>
                </c:pt>
                <c:pt idx="5">
                  <c:v>29072040.239379175</c:v>
                </c:pt>
                <c:pt idx="6">
                  <c:v>31526684.709669326</c:v>
                </c:pt>
                <c:pt idx="7">
                  <c:v>33551166.679634847</c:v>
                </c:pt>
                <c:pt idx="8">
                  <c:v>34702380.772031993</c:v>
                </c:pt>
                <c:pt idx="9">
                  <c:v>36182647.162304893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0-46A0-B99B-8972B48D7139}"/>
            </c:ext>
          </c:extLst>
        </c:ser>
        <c:ser>
          <c:idx val="1"/>
          <c:order val="1"/>
          <c:tx>
            <c:strRef>
              <c:f>Proyecciones!$B$91</c:f>
              <c:strCache>
                <c:ptCount val="1"/>
                <c:pt idx="0">
                  <c:v>TOTAL PATRIMONIO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Proyecciones!$C$70:$M$70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Proyecciones!$D$91:$M$91</c:f>
              <c:numCache>
                <c:formatCode>#,##0</c:formatCode>
                <c:ptCount val="10"/>
                <c:pt idx="0">
                  <c:v>110526457.38579468</c:v>
                </c:pt>
                <c:pt idx="1">
                  <c:v>147295173.49124891</c:v>
                </c:pt>
                <c:pt idx="2">
                  <c:v>192530776.11837295</c:v>
                </c:pt>
                <c:pt idx="3">
                  <c:v>247542491.78498429</c:v>
                </c:pt>
                <c:pt idx="4">
                  <c:v>279970394.04175133</c:v>
                </c:pt>
                <c:pt idx="5">
                  <c:v>297687577.26324975</c:v>
                </c:pt>
                <c:pt idx="6">
                  <c:v>317494525.54674709</c:v>
                </c:pt>
                <c:pt idx="7">
                  <c:v>335757339.1330719</c:v>
                </c:pt>
                <c:pt idx="8">
                  <c:v>349256246.57917118</c:v>
                </c:pt>
                <c:pt idx="9">
                  <c:v>366426150.11074007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0-46A0-B99B-8972B48D713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494613272"/>
        <c:axId val="494611312"/>
      </c:barChart>
      <c:catAx>
        <c:axId val="494613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4611312"/>
        <c:crosses val="autoZero"/>
        <c:auto val="1"/>
        <c:lblAlgn val="ctr"/>
        <c:lblOffset val="100"/>
        <c:noMultiLvlLbl val="0"/>
      </c:catAx>
      <c:valAx>
        <c:axId val="49461131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94613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60890938356466E-2"/>
          <c:y val="4.9682100806101526E-2"/>
          <c:w val="0.87846608952886418"/>
          <c:h val="0.8522753835159917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0EB8376-9D03-4C41-9024-BC25E8925B5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508-49E1-9946-A7BCFAEEFBE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8FAC27F-BC03-4D32-A90B-100FF5DF5B38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508-49E1-9946-A7BCFAEEFBE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EB4F2CC-64ED-4C35-BAAD-CD89D9B78802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508-49E1-9946-A7BCFAEEFBE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BA81C27-B867-4FF3-9F9E-61485565E76B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508-49E1-9946-A7BCFAEEFBE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6ACE0A9-14B8-45D7-8963-25936CEFE52B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508-49E1-9946-A7BCFAEEF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Proyecciones!$E$262:$I$262</c:f>
              <c:numCache>
                <c:formatCode>#,##0</c:formatCode>
                <c:ptCount val="5"/>
                <c:pt idx="0">
                  <c:v>100</c:v>
                </c:pt>
                <c:pt idx="1">
                  <c:v>103.70514275744847</c:v>
                </c:pt>
                <c:pt idx="2">
                  <c:v>97.936225978687631</c:v>
                </c:pt>
                <c:pt idx="3">
                  <c:v>93.508982428593953</c:v>
                </c:pt>
                <c:pt idx="4">
                  <c:v>98.499039575717589</c:v>
                </c:pt>
              </c:numCache>
            </c:numRef>
          </c:xVal>
          <c:yVal>
            <c:numRef>
              <c:f>Proyecciones!$E$268:$I$268</c:f>
              <c:numCache>
                <c:formatCode>#,##0</c:formatCode>
                <c:ptCount val="5"/>
                <c:pt idx="0">
                  <c:v>100</c:v>
                </c:pt>
                <c:pt idx="1">
                  <c:v>93.750646239840535</c:v>
                </c:pt>
                <c:pt idx="2">
                  <c:v>90.117694545731354</c:v>
                </c:pt>
                <c:pt idx="3">
                  <c:v>86.782740289572317</c:v>
                </c:pt>
                <c:pt idx="4">
                  <c:v>7842016295146.376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{"2022"\"2023"\"2024"\"2025"\"2026"}</c15:f>
                <c15:dlblRangeCache>
                  <c:ptCount val="5"/>
                  <c:pt idx="0">
                    <c:v>2022</c:v>
                  </c:pt>
                  <c:pt idx="1">
                    <c:v>2023</c:v>
                  </c:pt>
                  <c:pt idx="2">
                    <c:v>2024</c:v>
                  </c:pt>
                  <c:pt idx="3">
                    <c:v>2025</c:v>
                  </c:pt>
                  <c:pt idx="4">
                    <c:v>2026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C125-467D-AC57-187FED16617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15513136"/>
        <c:axId val="115513528"/>
      </c:scatterChart>
      <c:valAx>
        <c:axId val="115513136"/>
        <c:scaling>
          <c:orientation val="minMax"/>
          <c:max val="160"/>
          <c:min val="-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Eficiencia</a:t>
                </a:r>
              </a:p>
            </c:rich>
          </c:tx>
          <c:layout>
            <c:manualLayout>
              <c:xMode val="edge"/>
              <c:yMode val="edge"/>
              <c:x val="8.0264932353069141E-2"/>
              <c:y val="5.341374312943707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5513528"/>
        <c:crosses val="autoZero"/>
        <c:crossBetween val="midCat"/>
      </c:valAx>
      <c:valAx>
        <c:axId val="115513528"/>
        <c:scaling>
          <c:orientation val="minMax"/>
          <c:max val="155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Rentabilidad</a:t>
                </a:r>
              </a:p>
            </c:rich>
          </c:tx>
          <c:layout>
            <c:manualLayout>
              <c:xMode val="edge"/>
              <c:yMode val="edge"/>
              <c:x val="0.85312881944859964"/>
              <c:y val="0.920698229476031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5513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Proyecciones!$B$68</c:f>
              <c:strCache>
                <c:ptCount val="1"/>
                <c:pt idx="0">
                  <c:v>UTILIDAD NETA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cat>
            <c:numRef>
              <c:f>Proyecciones!$C$53:$M$53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Proyecciones!$C$68:$M$68</c:f>
              <c:numCache>
                <c:formatCode>#,##0</c:formatCode>
                <c:ptCount val="11"/>
                <c:pt idx="0">
                  <c:v>-114966159.39971773</c:v>
                </c:pt>
                <c:pt idx="1">
                  <c:v>26763924.587933458</c:v>
                </c:pt>
                <c:pt idx="2">
                  <c:v>36768716.105454192</c:v>
                </c:pt>
                <c:pt idx="3">
                  <c:v>45235602.627124041</c:v>
                </c:pt>
                <c:pt idx="4">
                  <c:v>55011715.666611388</c:v>
                </c:pt>
                <c:pt idx="5">
                  <c:v>64863705.945460051</c:v>
                </c:pt>
                <c:pt idx="6">
                  <c:v>76094518.572412476</c:v>
                </c:pt>
                <c:pt idx="7">
                  <c:v>88292014.998668581</c:v>
                </c:pt>
                <c:pt idx="8">
                  <c:v>97725627.085126519</c:v>
                </c:pt>
                <c:pt idx="9">
                  <c:v>101451971.82271314</c:v>
                </c:pt>
                <c:pt idx="10">
                  <c:v>108476678.17201069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0-47DD-876D-79426D03D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289624"/>
        <c:axId val="368262560"/>
      </c:lineChart>
      <c:catAx>
        <c:axId val="334289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8262560"/>
        <c:crosses val="autoZero"/>
        <c:auto val="1"/>
        <c:lblAlgn val="ctr"/>
        <c:lblOffset val="100"/>
        <c:noMultiLvlLbl val="0"/>
      </c:catAx>
      <c:valAx>
        <c:axId val="36826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4289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Proyecciones!$B$136</c:f>
              <c:strCache>
                <c:ptCount val="1"/>
                <c:pt idx="0">
                  <c:v>FLUJO DE CAJA LIBRE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Proyecciones!$C$125:$M$125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Proyecciones!$C$136:$M$136</c:f>
              <c:numCache>
                <c:formatCode>#,##0</c:formatCode>
                <c:ptCount val="11"/>
                <c:pt idx="0">
                  <c:v>-198728692.19941473</c:v>
                </c:pt>
                <c:pt idx="1">
                  <c:v>3.1961500644683838E-4</c:v>
                </c:pt>
                <c:pt idx="2">
                  <c:v>3.2494217157363892E-4</c:v>
                </c:pt>
                <c:pt idx="3">
                  <c:v>3.3130496740341187E-4</c:v>
                </c:pt>
                <c:pt idx="4">
                  <c:v>3.3873319625854492E-4</c:v>
                </c:pt>
                <c:pt idx="5">
                  <c:v>32435803.689040788</c:v>
                </c:pt>
                <c:pt idx="6">
                  <c:v>58377335.351271987</c:v>
                </c:pt>
                <c:pt idx="7">
                  <c:v>68485066.715541542</c:v>
                </c:pt>
                <c:pt idx="8">
                  <c:v>79462813.499186501</c:v>
                </c:pt>
                <c:pt idx="9">
                  <c:v>87953064.377016321</c:v>
                </c:pt>
                <c:pt idx="10">
                  <c:v>91306774.640864402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46-4C0A-BE68-8300781EAD3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50295736"/>
        <c:axId val="450295344"/>
      </c:barChart>
      <c:catAx>
        <c:axId val="450295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0295344"/>
        <c:crosses val="autoZero"/>
        <c:auto val="1"/>
        <c:lblAlgn val="ctr"/>
        <c:lblOffset val="100"/>
        <c:noMultiLvlLbl val="0"/>
      </c:catAx>
      <c:valAx>
        <c:axId val="450295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0295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all" spc="0" baseline="0">
                <a:gradFill>
                  <a:gsLst>
                    <a:gs pos="0">
                      <a:schemeClr val="dk1">
                        <a:lumMod val="50000"/>
                        <a:lumOff val="50000"/>
                      </a:schemeClr>
                    </a:gs>
                    <a:gs pos="100000">
                      <a:schemeClr val="dk1">
                        <a:lumMod val="85000"/>
                        <a:lumOff val="15000"/>
                      </a:schemeClr>
                    </a:gs>
                  </a:gsLst>
                  <a:lin ang="5400000" scaled="0"/>
                </a:gradFill>
                <a:latin typeface="+mn-lt"/>
                <a:ea typeface="+mn-ea"/>
                <a:cs typeface="+mn-cs"/>
              </a:defRPr>
            </a:pPr>
            <a:r>
              <a:rPr lang="es-CO"/>
              <a:t>cOSTO DE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all" spc="0" baseline="0">
              <a:gradFill>
                <a:gsLst>
                  <a:gs pos="0">
                    <a:schemeClr val="dk1">
                      <a:lumMod val="50000"/>
                      <a:lumOff val="50000"/>
                    </a:schemeClr>
                  </a:gs>
                  <a:gs pos="100000">
                    <a:schemeClr val="dk1">
                      <a:lumMod val="85000"/>
                      <a:lumOff val="15000"/>
                    </a:schemeClr>
                  </a:gs>
                </a:gsLst>
                <a:lin ang="5400000" scaled="0"/>
              </a:gra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 cmpd="sng" algn="ctr">
              <a:solidFill>
                <a:schemeClr val="accent1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Proyecciones!$D$148:$M$148</c:f>
              <c:numCache>
                <c:formatCode>General</c:formatCode>
                <c:ptCount val="1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Proyecciones!$D$163:$M$163</c:f>
              <c:numCache>
                <c:formatCode>0.00%</c:formatCode>
                <c:ptCount val="10"/>
                <c:pt idx="0">
                  <c:v>0.16260398774144494</c:v>
                </c:pt>
                <c:pt idx="1">
                  <c:v>0.1616357044080832</c:v>
                </c:pt>
                <c:pt idx="2">
                  <c:v>0.16109590440804553</c:v>
                </c:pt>
                <c:pt idx="3">
                  <c:v>0.15958782107469277</c:v>
                </c:pt>
                <c:pt idx="4">
                  <c:v>0.1579447877413436</c:v>
                </c:pt>
                <c:pt idx="5">
                  <c:v>0.14130175440808707</c:v>
                </c:pt>
                <c:pt idx="6">
                  <c:v>0.14049205440808285</c:v>
                </c:pt>
                <c:pt idx="7">
                  <c:v>0.13968235440808752</c:v>
                </c:pt>
                <c:pt idx="8">
                  <c:v>0.13887265440813243</c:v>
                </c:pt>
                <c:pt idx="9">
                  <c:v>0.13806295440777031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1-4444-B679-A85938E1AF7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68561760"/>
        <c:axId val="368562544"/>
      </c:lineChart>
      <c:catAx>
        <c:axId val="36856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8562544"/>
        <c:crosses val="autoZero"/>
        <c:auto val="1"/>
        <c:lblAlgn val="ctr"/>
        <c:lblOffset val="100"/>
        <c:noMultiLvlLbl val="0"/>
      </c:catAx>
      <c:valAx>
        <c:axId val="36856254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368561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168445470060815"/>
          <c:y val="0.19945273631840796"/>
          <c:w val="0.79967408636010351"/>
          <c:h val="0.7607462686567164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Proyecciones!$D$167:$M$167</c:f>
              <c:numCache>
                <c:formatCode>General</c:formatCode>
                <c:ptCount val="1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xVal>
          <c:yVal>
            <c:numRef>
              <c:f>Proyecciones!$D$180:$M$180</c:f>
              <c:numCache>
                <c:formatCode>#,##0</c:formatCode>
                <c:ptCount val="10"/>
                <c:pt idx="0">
                  <c:v>8791881.8659951426</c:v>
                </c:pt>
                <c:pt idx="1">
                  <c:v>12960556.982220002</c:v>
                </c:pt>
                <c:pt idx="2">
                  <c:v>14219683.121894499</c:v>
                </c:pt>
                <c:pt idx="3">
                  <c:v>15506948.779199069</c:v>
                </c:pt>
                <c:pt idx="4">
                  <c:v>20643841.484640561</c:v>
                </c:pt>
                <c:pt idx="5">
                  <c:v>34030741.639618553</c:v>
                </c:pt>
                <c:pt idx="6">
                  <c:v>43686556.841292866</c:v>
                </c:pt>
                <c:pt idx="7">
                  <c:v>50826251.445241988</c:v>
                </c:pt>
                <c:pt idx="8">
                  <c:v>52949829.791672878</c:v>
                </c:pt>
                <c:pt idx="9">
                  <c:v>57886801.31550172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83-435B-A30F-571ABB57E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7735648"/>
        <c:axId val="447735256"/>
      </c:scatterChart>
      <c:valAx>
        <c:axId val="447735648"/>
        <c:scaling>
          <c:orientation val="minMax"/>
          <c:max val="2031"/>
          <c:min val="202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7735256"/>
        <c:crosses val="autoZero"/>
        <c:crossBetween val="midCat"/>
        <c:majorUnit val="1"/>
      </c:valAx>
      <c:valAx>
        <c:axId val="44773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7735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Proyecciones!$B$192</c:f>
              <c:strCache>
                <c:ptCount val="1"/>
                <c:pt idx="0">
                  <c:v>EBITDA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5"/>
              <c:layout>
                <c:manualLayout>
                  <c:x val="8.3333333333332309E-3"/>
                  <c:y val="-1.3888888888888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6F-4985-89D5-25C66C5CA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Proyecciones!$C$185:$M$185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Proyecciones!$C$192:$M$192</c:f>
              <c:numCache>
                <c:formatCode>#,##0</c:formatCode>
                <c:ptCount val="11"/>
                <c:pt idx="0">
                  <c:v>-114544909.3995662</c:v>
                </c:pt>
                <c:pt idx="1">
                  <c:v>42186268.597184375</c:v>
                </c:pt>
                <c:pt idx="2">
                  <c:v>57578255.547201045</c:v>
                </c:pt>
                <c:pt idx="3">
                  <c:v>70604234.811290488</c:v>
                </c:pt>
                <c:pt idx="4">
                  <c:v>85644408.718172774</c:v>
                </c:pt>
                <c:pt idx="5">
                  <c:v>100801316.83945318</c:v>
                </c:pt>
                <c:pt idx="6">
                  <c:v>118079490.11165784</c:v>
                </c:pt>
                <c:pt idx="7">
                  <c:v>136844869.22893965</c:v>
                </c:pt>
                <c:pt idx="8">
                  <c:v>151358118.59267929</c:v>
                </c:pt>
                <c:pt idx="9">
                  <c:v>157090956.65045547</c:v>
                </c:pt>
                <c:pt idx="10">
                  <c:v>167476947.18777791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F-4985-89D5-25C66C5CA4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64970032"/>
        <c:axId val="364970816"/>
        <c:axId val="0"/>
      </c:bar3DChart>
      <c:catAx>
        <c:axId val="36497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4970816"/>
        <c:crosses val="autoZero"/>
        <c:auto val="1"/>
        <c:lblAlgn val="ctr"/>
        <c:lblOffset val="100"/>
        <c:noMultiLvlLbl val="0"/>
      </c:catAx>
      <c:valAx>
        <c:axId val="36497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497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all" spc="0" baseline="0">
              <a:gradFill>
                <a:gsLst>
                  <a:gs pos="0">
                    <a:schemeClr val="dk1">
                      <a:lumMod val="50000"/>
                      <a:lumOff val="50000"/>
                    </a:schemeClr>
                  </a:gs>
                  <a:gs pos="100000">
                    <a:schemeClr val="dk1">
                      <a:lumMod val="85000"/>
                      <a:lumOff val="15000"/>
                    </a:schemeClr>
                  </a:gs>
                </a:gsLst>
                <a:lin ang="5400000" scaled="0"/>
              </a:gra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Proyecciones!$B$174</c:f>
              <c:strCache>
                <c:ptCount val="1"/>
                <c:pt idx="0">
                  <c:v>Rentabilidad de la inversión - ROI</c:v>
                </c:pt>
              </c:strCache>
            </c:strRef>
          </c:tx>
          <c:spPr>
            <a:ln w="19050" cap="rnd" cmpd="sng" algn="ctr">
              <a:solidFill>
                <a:schemeClr val="accent1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Proyecciones!$D$167:$M$167</c:f>
              <c:numCache>
                <c:formatCode>General</c:formatCode>
                <c:ptCount val="1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Proyecciones!$D$174:$M$174</c:f>
              <c:numCache>
                <c:formatCode>0.0%\ ;\(0.0%\)</c:formatCode>
                <c:ptCount val="10"/>
                <c:pt idx="0">
                  <c:v>0.24214948366877259</c:v>
                </c:pt>
                <c:pt idx="1">
                  <c:v>0.24962607554425043</c:v>
                </c:pt>
                <c:pt idx="2">
                  <c:v>0.23495258025205251</c:v>
                </c:pt>
                <c:pt idx="3">
                  <c:v>0.222231404676377</c:v>
                </c:pt>
                <c:pt idx="4">
                  <c:v>0.23168058953994247</c:v>
                </c:pt>
                <c:pt idx="5">
                  <c:v>0.25561872373659889</c:v>
                </c:pt>
                <c:pt idx="6">
                  <c:v>0.27808988153889269</c:v>
                </c:pt>
                <c:pt idx="7">
                  <c:v>0.29106028579261134</c:v>
                </c:pt>
                <c:pt idx="8">
                  <c:v>0.29048004958069856</c:v>
                </c:pt>
                <c:pt idx="9">
                  <c:v>0.29603967440443912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C-4716-B311-5540DEAC184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99248"/>
        <c:axId val="3298464"/>
      </c:lineChart>
      <c:catAx>
        <c:axId val="329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98464"/>
        <c:crosses val="autoZero"/>
        <c:auto val="1"/>
        <c:lblAlgn val="ctr"/>
        <c:lblOffset val="100"/>
        <c:noMultiLvlLbl val="0"/>
      </c:catAx>
      <c:valAx>
        <c:axId val="3298464"/>
        <c:scaling>
          <c:orientation val="minMax"/>
        </c:scaling>
        <c:delete val="1"/>
        <c:axPos val="l"/>
        <c:numFmt formatCode="0.0%\ ;\(0.0%\)" sourceLinked="1"/>
        <c:majorTickMark val="none"/>
        <c:minorTickMark val="none"/>
        <c:tickLblPos val="nextTo"/>
        <c:crossAx val="3299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Proyecciones!$B$253</c:f>
              <c:strCache>
                <c:ptCount val="1"/>
                <c:pt idx="0">
                  <c:v>VALOR DE MERCADO DEL PATRIMONIO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Proyecciones!$C$241:$M$241</c:f>
              <c:numCache>
                <c:formatCode>0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Proyecciones!$C$253:$M$253</c:f>
              <c:numCache>
                <c:formatCode>#,##0</c:formatCode>
                <c:ptCount val="11"/>
                <c:pt idx="0">
                  <c:v>374840395.76073909</c:v>
                </c:pt>
                <c:pt idx="1">
                  <c:v>357033177.29830199</c:v>
                </c:pt>
                <c:pt idx="2">
                  <c:v>478161985.70785069</c:v>
                </c:pt>
                <c:pt idx="3">
                  <c:v>627107492.25207317</c:v>
                </c:pt>
                <c:pt idx="4">
                  <c:v>764063759.6070137</c:v>
                </c:pt>
                <c:pt idx="5">
                  <c:v>849391136.91849852</c:v>
                </c:pt>
                <c:pt idx="6">
                  <c:v>892352005.03436971</c:v>
                </c:pt>
                <c:pt idx="7">
                  <c:v>930369227.52178264</c:v>
                </c:pt>
                <c:pt idx="8">
                  <c:v>958532063.90363169</c:v>
                </c:pt>
                <c:pt idx="9">
                  <c:v>975305711.98391724</c:v>
                </c:pt>
                <c:pt idx="10">
                  <c:v>991585099.12483561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F-49DA-AED3-9D58F4E85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489736"/>
        <c:axId val="497839560"/>
      </c:areaChart>
      <c:catAx>
        <c:axId val="3634897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7839560"/>
        <c:crosses val="autoZero"/>
        <c:auto val="1"/>
        <c:lblAlgn val="ctr"/>
        <c:lblOffset val="100"/>
        <c:noMultiLvlLbl val="0"/>
      </c:catAx>
      <c:valAx>
        <c:axId val="49783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3489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BITDA"/><Relationship Id="rId13" Type="http://schemas.openxmlformats.org/officeDocument/2006/relationships/hyperlink" Target="#'Indicadores '!A1"/><Relationship Id="rId3" Type="http://schemas.openxmlformats.org/officeDocument/2006/relationships/hyperlink" Target="#FCL"/><Relationship Id="rId7" Type="http://schemas.openxmlformats.org/officeDocument/2006/relationships/hyperlink" Target="#EVA"/><Relationship Id="rId12" Type="http://schemas.openxmlformats.org/officeDocument/2006/relationships/hyperlink" Target="#'Costo De Ventas '!A1"/><Relationship Id="rId2" Type="http://schemas.openxmlformats.org/officeDocument/2006/relationships/hyperlink" Target="#ER"/><Relationship Id="rId1" Type="http://schemas.openxmlformats.org/officeDocument/2006/relationships/hyperlink" Target="#ESF"/><Relationship Id="rId6" Type="http://schemas.openxmlformats.org/officeDocument/2006/relationships/hyperlink" Target="#WACC"/><Relationship Id="rId11" Type="http://schemas.openxmlformats.org/officeDocument/2006/relationships/hyperlink" Target="#MRE"/><Relationship Id="rId5" Type="http://schemas.openxmlformats.org/officeDocument/2006/relationships/hyperlink" Target="#PROCESO"/><Relationship Id="rId10" Type="http://schemas.openxmlformats.org/officeDocument/2006/relationships/hyperlink" Target="#VP"/><Relationship Id="rId4" Type="http://schemas.openxmlformats.org/officeDocument/2006/relationships/hyperlink" Target="#ENTRADA"/><Relationship Id="rId9" Type="http://schemas.openxmlformats.org/officeDocument/2006/relationships/hyperlink" Target="#VC"/><Relationship Id="rId14" Type="http://schemas.openxmlformats.org/officeDocument/2006/relationships/hyperlink" Target="#'Riesgo Secto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10</xdr:row>
      <xdr:rowOff>0</xdr:rowOff>
    </xdr:from>
    <xdr:to>
      <xdr:col>4</xdr:col>
      <xdr:colOff>209550</xdr:colOff>
      <xdr:row>13</xdr:row>
      <xdr:rowOff>142875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62B75-F0B0-4047-A791-66B9F174F31C}"/>
            </a:ext>
          </a:extLst>
        </xdr:cNvPr>
        <xdr:cNvSpPr/>
      </xdr:nvSpPr>
      <xdr:spPr>
        <a:xfrm>
          <a:off x="2343150" y="1905000"/>
          <a:ext cx="914400" cy="714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Estado de Situación Financiera</a:t>
          </a:r>
        </a:p>
      </xdr:txBody>
    </xdr:sp>
    <xdr:clientData/>
  </xdr:twoCellAnchor>
  <xdr:twoCellAnchor>
    <xdr:from>
      <xdr:col>5</xdr:col>
      <xdr:colOff>438150</xdr:colOff>
      <xdr:row>10</xdr:row>
      <xdr:rowOff>19050</xdr:rowOff>
    </xdr:from>
    <xdr:to>
      <xdr:col>6</xdr:col>
      <xdr:colOff>590550</xdr:colOff>
      <xdr:row>13</xdr:row>
      <xdr:rowOff>152400</xdr:rowOff>
    </xdr:to>
    <xdr:sp macro="" textlink="">
      <xdr:nvSpPr>
        <xdr:cNvPr id="10" name="Rectángulo: esquina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FF394-62A2-4C7D-A39A-9B1CFFEBBF42}"/>
            </a:ext>
          </a:extLst>
        </xdr:cNvPr>
        <xdr:cNvSpPr/>
      </xdr:nvSpPr>
      <xdr:spPr>
        <a:xfrm>
          <a:off x="4200525" y="2190750"/>
          <a:ext cx="914400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>
              <a:solidFill>
                <a:schemeClr val="lt1"/>
              </a:solidFill>
              <a:latin typeface="+mn-lt"/>
              <a:ea typeface="+mn-ea"/>
              <a:cs typeface="+mn-cs"/>
            </a:rPr>
            <a:t>Estado</a:t>
          </a:r>
          <a:r>
            <a:rPr lang="es-CO" sz="1100" baseline="0"/>
            <a:t> de Resultados</a:t>
          </a:r>
          <a:endParaRPr lang="es-CO" sz="1100"/>
        </a:p>
      </xdr:txBody>
    </xdr:sp>
    <xdr:clientData/>
  </xdr:twoCellAnchor>
  <xdr:twoCellAnchor>
    <xdr:from>
      <xdr:col>7</xdr:col>
      <xdr:colOff>571500</xdr:colOff>
      <xdr:row>10</xdr:row>
      <xdr:rowOff>28575</xdr:rowOff>
    </xdr:from>
    <xdr:to>
      <xdr:col>7</xdr:col>
      <xdr:colOff>1485900</xdr:colOff>
      <xdr:row>13</xdr:row>
      <xdr:rowOff>123825</xdr:rowOff>
    </xdr:to>
    <xdr:sp macro="" textlink="">
      <xdr:nvSpPr>
        <xdr:cNvPr id="11" name="Rectángulo: esquina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3652F2-0C97-4D7D-8603-52F41BD981BD}"/>
            </a:ext>
          </a:extLst>
        </xdr:cNvPr>
        <xdr:cNvSpPr/>
      </xdr:nvSpPr>
      <xdr:spPr>
        <a:xfrm>
          <a:off x="5905500" y="2200275"/>
          <a:ext cx="914400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Flujo</a:t>
          </a:r>
          <a:r>
            <a:rPr lang="es-CO" sz="1100" baseline="0"/>
            <a:t> de Caja Libre</a:t>
          </a:r>
          <a:endParaRPr lang="es-CO" sz="1100"/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152400</xdr:colOff>
      <xdr:row>19</xdr:row>
      <xdr:rowOff>133350</xdr:rowOff>
    </xdr:to>
    <xdr:sp macro="" textlink="">
      <xdr:nvSpPr>
        <xdr:cNvPr id="19" name="Rectángulo: esquinas redondeadas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BA738A-DF3E-4ABE-9D45-AB9313F9A8D7}"/>
            </a:ext>
          </a:extLst>
        </xdr:cNvPr>
        <xdr:cNvSpPr/>
      </xdr:nvSpPr>
      <xdr:spPr>
        <a:xfrm>
          <a:off x="2286000" y="3314700"/>
          <a:ext cx="914400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Entradas	</a:t>
          </a:r>
        </a:p>
      </xdr:txBody>
    </xdr:sp>
    <xdr:clientData/>
  </xdr:twoCellAnchor>
  <xdr:twoCellAnchor>
    <xdr:from>
      <xdr:col>5</xdr:col>
      <xdr:colOff>447675</xdr:colOff>
      <xdr:row>16</xdr:row>
      <xdr:rowOff>0</xdr:rowOff>
    </xdr:from>
    <xdr:to>
      <xdr:col>6</xdr:col>
      <xdr:colOff>600075</xdr:colOff>
      <xdr:row>19</xdr:row>
      <xdr:rowOff>133350</xdr:rowOff>
    </xdr:to>
    <xdr:sp macro="" textlink="">
      <xdr:nvSpPr>
        <xdr:cNvPr id="20" name="Rectángulo: esquinas redondeadas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E35788-7E13-4AC4-912C-FC6A76AB2645}"/>
            </a:ext>
          </a:extLst>
        </xdr:cNvPr>
        <xdr:cNvSpPr/>
      </xdr:nvSpPr>
      <xdr:spPr>
        <a:xfrm>
          <a:off x="4210050" y="3314700"/>
          <a:ext cx="914400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Procesos</a:t>
          </a:r>
        </a:p>
      </xdr:txBody>
    </xdr:sp>
    <xdr:clientData/>
  </xdr:twoCellAnchor>
  <xdr:twoCellAnchor>
    <xdr:from>
      <xdr:col>7</xdr:col>
      <xdr:colOff>561975</xdr:colOff>
      <xdr:row>16</xdr:row>
      <xdr:rowOff>0</xdr:rowOff>
    </xdr:from>
    <xdr:to>
      <xdr:col>7</xdr:col>
      <xdr:colOff>1533525</xdr:colOff>
      <xdr:row>19</xdr:row>
      <xdr:rowOff>133350</xdr:rowOff>
    </xdr:to>
    <xdr:sp macro="" textlink="">
      <xdr:nvSpPr>
        <xdr:cNvPr id="21" name="Rectángulo: esquinas redondeadas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7CAAB5-D45A-4BC3-8577-6518F958E14F}"/>
            </a:ext>
          </a:extLst>
        </xdr:cNvPr>
        <xdr:cNvSpPr/>
      </xdr:nvSpPr>
      <xdr:spPr>
        <a:xfrm>
          <a:off x="5695950" y="3314700"/>
          <a:ext cx="971550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Costo</a:t>
          </a:r>
          <a:r>
            <a:rPr lang="es-CO" sz="1100" baseline="0"/>
            <a:t> De Capital</a:t>
          </a:r>
          <a:endParaRPr lang="es-CO" sz="1100"/>
        </a:p>
      </xdr:txBody>
    </xdr:sp>
    <xdr:clientData/>
  </xdr:twoCellAnchor>
  <xdr:twoCellAnchor>
    <xdr:from>
      <xdr:col>3</xdr:col>
      <xdr:colOff>0</xdr:colOff>
      <xdr:row>22</xdr:row>
      <xdr:rowOff>38100</xdr:rowOff>
    </xdr:from>
    <xdr:to>
      <xdr:col>4</xdr:col>
      <xdr:colOff>152400</xdr:colOff>
      <xdr:row>25</xdr:row>
      <xdr:rowOff>171450</xdr:rowOff>
    </xdr:to>
    <xdr:sp macro="" textlink="">
      <xdr:nvSpPr>
        <xdr:cNvPr id="22" name="Rectángulo: esquinas redondeadas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9D7752-BCED-4378-ABD6-A1DC29CF7395}"/>
            </a:ext>
          </a:extLst>
        </xdr:cNvPr>
        <xdr:cNvSpPr/>
      </xdr:nvSpPr>
      <xdr:spPr>
        <a:xfrm>
          <a:off x="2286000" y="4495800"/>
          <a:ext cx="914400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EVA</a:t>
          </a:r>
        </a:p>
      </xdr:txBody>
    </xdr:sp>
    <xdr:clientData/>
  </xdr:twoCellAnchor>
  <xdr:twoCellAnchor>
    <xdr:from>
      <xdr:col>5</xdr:col>
      <xdr:colOff>447675</xdr:colOff>
      <xdr:row>22</xdr:row>
      <xdr:rowOff>0</xdr:rowOff>
    </xdr:from>
    <xdr:to>
      <xdr:col>6</xdr:col>
      <xdr:colOff>600075</xdr:colOff>
      <xdr:row>25</xdr:row>
      <xdr:rowOff>133350</xdr:rowOff>
    </xdr:to>
    <xdr:sp macro="" textlink="">
      <xdr:nvSpPr>
        <xdr:cNvPr id="23" name="Rectángulo: esquinas redondeadas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FB38848-89ED-4D11-94F5-48C7049D1398}"/>
            </a:ext>
          </a:extLst>
        </xdr:cNvPr>
        <xdr:cNvSpPr/>
      </xdr:nvSpPr>
      <xdr:spPr>
        <a:xfrm>
          <a:off x="4210050" y="4457700"/>
          <a:ext cx="914400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EBITDA</a:t>
          </a:r>
          <a:r>
            <a:rPr lang="es-CO" sz="1100" baseline="0"/>
            <a:t> y Margen EBITDA</a:t>
          </a:r>
          <a:endParaRPr lang="es-CO" sz="1100"/>
        </a:p>
      </xdr:txBody>
    </xdr:sp>
    <xdr:clientData/>
  </xdr:twoCellAnchor>
  <xdr:twoCellAnchor>
    <xdr:from>
      <xdr:col>7</xdr:col>
      <xdr:colOff>647699</xdr:colOff>
      <xdr:row>22</xdr:row>
      <xdr:rowOff>0</xdr:rowOff>
    </xdr:from>
    <xdr:to>
      <xdr:col>7</xdr:col>
      <xdr:colOff>1609724</xdr:colOff>
      <xdr:row>25</xdr:row>
      <xdr:rowOff>133350</xdr:rowOff>
    </xdr:to>
    <xdr:sp macro="" textlink="">
      <xdr:nvSpPr>
        <xdr:cNvPr id="24" name="Rectángulo: esquinas redondeadas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14D454A-DA7A-457D-B6AA-310344192571}"/>
            </a:ext>
          </a:extLst>
        </xdr:cNvPr>
        <xdr:cNvSpPr/>
      </xdr:nvSpPr>
      <xdr:spPr>
        <a:xfrm>
          <a:off x="5781674" y="4038600"/>
          <a:ext cx="962025" cy="6762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Valor de Continuidad</a:t>
          </a: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4</xdr:col>
      <xdr:colOff>209550</xdr:colOff>
      <xdr:row>31</xdr:row>
      <xdr:rowOff>133350</xdr:rowOff>
    </xdr:to>
    <xdr:sp macro="" textlink="">
      <xdr:nvSpPr>
        <xdr:cNvPr id="25" name="Rectángulo: esquinas redondeadas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C48780F-319C-4727-B4DB-17BC2D1EFF88}"/>
            </a:ext>
          </a:extLst>
        </xdr:cNvPr>
        <xdr:cNvSpPr/>
      </xdr:nvSpPr>
      <xdr:spPr>
        <a:xfrm>
          <a:off x="2286000" y="5124450"/>
          <a:ext cx="971550" cy="6762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Valoración</a:t>
          </a:r>
          <a:r>
            <a:rPr lang="es-CO" sz="1100" b="1" baseline="0"/>
            <a:t> de Patromonio</a:t>
          </a:r>
          <a:endParaRPr lang="es-CO" sz="1100" b="1"/>
        </a:p>
      </xdr:txBody>
    </xdr:sp>
    <xdr:clientData/>
  </xdr:twoCellAnchor>
  <xdr:twoCellAnchor>
    <xdr:from>
      <xdr:col>5</xdr:col>
      <xdr:colOff>409575</xdr:colOff>
      <xdr:row>28</xdr:row>
      <xdr:rowOff>0</xdr:rowOff>
    </xdr:from>
    <xdr:to>
      <xdr:col>6</xdr:col>
      <xdr:colOff>638175</xdr:colOff>
      <xdr:row>31</xdr:row>
      <xdr:rowOff>133350</xdr:rowOff>
    </xdr:to>
    <xdr:sp macro="" textlink="">
      <xdr:nvSpPr>
        <xdr:cNvPr id="26" name="Rectángulo: esquinas redondeadas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2E78D53-B370-4C78-9036-8CA5645D2332}"/>
            </a:ext>
          </a:extLst>
        </xdr:cNvPr>
        <xdr:cNvSpPr/>
      </xdr:nvSpPr>
      <xdr:spPr>
        <a:xfrm>
          <a:off x="4219575" y="5600700"/>
          <a:ext cx="990600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100"/>
            <a:t>Matriz</a:t>
          </a:r>
          <a:r>
            <a:rPr lang="es-CO" sz="1100" baseline="0"/>
            <a:t> de Rentabilidade Eficiencia </a:t>
          </a:r>
          <a:endParaRPr lang="es-CO" sz="1100"/>
        </a:p>
      </xdr:txBody>
    </xdr:sp>
    <xdr:clientData/>
  </xdr:twoCellAnchor>
  <xdr:twoCellAnchor>
    <xdr:from>
      <xdr:col>7</xdr:col>
      <xdr:colOff>619125</xdr:colOff>
      <xdr:row>28</xdr:row>
      <xdr:rowOff>0</xdr:rowOff>
    </xdr:from>
    <xdr:to>
      <xdr:col>7</xdr:col>
      <xdr:colOff>1533525</xdr:colOff>
      <xdr:row>31</xdr:row>
      <xdr:rowOff>133350</xdr:rowOff>
    </xdr:to>
    <xdr:sp macro="" textlink="">
      <xdr:nvSpPr>
        <xdr:cNvPr id="27" name="Rectángulo: esquinas redondeadas 2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C350E2B-C3E1-4264-953F-38D922F6CC45}"/>
            </a:ext>
          </a:extLst>
        </xdr:cNvPr>
        <xdr:cNvSpPr/>
      </xdr:nvSpPr>
      <xdr:spPr>
        <a:xfrm>
          <a:off x="5953125" y="5600700"/>
          <a:ext cx="914400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Costo</a:t>
          </a:r>
          <a:r>
            <a:rPr lang="es-CO" sz="1100" baseline="0"/>
            <a:t> de Ventas</a:t>
          </a:r>
          <a:endParaRPr lang="es-CO" sz="1100"/>
        </a:p>
      </xdr:txBody>
    </xdr:sp>
    <xdr:clientData/>
  </xdr:twoCellAnchor>
  <xdr:twoCellAnchor>
    <xdr:from>
      <xdr:col>3</xdr:col>
      <xdr:colOff>0</xdr:colOff>
      <xdr:row>34</xdr:row>
      <xdr:rowOff>38100</xdr:rowOff>
    </xdr:from>
    <xdr:to>
      <xdr:col>4</xdr:col>
      <xdr:colOff>152400</xdr:colOff>
      <xdr:row>37</xdr:row>
      <xdr:rowOff>171450</xdr:rowOff>
    </xdr:to>
    <xdr:sp macro="" textlink="">
      <xdr:nvSpPr>
        <xdr:cNvPr id="28" name="Rectángulo: esquinas redondeadas 2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D48B71B-709F-449D-B030-4F34662B9D00}"/>
            </a:ext>
          </a:extLst>
        </xdr:cNvPr>
        <xdr:cNvSpPr/>
      </xdr:nvSpPr>
      <xdr:spPr>
        <a:xfrm>
          <a:off x="2286000" y="6781800"/>
          <a:ext cx="914400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Indicadores</a:t>
          </a:r>
        </a:p>
      </xdr:txBody>
    </xdr:sp>
    <xdr:clientData/>
  </xdr:twoCellAnchor>
  <xdr:twoCellAnchor>
    <xdr:from>
      <xdr:col>5</xdr:col>
      <xdr:colOff>447675</xdr:colOff>
      <xdr:row>34</xdr:row>
      <xdr:rowOff>28575</xdr:rowOff>
    </xdr:from>
    <xdr:to>
      <xdr:col>6</xdr:col>
      <xdr:colOff>600075</xdr:colOff>
      <xdr:row>37</xdr:row>
      <xdr:rowOff>161925</xdr:rowOff>
    </xdr:to>
    <xdr:sp macro="" textlink="">
      <xdr:nvSpPr>
        <xdr:cNvPr id="30" name="Rectángulo: esquinas redondeadas 2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8DA03C1-DD05-44CE-9622-4B6EF00963DC}"/>
            </a:ext>
          </a:extLst>
        </xdr:cNvPr>
        <xdr:cNvSpPr/>
      </xdr:nvSpPr>
      <xdr:spPr>
        <a:xfrm>
          <a:off x="4210050" y="6772275"/>
          <a:ext cx="914400" cy="704850"/>
        </a:xfrm>
        <a:prstGeom prst="roundRect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Riesgo Sector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145</xdr:row>
      <xdr:rowOff>91440</xdr:rowOff>
    </xdr:from>
    <xdr:to>
      <xdr:col>8</xdr:col>
      <xdr:colOff>373380</xdr:colOff>
      <xdr:row>145</xdr:row>
      <xdr:rowOff>91440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11449526" y="25523190"/>
          <a:ext cx="36576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894873</xdr:colOff>
      <xdr:row>132</xdr:row>
      <xdr:rowOff>60008</xdr:rowOff>
    </xdr:from>
    <xdr:to>
      <xdr:col>16</xdr:col>
      <xdr:colOff>5238</xdr:colOff>
      <xdr:row>142</xdr:row>
      <xdr:rowOff>162878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flipH="1" flipV="1">
          <a:off x="19504342" y="23289102"/>
          <a:ext cx="15240" cy="184118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607219</xdr:colOff>
      <xdr:row>133</xdr:row>
      <xdr:rowOff>139066</xdr:rowOff>
    </xdr:from>
    <xdr:to>
      <xdr:col>16</xdr:col>
      <xdr:colOff>52864</xdr:colOff>
      <xdr:row>133</xdr:row>
      <xdr:rowOff>146686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H="1" flipV="1">
          <a:off x="19216688" y="23558660"/>
          <a:ext cx="350520" cy="762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210</xdr:row>
      <xdr:rowOff>102870</xdr:rowOff>
    </xdr:from>
    <xdr:to>
      <xdr:col>8</xdr:col>
      <xdr:colOff>7620</xdr:colOff>
      <xdr:row>226</xdr:row>
      <xdr:rowOff>60960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655320</xdr:colOff>
      <xdr:row>244</xdr:row>
      <xdr:rowOff>26671</xdr:rowOff>
    </xdr:from>
    <xdr:to>
      <xdr:col>7</xdr:col>
      <xdr:colOff>883921</xdr:colOff>
      <xdr:row>245</xdr:row>
      <xdr:rowOff>91440</xdr:rowOff>
    </xdr:to>
    <xdr:sp macro="" textlink="">
      <xdr:nvSpPr>
        <xdr:cNvPr id="24" name="Flecha izquierda 6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913120" y="208138396"/>
          <a:ext cx="5762626" cy="588644"/>
        </a:xfrm>
        <a:prstGeom prst="leftArrow">
          <a:avLst>
            <a:gd name="adj1" fmla="val 50000"/>
            <a:gd name="adj2" fmla="val 68868"/>
          </a:avLst>
        </a:prstGeom>
        <a:solidFill>
          <a:srgbClr val="FF33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CO" sz="1600" b="1">
              <a:latin typeface="Arial" panose="020B0604020202020204" pitchFamily="34" charset="0"/>
              <a:cs typeface="Arial" panose="020B0604020202020204" pitchFamily="34" charset="0"/>
            </a:rPr>
            <a:t>Se calcula del futuro hacia el presente</a:t>
          </a:r>
        </a:p>
      </xdr:txBody>
    </xdr:sp>
    <xdr:clientData/>
  </xdr:twoCellAnchor>
  <xdr:twoCellAnchor>
    <xdr:from>
      <xdr:col>2</xdr:col>
      <xdr:colOff>0</xdr:colOff>
      <xdr:row>276</xdr:row>
      <xdr:rowOff>0</xdr:rowOff>
    </xdr:from>
    <xdr:to>
      <xdr:col>8</xdr:col>
      <xdr:colOff>91440</xdr:colOff>
      <xdr:row>288</xdr:row>
      <xdr:rowOff>125254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0.2575</cdr:x>
      <cdr:y>0.07094</cdr:y>
    </cdr:from>
    <cdr:to>
      <cdr:x>0.96681</cdr:x>
      <cdr:y>0.90846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102D734B-D02E-4F45-9828-F2AA913A9AD8}"/>
            </a:ext>
          </a:extLst>
        </cdr:cNvPr>
        <cdr:cNvGrpSpPr/>
      </cdr:nvGrpSpPr>
      <cdr:grpSpPr>
        <a:xfrm xmlns:a="http://schemas.openxmlformats.org/drawingml/2006/main">
          <a:off x="2169647" y="211597"/>
          <a:ext cx="5976515" cy="2498116"/>
          <a:chOff x="-17188" y="11615"/>
          <a:chExt cx="3935940" cy="2505150"/>
        </a:xfrm>
      </cdr:grpSpPr>
      <cdr:sp macro="" textlink="">
        <cdr:nvSpPr>
          <cdr:cNvPr id="3" name="CuadroTexto 16">
            <a:extLst xmlns:a="http://schemas.openxmlformats.org/drawingml/2006/main">
              <a:ext uri="{FF2B5EF4-FFF2-40B4-BE49-F238E27FC236}">
                <a16:creationId xmlns:a16="http://schemas.microsoft.com/office/drawing/2014/main" id="{72E8DB55-D722-404C-B41C-B1FF947D9EF3}"/>
              </a:ext>
            </a:extLst>
          </cdr:cNvPr>
          <cdr:cNvSpPr txBox="1"/>
        </cdr:nvSpPr>
        <cdr:spPr>
          <a:xfrm xmlns:a="http://schemas.openxmlformats.org/drawingml/2006/main">
            <a:off x="2431637" y="508326"/>
            <a:ext cx="565393" cy="349589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0" tIns="0" rIns="0" bIns="0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s-CO" sz="1100" b="0">
                <a:solidFill>
                  <a:srgbClr val="008000"/>
                </a:solidFill>
              </a:rPr>
              <a:t>MEJORAR:</a:t>
            </a:r>
          </a:p>
          <a:p xmlns:a="http://schemas.openxmlformats.org/drawingml/2006/main">
            <a:r>
              <a:rPr lang="es-CO" sz="1100" b="0" baseline="0">
                <a:solidFill>
                  <a:srgbClr val="0000CC"/>
                </a:solidFill>
              </a:rPr>
              <a:t>Financiación</a:t>
            </a:r>
          </a:p>
        </cdr:txBody>
      </cdr:sp>
      <cdr:sp macro="" textlink="">
        <cdr:nvSpPr>
          <cdr:cNvPr id="4" name="CuadroTexto 17">
            <a:extLst xmlns:a="http://schemas.openxmlformats.org/drawingml/2006/main">
              <a:ext uri="{FF2B5EF4-FFF2-40B4-BE49-F238E27FC236}">
                <a16:creationId xmlns:a16="http://schemas.microsoft.com/office/drawing/2014/main" id="{5F25E0E3-C8EA-4E28-B82C-63C6DB5A500B}"/>
              </a:ext>
            </a:extLst>
          </cdr:cNvPr>
          <cdr:cNvSpPr txBox="1"/>
        </cdr:nvSpPr>
        <cdr:spPr>
          <a:xfrm xmlns:a="http://schemas.openxmlformats.org/drawingml/2006/main">
            <a:off x="3434579" y="1699314"/>
            <a:ext cx="484173" cy="34955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0" tIns="0" rIns="0" bIns="0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s-CO" sz="1100" b="0">
                <a:solidFill>
                  <a:srgbClr val="008000"/>
                </a:solidFill>
              </a:rPr>
              <a:t>MEJORAR</a:t>
            </a:r>
            <a:r>
              <a:rPr lang="es-CO" sz="1100" b="0">
                <a:solidFill>
                  <a:srgbClr val="FF0000"/>
                </a:solidFill>
              </a:rPr>
              <a:t>:</a:t>
            </a:r>
          </a:p>
          <a:p xmlns:a="http://schemas.openxmlformats.org/drawingml/2006/main">
            <a:pPr algn="r"/>
            <a:r>
              <a:rPr lang="es-CO" sz="1100" b="0" baseline="0">
                <a:solidFill>
                  <a:srgbClr val="0000CC"/>
                </a:solidFill>
              </a:rPr>
              <a:t>Operación</a:t>
            </a:r>
          </a:p>
        </cdr:txBody>
      </cdr:sp>
      <cdr:cxnSp macro="">
        <cdr:nvCxnSpPr>
          <cdr:cNvPr id="5" name="Conector recto 4">
            <a:extLst xmlns:a="http://schemas.openxmlformats.org/drawingml/2006/main">
              <a:ext uri="{FF2B5EF4-FFF2-40B4-BE49-F238E27FC236}">
                <a16:creationId xmlns:a16="http://schemas.microsoft.com/office/drawing/2014/main" id="{772FFFF7-9F5D-4C7B-99D3-6F1DBA146F38}"/>
              </a:ext>
            </a:extLst>
          </cdr:cNvPr>
          <cdr:cNvCxnSpPr/>
        </cdr:nvCxnSpPr>
        <cdr:spPr>
          <a:xfrm xmlns:a="http://schemas.openxmlformats.org/drawingml/2006/main">
            <a:off x="2626572" y="11615"/>
            <a:ext cx="0" cy="2505150"/>
          </a:xfrm>
          <a:prstGeom xmlns:a="http://schemas.openxmlformats.org/drawingml/2006/main" prst="line">
            <a:avLst/>
          </a:prstGeom>
          <a:ln xmlns:a="http://schemas.openxmlformats.org/drawingml/2006/main" w="12700">
            <a:solidFill>
              <a:srgbClr val="0000CC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6" name="Conector recto 5">
            <a:extLst xmlns:a="http://schemas.openxmlformats.org/drawingml/2006/main">
              <a:ext uri="{FF2B5EF4-FFF2-40B4-BE49-F238E27FC236}">
                <a16:creationId xmlns:a16="http://schemas.microsoft.com/office/drawing/2014/main" id="{98582826-8AA0-4EE5-9720-23D78285A831}"/>
              </a:ext>
            </a:extLst>
          </cdr:cNvPr>
          <cdr:cNvCxnSpPr/>
        </cdr:nvCxnSpPr>
        <cdr:spPr>
          <a:xfrm xmlns:a="http://schemas.openxmlformats.org/drawingml/2006/main" flipH="1">
            <a:off x="-17188" y="1801336"/>
            <a:ext cx="3432092" cy="0"/>
          </a:xfrm>
          <a:prstGeom xmlns:a="http://schemas.openxmlformats.org/drawingml/2006/main" prst="line">
            <a:avLst/>
          </a:prstGeom>
          <a:ln xmlns:a="http://schemas.openxmlformats.org/drawingml/2006/main" w="12700">
            <a:solidFill>
              <a:srgbClr val="0000CC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7" name="Cheurón 136">
            <a:extLst xmlns:a="http://schemas.openxmlformats.org/drawingml/2006/main">
              <a:ext uri="{FF2B5EF4-FFF2-40B4-BE49-F238E27FC236}">
                <a16:creationId xmlns:a16="http://schemas.microsoft.com/office/drawing/2014/main" id="{EF0F44ED-E17D-4AD1-B1F5-98A3E15DF097}"/>
              </a:ext>
            </a:extLst>
          </cdr:cNvPr>
          <cdr:cNvSpPr/>
        </cdr:nvSpPr>
        <cdr:spPr>
          <a:xfrm xmlns:a="http://schemas.openxmlformats.org/drawingml/2006/main">
            <a:off x="2491634" y="47226"/>
            <a:ext cx="345225" cy="294829"/>
          </a:xfrm>
          <a:prstGeom xmlns:a="http://schemas.openxmlformats.org/drawingml/2006/main" prst="chevron">
            <a:avLst>
              <a:gd name="adj" fmla="val 56250"/>
            </a:avLst>
          </a:prstGeom>
          <a:solidFill xmlns:a="http://schemas.openxmlformats.org/drawingml/2006/main">
            <a:srgbClr val="0000CC"/>
          </a:solidFill>
          <a:ln xmlns:a="http://schemas.openxmlformats.org/drawingml/2006/main">
            <a:solidFill>
              <a:srgbClr val="0000CC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es-CO" sz="1100">
              <a:solidFill>
                <a:schemeClr val="tx1"/>
              </a:solidFill>
            </a:endParaRPr>
          </a:p>
        </cdr:txBody>
      </cdr:sp>
      <cdr:sp macro="" textlink="">
        <cdr:nvSpPr>
          <cdr:cNvPr id="8" name="Cheurón 137">
            <a:extLst xmlns:a="http://schemas.openxmlformats.org/drawingml/2006/main">
              <a:ext uri="{FF2B5EF4-FFF2-40B4-BE49-F238E27FC236}">
                <a16:creationId xmlns:a16="http://schemas.microsoft.com/office/drawing/2014/main" id="{3AE6FE53-8F93-457E-BE5D-C4CCB8F13FE1}"/>
              </a:ext>
            </a:extLst>
          </cdr:cNvPr>
          <cdr:cNvSpPr/>
        </cdr:nvSpPr>
        <cdr:spPr>
          <a:xfrm xmlns:a="http://schemas.openxmlformats.org/drawingml/2006/main" rot="16200000">
            <a:off x="3368154" y="1309006"/>
            <a:ext cx="430291" cy="236543"/>
          </a:xfrm>
          <a:prstGeom xmlns:a="http://schemas.openxmlformats.org/drawingml/2006/main" prst="chevron">
            <a:avLst>
              <a:gd name="adj" fmla="val 56250"/>
            </a:avLst>
          </a:prstGeom>
          <a:solidFill xmlns:a="http://schemas.openxmlformats.org/drawingml/2006/main">
            <a:srgbClr val="0000CC"/>
          </a:solidFill>
          <a:ln xmlns:a="http://schemas.openxmlformats.org/drawingml/2006/main">
            <a:solidFill>
              <a:srgbClr val="0000CC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es-CO" sz="1100">
              <a:solidFill>
                <a:schemeClr val="tx1"/>
              </a:solidFill>
            </a:endParaRPr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18</xdr:row>
      <xdr:rowOff>52387</xdr:rowOff>
    </xdr:from>
    <xdr:to>
      <xdr:col>8</xdr:col>
      <xdr:colOff>54429</xdr:colOff>
      <xdr:row>32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721178</xdr:colOff>
      <xdr:row>18</xdr:row>
      <xdr:rowOff>42862</xdr:rowOff>
    </xdr:from>
    <xdr:to>
      <xdr:col>20</xdr:col>
      <xdr:colOff>108857</xdr:colOff>
      <xdr:row>32</xdr:row>
      <xdr:rowOff>119062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1115785</xdr:colOff>
      <xdr:row>18</xdr:row>
      <xdr:rowOff>11906</xdr:rowOff>
    </xdr:from>
    <xdr:to>
      <xdr:col>28</xdr:col>
      <xdr:colOff>726279</xdr:colOff>
      <xdr:row>32</xdr:row>
      <xdr:rowOff>88106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35718</xdr:colOff>
      <xdr:row>34</xdr:row>
      <xdr:rowOff>39290</xdr:rowOff>
    </xdr:from>
    <xdr:to>
      <xdr:col>7</xdr:col>
      <xdr:colOff>217715</xdr:colOff>
      <xdr:row>48</xdr:row>
      <xdr:rowOff>115490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625928</xdr:colOff>
      <xdr:row>34</xdr:row>
      <xdr:rowOff>39290</xdr:rowOff>
    </xdr:from>
    <xdr:to>
      <xdr:col>20</xdr:col>
      <xdr:colOff>108856</xdr:colOff>
      <xdr:row>48</xdr:row>
      <xdr:rowOff>115490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1156608</xdr:colOff>
      <xdr:row>34</xdr:row>
      <xdr:rowOff>39290</xdr:rowOff>
    </xdr:from>
    <xdr:to>
      <xdr:col>28</xdr:col>
      <xdr:colOff>714375</xdr:colOff>
      <xdr:row>48</xdr:row>
      <xdr:rowOff>115490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47625</xdr:colOff>
      <xdr:row>50</xdr:row>
      <xdr:rowOff>51196</xdr:rowOff>
    </xdr:from>
    <xdr:to>
      <xdr:col>7</xdr:col>
      <xdr:colOff>244929</xdr:colOff>
      <xdr:row>64</xdr:row>
      <xdr:rowOff>127396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653142</xdr:colOff>
      <xdr:row>50</xdr:row>
      <xdr:rowOff>39290</xdr:rowOff>
    </xdr:from>
    <xdr:to>
      <xdr:col>20</xdr:col>
      <xdr:colOff>122464</xdr:colOff>
      <xdr:row>64</xdr:row>
      <xdr:rowOff>115490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27214</xdr:colOff>
      <xdr:row>50</xdr:row>
      <xdr:rowOff>35718</xdr:rowOff>
    </xdr:from>
    <xdr:to>
      <xdr:col>30</xdr:col>
      <xdr:colOff>163286</xdr:colOff>
      <xdr:row>66</xdr:row>
      <xdr:rowOff>13607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59531</xdr:colOff>
      <xdr:row>1</xdr:row>
      <xdr:rowOff>75009</xdr:rowOff>
    </xdr:from>
    <xdr:to>
      <xdr:col>18</xdr:col>
      <xdr:colOff>95250</xdr:colOff>
      <xdr:row>15</xdr:row>
      <xdr:rowOff>107157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bilidad-01/Drive/MIS%20DOCUMENTOS/CLARA/AIDA%20GOMEZ/PERSONAL/ESPECIALIZACION%20GAF82/GESTI&#211;N%20BASADA%20EN%20EL%20VALOR/TRABAJO%20COMPOSTAJE/Valorizadora%20de%20Residu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%20UNIVERSIDADES\10%20PILO%20GBV%20GAF%2082%20sep%203%202021\3%20TALLERES\99%200%20PROYECCION%20ESTADOS%20FINANCIER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INVERSIÓN INICIAL"/>
      <sheetName val="DEUDA"/>
      <sheetName val="GASTOS FIJOS "/>
      <sheetName val="PUNTO DE EQUILIBRIO"/>
      <sheetName val="Stake Holders"/>
      <sheetName val="INGRESOS O VENTAS "/>
      <sheetName val="COSTO DE VENTAS "/>
      <sheetName val="DEPRECIACIÓN "/>
      <sheetName val="FLUJO DE CAJA "/>
      <sheetName val="EVALUACIÓN FINANCIERA DEL PROY"/>
      <sheetName val="HERRAMIENTAS "/>
      <sheetName val="INDICADORE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7">
          <cell r="C17">
            <v>3.7999999999999999E-2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GUIA"/>
      <sheetName val="Análisis"/>
      <sheetName val="SIMULACIÓN"/>
    </sheetNames>
    <sheetDataSet>
      <sheetData sheetId="0" refreshError="1"/>
      <sheetData sheetId="1" refreshError="1"/>
      <sheetData sheetId="2" refreshError="1"/>
      <sheetData sheetId="3">
        <row r="201">
          <cell r="J201">
            <v>1200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AC3B-D7AF-417F-9465-DE13D59379F0}">
  <dimension ref="D3:I8"/>
  <sheetViews>
    <sheetView showGridLines="0" tabSelected="1" workbookViewId="0">
      <selection activeCell="M8" sqref="M8"/>
    </sheetView>
  </sheetViews>
  <sheetFormatPr baseColWidth="10" defaultRowHeight="14.25"/>
  <cols>
    <col min="1" max="4" width="11.42578125" style="52"/>
    <col min="5" max="5" width="10.7109375" style="52" customWidth="1"/>
    <col min="6" max="6" width="11.42578125" style="52"/>
    <col min="7" max="7" width="9.140625" style="52" customWidth="1"/>
    <col min="8" max="8" width="28.85546875" style="52" customWidth="1"/>
    <col min="9" max="9" width="0.140625" style="52" customWidth="1"/>
    <col min="10" max="16384" width="11.42578125" style="52"/>
  </cols>
  <sheetData>
    <row r="3" spans="4:9" ht="15">
      <c r="D3" s="369" t="s">
        <v>389</v>
      </c>
      <c r="E3" s="369"/>
      <c r="F3" s="369"/>
      <c r="G3" s="369"/>
      <c r="H3" s="351" t="s">
        <v>419</v>
      </c>
    </row>
    <row r="5" spans="4:9" ht="15.75" customHeight="1">
      <c r="D5" s="368" t="str">
        <f>+IF($H$3="Pesimista",Escenarios!$A$46,IF($H$3="Realista",Escenarios!$E$46,IF($H$3="Optimista",Escenarios!$I$46)))</f>
        <v>Arriendo Terreno / Minicargador /  Camión / Precio Alto</v>
      </c>
      <c r="E5" s="368"/>
      <c r="F5" s="368"/>
      <c r="G5" s="368"/>
      <c r="H5" s="368"/>
      <c r="I5" s="368"/>
    </row>
    <row r="6" spans="4:9" ht="15" customHeight="1">
      <c r="D6" s="368"/>
      <c r="E6" s="368"/>
      <c r="F6" s="368"/>
      <c r="G6" s="368"/>
      <c r="H6" s="368"/>
      <c r="I6" s="368"/>
    </row>
    <row r="7" spans="4:9" ht="15" customHeight="1">
      <c r="D7" s="368"/>
      <c r="E7" s="368"/>
      <c r="F7" s="368"/>
      <c r="G7" s="368"/>
      <c r="H7" s="368"/>
      <c r="I7" s="368"/>
    </row>
    <row r="8" spans="4:9" ht="15" customHeight="1">
      <c r="D8" s="368"/>
      <c r="E8" s="368"/>
      <c r="F8" s="368"/>
      <c r="G8" s="368"/>
      <c r="H8" s="368"/>
      <c r="I8" s="368"/>
    </row>
  </sheetData>
  <mergeCells count="2">
    <mergeCell ref="D5:I8"/>
    <mergeCell ref="D3:G3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Proyecciones!$Y$2:$Y$4</xm:f>
          </x14:formula1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26"/>
  <sheetViews>
    <sheetView showGridLines="0" zoomScale="80" zoomScaleNormal="80" workbookViewId="0">
      <pane xSplit="2" ySplit="2" topLeftCell="F70" activePane="bottomRight" state="frozen"/>
      <selection pane="topRight" activeCell="C1" sqref="C1"/>
      <selection pane="bottomLeft" activeCell="A3" sqref="A3"/>
      <selection pane="bottomRight" activeCell="N261" sqref="N261"/>
    </sheetView>
  </sheetViews>
  <sheetFormatPr baseColWidth="10" defaultColWidth="11.42578125" defaultRowHeight="14.25"/>
  <cols>
    <col min="1" max="1" width="2.28515625" style="324" customWidth="1"/>
    <col min="2" max="2" width="44.28515625" style="63" customWidth="1"/>
    <col min="3" max="4" width="18.28515625" style="63" customWidth="1"/>
    <col min="5" max="5" width="22.85546875" style="63" customWidth="1"/>
    <col min="6" max="6" width="18.28515625" style="63" customWidth="1"/>
    <col min="7" max="7" width="22.85546875" style="63" bestFit="1" customWidth="1"/>
    <col min="8" max="8" width="24.5703125" style="63" customWidth="1"/>
    <col min="9" max="9" width="20.7109375" style="63" bestFit="1" customWidth="1"/>
    <col min="10" max="10" width="22.140625" style="63" bestFit="1" customWidth="1"/>
    <col min="11" max="11" width="19.85546875" style="63" bestFit="1" customWidth="1"/>
    <col min="12" max="12" width="21" style="63" bestFit="1" customWidth="1"/>
    <col min="13" max="13" width="26" style="63" customWidth="1"/>
    <col min="14" max="14" width="21" style="63" bestFit="1" customWidth="1"/>
    <col min="15" max="15" width="11.42578125" style="63"/>
    <col min="16" max="21" width="13.5703125" style="63" bestFit="1" customWidth="1"/>
    <col min="22" max="23" width="11.42578125" style="63"/>
    <col min="24" max="24" width="43.7109375" style="63" bestFit="1" customWidth="1"/>
    <col min="25" max="25" width="35.140625" style="63" bestFit="1" customWidth="1"/>
    <col min="26" max="26" width="14.85546875" style="63" bestFit="1" customWidth="1"/>
    <col min="27" max="27" width="20.7109375" style="63" bestFit="1" customWidth="1"/>
    <col min="28" max="30" width="20.5703125" style="63" bestFit="1" customWidth="1"/>
    <col min="31" max="31" width="21" style="63" bestFit="1" customWidth="1"/>
    <col min="32" max="32" width="20.140625" style="63" bestFit="1" customWidth="1"/>
    <col min="33" max="33" width="20.5703125" style="63" bestFit="1" customWidth="1"/>
    <col min="34" max="38" width="16.7109375" style="63" bestFit="1" customWidth="1"/>
    <col min="39" max="16384" width="11.42578125" style="63"/>
  </cols>
  <sheetData>
    <row r="1" spans="1:33" s="324" customFormat="1" ht="15">
      <c r="A1" s="323"/>
      <c r="B1" s="323"/>
      <c r="G1" s="335">
        <f>SUM(C95:M95)</f>
        <v>0</v>
      </c>
      <c r="H1" s="324" t="s">
        <v>336</v>
      </c>
      <c r="J1" s="77"/>
      <c r="K1" s="77"/>
    </row>
    <row r="2" spans="1:33" ht="15">
      <c r="B2" s="65" t="s">
        <v>57</v>
      </c>
      <c r="C2" s="66">
        <v>2021</v>
      </c>
      <c r="D2" s="66">
        <f>+C2+1</f>
        <v>2022</v>
      </c>
      <c r="E2" s="66">
        <f t="shared" ref="E2:H2" si="0">+D2+1</f>
        <v>2023</v>
      </c>
      <c r="F2" s="66">
        <f t="shared" si="0"/>
        <v>2024</v>
      </c>
      <c r="G2" s="66">
        <f t="shared" si="0"/>
        <v>2025</v>
      </c>
      <c r="H2" s="66">
        <f t="shared" si="0"/>
        <v>2026</v>
      </c>
      <c r="I2" s="66">
        <f t="shared" ref="I2" si="1">+H2+1</f>
        <v>2027</v>
      </c>
      <c r="J2" s="66">
        <f t="shared" ref="J2" si="2">+I2+1</f>
        <v>2028</v>
      </c>
      <c r="K2" s="66">
        <f t="shared" ref="K2" si="3">+J2+1</f>
        <v>2029</v>
      </c>
      <c r="L2" s="66">
        <f t="shared" ref="L2" si="4">+K2+1</f>
        <v>2030</v>
      </c>
      <c r="M2" s="66">
        <f t="shared" ref="M2" si="5">+L2+1</f>
        <v>2031</v>
      </c>
      <c r="N2" s="365"/>
      <c r="O2" s="365"/>
      <c r="P2" s="365"/>
      <c r="Q2" s="365"/>
      <c r="R2" s="365"/>
      <c r="S2" s="365"/>
      <c r="T2" s="365"/>
      <c r="U2" s="365"/>
      <c r="V2" s="365"/>
      <c r="W2" s="365"/>
      <c r="Y2" s="365" t="s">
        <v>418</v>
      </c>
    </row>
    <row r="3" spans="1:33">
      <c r="B3" s="67" t="s">
        <v>58</v>
      </c>
      <c r="C3" s="334"/>
      <c r="D3" s="69">
        <v>5.62E-2</v>
      </c>
      <c r="E3" s="70">
        <v>3.3000000000000002E-2</v>
      </c>
      <c r="F3" s="70">
        <v>3.1E-2</v>
      </c>
      <c r="G3" s="70">
        <f t="shared" ref="G3" si="6">F3</f>
        <v>3.1E-2</v>
      </c>
      <c r="H3" s="70">
        <v>3.3000000000000002E-2</v>
      </c>
      <c r="I3" s="70">
        <f>+H3</f>
        <v>3.3000000000000002E-2</v>
      </c>
      <c r="J3" s="70">
        <f t="shared" ref="J3:M3" si="7">+I3</f>
        <v>3.3000000000000002E-2</v>
      </c>
      <c r="K3" s="70">
        <f t="shared" si="7"/>
        <v>3.3000000000000002E-2</v>
      </c>
      <c r="L3" s="70">
        <f t="shared" si="7"/>
        <v>3.3000000000000002E-2</v>
      </c>
      <c r="M3" s="70">
        <f t="shared" si="7"/>
        <v>3.3000000000000002E-2</v>
      </c>
      <c r="N3" s="365"/>
      <c r="O3" s="365"/>
      <c r="P3" s="365"/>
      <c r="Q3" s="365"/>
      <c r="R3" s="365"/>
      <c r="S3" s="365"/>
      <c r="T3" s="365"/>
      <c r="U3" s="365"/>
      <c r="V3" s="365"/>
      <c r="W3" s="365"/>
      <c r="Y3" s="365" t="s">
        <v>419</v>
      </c>
      <c r="Z3" s="198"/>
      <c r="AA3" s="199"/>
      <c r="AB3" s="198"/>
      <c r="AC3" s="198"/>
      <c r="AD3" s="198"/>
      <c r="AE3" s="198"/>
      <c r="AF3" s="198"/>
      <c r="AG3" s="198"/>
    </row>
    <row r="4" spans="1:33">
      <c r="B4" s="67" t="s">
        <v>60</v>
      </c>
      <c r="C4" s="334"/>
      <c r="D4" s="69">
        <v>9.8599999999999993E-2</v>
      </c>
      <c r="E4" s="70">
        <v>2.7E-2</v>
      </c>
      <c r="F4" s="70">
        <v>2.7E-2</v>
      </c>
      <c r="G4" s="70">
        <v>0.03</v>
      </c>
      <c r="H4" s="70">
        <v>2.8000000000000001E-2</v>
      </c>
      <c r="I4" s="70">
        <f>+H4</f>
        <v>2.8000000000000001E-2</v>
      </c>
      <c r="J4" s="70">
        <f t="shared" ref="J4:M4" si="8">+I4</f>
        <v>2.8000000000000001E-2</v>
      </c>
      <c r="K4" s="70">
        <f t="shared" si="8"/>
        <v>2.8000000000000001E-2</v>
      </c>
      <c r="L4" s="70">
        <f t="shared" si="8"/>
        <v>2.8000000000000001E-2</v>
      </c>
      <c r="M4" s="70">
        <f t="shared" si="8"/>
        <v>2.8000000000000001E-2</v>
      </c>
      <c r="N4" s="365"/>
      <c r="O4" s="365"/>
      <c r="P4" s="365"/>
      <c r="Q4" s="365"/>
      <c r="R4" s="365"/>
      <c r="S4" s="365"/>
      <c r="T4" s="365"/>
      <c r="U4" s="365"/>
      <c r="V4" s="365"/>
      <c r="W4" s="365"/>
      <c r="Y4" s="365" t="s">
        <v>420</v>
      </c>
      <c r="Z4" s="198"/>
      <c r="AA4" s="199"/>
      <c r="AB4" s="198"/>
      <c r="AC4" s="198"/>
      <c r="AD4" s="198"/>
      <c r="AE4" s="198"/>
      <c r="AF4" s="198"/>
      <c r="AG4" s="198"/>
    </row>
    <row r="5" spans="1:33">
      <c r="B5" s="67" t="s">
        <v>61</v>
      </c>
      <c r="C5" s="334"/>
      <c r="D5" s="53">
        <v>0.35</v>
      </c>
      <c r="E5" s="70">
        <f>+D5</f>
        <v>0.35</v>
      </c>
      <c r="F5" s="70">
        <f>+E5</f>
        <v>0.35</v>
      </c>
      <c r="G5" s="70">
        <f>+F5</f>
        <v>0.35</v>
      </c>
      <c r="H5" s="70">
        <v>0.35</v>
      </c>
      <c r="I5" s="70">
        <f>+H5</f>
        <v>0.35</v>
      </c>
      <c r="J5" s="70">
        <f t="shared" ref="J5:M5" si="9">+I5</f>
        <v>0.35</v>
      </c>
      <c r="K5" s="70">
        <f t="shared" si="9"/>
        <v>0.35</v>
      </c>
      <c r="L5" s="70">
        <f t="shared" si="9"/>
        <v>0.35</v>
      </c>
      <c r="M5" s="70">
        <f t="shared" si="9"/>
        <v>0.35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6"/>
      <c r="Y5" s="198"/>
      <c r="Z5" s="198"/>
      <c r="AA5" s="199"/>
      <c r="AB5" s="198"/>
      <c r="AC5" s="198"/>
      <c r="AD5" s="198"/>
      <c r="AE5" s="198"/>
      <c r="AF5" s="198"/>
      <c r="AG5" s="198"/>
    </row>
    <row r="6" spans="1:33" ht="15"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  <c r="X6" s="366"/>
      <c r="Y6" s="370" t="s">
        <v>1</v>
      </c>
      <c r="Z6" s="370"/>
      <c r="AA6" s="370"/>
      <c r="AB6" s="370"/>
      <c r="AC6" s="198"/>
      <c r="AD6" s="198"/>
      <c r="AE6" s="198"/>
      <c r="AF6" s="198"/>
      <c r="AG6" s="198"/>
    </row>
    <row r="7" spans="1:33" ht="15">
      <c r="B7" s="67" t="s">
        <v>62</v>
      </c>
      <c r="C7" s="71">
        <f>+SUM(Proyecciones!AB8:AB44)</f>
        <v>198728692.19956625</v>
      </c>
      <c r="D7" s="375"/>
      <c r="E7" s="376"/>
      <c r="F7" s="72"/>
      <c r="G7" s="73"/>
      <c r="H7" s="74"/>
      <c r="I7" s="365"/>
      <c r="J7" s="365"/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65"/>
      <c r="V7" s="365"/>
      <c r="W7" s="365"/>
      <c r="X7" s="366"/>
      <c r="Y7" s="200" t="s">
        <v>360</v>
      </c>
      <c r="Z7" s="200" t="s">
        <v>361</v>
      </c>
      <c r="AA7" s="200" t="s">
        <v>362</v>
      </c>
      <c r="AB7" s="200" t="s">
        <v>363</v>
      </c>
      <c r="AC7" s="198"/>
      <c r="AD7" s="198"/>
      <c r="AE7" s="198"/>
      <c r="AF7" s="198"/>
      <c r="AG7" s="198"/>
    </row>
    <row r="8" spans="1:33">
      <c r="B8" s="63" t="s">
        <v>63</v>
      </c>
      <c r="C8" s="71">
        <f>+Proyecciones!AB14+Proyecciones!AB16+Proyecciones!AB13</f>
        <v>10110000</v>
      </c>
      <c r="D8" s="377">
        <v>10</v>
      </c>
      <c r="E8" s="377"/>
      <c r="F8" s="72"/>
      <c r="G8" s="73"/>
      <c r="H8" s="74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65"/>
      <c r="W8" s="365"/>
      <c r="X8" s="366"/>
      <c r="Y8" s="201" t="s">
        <v>2</v>
      </c>
      <c r="Z8" s="201">
        <v>1</v>
      </c>
      <c r="AA8" s="202">
        <v>260000</v>
      </c>
      <c r="AB8" s="203">
        <f t="shared" ref="AB8:AB16" si="10">Z8*AA8</f>
        <v>260000</v>
      </c>
      <c r="AC8" s="204"/>
      <c r="AD8" s="198"/>
      <c r="AE8" s="198"/>
      <c r="AF8" s="198"/>
      <c r="AG8" s="198"/>
    </row>
    <row r="9" spans="1:33">
      <c r="B9" s="67" t="s">
        <v>64</v>
      </c>
      <c r="C9" s="53">
        <f>+IF(OR('Menú de Navegación'!$H$3="Pesimista",'Menú de Navegación'!$H$3="Optimista",'Menú de Navegación'!$H$3=7,'Menú de Navegación'!$H$3="Realista"),0.000000001%,IF(OR('Menú de Navegación'!$H$3=2,,'Menú de Navegación'!$H$3=5,'Menú de Navegación'!$H$3=8,'Menú de Navegación'!$H$3=11),50%,IF(OR('Menú de Navegación'!$H$3=3,'Menú de Navegación'!$H$3=6,'Menú de Navegación'!$H$3=9,,'Menú de Navegación'!$H$3=12),100%)))</f>
        <v>1.0000000000000001E-11</v>
      </c>
      <c r="D9" s="75">
        <v>10</v>
      </c>
      <c r="E9" s="76">
        <v>0.183</v>
      </c>
      <c r="F9" s="77"/>
      <c r="G9" s="73"/>
      <c r="H9" s="74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5"/>
      <c r="X9" s="366"/>
      <c r="Y9" s="201" t="s">
        <v>3</v>
      </c>
      <c r="Z9" s="201">
        <v>1</v>
      </c>
      <c r="AA9" s="202">
        <v>1500000</v>
      </c>
      <c r="AB9" s="203">
        <f t="shared" si="10"/>
        <v>1500000</v>
      </c>
      <c r="AC9" s="204"/>
      <c r="AD9" s="198"/>
      <c r="AE9" s="198"/>
      <c r="AF9" s="198"/>
      <c r="AG9" s="198"/>
    </row>
    <row r="10" spans="1:33">
      <c r="B10" s="78" t="s">
        <v>65</v>
      </c>
      <c r="C10" s="334"/>
      <c r="D10" s="71">
        <f>+IF(OR('Menú de Navegación'!$H$3="Pesimista",'Menú de Navegación'!$H$3=2,'Menú de Navegación'!$H$3=3,'Menú de Navegación'!$H$3=7,'Menú de Navegación'!$H$3=8,,'Menú de Navegación'!$H$3=9),2650,IF(OR('Menú de Navegación'!$H$3="Optimista",'Menú de Navegación'!$H$3=5,'Menú de Navegación'!$H$3=6,'Menú de Navegación'!$H$3="Realista",'Menú de Navegación'!$H$3=11,'Menú de Navegación'!$H$3=12),3000))</f>
        <v>3000</v>
      </c>
      <c r="E10" s="79" t="s">
        <v>66</v>
      </c>
      <c r="F10" s="80"/>
      <c r="G10" s="80"/>
      <c r="H10" s="81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6"/>
      <c r="Y10" s="201" t="s">
        <v>4</v>
      </c>
      <c r="Z10" s="201">
        <v>1</v>
      </c>
      <c r="AA10" s="202">
        <v>900000</v>
      </c>
      <c r="AB10" s="203">
        <f t="shared" si="10"/>
        <v>900000</v>
      </c>
      <c r="AC10" s="198"/>
      <c r="AD10" s="198"/>
      <c r="AE10" s="198"/>
      <c r="AF10" s="198"/>
      <c r="AG10" s="198"/>
    </row>
    <row r="11" spans="1:33">
      <c r="B11" s="78" t="s">
        <v>67</v>
      </c>
      <c r="C11" s="334"/>
      <c r="D11" s="71">
        <v>134989.70663673605</v>
      </c>
      <c r="E11" s="378">
        <v>0</v>
      </c>
      <c r="F11" s="379"/>
      <c r="G11" s="379"/>
      <c r="H11" s="380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65"/>
      <c r="W11" s="365"/>
      <c r="X11" s="366"/>
      <c r="Y11" s="201" t="s">
        <v>5</v>
      </c>
      <c r="Z11" s="201">
        <v>1</v>
      </c>
      <c r="AA11" s="202">
        <v>1260000</v>
      </c>
      <c r="AB11" s="203">
        <f t="shared" si="10"/>
        <v>1260000</v>
      </c>
      <c r="AC11" s="198"/>
      <c r="AD11" s="198"/>
      <c r="AE11" s="198"/>
      <c r="AF11" s="198"/>
      <c r="AG11" s="198"/>
    </row>
    <row r="12" spans="1:33">
      <c r="B12" s="78" t="s">
        <v>68</v>
      </c>
      <c r="C12" s="334"/>
      <c r="D12" s="53">
        <v>9.8575790159571106E-3</v>
      </c>
      <c r="E12" s="82"/>
      <c r="F12" s="80"/>
      <c r="G12" s="80"/>
      <c r="H12" s="81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6"/>
      <c r="Y12" s="201" t="s">
        <v>6</v>
      </c>
      <c r="Z12" s="201">
        <v>1</v>
      </c>
      <c r="AA12" s="202">
        <v>300000</v>
      </c>
      <c r="AB12" s="203">
        <f t="shared" si="10"/>
        <v>300000</v>
      </c>
      <c r="AC12" s="198"/>
      <c r="AD12" s="198"/>
      <c r="AE12" s="198"/>
      <c r="AF12" s="198"/>
      <c r="AG12" s="198"/>
    </row>
    <row r="13" spans="1:33"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65"/>
      <c r="W13" s="365"/>
      <c r="X13" s="366"/>
      <c r="Y13" s="201" t="s">
        <v>7</v>
      </c>
      <c r="Z13" s="201">
        <v>1</v>
      </c>
      <c r="AA13" s="202">
        <v>10110000</v>
      </c>
      <c r="AB13" s="203">
        <f t="shared" si="10"/>
        <v>10110000</v>
      </c>
      <c r="AC13" s="204"/>
      <c r="AD13" s="198"/>
      <c r="AE13" s="198"/>
      <c r="AF13" s="198"/>
      <c r="AG13" s="198"/>
    </row>
    <row r="14" spans="1:33">
      <c r="B14" s="78" t="s">
        <v>69</v>
      </c>
      <c r="C14" s="334"/>
      <c r="D14" s="71">
        <v>60</v>
      </c>
      <c r="E14" s="83"/>
      <c r="F14" s="84"/>
      <c r="G14" s="84"/>
      <c r="H14" s="8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6"/>
      <c r="Y14" s="201" t="s">
        <v>345</v>
      </c>
      <c r="Z14" s="201">
        <v>1</v>
      </c>
      <c r="AA14" s="202">
        <f>+IF(OR('Menú de Navegación'!$H$3="Pesimista",'Menú de Navegación'!$H$3="Optimista"),0,68000000)</f>
        <v>0</v>
      </c>
      <c r="AB14" s="203">
        <f t="shared" si="10"/>
        <v>0</v>
      </c>
      <c r="AC14" s="198"/>
      <c r="AD14" s="198"/>
      <c r="AE14" s="198"/>
      <c r="AF14" s="198"/>
    </row>
    <row r="15" spans="1:33">
      <c r="B15" s="78" t="s">
        <v>70</v>
      </c>
      <c r="C15" s="334"/>
      <c r="D15" s="71">
        <v>60</v>
      </c>
      <c r="E15" s="83" t="s">
        <v>71</v>
      </c>
      <c r="F15" s="84"/>
      <c r="G15" s="84"/>
      <c r="H15" s="85"/>
      <c r="I15" s="365"/>
      <c r="J15" s="365"/>
      <c r="K15" s="365"/>
      <c r="L15" s="365"/>
      <c r="M15" s="365"/>
      <c r="N15" s="365"/>
      <c r="O15" s="365"/>
      <c r="P15" s="365"/>
      <c r="Q15" s="365"/>
      <c r="R15" s="365"/>
      <c r="S15" s="365"/>
      <c r="T15" s="365"/>
      <c r="U15" s="365"/>
      <c r="V15" s="365"/>
      <c r="W15" s="365"/>
      <c r="X15" s="366"/>
      <c r="Y15" s="201" t="s">
        <v>356</v>
      </c>
      <c r="Z15" s="201">
        <v>1</v>
      </c>
      <c r="AA15" s="202">
        <f>+IF(OR('Menú de Navegación'!$H$3="Realista",'Menú de Navegación'!$H$3="Optimista"),0,390000000)</f>
        <v>0</v>
      </c>
      <c r="AB15" s="203">
        <f t="shared" si="10"/>
        <v>0</v>
      </c>
      <c r="AC15" s="204"/>
      <c r="AD15" s="198"/>
      <c r="AE15" s="198"/>
      <c r="AF15" s="198"/>
    </row>
    <row r="16" spans="1:33">
      <c r="B16" s="78" t="s">
        <v>72</v>
      </c>
      <c r="C16" s="334"/>
      <c r="D16" s="71">
        <v>15</v>
      </c>
      <c r="E16" s="83" t="s">
        <v>71</v>
      </c>
      <c r="F16" s="84"/>
      <c r="G16" s="84"/>
      <c r="H16" s="8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6"/>
      <c r="Y16" s="201" t="s">
        <v>344</v>
      </c>
      <c r="Z16" s="201">
        <v>1</v>
      </c>
      <c r="AA16" s="202">
        <f>+IF(OR('Menú de Navegación'!$H$3="Pesimista",'Menú de Navegación'!$H$3="Optimista"),0,120000000)</f>
        <v>0</v>
      </c>
      <c r="AB16" s="203">
        <f t="shared" si="10"/>
        <v>0</v>
      </c>
      <c r="AC16" s="204"/>
      <c r="AD16" s="198"/>
      <c r="AE16" s="198"/>
      <c r="AF16" s="198"/>
    </row>
    <row r="17" spans="2:33">
      <c r="B17" s="78" t="s">
        <v>73</v>
      </c>
      <c r="C17" s="334"/>
      <c r="D17" s="71">
        <v>60</v>
      </c>
      <c r="E17" s="86" t="s">
        <v>74</v>
      </c>
      <c r="F17" s="84"/>
      <c r="G17" s="84"/>
      <c r="H17" s="8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6"/>
      <c r="Y17" s="198"/>
      <c r="Z17" s="205"/>
      <c r="AA17" s="206"/>
      <c r="AB17" s="198"/>
      <c r="AC17" s="198"/>
      <c r="AD17" s="198"/>
      <c r="AE17" s="198"/>
      <c r="AF17" s="198"/>
      <c r="AG17" s="198"/>
    </row>
    <row r="18" spans="2:33" ht="4.1500000000000004" customHeight="1">
      <c r="C18" s="324"/>
      <c r="D18" s="324"/>
      <c r="I18" s="365"/>
      <c r="J18" s="365"/>
      <c r="K18" s="365"/>
      <c r="L18" s="365"/>
      <c r="M18" s="365"/>
      <c r="N18" s="365"/>
      <c r="O18" s="365"/>
      <c r="P18" s="365"/>
      <c r="Q18" s="365"/>
      <c r="R18" s="365"/>
      <c r="S18" s="365"/>
      <c r="T18" s="365"/>
      <c r="U18" s="365"/>
      <c r="V18" s="365"/>
      <c r="W18" s="365"/>
      <c r="X18" s="366"/>
      <c r="Y18" s="198"/>
      <c r="Z18" s="205"/>
      <c r="AA18" s="206"/>
      <c r="AB18" s="198"/>
      <c r="AC18" s="198"/>
      <c r="AD18" s="198"/>
      <c r="AE18" s="198"/>
      <c r="AF18" s="198"/>
      <c r="AG18" s="198"/>
    </row>
    <row r="19" spans="2:33" ht="15">
      <c r="B19" s="67" t="s">
        <v>75</v>
      </c>
      <c r="C19" s="334"/>
      <c r="D19" s="110"/>
      <c r="E19" s="54">
        <v>0</v>
      </c>
      <c r="F19" s="54">
        <v>0</v>
      </c>
      <c r="G19" s="54">
        <v>0</v>
      </c>
      <c r="H19" s="54">
        <v>1</v>
      </c>
      <c r="I19" s="54">
        <v>1</v>
      </c>
      <c r="J19" s="54">
        <v>1</v>
      </c>
      <c r="K19" s="54">
        <v>1</v>
      </c>
      <c r="L19" s="54">
        <v>1</v>
      </c>
      <c r="M19" s="54">
        <v>1</v>
      </c>
      <c r="N19" s="365"/>
      <c r="O19" s="365"/>
      <c r="P19" s="365"/>
      <c r="Q19" s="365"/>
      <c r="R19" s="365"/>
      <c r="S19" s="365"/>
      <c r="T19" s="365"/>
      <c r="U19" s="365"/>
      <c r="V19" s="365"/>
      <c r="W19" s="365"/>
      <c r="X19" s="366"/>
      <c r="Y19" s="370" t="s">
        <v>8</v>
      </c>
      <c r="Z19" s="370"/>
      <c r="AA19" s="370"/>
      <c r="AB19" s="370"/>
      <c r="AC19" s="198"/>
      <c r="AD19" s="198"/>
      <c r="AE19" s="198"/>
      <c r="AF19" s="198"/>
      <c r="AG19" s="198"/>
    </row>
    <row r="20" spans="2:33" ht="15">
      <c r="B20" s="67" t="s">
        <v>76</v>
      </c>
      <c r="C20" s="334"/>
      <c r="D20" s="55">
        <v>0.1</v>
      </c>
      <c r="E20" s="56"/>
      <c r="F20" s="56"/>
      <c r="G20" s="56"/>
      <c r="H20" s="57"/>
      <c r="I20" s="365"/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6"/>
      <c r="Y20" s="200" t="s">
        <v>360</v>
      </c>
      <c r="Z20" s="200" t="s">
        <v>361</v>
      </c>
      <c r="AA20" s="200" t="s">
        <v>362</v>
      </c>
      <c r="AB20" s="200" t="s">
        <v>363</v>
      </c>
      <c r="AC20" s="198"/>
      <c r="AD20" s="198"/>
      <c r="AE20" s="198"/>
      <c r="AF20" s="198"/>
      <c r="AG20" s="198"/>
    </row>
    <row r="21" spans="2:33">
      <c r="B21" s="67" t="s">
        <v>77</v>
      </c>
      <c r="C21" s="58">
        <v>0.72189999999999999</v>
      </c>
      <c r="D21" s="87" t="s">
        <v>78</v>
      </c>
      <c r="E21" s="88"/>
      <c r="F21" s="73"/>
      <c r="G21" s="73"/>
      <c r="H21" s="74"/>
      <c r="I21" s="365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  <c r="U21" s="365"/>
      <c r="V21" s="365"/>
      <c r="W21" s="365"/>
      <c r="X21" s="366"/>
      <c r="Y21" s="201" t="s">
        <v>9</v>
      </c>
      <c r="Z21" s="201"/>
      <c r="AA21" s="202">
        <v>200000</v>
      </c>
      <c r="AB21" s="203">
        <f>AA21</f>
        <v>200000</v>
      </c>
      <c r="AC21" s="198"/>
      <c r="AD21" s="198"/>
      <c r="AE21" s="198"/>
      <c r="AF21" s="198"/>
      <c r="AG21" s="198"/>
    </row>
    <row r="22" spans="2:33" ht="16.5">
      <c r="B22" s="78" t="s">
        <v>368</v>
      </c>
      <c r="C22" s="59">
        <v>0.92292862494381589</v>
      </c>
      <c r="D22" s="381"/>
      <c r="E22" s="382"/>
      <c r="F22" s="73"/>
      <c r="G22" s="73"/>
      <c r="H22" s="74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5"/>
      <c r="V22" s="365"/>
      <c r="W22" s="365"/>
      <c r="X22" s="367"/>
      <c r="Y22" s="201" t="s">
        <v>54</v>
      </c>
      <c r="Z22" s="201">
        <v>1</v>
      </c>
      <c r="AA22" s="202">
        <f>320000+100000+79800+3063000</f>
        <v>3562800</v>
      </c>
      <c r="AB22" s="203">
        <f>AA22</f>
        <v>3562800</v>
      </c>
      <c r="AC22" s="198"/>
      <c r="AD22" s="198"/>
      <c r="AE22" s="198"/>
      <c r="AF22" s="198"/>
      <c r="AG22" s="198"/>
    </row>
    <row r="23" spans="2:33" ht="15">
      <c r="B23" s="67" t="s">
        <v>79</v>
      </c>
      <c r="C23" s="53">
        <f>+'Riesgo Sector'!D45</f>
        <v>6.9541123646170711E-2</v>
      </c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7"/>
      <c r="Y23" s="201" t="s">
        <v>354</v>
      </c>
      <c r="Z23" s="201"/>
      <c r="AA23" s="202">
        <v>1003500</v>
      </c>
      <c r="AB23" s="203">
        <f>AA23</f>
        <v>1003500</v>
      </c>
      <c r="AC23" s="198"/>
      <c r="AD23" s="198"/>
      <c r="AE23" s="198"/>
      <c r="AF23" s="198"/>
      <c r="AG23" s="198"/>
    </row>
    <row r="24" spans="2:33">
      <c r="B24" s="67" t="s">
        <v>80</v>
      </c>
      <c r="C24" s="53">
        <f>+'Riesgo Sector'!D49</f>
        <v>8.097E-2</v>
      </c>
      <c r="I24" s="365"/>
      <c r="J24" s="365"/>
      <c r="K24" s="365"/>
      <c r="L24" s="365"/>
      <c r="M24" s="365"/>
      <c r="N24" s="365"/>
      <c r="O24" s="365"/>
      <c r="P24" s="365"/>
      <c r="Q24" s="365"/>
      <c r="R24" s="365"/>
      <c r="S24" s="365"/>
      <c r="T24" s="365"/>
      <c r="U24" s="365"/>
      <c r="V24" s="365"/>
      <c r="W24" s="365"/>
      <c r="X24" s="366"/>
      <c r="Y24" s="201" t="s">
        <v>10</v>
      </c>
      <c r="Z24" s="208">
        <v>5</v>
      </c>
      <c r="AA24" s="202">
        <f>50000*2</f>
        <v>100000</v>
      </c>
      <c r="AB24" s="203">
        <f>+Z24*AA24</f>
        <v>500000</v>
      </c>
      <c r="AC24" s="198"/>
      <c r="AD24" s="198"/>
      <c r="AE24" s="198"/>
      <c r="AF24" s="198"/>
      <c r="AG24" s="198"/>
    </row>
    <row r="25" spans="2:33">
      <c r="B25" s="78" t="s">
        <v>294</v>
      </c>
      <c r="C25" s="53">
        <f>+'Riesgo Sector'!D53</f>
        <v>0.04</v>
      </c>
      <c r="I25" s="365"/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6"/>
      <c r="Y25" s="201" t="s">
        <v>11</v>
      </c>
      <c r="Z25" s="201"/>
      <c r="AA25" s="202">
        <v>400000</v>
      </c>
      <c r="AB25" s="203">
        <f>AA25</f>
        <v>400000</v>
      </c>
      <c r="AC25" s="198"/>
      <c r="AD25" s="198"/>
      <c r="AE25" s="198"/>
      <c r="AF25" s="198"/>
      <c r="AG25" s="198"/>
    </row>
    <row r="26" spans="2:33">
      <c r="I26" s="365"/>
      <c r="J26" s="365"/>
      <c r="K26" s="365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6"/>
      <c r="Y26" s="201" t="s">
        <v>12</v>
      </c>
      <c r="Z26" s="201"/>
      <c r="AA26" s="202">
        <v>800000</v>
      </c>
      <c r="AB26" s="203">
        <f>AA26</f>
        <v>800000</v>
      </c>
      <c r="AC26" s="198"/>
      <c r="AD26" s="198"/>
      <c r="AE26" s="198"/>
      <c r="AF26" s="198"/>
      <c r="AG26" s="198"/>
    </row>
    <row r="27" spans="2:33" ht="15">
      <c r="B27" s="89" t="s">
        <v>81</v>
      </c>
      <c r="C27" s="90">
        <f t="shared" ref="C27:M27" si="11">C$2</f>
        <v>2021</v>
      </c>
      <c r="D27" s="90">
        <f t="shared" si="11"/>
        <v>2022</v>
      </c>
      <c r="E27" s="90">
        <f t="shared" si="11"/>
        <v>2023</v>
      </c>
      <c r="F27" s="90">
        <f t="shared" si="11"/>
        <v>2024</v>
      </c>
      <c r="G27" s="90">
        <f t="shared" si="11"/>
        <v>2025</v>
      </c>
      <c r="H27" s="90">
        <f t="shared" si="11"/>
        <v>2026</v>
      </c>
      <c r="I27" s="90">
        <f t="shared" si="11"/>
        <v>2027</v>
      </c>
      <c r="J27" s="90">
        <f t="shared" si="11"/>
        <v>2028</v>
      </c>
      <c r="K27" s="90">
        <f t="shared" si="11"/>
        <v>2029</v>
      </c>
      <c r="L27" s="90">
        <f t="shared" si="11"/>
        <v>2030</v>
      </c>
      <c r="M27" s="90">
        <f t="shared" si="11"/>
        <v>2031</v>
      </c>
      <c r="X27" s="198"/>
      <c r="Y27" s="201" t="s">
        <v>56</v>
      </c>
      <c r="Z27" s="201"/>
      <c r="AA27" s="202">
        <f>+AD46*0.6%</f>
        <v>1127506.8</v>
      </c>
      <c r="AB27" s="203">
        <f>AA27</f>
        <v>1127506.8</v>
      </c>
      <c r="AC27" s="198"/>
      <c r="AD27" s="198"/>
      <c r="AE27" s="198"/>
      <c r="AF27" s="198"/>
      <c r="AG27" s="198"/>
    </row>
    <row r="28" spans="2:33">
      <c r="B28" s="67" t="s">
        <v>82</v>
      </c>
      <c r="C28" s="68"/>
      <c r="D28" s="91">
        <f>+D10</f>
        <v>3000</v>
      </c>
      <c r="E28" s="91">
        <f>+D28*(1+Proyecciones!D3)</f>
        <v>3168.6</v>
      </c>
      <c r="F28" s="91">
        <f>+E28*(1+Proyecciones!E3)</f>
        <v>3273.1637999999998</v>
      </c>
      <c r="G28" s="91">
        <f>+F28*(1+Proyecciones!F3)</f>
        <v>3374.6318777999995</v>
      </c>
      <c r="H28" s="91">
        <f>+G28*(1+Proyecciones!G3)</f>
        <v>3479.2454660117992</v>
      </c>
      <c r="I28" s="91">
        <f>+H28*(1+Proyecciones!H3)</f>
        <v>3594.0605663901883</v>
      </c>
      <c r="J28" s="91">
        <f>+I28*(1+Proyecciones!I3)</f>
        <v>3712.6645650810642</v>
      </c>
      <c r="K28" s="91">
        <f>+J28*(1+Proyecciones!J3)</f>
        <v>3835.182495728739</v>
      </c>
      <c r="L28" s="91">
        <f>+K28*(1+Proyecciones!K3)</f>
        <v>3961.7435180877869</v>
      </c>
      <c r="M28" s="91">
        <f>+L28*(1+Proyecciones!L3)</f>
        <v>4092.4810541846837</v>
      </c>
      <c r="X28" s="198"/>
      <c r="Y28" s="201" t="s">
        <v>13</v>
      </c>
      <c r="Z28" s="201"/>
      <c r="AA28" s="202">
        <v>850000</v>
      </c>
      <c r="AB28" s="203">
        <f>AA28</f>
        <v>850000</v>
      </c>
      <c r="AC28" s="198"/>
      <c r="AD28" s="198"/>
      <c r="AE28" s="198"/>
      <c r="AF28" s="198"/>
      <c r="AG28" s="198"/>
    </row>
    <row r="29" spans="2:33">
      <c r="B29" s="67" t="s">
        <v>83</v>
      </c>
      <c r="C29" s="68"/>
      <c r="D29" s="91">
        <f>+D11</f>
        <v>134989.70663673605</v>
      </c>
      <c r="E29" s="91">
        <f>+IF(D29*(1+E4)*(1+$E$11)&gt;162000,162000,D29*(1+E4)*(1+$E$11))</f>
        <v>138634.4287159279</v>
      </c>
      <c r="F29" s="91">
        <f t="shared" ref="F29:N29" si="12">+IF(E29*(1+F4)*(1+$E$11)&gt;162000,162000,E29*(1+F4)*(1+$E$11))</f>
        <v>142377.55829125794</v>
      </c>
      <c r="G29" s="91">
        <f t="shared" si="12"/>
        <v>146648.88503999569</v>
      </c>
      <c r="H29" s="91">
        <f t="shared" si="12"/>
        <v>150755.05382111558</v>
      </c>
      <c r="I29" s="91">
        <f t="shared" si="12"/>
        <v>154976.19532810681</v>
      </c>
      <c r="J29" s="91">
        <f t="shared" si="12"/>
        <v>159315.52879729381</v>
      </c>
      <c r="K29" s="91">
        <f t="shared" si="12"/>
        <v>162000</v>
      </c>
      <c r="L29" s="91">
        <f t="shared" si="12"/>
        <v>162000</v>
      </c>
      <c r="M29" s="91">
        <f t="shared" si="12"/>
        <v>162000</v>
      </c>
      <c r="N29" s="91">
        <f t="shared" si="12"/>
        <v>162000</v>
      </c>
      <c r="X29" s="198"/>
      <c r="Y29" s="198"/>
      <c r="Z29" s="205"/>
      <c r="AA29" s="206"/>
      <c r="AB29" s="198"/>
      <c r="AC29" s="198"/>
      <c r="AD29" s="198"/>
      <c r="AE29" s="198"/>
      <c r="AF29" s="198"/>
      <c r="AG29" s="198"/>
    </row>
    <row r="30" spans="2:33" ht="15">
      <c r="X30" s="198"/>
      <c r="Y30" s="370" t="s">
        <v>364</v>
      </c>
      <c r="Z30" s="370"/>
      <c r="AA30" s="370"/>
      <c r="AB30" s="370"/>
      <c r="AC30" s="198"/>
      <c r="AD30" s="198"/>
      <c r="AE30" s="198"/>
      <c r="AF30" s="198"/>
      <c r="AG30" s="198"/>
    </row>
    <row r="31" spans="2:33" ht="15">
      <c r="B31" s="64" t="s">
        <v>84</v>
      </c>
      <c r="C31" s="67" t="s">
        <v>85</v>
      </c>
      <c r="D31" s="67">
        <v>1</v>
      </c>
      <c r="E31" s="67">
        <v>2</v>
      </c>
      <c r="F31" s="67">
        <v>3</v>
      </c>
      <c r="G31" s="67">
        <v>4</v>
      </c>
      <c r="H31" s="67">
        <v>5</v>
      </c>
      <c r="I31" s="67">
        <v>6</v>
      </c>
      <c r="J31" s="67">
        <v>7</v>
      </c>
      <c r="K31" s="67">
        <v>8</v>
      </c>
      <c r="L31" s="67">
        <v>9</v>
      </c>
      <c r="M31" s="67">
        <v>10</v>
      </c>
      <c r="X31" s="198"/>
      <c r="Y31" s="200" t="s">
        <v>360</v>
      </c>
      <c r="Z31" s="200" t="s">
        <v>361</v>
      </c>
      <c r="AA31" s="200" t="s">
        <v>362</v>
      </c>
      <c r="AB31" s="200" t="s">
        <v>363</v>
      </c>
      <c r="AC31" s="198"/>
      <c r="AD31" s="198"/>
      <c r="AE31" s="198"/>
      <c r="AF31" s="198"/>
      <c r="AG31" s="198"/>
    </row>
    <row r="32" spans="2:33" ht="15">
      <c r="B32" s="67" t="s">
        <v>86</v>
      </c>
      <c r="C32" s="92"/>
      <c r="D32" s="91">
        <f>+C36</f>
        <v>1.9872869219956625E-3</v>
      </c>
      <c r="E32" s="91">
        <f t="shared" ref="E32:F32" si="13">+D36</f>
        <v>1.904036566451764E-3</v>
      </c>
      <c r="F32" s="91">
        <f t="shared" si="13"/>
        <v>1.8055513958433319E-3</v>
      </c>
      <c r="G32" s="91">
        <f t="shared" ref="G32" si="14">+F36</f>
        <v>1.6890434390135569E-3</v>
      </c>
      <c r="H32" s="91">
        <f t="shared" ref="H32:I32" si="15">+G36</f>
        <v>1.5512145260839331E-3</v>
      </c>
      <c r="I32" s="91">
        <f t="shared" si="15"/>
        <v>1.388162922088188E-3</v>
      </c>
      <c r="J32" s="91">
        <f t="shared" ref="J32" si="16">+I36</f>
        <v>1.1952728745612217E-3</v>
      </c>
      <c r="K32" s="91">
        <f t="shared" ref="K32" si="17">+J36</f>
        <v>9.6708394833682041E-4</v>
      </c>
      <c r="L32" s="91">
        <f t="shared" ref="L32" si="18">+K36</f>
        <v>6.9713644861335382E-4</v>
      </c>
      <c r="M32" s="91">
        <f t="shared" ref="M32" si="19">+L36</f>
        <v>3.7778855644049285E-4</v>
      </c>
      <c r="X32" s="207"/>
      <c r="Y32" s="201" t="s">
        <v>15</v>
      </c>
      <c r="Z32" s="201">
        <v>2</v>
      </c>
      <c r="AA32" s="202">
        <v>40000</v>
      </c>
      <c r="AB32" s="203">
        <f>Z32*AA32</f>
        <v>80000</v>
      </c>
      <c r="AC32" s="198"/>
      <c r="AD32" s="198"/>
      <c r="AE32" s="198"/>
      <c r="AF32" s="198"/>
      <c r="AG32" s="198"/>
    </row>
    <row r="33" spans="2:33">
      <c r="B33" s="67" t="s">
        <v>87</v>
      </c>
      <c r="C33" s="91"/>
      <c r="D33" s="91">
        <f t="shared" ref="D33:I33" si="20">+IF(D31&lt;=$D$9,PMT($E$9,$D$9,-$C$36),0)</f>
        <v>4.4692386226910475E-4</v>
      </c>
      <c r="E33" s="91">
        <f t="shared" si="20"/>
        <v>4.4692386226910475E-4</v>
      </c>
      <c r="F33" s="91">
        <f t="shared" si="20"/>
        <v>4.4692386226910475E-4</v>
      </c>
      <c r="G33" s="91">
        <f t="shared" si="20"/>
        <v>4.4692386226910475E-4</v>
      </c>
      <c r="H33" s="91">
        <f t="shared" si="20"/>
        <v>4.4692386226910475E-4</v>
      </c>
      <c r="I33" s="91">
        <f t="shared" si="20"/>
        <v>4.4692386226910475E-4</v>
      </c>
      <c r="J33" s="91">
        <f t="shared" ref="J33:M33" si="21">+IF(J31&lt;=$D$9,PMT($E$9,$D$9,-$C$36),0)</f>
        <v>4.4692386226910475E-4</v>
      </c>
      <c r="K33" s="91">
        <f t="shared" si="21"/>
        <v>4.4692386226910475E-4</v>
      </c>
      <c r="L33" s="91">
        <f t="shared" si="21"/>
        <v>4.4692386226910475E-4</v>
      </c>
      <c r="M33" s="91">
        <f t="shared" si="21"/>
        <v>4.4692386226910475E-4</v>
      </c>
      <c r="X33" s="198"/>
      <c r="Y33" s="201" t="s">
        <v>16</v>
      </c>
      <c r="Z33" s="201">
        <v>2</v>
      </c>
      <c r="AA33" s="202">
        <v>225000</v>
      </c>
      <c r="AB33" s="203">
        <f>Z33*AA33</f>
        <v>450000</v>
      </c>
      <c r="AC33" s="198"/>
      <c r="AD33" s="198"/>
      <c r="AE33" s="198"/>
      <c r="AF33" s="198"/>
      <c r="AG33" s="198"/>
    </row>
    <row r="34" spans="2:33">
      <c r="B34" s="67" t="s">
        <v>88</v>
      </c>
      <c r="C34" s="91">
        <f>+D34/12*5</f>
        <v>1.5153062780216928E-4</v>
      </c>
      <c r="D34" s="91">
        <f>+D32*$E$9</f>
        <v>3.6367350672520624E-4</v>
      </c>
      <c r="E34" s="91">
        <f t="shared" ref="E34:H34" si="22">+E32*$E$9</f>
        <v>3.4843869166067281E-4</v>
      </c>
      <c r="F34" s="91">
        <f t="shared" si="22"/>
        <v>3.3041590543932971E-4</v>
      </c>
      <c r="G34" s="91">
        <f t="shared" si="22"/>
        <v>3.0909494933948093E-4</v>
      </c>
      <c r="H34" s="91">
        <f t="shared" si="22"/>
        <v>2.8387225827335974E-4</v>
      </c>
      <c r="I34" s="91">
        <f t="shared" ref="I34:L34" si="23">+I32*$E$9</f>
        <v>2.5403381474213842E-4</v>
      </c>
      <c r="J34" s="91">
        <f t="shared" si="23"/>
        <v>2.1873493604470355E-4</v>
      </c>
      <c r="K34" s="91">
        <f t="shared" si="23"/>
        <v>1.7697636254563812E-4</v>
      </c>
      <c r="L34" s="91">
        <f t="shared" si="23"/>
        <v>1.2757597009624376E-4</v>
      </c>
      <c r="M34" s="91">
        <f>+M32*$E$9</f>
        <v>6.9135305828610193E-5</v>
      </c>
      <c r="X34" s="198"/>
      <c r="Y34" s="201" t="s">
        <v>17</v>
      </c>
      <c r="Z34" s="201">
        <v>2</v>
      </c>
      <c r="AA34" s="202">
        <v>17000</v>
      </c>
      <c r="AB34" s="203">
        <f>Z34*AA34</f>
        <v>34000</v>
      </c>
      <c r="AC34" s="198"/>
      <c r="AD34" s="198"/>
      <c r="AE34" s="198"/>
      <c r="AF34" s="198"/>
      <c r="AG34" s="198"/>
    </row>
    <row r="35" spans="2:33">
      <c r="B35" s="67" t="s">
        <v>89</v>
      </c>
      <c r="C35" s="91">
        <v>0</v>
      </c>
      <c r="D35" s="91">
        <f>+D33-D34</f>
        <v>8.3250355543898512E-5</v>
      </c>
      <c r="E35" s="91">
        <f t="shared" ref="E35:H35" si="24">+E33-E34</f>
        <v>9.848517060843194E-5</v>
      </c>
      <c r="F35" s="91">
        <f t="shared" si="24"/>
        <v>1.1650795682977504E-4</v>
      </c>
      <c r="G35" s="91">
        <f t="shared" si="24"/>
        <v>1.3782891292962382E-4</v>
      </c>
      <c r="H35" s="91">
        <f t="shared" si="24"/>
        <v>1.6305160399574501E-4</v>
      </c>
      <c r="I35" s="91">
        <f t="shared" ref="I35:M35" si="25">+I33-I34</f>
        <v>1.9289004752696634E-4</v>
      </c>
      <c r="J35" s="91">
        <f t="shared" si="25"/>
        <v>2.281889262244012E-4</v>
      </c>
      <c r="K35" s="91">
        <f t="shared" si="25"/>
        <v>2.6994749972346664E-4</v>
      </c>
      <c r="L35" s="91">
        <f t="shared" si="25"/>
        <v>3.1934789217286097E-4</v>
      </c>
      <c r="M35" s="91">
        <f t="shared" si="25"/>
        <v>3.7778855644049459E-4</v>
      </c>
      <c r="X35" s="198"/>
      <c r="Y35" s="201" t="s">
        <v>18</v>
      </c>
      <c r="Z35" s="201">
        <v>1</v>
      </c>
      <c r="AA35" s="202">
        <v>228000</v>
      </c>
      <c r="AB35" s="203">
        <f>Z35*AA35</f>
        <v>228000</v>
      </c>
      <c r="AC35" s="198"/>
      <c r="AD35" s="198"/>
      <c r="AE35" s="198"/>
      <c r="AF35" s="198"/>
      <c r="AG35" s="198"/>
    </row>
    <row r="36" spans="2:33">
      <c r="B36" s="67" t="s">
        <v>90</v>
      </c>
      <c r="C36" s="91">
        <f>+C7*C9</f>
        <v>1.9872869219956625E-3</v>
      </c>
      <c r="D36" s="91">
        <f>+D32-D35</f>
        <v>1.904036566451764E-3</v>
      </c>
      <c r="E36" s="91">
        <f t="shared" ref="E36:H36" si="26">+E32-E35</f>
        <v>1.8055513958433319E-3</v>
      </c>
      <c r="F36" s="91">
        <f t="shared" si="26"/>
        <v>1.6890434390135569E-3</v>
      </c>
      <c r="G36" s="91">
        <f t="shared" si="26"/>
        <v>1.5512145260839331E-3</v>
      </c>
      <c r="H36" s="91">
        <f t="shared" si="26"/>
        <v>1.388162922088188E-3</v>
      </c>
      <c r="I36" s="91">
        <f t="shared" ref="I36:M36" si="27">+I32-I35</f>
        <v>1.1952728745612217E-3</v>
      </c>
      <c r="J36" s="91">
        <f t="shared" si="27"/>
        <v>9.6708394833682041E-4</v>
      </c>
      <c r="K36" s="91">
        <f t="shared" si="27"/>
        <v>6.9713644861335382E-4</v>
      </c>
      <c r="L36" s="91">
        <f t="shared" si="27"/>
        <v>3.7778855644049285E-4</v>
      </c>
      <c r="M36" s="91">
        <f t="shared" si="27"/>
        <v>-1.7347234759768071E-18</v>
      </c>
      <c r="X36" s="198"/>
      <c r="Y36" s="201" t="s">
        <v>19</v>
      </c>
      <c r="Z36" s="201" t="s">
        <v>20</v>
      </c>
      <c r="AA36" s="202">
        <v>500000</v>
      </c>
      <c r="AB36" s="203">
        <v>500000</v>
      </c>
      <c r="AC36" s="198"/>
      <c r="AD36" s="198"/>
      <c r="AE36" s="198"/>
      <c r="AF36" s="198"/>
      <c r="AG36" s="198"/>
    </row>
    <row r="37" spans="2:33">
      <c r="X37" s="198"/>
      <c r="Y37" s="201" t="s">
        <v>21</v>
      </c>
      <c r="Z37" s="201">
        <v>2</v>
      </c>
      <c r="AA37" s="202">
        <v>195000</v>
      </c>
      <c r="AB37" s="203">
        <f>Z37*AA37</f>
        <v>390000</v>
      </c>
      <c r="AC37" s="198"/>
      <c r="AD37" s="198"/>
      <c r="AE37" s="198"/>
      <c r="AF37" s="198"/>
      <c r="AG37" s="198"/>
    </row>
    <row r="38" spans="2:33" ht="15">
      <c r="B38" s="64" t="s">
        <v>91</v>
      </c>
      <c r="C38" s="67">
        <v>0</v>
      </c>
      <c r="D38" s="67">
        <v>1</v>
      </c>
      <c r="E38" s="67">
        <v>2</v>
      </c>
      <c r="F38" s="67">
        <v>3</v>
      </c>
      <c r="G38" s="67">
        <v>4</v>
      </c>
      <c r="H38" s="67">
        <v>5</v>
      </c>
      <c r="I38" s="67">
        <v>6</v>
      </c>
      <c r="J38" s="67">
        <v>7</v>
      </c>
      <c r="K38" s="67">
        <v>8</v>
      </c>
      <c r="L38" s="67">
        <v>9</v>
      </c>
      <c r="M38" s="67">
        <v>10</v>
      </c>
      <c r="X38" s="198"/>
      <c r="Y38" s="201" t="s">
        <v>22</v>
      </c>
      <c r="Z38" s="201">
        <v>3</v>
      </c>
      <c r="AA38" s="202">
        <v>35000</v>
      </c>
      <c r="AB38" s="203">
        <f>Z38*AA38</f>
        <v>105000</v>
      </c>
      <c r="AC38" s="198"/>
      <c r="AD38" s="198"/>
      <c r="AE38" s="198"/>
      <c r="AF38" s="198"/>
      <c r="AG38" s="198"/>
    </row>
    <row r="39" spans="2:33">
      <c r="B39" s="67" t="s">
        <v>62</v>
      </c>
      <c r="C39" s="91">
        <f>+$C$8</f>
        <v>10110000</v>
      </c>
      <c r="D39" s="91">
        <f t="shared" ref="D39:M39" si="28">+$C$8</f>
        <v>10110000</v>
      </c>
      <c r="E39" s="91">
        <f t="shared" si="28"/>
        <v>10110000</v>
      </c>
      <c r="F39" s="91">
        <f t="shared" si="28"/>
        <v>10110000</v>
      </c>
      <c r="G39" s="91">
        <f t="shared" si="28"/>
        <v>10110000</v>
      </c>
      <c r="H39" s="91">
        <f t="shared" si="28"/>
        <v>10110000</v>
      </c>
      <c r="I39" s="91">
        <f t="shared" si="28"/>
        <v>10110000</v>
      </c>
      <c r="J39" s="91">
        <f t="shared" si="28"/>
        <v>10110000</v>
      </c>
      <c r="K39" s="91">
        <f t="shared" si="28"/>
        <v>10110000</v>
      </c>
      <c r="L39" s="91">
        <f t="shared" si="28"/>
        <v>10110000</v>
      </c>
      <c r="M39" s="91">
        <f t="shared" si="28"/>
        <v>10110000</v>
      </c>
      <c r="X39" s="198"/>
      <c r="Y39" s="201" t="s">
        <v>351</v>
      </c>
      <c r="Z39" s="201">
        <v>50</v>
      </c>
      <c r="AA39" s="202">
        <v>179000</v>
      </c>
      <c r="AB39" s="203">
        <f>Z39*AA39</f>
        <v>8950000</v>
      </c>
      <c r="AC39" s="198"/>
      <c r="AD39" s="198"/>
      <c r="AE39" s="198"/>
      <c r="AF39" s="198"/>
      <c r="AG39" s="198"/>
    </row>
    <row r="40" spans="2:33">
      <c r="B40" s="78" t="s">
        <v>92</v>
      </c>
      <c r="C40" s="91">
        <f>+IF(C38&lt;=$D$8,$C$8/$D$8,0)/12*5</f>
        <v>421250</v>
      </c>
      <c r="D40" s="91">
        <f>+IF(D38&lt;=$D$8,$C$8/$D$8,0)</f>
        <v>1011000</v>
      </c>
      <c r="E40" s="91">
        <f t="shared" ref="E40:H40" si="29">+IF(E38&lt;=$D$8,$C$8/$D$8,0)</f>
        <v>1011000</v>
      </c>
      <c r="F40" s="91">
        <f t="shared" si="29"/>
        <v>1011000</v>
      </c>
      <c r="G40" s="91">
        <f t="shared" si="29"/>
        <v>1011000</v>
      </c>
      <c r="H40" s="91">
        <f t="shared" si="29"/>
        <v>1011000</v>
      </c>
      <c r="I40" s="91">
        <f t="shared" ref="I40:L40" si="30">+IF(I38&lt;=$D$8,$C$8/$D$8,0)</f>
        <v>1011000</v>
      </c>
      <c r="J40" s="91">
        <f t="shared" si="30"/>
        <v>1011000</v>
      </c>
      <c r="K40" s="91">
        <f t="shared" si="30"/>
        <v>1011000</v>
      </c>
      <c r="L40" s="91">
        <f t="shared" si="30"/>
        <v>1011000</v>
      </c>
      <c r="M40" s="91">
        <f>+IF(M38&lt;=$D$8,$C$8/$D$8,0)/12*7</f>
        <v>589750</v>
      </c>
      <c r="X40" s="198"/>
      <c r="Y40" s="201" t="s">
        <v>367</v>
      </c>
      <c r="Z40" s="201">
        <f>14*6*2</f>
        <v>168</v>
      </c>
      <c r="AA40" s="202">
        <v>7900</v>
      </c>
      <c r="AB40" s="203">
        <f>+Z40*AA40</f>
        <v>1327200</v>
      </c>
      <c r="AC40" s="198"/>
      <c r="AD40" s="198"/>
      <c r="AE40" s="198"/>
      <c r="AF40" s="198"/>
      <c r="AG40" s="198"/>
    </row>
    <row r="41" spans="2:33">
      <c r="B41" s="67" t="s">
        <v>93</v>
      </c>
      <c r="C41" s="91">
        <f>-C40</f>
        <v>-421250</v>
      </c>
      <c r="D41" s="91">
        <f>+C41-D40</f>
        <v>-1432250</v>
      </c>
      <c r="E41" s="91">
        <f t="shared" ref="E41:H41" si="31">+D41-E40</f>
        <v>-2443250</v>
      </c>
      <c r="F41" s="91">
        <f t="shared" si="31"/>
        <v>-3454250</v>
      </c>
      <c r="G41" s="91">
        <f t="shared" si="31"/>
        <v>-4465250</v>
      </c>
      <c r="H41" s="91">
        <f t="shared" si="31"/>
        <v>-5476250</v>
      </c>
      <c r="I41" s="91">
        <f t="shared" ref="I41" si="32">+H41-I40</f>
        <v>-6487250</v>
      </c>
      <c r="J41" s="91">
        <f t="shared" ref="J41" si="33">+I41-J40</f>
        <v>-7498250</v>
      </c>
      <c r="K41" s="91">
        <f t="shared" ref="K41" si="34">+J41-K40</f>
        <v>-8509250</v>
      </c>
      <c r="L41" s="91">
        <f t="shared" ref="L41" si="35">+K41-L40</f>
        <v>-9520250</v>
      </c>
      <c r="M41" s="91">
        <f t="shared" ref="M41" si="36">+L41-M40</f>
        <v>-10110000</v>
      </c>
      <c r="X41" s="198"/>
      <c r="Y41" s="201" t="s">
        <v>352</v>
      </c>
      <c r="Z41" s="201">
        <v>1</v>
      </c>
      <c r="AA41" s="202">
        <v>190000</v>
      </c>
      <c r="AB41" s="203">
        <f>Z41*AA41</f>
        <v>190000</v>
      </c>
      <c r="AC41" s="198"/>
      <c r="AD41" s="198"/>
      <c r="AE41" s="198"/>
      <c r="AF41" s="198"/>
      <c r="AG41" s="198"/>
    </row>
    <row r="42" spans="2:33">
      <c r="B42" s="78" t="s">
        <v>94</v>
      </c>
      <c r="C42" s="91">
        <f>+C39+C41</f>
        <v>9688750</v>
      </c>
      <c r="D42" s="91">
        <f t="shared" ref="D42:H42" si="37">+D39+D41</f>
        <v>8677750</v>
      </c>
      <c r="E42" s="91">
        <f t="shared" si="37"/>
        <v>7666750</v>
      </c>
      <c r="F42" s="91">
        <f t="shared" si="37"/>
        <v>6655750</v>
      </c>
      <c r="G42" s="91">
        <f t="shared" si="37"/>
        <v>5644750</v>
      </c>
      <c r="H42" s="91">
        <f t="shared" si="37"/>
        <v>4633750</v>
      </c>
      <c r="I42" s="91">
        <f t="shared" ref="I42:M42" si="38">+I39+I41</f>
        <v>3622750</v>
      </c>
      <c r="J42" s="91">
        <f t="shared" si="38"/>
        <v>2611750</v>
      </c>
      <c r="K42" s="91">
        <f t="shared" si="38"/>
        <v>1600750</v>
      </c>
      <c r="L42" s="91">
        <f t="shared" si="38"/>
        <v>589750</v>
      </c>
      <c r="M42" s="91">
        <f t="shared" si="38"/>
        <v>0</v>
      </c>
      <c r="X42" s="198"/>
      <c r="Y42" s="201" t="s">
        <v>23</v>
      </c>
      <c r="Z42" s="201">
        <v>3</v>
      </c>
      <c r="AA42" s="202">
        <v>64000</v>
      </c>
      <c r="AB42" s="203">
        <f>Z42*AA42</f>
        <v>192000</v>
      </c>
      <c r="AC42" s="198"/>
      <c r="AD42" s="198"/>
      <c r="AE42" s="198"/>
      <c r="AF42" s="198"/>
      <c r="AG42" s="198"/>
    </row>
    <row r="43" spans="2:33">
      <c r="X43" s="198"/>
      <c r="Y43" s="198"/>
      <c r="Z43" s="198"/>
      <c r="AA43" s="199"/>
      <c r="AB43" s="198"/>
      <c r="AC43" s="198"/>
      <c r="AD43" s="198"/>
      <c r="AE43" s="198"/>
      <c r="AF43" s="198"/>
      <c r="AG43" s="198"/>
    </row>
    <row r="44" spans="2:33" ht="15">
      <c r="X44" s="198"/>
      <c r="Y44" s="198"/>
      <c r="Z44" s="198"/>
      <c r="AA44" s="209" t="s">
        <v>24</v>
      </c>
      <c r="AB44" s="203">
        <f>+AB68*1.5+'Costo De Ventas '!C7+'Costo De Ventas '!C11</f>
        <v>163508685.39956623</v>
      </c>
      <c r="AC44" s="198"/>
      <c r="AD44" s="198"/>
      <c r="AE44" s="198"/>
      <c r="AF44" s="198"/>
      <c r="AG44" s="198"/>
    </row>
    <row r="45" spans="2:33" ht="15">
      <c r="B45" s="64" t="s">
        <v>97</v>
      </c>
      <c r="C45" s="90">
        <f t="shared" ref="C45:M45" si="39">C$2</f>
        <v>2021</v>
      </c>
      <c r="D45" s="90">
        <f t="shared" si="39"/>
        <v>2022</v>
      </c>
      <c r="E45" s="90">
        <f t="shared" si="39"/>
        <v>2023</v>
      </c>
      <c r="F45" s="90">
        <f t="shared" si="39"/>
        <v>2024</v>
      </c>
      <c r="G45" s="90">
        <f t="shared" si="39"/>
        <v>2025</v>
      </c>
      <c r="H45" s="90">
        <f t="shared" si="39"/>
        <v>2026</v>
      </c>
      <c r="I45" s="90">
        <f t="shared" si="39"/>
        <v>2027</v>
      </c>
      <c r="J45" s="90">
        <f t="shared" si="39"/>
        <v>2028</v>
      </c>
      <c r="K45" s="90">
        <f t="shared" si="39"/>
        <v>2029</v>
      </c>
      <c r="L45" s="90">
        <f t="shared" si="39"/>
        <v>2030</v>
      </c>
      <c r="M45" s="90">
        <f t="shared" si="39"/>
        <v>2031</v>
      </c>
      <c r="X45" s="198"/>
      <c r="Y45" s="198"/>
      <c r="Z45" s="198"/>
      <c r="AA45" s="199"/>
      <c r="AB45" s="198"/>
      <c r="AC45" s="198"/>
      <c r="AD45" s="198"/>
      <c r="AE45" s="198"/>
      <c r="AF45" s="198"/>
      <c r="AG45" s="198"/>
    </row>
    <row r="46" spans="2:33" ht="15.75" thickBot="1">
      <c r="B46" s="78" t="s">
        <v>98</v>
      </c>
      <c r="C46" s="92"/>
      <c r="D46" s="91">
        <f>+C89</f>
        <v>-114966159.39971773</v>
      </c>
      <c r="E46" s="91">
        <f>+D89</f>
        <v>26763924.587933458</v>
      </c>
      <c r="F46" s="91">
        <f t="shared" ref="F46:H47" si="40">+E89</f>
        <v>36768716.105454192</v>
      </c>
      <c r="G46" s="91">
        <f t="shared" si="40"/>
        <v>45235602.627124041</v>
      </c>
      <c r="H46" s="91">
        <f t="shared" si="40"/>
        <v>55011715.666611388</v>
      </c>
      <c r="I46" s="91">
        <f t="shared" ref="I46:I47" si="41">+H89</f>
        <v>64863705.945460051</v>
      </c>
      <c r="J46" s="91">
        <f t="shared" ref="J46:J47" si="42">+I89</f>
        <v>76094518.572412476</v>
      </c>
      <c r="K46" s="91">
        <f t="shared" ref="K46:K47" si="43">+J89</f>
        <v>88292014.998668581</v>
      </c>
      <c r="L46" s="91">
        <f t="shared" ref="L46:L47" si="44">+K89</f>
        <v>97725627.085126519</v>
      </c>
      <c r="M46" s="91">
        <f t="shared" ref="M46:M47" si="45">+L89</f>
        <v>101451971.82271314</v>
      </c>
      <c r="X46" s="198"/>
      <c r="Y46" s="198"/>
      <c r="Z46" s="198"/>
      <c r="AA46" s="210"/>
      <c r="AB46" s="211">
        <f>SUM(AB6:AB44)</f>
        <v>198728692.19956625</v>
      </c>
      <c r="AC46" s="204">
        <f>+AB46-AB15</f>
        <v>198728692.19956625</v>
      </c>
      <c r="AD46" s="211">
        <v>187917800</v>
      </c>
      <c r="AE46" s="198"/>
      <c r="AF46" s="198"/>
      <c r="AG46" s="198"/>
    </row>
    <row r="47" spans="2:33" ht="15" thickTop="1">
      <c r="B47" s="78" t="s">
        <v>99</v>
      </c>
      <c r="C47" s="92"/>
      <c r="D47" s="91">
        <f>+C90</f>
        <v>0</v>
      </c>
      <c r="E47" s="91">
        <f>+D90</f>
        <v>-114966159.39971773</v>
      </c>
      <c r="F47" s="91">
        <f t="shared" si="40"/>
        <v>-90878627.27057761</v>
      </c>
      <c r="G47" s="91">
        <f t="shared" si="40"/>
        <v>-57786782.775668837</v>
      </c>
      <c r="H47" s="91">
        <f t="shared" si="40"/>
        <v>-17074740.4112572</v>
      </c>
      <c r="I47" s="91">
        <f t="shared" si="41"/>
        <v>0</v>
      </c>
      <c r="J47" s="91">
        <f t="shared" si="42"/>
        <v>0</v>
      </c>
      <c r="K47" s="91">
        <f t="shared" si="43"/>
        <v>0</v>
      </c>
      <c r="L47" s="91">
        <f t="shared" si="44"/>
        <v>0</v>
      </c>
      <c r="M47" s="91">
        <f t="shared" si="45"/>
        <v>0</v>
      </c>
      <c r="X47" s="198"/>
      <c r="Y47" s="198"/>
      <c r="Z47" s="198"/>
      <c r="AA47" s="199"/>
      <c r="AB47" s="198"/>
      <c r="AC47" s="198"/>
      <c r="AD47" s="198"/>
      <c r="AE47" s="198"/>
      <c r="AF47" s="198"/>
      <c r="AG47" s="198"/>
    </row>
    <row r="48" spans="2:33">
      <c r="B48" s="67" t="s">
        <v>100</v>
      </c>
      <c r="C48" s="92"/>
      <c r="D48" s="91">
        <f>+IF(D46&gt;0,D46*$D$20,0)</f>
        <v>0</v>
      </c>
      <c r="E48" s="91">
        <f>+IF(E46&gt;0,E46*$D$20,0)</f>
        <v>2676392.4587933458</v>
      </c>
      <c r="F48" s="91">
        <f t="shared" ref="F48:H48" si="46">+IF(F46&gt;0,F46*$D$20,0)</f>
        <v>3676871.6105454192</v>
      </c>
      <c r="G48" s="91">
        <f t="shared" si="46"/>
        <v>4523560.2627124041</v>
      </c>
      <c r="H48" s="91">
        <f t="shared" si="46"/>
        <v>5501171.566661139</v>
      </c>
      <c r="I48" s="91">
        <f t="shared" ref="I48:M48" si="47">+IF(I46&gt;0,I46*$D$20,0)</f>
        <v>6486370.5945460051</v>
      </c>
      <c r="J48" s="91">
        <f t="shared" si="47"/>
        <v>7609451.8572412478</v>
      </c>
      <c r="K48" s="91">
        <f t="shared" si="47"/>
        <v>8829201.4998668581</v>
      </c>
      <c r="L48" s="91">
        <f t="shared" si="47"/>
        <v>9772562.7085126527</v>
      </c>
      <c r="M48" s="91">
        <f t="shared" si="47"/>
        <v>10145197.182271315</v>
      </c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</row>
    <row r="49" spans="2:38" ht="15">
      <c r="B49" s="78" t="s">
        <v>101</v>
      </c>
      <c r="C49" s="92"/>
      <c r="D49" s="91">
        <f>+D46+D47-D48</f>
        <v>-114966159.39971773</v>
      </c>
      <c r="E49" s="91">
        <f>+E46+E47-E48</f>
        <v>-90878627.27057761</v>
      </c>
      <c r="F49" s="91">
        <f t="shared" ref="F49:H49" si="48">+F46+F47-F48</f>
        <v>-57786782.775668837</v>
      </c>
      <c r="G49" s="91">
        <f t="shared" si="48"/>
        <v>-17074740.4112572</v>
      </c>
      <c r="H49" s="91">
        <f t="shared" si="48"/>
        <v>32435803.68869305</v>
      </c>
      <c r="I49" s="91">
        <f t="shared" ref="I49:M49" si="49">+I46+I47-I48</f>
        <v>58377335.350914046</v>
      </c>
      <c r="J49" s="91">
        <f t="shared" si="49"/>
        <v>68485066.715171233</v>
      </c>
      <c r="K49" s="91">
        <f t="shared" si="49"/>
        <v>79462813.498801723</v>
      </c>
      <c r="L49" s="91">
        <f t="shared" si="49"/>
        <v>87953064.37661387</v>
      </c>
      <c r="M49" s="91">
        <f t="shared" si="49"/>
        <v>91306774.64044182</v>
      </c>
      <c r="X49" s="212" t="s">
        <v>365</v>
      </c>
      <c r="Y49" s="213" t="s">
        <v>361</v>
      </c>
      <c r="Z49" s="214" t="s">
        <v>26</v>
      </c>
      <c r="AA49" s="214" t="s">
        <v>27</v>
      </c>
      <c r="AB49" s="214" t="s">
        <v>248</v>
      </c>
      <c r="AC49" s="214" t="s">
        <v>28</v>
      </c>
      <c r="AD49" s="214" t="s">
        <v>29</v>
      </c>
      <c r="AE49" s="214" t="s">
        <v>30</v>
      </c>
      <c r="AF49" s="214" t="s">
        <v>31</v>
      </c>
      <c r="AG49" s="214" t="s">
        <v>32</v>
      </c>
      <c r="AH49" s="214" t="s">
        <v>427</v>
      </c>
      <c r="AI49" s="214" t="s">
        <v>428</v>
      </c>
      <c r="AJ49" s="214" t="s">
        <v>429</v>
      </c>
      <c r="AK49" s="214" t="s">
        <v>430</v>
      </c>
      <c r="AL49" s="214" t="s">
        <v>431</v>
      </c>
    </row>
    <row r="50" spans="2:38">
      <c r="B50" s="67" t="s">
        <v>102</v>
      </c>
      <c r="C50" s="92"/>
      <c r="D50" s="91">
        <f>+IF(D49&gt;0,D49*D19,0)</f>
        <v>0</v>
      </c>
      <c r="E50" s="91">
        <f>+IF(E49&gt;0,E49*E19,0)</f>
        <v>0</v>
      </c>
      <c r="F50" s="91">
        <f>+IF(F49&gt;0,F49*F19,0)</f>
        <v>0</v>
      </c>
      <c r="G50" s="91">
        <f>+IF(G49&gt;0,G49*G19,0)</f>
        <v>0</v>
      </c>
      <c r="H50" s="91">
        <f>+IF(H49&gt;0,H49*H19,0)</f>
        <v>32435803.68869305</v>
      </c>
      <c r="I50" s="91">
        <f t="shared" ref="I50:M50" si="50">+IF(I49&gt;0,I49*I19,0)</f>
        <v>58377335.350914046</v>
      </c>
      <c r="J50" s="91">
        <f t="shared" si="50"/>
        <v>68485066.715171233</v>
      </c>
      <c r="K50" s="91">
        <f t="shared" si="50"/>
        <v>79462813.498801723</v>
      </c>
      <c r="L50" s="91">
        <f t="shared" si="50"/>
        <v>87953064.37661387</v>
      </c>
      <c r="M50" s="91">
        <f t="shared" si="50"/>
        <v>91306774.64044182</v>
      </c>
      <c r="X50" s="201" t="s">
        <v>347</v>
      </c>
      <c r="Y50" s="201">
        <v>1</v>
      </c>
      <c r="Z50" s="202">
        <v>4000000</v>
      </c>
      <c r="AA50" s="215"/>
      <c r="AB50" s="216">
        <f>(Y50*Z50*(1+AA50))*4</f>
        <v>16000000</v>
      </c>
      <c r="AC50" s="216">
        <f>(Y50*Z50*(1+AA50))*12</f>
        <v>48000000</v>
      </c>
      <c r="AD50" s="216">
        <f>AC50*(1+'Costo De Ventas '!E$2)</f>
        <v>50697600</v>
      </c>
      <c r="AE50" s="216">
        <f>AD50*(1+'Costo De Ventas '!F$2)</f>
        <v>52370620.799999997</v>
      </c>
      <c r="AF50" s="216">
        <f>AE50*(1+'Costo De Ventas '!G$2)</f>
        <v>53994110.044799991</v>
      </c>
      <c r="AG50" s="216">
        <f>AF50*(1+'Costo De Ventas '!H$2)</f>
        <v>55667927.456188783</v>
      </c>
      <c r="AH50" s="216">
        <f>AG50*(1+'Costo De Ventas '!I$2)</f>
        <v>57504969.062243007</v>
      </c>
      <c r="AI50" s="216">
        <f>AH50*(1+'Costo De Ventas '!J$2)</f>
        <v>59402633.041297019</v>
      </c>
      <c r="AJ50" s="216">
        <f>AI50*(1+'Costo De Ventas '!K$2)</f>
        <v>61362919.931659818</v>
      </c>
      <c r="AK50" s="216">
        <f>AJ50*(1+'Costo De Ventas '!L$2)</f>
        <v>63387896.289404586</v>
      </c>
      <c r="AL50" s="216">
        <f>AK50*(1+'Costo De Ventas '!M$2)</f>
        <v>65479696.86695493</v>
      </c>
    </row>
    <row r="51" spans="2:38">
      <c r="B51" s="67" t="s">
        <v>103</v>
      </c>
      <c r="C51" s="92"/>
      <c r="D51" s="91">
        <f>+D49-Proyecciones!D50</f>
        <v>-114966159.39971773</v>
      </c>
      <c r="E51" s="91">
        <f>+E49-Proyecciones!E50</f>
        <v>-90878627.27057761</v>
      </c>
      <c r="F51" s="91">
        <f>+F49-Proyecciones!F50</f>
        <v>-57786782.775668837</v>
      </c>
      <c r="G51" s="91">
        <f>+G49-Proyecciones!G50</f>
        <v>-17074740.4112572</v>
      </c>
      <c r="H51" s="91">
        <f>+H49-Proyecciones!H50</f>
        <v>0</v>
      </c>
      <c r="I51" s="91">
        <f>+I49-Proyecciones!I50</f>
        <v>0</v>
      </c>
      <c r="J51" s="91">
        <f>+J49-Proyecciones!J50</f>
        <v>0</v>
      </c>
      <c r="K51" s="91">
        <f>+K49-Proyecciones!K50</f>
        <v>0</v>
      </c>
      <c r="L51" s="91">
        <f>+L49-Proyecciones!L50</f>
        <v>0</v>
      </c>
      <c r="M51" s="91">
        <f>+M49-Proyecciones!M50</f>
        <v>0</v>
      </c>
      <c r="X51" s="201" t="s">
        <v>33</v>
      </c>
      <c r="Y51" s="201">
        <v>3</v>
      </c>
      <c r="Z51" s="202">
        <v>1000000</v>
      </c>
      <c r="AA51" s="215">
        <f>Nomina!$C$16</f>
        <v>0.54547199999999996</v>
      </c>
      <c r="AB51" s="216">
        <f>(Y51*Z51*(1+AA51))*4</f>
        <v>18545664</v>
      </c>
      <c r="AC51" s="216">
        <f>(Y51*Z51*(1+AA51))*12*(1+Proyecciones!D3)</f>
        <v>58763790.950400002</v>
      </c>
      <c r="AD51" s="216">
        <f>AC51*(1+'Costo De Ventas '!F$2)</f>
        <v>60702996.051763199</v>
      </c>
      <c r="AE51" s="216">
        <f>AD51*(1+'Costo De Ventas '!G$2)</f>
        <v>62584788.929367855</v>
      </c>
      <c r="AF51" s="216">
        <f>AE51*(1+'Costo De Ventas '!H$2)</f>
        <v>64524917.386178255</v>
      </c>
      <c r="AG51" s="216">
        <f>AF51*(1+'Costo De Ventas '!I$2)</f>
        <v>66654239.65992213</v>
      </c>
      <c r="AH51" s="216">
        <f>AG51*(1+'Costo De Ventas '!J$2)</f>
        <v>68853829.568699554</v>
      </c>
      <c r="AI51" s="216">
        <f>AH51*(1+'Costo De Ventas '!K$2)</f>
        <v>71126005.944466636</v>
      </c>
      <c r="AJ51" s="216">
        <f>AI51*(1+'Costo De Ventas '!L$2)</f>
        <v>73473164.14063403</v>
      </c>
      <c r="AK51" s="216">
        <f>AJ51*(1+'Costo De Ventas '!M$2)</f>
        <v>75897778.557274953</v>
      </c>
      <c r="AL51" s="216">
        <f>AK51*(1+'Costo De Ventas '!N$2)</f>
        <v>75897778.557274953</v>
      </c>
    </row>
    <row r="52" spans="2:38" ht="15">
      <c r="P52" s="385" t="s">
        <v>424</v>
      </c>
      <c r="Q52" s="386"/>
      <c r="R52" s="386"/>
      <c r="S52" s="387"/>
      <c r="X52" s="201" t="s">
        <v>34</v>
      </c>
      <c r="Y52" s="201">
        <v>1</v>
      </c>
      <c r="Z52" s="202">
        <v>500000</v>
      </c>
      <c r="AA52" s="215"/>
      <c r="AB52" s="216">
        <f>(Y52*Z52*(1+AA52))*4</f>
        <v>2000000</v>
      </c>
      <c r="AC52" s="216">
        <f>(Y52*Z52*(1+AA52))*12*(1+Proyecciones!D3)</f>
        <v>6337200</v>
      </c>
      <c r="AD52" s="216">
        <f>AC52*(1+'Costo De Ventas '!E$2)</f>
        <v>6693350.6400000006</v>
      </c>
      <c r="AE52" s="216">
        <f>AD52*(1+'Costo De Ventas '!F$2)</f>
        <v>6914231.2111200001</v>
      </c>
      <c r="AF52" s="216">
        <f>AE52*(1+'Costo De Ventas '!G$2)</f>
        <v>7128572.3786647199</v>
      </c>
      <c r="AG52" s="216">
        <f>AF52*(1+'Costo De Ventas '!H$2)</f>
        <v>7349558.1224033255</v>
      </c>
      <c r="AH52" s="216">
        <f>AG52*(1+'Costo De Ventas '!I$2)</f>
        <v>7592093.5404426344</v>
      </c>
      <c r="AI52" s="216">
        <f>AH52*(1+'Costo De Ventas '!J$2)</f>
        <v>7842632.6272772411</v>
      </c>
      <c r="AJ52" s="216">
        <f>AI52*(1+'Costo De Ventas '!K$2)</f>
        <v>8101439.5039773891</v>
      </c>
      <c r="AK52" s="216">
        <f>AJ52*(1+'Costo De Ventas '!L$2)</f>
        <v>8368787.0076086419</v>
      </c>
      <c r="AL52" s="216">
        <f>AK52*(1+'Costo De Ventas '!M$2)</f>
        <v>8644956.9788597263</v>
      </c>
    </row>
    <row r="53" spans="2:38" ht="15">
      <c r="B53" s="95" t="s">
        <v>104</v>
      </c>
      <c r="C53" s="90">
        <f t="shared" ref="C53:M53" si="51">C$2</f>
        <v>2021</v>
      </c>
      <c r="D53" s="90">
        <f t="shared" si="51"/>
        <v>2022</v>
      </c>
      <c r="E53" s="90">
        <f t="shared" si="51"/>
        <v>2023</v>
      </c>
      <c r="F53" s="90">
        <f t="shared" si="51"/>
        <v>2024</v>
      </c>
      <c r="G53" s="90">
        <f t="shared" si="51"/>
        <v>2025</v>
      </c>
      <c r="H53" s="90">
        <f t="shared" si="51"/>
        <v>2026</v>
      </c>
      <c r="I53" s="90">
        <f t="shared" si="51"/>
        <v>2027</v>
      </c>
      <c r="J53" s="90">
        <f t="shared" si="51"/>
        <v>2028</v>
      </c>
      <c r="K53" s="90">
        <f t="shared" si="51"/>
        <v>2029</v>
      </c>
      <c r="L53" s="90">
        <f t="shared" si="51"/>
        <v>2030</v>
      </c>
      <c r="M53" s="90">
        <f t="shared" si="51"/>
        <v>2031</v>
      </c>
      <c r="P53" s="340">
        <f>D53</f>
        <v>2022</v>
      </c>
      <c r="Q53" s="340">
        <f>E53</f>
        <v>2023</v>
      </c>
      <c r="R53" s="340">
        <f>F53</f>
        <v>2024</v>
      </c>
      <c r="S53" s="340">
        <f>G53</f>
        <v>2025</v>
      </c>
      <c r="X53" s="201" t="s">
        <v>35</v>
      </c>
      <c r="Y53" s="201">
        <v>1</v>
      </c>
      <c r="Z53" s="202">
        <v>1000000</v>
      </c>
      <c r="AA53" s="215">
        <f>Nomina!$C$16</f>
        <v>0.54547199999999996</v>
      </c>
      <c r="AB53" s="216">
        <f>(Y53*Z53*(1+AA53))*4</f>
        <v>6181888</v>
      </c>
      <c r="AC53" s="216">
        <f>(Y53*Z53*(1+AA53))*12*(1+Proyecciones!D3)</f>
        <v>19587930.316800002</v>
      </c>
      <c r="AD53" s="216">
        <f>AC53*(1+'Costo De Ventas '!F$2)</f>
        <v>20234332.017254401</v>
      </c>
      <c r="AE53" s="216">
        <f>AD53*(1+'Costo De Ventas '!G$2)</f>
        <v>20861596.309789285</v>
      </c>
      <c r="AF53" s="216">
        <f>AE53*(1+'Costo De Ventas '!H$2)</f>
        <v>21508305.795392752</v>
      </c>
      <c r="AG53" s="216">
        <f>AF53*(1+'Costo De Ventas '!I$2)</f>
        <v>22218079.886640709</v>
      </c>
      <c r="AH53" s="216">
        <f>AG53*(1+'Costo De Ventas '!J$2)</f>
        <v>22951276.522899851</v>
      </c>
      <c r="AI53" s="216">
        <f>AH53*(1+'Costo De Ventas '!K$2)</f>
        <v>23708668.648155544</v>
      </c>
      <c r="AJ53" s="216">
        <f>AI53*(1+'Costo De Ventas '!L$2)</f>
        <v>24491054.713544674</v>
      </c>
      <c r="AK53" s="216">
        <f>AJ53*(1+'Costo De Ventas '!M$2)</f>
        <v>25299259.519091647</v>
      </c>
      <c r="AL53" s="216">
        <f>AK53*(1+'Costo De Ventas '!N$2)</f>
        <v>25299259.519091647</v>
      </c>
    </row>
    <row r="54" spans="2:38">
      <c r="B54" s="67" t="s">
        <v>105</v>
      </c>
      <c r="C54" s="68"/>
      <c r="D54" s="91">
        <f>+D28*D29</f>
        <v>404969119.91020817</v>
      </c>
      <c r="E54" s="91">
        <f>+E28*E29</f>
        <v>439277050.82928914</v>
      </c>
      <c r="F54" s="91">
        <f>+F28*F29</f>
        <v>466025069.73133534</v>
      </c>
      <c r="G54" s="91">
        <f>+G28*G29</f>
        <v>494886002.29979688</v>
      </c>
      <c r="H54" s="83">
        <f>+H28*H29</f>
        <v>524513837.48548114</v>
      </c>
      <c r="I54" s="83">
        <f t="shared" ref="I54:K54" si="52">+I28*I29</f>
        <v>556993832.35793209</v>
      </c>
      <c r="J54" s="83">
        <f t="shared" si="52"/>
        <v>591485118.43286455</v>
      </c>
      <c r="K54" s="83">
        <f t="shared" si="52"/>
        <v>621299564.30805576</v>
      </c>
      <c r="L54" s="83">
        <f t="shared" ref="L54:M54" si="53">+L28*L29</f>
        <v>641802449.93022144</v>
      </c>
      <c r="M54" s="83">
        <f t="shared" si="53"/>
        <v>662981930.7779187</v>
      </c>
      <c r="P54" s="339">
        <f t="shared" ref="P54:S56" si="54">((E54-D54)/D54)</f>
        <v>8.4717399999999762E-2</v>
      </c>
      <c r="Q54" s="339">
        <f t="shared" si="54"/>
        <v>6.0890999999999904E-2</v>
      </c>
      <c r="R54" s="339">
        <f t="shared" si="54"/>
        <v>6.1929999999999867E-2</v>
      </c>
      <c r="S54" s="339">
        <f t="shared" si="54"/>
        <v>5.9868000000000046E-2</v>
      </c>
      <c r="X54" s="217"/>
      <c r="Y54" s="217"/>
      <c r="Z54" s="217"/>
      <c r="AA54" s="217"/>
      <c r="AB54" s="218"/>
      <c r="AC54" s="218"/>
      <c r="AD54" s="218"/>
      <c r="AE54" s="218"/>
      <c r="AF54" s="218"/>
      <c r="AG54" s="218"/>
      <c r="AH54" s="218"/>
      <c r="AI54" s="218"/>
      <c r="AJ54" s="218"/>
      <c r="AK54" s="218"/>
      <c r="AL54" s="218"/>
    </row>
    <row r="55" spans="2:38" ht="15">
      <c r="B55" s="67" t="s">
        <v>106</v>
      </c>
      <c r="C55" s="96">
        <f>+'Costo De Ventas '!C19</f>
        <v>111144909.3995662</v>
      </c>
      <c r="D55" s="96">
        <f>+'Costo De Ventas '!D19</f>
        <v>351134972.97053814</v>
      </c>
      <c r="E55" s="96">
        <f>+'Costo De Ventas '!E19</f>
        <v>369297426.28088617</v>
      </c>
      <c r="F55" s="96">
        <f>+'Costo De Ventas '!F19</f>
        <v>382488790.24496853</v>
      </c>
      <c r="G55" s="96">
        <f>+'Costo De Ventas '!G19</f>
        <v>395763496.89802635</v>
      </c>
      <c r="H55" s="336">
        <f>+'Costo De Ventas '!H19</f>
        <v>409670859.91731137</v>
      </c>
      <c r="I55" s="336">
        <f>+'Costo De Ventas '!I19</f>
        <v>424252290.0765698</v>
      </c>
      <c r="J55" s="336">
        <f>+'Costo De Ventas '!J19</f>
        <v>439327081.13579261</v>
      </c>
      <c r="K55" s="336">
        <f>+'Costo De Ventas '!K19</f>
        <v>454011117.37767589</v>
      </c>
      <c r="L55" s="336">
        <f>+'Costo De Ventas '!L19</f>
        <v>468248116.5862689</v>
      </c>
      <c r="M55" s="336">
        <f>+'Costo De Ventas '!M19</f>
        <v>478528363.77694213</v>
      </c>
      <c r="P55" s="339">
        <f t="shared" si="54"/>
        <v>5.1724990981949125E-2</v>
      </c>
      <c r="Q55" s="339">
        <f t="shared" si="54"/>
        <v>3.5720162192652435E-2</v>
      </c>
      <c r="R55" s="339">
        <f t="shared" si="54"/>
        <v>3.4706132549808595E-2</v>
      </c>
      <c r="S55" s="339">
        <f t="shared" si="54"/>
        <v>3.5140590600927599E-2</v>
      </c>
      <c r="X55" s="212" t="s">
        <v>36</v>
      </c>
      <c r="Y55" s="213" t="s">
        <v>361</v>
      </c>
      <c r="Z55" s="214" t="s">
        <v>366</v>
      </c>
      <c r="AA55" s="214"/>
      <c r="AB55" s="214" t="s">
        <v>248</v>
      </c>
      <c r="AC55" s="214" t="s">
        <v>28</v>
      </c>
      <c r="AD55" s="214" t="s">
        <v>29</v>
      </c>
      <c r="AE55" s="214" t="s">
        <v>30</v>
      </c>
      <c r="AF55" s="214" t="s">
        <v>31</v>
      </c>
      <c r="AG55" s="214" t="s">
        <v>32</v>
      </c>
      <c r="AH55" s="214" t="s">
        <v>427</v>
      </c>
      <c r="AI55" s="214" t="s">
        <v>428</v>
      </c>
      <c r="AJ55" s="214" t="s">
        <v>429</v>
      </c>
      <c r="AK55" s="214" t="s">
        <v>430</v>
      </c>
      <c r="AL55" s="214" t="s">
        <v>431</v>
      </c>
    </row>
    <row r="56" spans="2:38" ht="15">
      <c r="B56" s="97" t="s">
        <v>107</v>
      </c>
      <c r="C56" s="98">
        <f>+C54-C55</f>
        <v>-111144909.3995662</v>
      </c>
      <c r="D56" s="98">
        <f>+D54-D55</f>
        <v>53834146.939670026</v>
      </c>
      <c r="E56" s="98">
        <f t="shared" ref="E56:H56" si="55">+E54-E55</f>
        <v>69979624.548402965</v>
      </c>
      <c r="F56" s="98">
        <f t="shared" si="55"/>
        <v>83536279.486366808</v>
      </c>
      <c r="G56" s="98">
        <f t="shared" si="55"/>
        <v>99122505.401770532</v>
      </c>
      <c r="H56" s="337">
        <f t="shared" si="55"/>
        <v>114842977.56816977</v>
      </c>
      <c r="I56" s="337">
        <f t="shared" ref="I56:K56" si="56">+I54-I55</f>
        <v>132741542.2813623</v>
      </c>
      <c r="J56" s="337">
        <f t="shared" si="56"/>
        <v>152158037.29707193</v>
      </c>
      <c r="K56" s="337">
        <f t="shared" si="56"/>
        <v>167288446.93037987</v>
      </c>
      <c r="L56" s="337">
        <f t="shared" ref="L56:M56" si="57">+L54-L55</f>
        <v>173554333.34395254</v>
      </c>
      <c r="M56" s="337">
        <f t="shared" si="57"/>
        <v>184453567.00097656</v>
      </c>
      <c r="P56" s="339">
        <f t="shared" si="54"/>
        <v>0.29991146004090286</v>
      </c>
      <c r="Q56" s="339">
        <f t="shared" si="54"/>
        <v>0.19372288756117978</v>
      </c>
      <c r="R56" s="339">
        <f t="shared" si="54"/>
        <v>0.18658032188215193</v>
      </c>
      <c r="S56" s="339">
        <f t="shared" si="54"/>
        <v>0.15859639647605639</v>
      </c>
      <c r="X56" s="201" t="s">
        <v>37</v>
      </c>
      <c r="Y56" s="201">
        <v>1</v>
      </c>
      <c r="Z56" s="202">
        <v>350000</v>
      </c>
      <c r="AA56" s="215"/>
      <c r="AB56" s="216">
        <f>(Y56*Z56*(1+AA56))*4</f>
        <v>1400000</v>
      </c>
      <c r="AC56" s="216">
        <f>(Y56*Z56*(1+AA56))*12*(1+Proyecciones!D3)</f>
        <v>4436040</v>
      </c>
      <c r="AD56" s="216">
        <f>AC56*(1+'Costo De Ventas '!F$2)</f>
        <v>4582429.3199999994</v>
      </c>
      <c r="AE56" s="216">
        <f>AD56*(1+'Costo De Ventas '!G$2)</f>
        <v>4724484.6289199991</v>
      </c>
      <c r="AF56" s="216">
        <f>AE56*(1+'Costo De Ventas '!H$2)</f>
        <v>4870943.6524165189</v>
      </c>
      <c r="AG56" s="216">
        <f>AF56*(1+'Costo De Ventas '!I$2)</f>
        <v>5031684.7929462632</v>
      </c>
      <c r="AH56" s="216">
        <f>AG56*(1+'Costo De Ventas '!J$2)</f>
        <v>5197730.3911134899</v>
      </c>
      <c r="AI56" s="216">
        <f>AH56*(1+'Costo De Ventas '!K$2)</f>
        <v>5369255.4940202348</v>
      </c>
      <c r="AJ56" s="216">
        <f>AI56*(1+'Costo De Ventas '!L$2)</f>
        <v>5546440.9253229024</v>
      </c>
      <c r="AK56" s="216">
        <f>AJ56*(1+'Costo De Ventas '!M$2)</f>
        <v>5729473.475858558</v>
      </c>
      <c r="AL56" s="216">
        <f>AK56*(1+'Costo De Ventas '!N$2)</f>
        <v>5729473.475858558</v>
      </c>
    </row>
    <row r="57" spans="2:38">
      <c r="P57" s="339"/>
      <c r="Q57" s="339"/>
      <c r="R57" s="339"/>
      <c r="S57" s="339"/>
      <c r="X57" s="201" t="s">
        <v>55</v>
      </c>
      <c r="Y57" s="201">
        <v>1</v>
      </c>
      <c r="Z57" s="202">
        <v>150000</v>
      </c>
      <c r="AA57" s="215"/>
      <c r="AB57" s="216">
        <f>(Y57*Z57*(1+AA57))*4</f>
        <v>600000</v>
      </c>
      <c r="AC57" s="216">
        <f>(Y57*Z57*(1+AA57))*12*(1+Proyecciones!D3)</f>
        <v>1901160</v>
      </c>
      <c r="AD57" s="216">
        <f>AC57*(1+'Costo De Ventas '!F$2)</f>
        <v>1963898.2799999998</v>
      </c>
      <c r="AE57" s="216">
        <f>AD57*(1+'Costo De Ventas '!G$2)</f>
        <v>2024779.1266799995</v>
      </c>
      <c r="AF57" s="216">
        <f>AE57*(1+'Costo De Ventas '!H$2)</f>
        <v>2087547.2796070792</v>
      </c>
      <c r="AG57" s="216">
        <f>AF57*(1+'Costo De Ventas '!I$2)</f>
        <v>2156436.3398341127</v>
      </c>
      <c r="AH57" s="216">
        <f>AG57*(1+'Costo De Ventas '!J$2)</f>
        <v>2227598.7390486384</v>
      </c>
      <c r="AI57" s="216">
        <f>AH57*(1+'Costo De Ventas '!K$2)</f>
        <v>2301109.4974372433</v>
      </c>
      <c r="AJ57" s="216">
        <f>AI57*(1+'Costo De Ventas '!L$2)</f>
        <v>2377046.1108526723</v>
      </c>
      <c r="AK57" s="216">
        <f>AJ57*(1+'Costo De Ventas '!M$2)</f>
        <v>2455488.6325108102</v>
      </c>
      <c r="AL57" s="216">
        <f>AK57*(1+'Costo De Ventas '!N$2)</f>
        <v>2455488.6325108102</v>
      </c>
    </row>
    <row r="58" spans="2:38">
      <c r="B58" s="67" t="s">
        <v>108</v>
      </c>
      <c r="C58" s="91">
        <f>+SUM(Proyecciones!AB52,Proyecciones!AB57,Proyecciones!AB67,Proyecciones!AB61,Proyecciones!AB63)+C54*11.04/1000</f>
        <v>3400000</v>
      </c>
      <c r="D58" s="91">
        <f>+SUM(Proyecciones!AC52,Proyecciones!AC57,Proyecciones!AC67,Proyecciones!AC61,Proyecciones!AC63)+D54*11.04/1000</f>
        <v>15109219.083808698</v>
      </c>
      <c r="E58" s="91">
        <f>+SUM(Proyecciones!AD52,Proyecciones!AD57,Proyecciones!AD67,Proyecciones!AD61,Proyecciones!AD63)+E54*11.04/1000</f>
        <v>16041747.561155353</v>
      </c>
      <c r="F58" s="91">
        <f>+SUM(Proyecciones!AE52,Proyecciones!AE57,Proyecciones!AE67,Proyecciones!AE61,Proyecciones!AE63)+F54*11.04/1000</f>
        <v>16702458.14763394</v>
      </c>
      <c r="G58" s="91">
        <f>+SUM(Proyecciones!AF52,Proyecciones!AF57,Proyecciones!AF67,Proyecciones!AF61,Proyecciones!AF63)+G54*11.04/1000</f>
        <v>17379366.625901554</v>
      </c>
      <c r="H58" s="83">
        <f>+SUM(Proyecciones!AG52,Proyecciones!AG57,Proyecciones!AG67,Proyecciones!AG61,Proyecciones!AG63)+H54*11.04/1000</f>
        <v>18080023.600886591</v>
      </c>
      <c r="I58" s="83">
        <f>+SUM(Proyecciones!AH52,Proyecciones!AH57,Proyecciones!AH67,Proyecciones!AH61,Proyecciones!AH63)+I54*11.04/1000</f>
        <v>18844152.641834993</v>
      </c>
      <c r="J58" s="83">
        <f>+SUM(Proyecciones!AI52,Proyecciones!AI57,Proyecciones!AI67,Proyecciones!AI61,Proyecciones!AI63)+J54*11.04/1000</f>
        <v>19643869.484278161</v>
      </c>
      <c r="K58" s="83">
        <f>+SUM(Proyecciones!AJ52,Proyecciones!AJ57,Proyecciones!AJ67,Proyecciones!AJ61,Proyecciones!AJ63)+K54*11.04/1000</f>
        <v>20405778.801373988</v>
      </c>
      <c r="L58" s="83">
        <f>+SUM(Proyecciones!AK52,Proyecciones!AK57,Proyecciones!AK67,Proyecciones!AK61,Proyecciones!AK63)+L54*11.04/1000</f>
        <v>21079169.501819324</v>
      </c>
      <c r="M58" s="83">
        <f>+SUM(Proyecciones!AL52,Proyecciones!AL57,Proyecciones!AL67,Proyecciones!AL61,Proyecciones!AL63)+M54*11.04/1000</f>
        <v>21693750.970506508</v>
      </c>
      <c r="P58" s="339">
        <f t="shared" ref="P58:S61" si="58">((E58-D58)/D58)</f>
        <v>6.1719171068607297E-2</v>
      </c>
      <c r="Q58" s="339">
        <f t="shared" si="58"/>
        <v>4.1186945746389855E-2</v>
      </c>
      <c r="R58" s="339">
        <f t="shared" si="58"/>
        <v>4.0527476392060544E-2</v>
      </c>
      <c r="S58" s="339">
        <f t="shared" si="58"/>
        <v>4.0315449352498513E-2</v>
      </c>
      <c r="X58" s="201" t="s">
        <v>38</v>
      </c>
      <c r="Y58" s="201">
        <v>1</v>
      </c>
      <c r="Z58" s="202">
        <v>300000</v>
      </c>
      <c r="AA58" s="215"/>
      <c r="AB58" s="216">
        <f>(Y58*Z58*(1+AA58))*4</f>
        <v>1200000</v>
      </c>
      <c r="AC58" s="216">
        <f>(Y58*Z58*(1+AA58))*12*(1+Proyecciones!D3)</f>
        <v>3802320</v>
      </c>
      <c r="AD58" s="216">
        <f>AC58*(1+'Costo De Ventas '!F$2)</f>
        <v>3927796.5599999996</v>
      </c>
      <c r="AE58" s="216">
        <f>AD58*(1+'Costo De Ventas '!G$2)</f>
        <v>4049558.253359999</v>
      </c>
      <c r="AF58" s="216">
        <f>AE58*(1+'Costo De Ventas '!H$2)</f>
        <v>4175094.5592141584</v>
      </c>
      <c r="AG58" s="216">
        <f>AF58*(1+'Costo De Ventas '!I$2)</f>
        <v>4312872.6796682253</v>
      </c>
      <c r="AH58" s="216">
        <f>AG58*(1+'Costo De Ventas '!J$2)</f>
        <v>4455197.4780972768</v>
      </c>
      <c r="AI58" s="216">
        <f>AH58*(1+'Costo De Ventas '!K$2)</f>
        <v>4602218.9948744867</v>
      </c>
      <c r="AJ58" s="216">
        <f>AI58*(1+'Costo De Ventas '!L$2)</f>
        <v>4754092.2217053445</v>
      </c>
      <c r="AK58" s="216">
        <f>AJ58*(1+'Costo De Ventas '!M$2)</f>
        <v>4910977.2650216203</v>
      </c>
      <c r="AL58" s="216">
        <f>AK58*(1+'Costo De Ventas '!N$2)</f>
        <v>4910977.2650216203</v>
      </c>
    </row>
    <row r="59" spans="2:38">
      <c r="B59" s="67" t="s">
        <v>109</v>
      </c>
      <c r="C59" s="91">
        <f>+C40</f>
        <v>421250</v>
      </c>
      <c r="D59" s="91">
        <f t="shared" ref="D59:H59" si="59">+D40</f>
        <v>1011000</v>
      </c>
      <c r="E59" s="91">
        <f t="shared" si="59"/>
        <v>1011000</v>
      </c>
      <c r="F59" s="91">
        <f t="shared" si="59"/>
        <v>1011000</v>
      </c>
      <c r="G59" s="91">
        <f t="shared" si="59"/>
        <v>1011000</v>
      </c>
      <c r="H59" s="83">
        <f t="shared" si="59"/>
        <v>1011000</v>
      </c>
      <c r="I59" s="83">
        <f t="shared" ref="I59:K59" si="60">+I40</f>
        <v>1011000</v>
      </c>
      <c r="J59" s="83">
        <f t="shared" si="60"/>
        <v>1011000</v>
      </c>
      <c r="K59" s="83">
        <f t="shared" si="60"/>
        <v>1011000</v>
      </c>
      <c r="L59" s="83">
        <f t="shared" ref="L59:M59" si="61">+L40</f>
        <v>1011000</v>
      </c>
      <c r="M59" s="83">
        <f t="shared" si="61"/>
        <v>589750</v>
      </c>
      <c r="P59" s="339">
        <f t="shared" si="58"/>
        <v>0</v>
      </c>
      <c r="Q59" s="339">
        <f t="shared" si="58"/>
        <v>0</v>
      </c>
      <c r="R59" s="339">
        <f t="shared" si="58"/>
        <v>0</v>
      </c>
      <c r="S59" s="339">
        <f t="shared" si="58"/>
        <v>0</v>
      </c>
      <c r="X59" s="198"/>
      <c r="Y59" s="198"/>
      <c r="Z59" s="198"/>
      <c r="AA59" s="198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</row>
    <row r="60" spans="2:38" ht="15">
      <c r="B60" s="99" t="s">
        <v>110</v>
      </c>
      <c r="C60" s="100">
        <f>+C58+C59</f>
        <v>3821250</v>
      </c>
      <c r="D60" s="100">
        <f t="shared" ref="D60:G60" si="62">+D58+D59</f>
        <v>16120219.083808698</v>
      </c>
      <c r="E60" s="100">
        <f t="shared" si="62"/>
        <v>17052747.561155353</v>
      </c>
      <c r="F60" s="100">
        <f t="shared" si="62"/>
        <v>17713458.14763394</v>
      </c>
      <c r="G60" s="100">
        <f t="shared" si="62"/>
        <v>18390366.625901554</v>
      </c>
      <c r="H60" s="338">
        <f t="shared" ref="H60" si="63">+H58+H59</f>
        <v>19091023.600886591</v>
      </c>
      <c r="I60" s="338">
        <f t="shared" ref="I60:K60" si="64">+I58+I59</f>
        <v>19855152.641834993</v>
      </c>
      <c r="J60" s="338">
        <f t="shared" si="64"/>
        <v>20654869.484278161</v>
      </c>
      <c r="K60" s="338">
        <f t="shared" si="64"/>
        <v>21416778.801373988</v>
      </c>
      <c r="L60" s="338">
        <f t="shared" ref="L60:M60" si="65">+L58+L59</f>
        <v>22090169.501819324</v>
      </c>
      <c r="M60" s="338">
        <f t="shared" si="65"/>
        <v>22283500.970506508</v>
      </c>
      <c r="P60" s="339">
        <f t="shared" si="58"/>
        <v>5.7848374919624725E-2</v>
      </c>
      <c r="Q60" s="339">
        <f t="shared" si="58"/>
        <v>3.874511037644323E-2</v>
      </c>
      <c r="R60" s="339">
        <f t="shared" si="58"/>
        <v>3.8214360664409919E-2</v>
      </c>
      <c r="S60" s="339">
        <f t="shared" si="58"/>
        <v>3.8099130334803132E-2</v>
      </c>
      <c r="X60" s="212" t="s">
        <v>39</v>
      </c>
      <c r="Y60" s="213" t="s">
        <v>361</v>
      </c>
      <c r="Z60" s="214" t="s">
        <v>366</v>
      </c>
      <c r="AA60" s="214"/>
      <c r="AB60" s="214" t="s">
        <v>248</v>
      </c>
      <c r="AC60" s="214" t="s">
        <v>28</v>
      </c>
      <c r="AD60" s="214" t="s">
        <v>29</v>
      </c>
      <c r="AE60" s="214" t="s">
        <v>30</v>
      </c>
      <c r="AF60" s="214" t="s">
        <v>31</v>
      </c>
      <c r="AG60" s="214" t="s">
        <v>32</v>
      </c>
      <c r="AH60" s="214" t="s">
        <v>427</v>
      </c>
      <c r="AI60" s="214" t="s">
        <v>428</v>
      </c>
      <c r="AJ60" s="214" t="s">
        <v>429</v>
      </c>
      <c r="AK60" s="214" t="s">
        <v>430</v>
      </c>
      <c r="AL60" s="214" t="s">
        <v>431</v>
      </c>
    </row>
    <row r="61" spans="2:38" ht="15">
      <c r="B61" s="101" t="s">
        <v>111</v>
      </c>
      <c r="C61" s="98">
        <f>+C56-C60</f>
        <v>-114966159.3995662</v>
      </c>
      <c r="D61" s="98">
        <f t="shared" ref="D61:G61" si="66">+D56-D60</f>
        <v>37713927.855861329</v>
      </c>
      <c r="E61" s="98">
        <f t="shared" si="66"/>
        <v>52926876.987247616</v>
      </c>
      <c r="F61" s="98">
        <f t="shared" si="66"/>
        <v>65822821.338732868</v>
      </c>
      <c r="G61" s="98">
        <f t="shared" si="66"/>
        <v>80732138.775868982</v>
      </c>
      <c r="H61" s="337">
        <f t="shared" ref="H61" si="67">+H56-H60</f>
        <v>95751953.967283189</v>
      </c>
      <c r="I61" s="337">
        <f t="shared" ref="I61:K61" si="68">+I56-I60</f>
        <v>112886389.63952731</v>
      </c>
      <c r="J61" s="337">
        <f t="shared" si="68"/>
        <v>131503167.81279378</v>
      </c>
      <c r="K61" s="337">
        <f t="shared" si="68"/>
        <v>145871668.12900588</v>
      </c>
      <c r="L61" s="337">
        <f t="shared" ref="L61:M61" si="69">+L56-L60</f>
        <v>151464163.84213322</v>
      </c>
      <c r="M61" s="337">
        <f t="shared" si="69"/>
        <v>162170066.03047004</v>
      </c>
      <c r="P61" s="339">
        <f t="shared" si="58"/>
        <v>0.4033774787269197</v>
      </c>
      <c r="Q61" s="339">
        <f t="shared" si="58"/>
        <v>0.24365587175287984</v>
      </c>
      <c r="R61" s="339">
        <f t="shared" si="58"/>
        <v>0.22650681228643804</v>
      </c>
      <c r="S61" s="339">
        <f t="shared" si="58"/>
        <v>0.18604505490821535</v>
      </c>
      <c r="X61" s="201" t="s">
        <v>40</v>
      </c>
      <c r="Y61" s="201">
        <v>1</v>
      </c>
      <c r="Z61" s="202">
        <v>100000</v>
      </c>
      <c r="AA61" s="215"/>
      <c r="AB61" s="216">
        <f>(Y61*Z61*(1+AA61))*4</f>
        <v>400000</v>
      </c>
      <c r="AC61" s="216">
        <f t="shared" ref="AC61:AC67" si="70">(Y61*Z61*(1+AA61))*12</f>
        <v>1200000</v>
      </c>
      <c r="AD61" s="216">
        <f>AC61*(1+'Costo De Ventas '!E$2)</f>
        <v>1267440</v>
      </c>
      <c r="AE61" s="216">
        <f>AD61*(1+'Costo De Ventas '!F$2)</f>
        <v>1309265.5199999998</v>
      </c>
      <c r="AF61" s="216">
        <f>AE61*(1+'Costo De Ventas '!G$2)</f>
        <v>1349852.7511199997</v>
      </c>
      <c r="AG61" s="216">
        <f>AF61*(1+'Costo De Ventas '!H$2)</f>
        <v>1391698.1864047195</v>
      </c>
      <c r="AH61" s="216">
        <f>AG61*(1+'Costo De Ventas '!I$2)</f>
        <v>1437624.226556075</v>
      </c>
      <c r="AI61" s="216">
        <f>AH61*(1+'Costo De Ventas '!J$2)</f>
        <v>1485065.8260324255</v>
      </c>
      <c r="AJ61" s="216">
        <f>AI61*(1+'Costo De Ventas '!K$2)</f>
        <v>1534072.9982914955</v>
      </c>
      <c r="AK61" s="216">
        <f>AJ61*(1+'Costo De Ventas '!L$2)</f>
        <v>1584697.4072351146</v>
      </c>
      <c r="AL61" s="216">
        <f>AK61*(1+'Costo De Ventas '!M$2)</f>
        <v>1636992.4216738732</v>
      </c>
    </row>
    <row r="62" spans="2:38">
      <c r="P62" s="339"/>
      <c r="Q62" s="339"/>
      <c r="R62" s="339"/>
      <c r="S62" s="339"/>
      <c r="X62" s="201" t="s">
        <v>349</v>
      </c>
      <c r="Y62" s="201">
        <v>1</v>
      </c>
      <c r="Z62" s="202">
        <v>100000</v>
      </c>
      <c r="AA62" s="215"/>
      <c r="AB62" s="216"/>
      <c r="AC62" s="216">
        <f t="shared" si="70"/>
        <v>1200000</v>
      </c>
      <c r="AD62" s="216">
        <f>AC62*(1+'Costo De Ventas '!E$2)</f>
        <v>1267440</v>
      </c>
      <c r="AE62" s="216">
        <f>AD62*(1+'Costo De Ventas '!F$2)</f>
        <v>1309265.5199999998</v>
      </c>
      <c r="AF62" s="216">
        <f>AE62*(1+'Costo De Ventas '!G$2)</f>
        <v>1349852.7511199997</v>
      </c>
      <c r="AG62" s="216">
        <f>AF62*(1+'Costo De Ventas '!H$2)</f>
        <v>1391698.1864047195</v>
      </c>
      <c r="AH62" s="216">
        <f>AG62*(1+'Costo De Ventas '!I$2)</f>
        <v>1437624.226556075</v>
      </c>
      <c r="AI62" s="216">
        <f>AH62*(1+'Costo De Ventas '!J$2)</f>
        <v>1485065.8260324255</v>
      </c>
      <c r="AJ62" s="216">
        <f>AI62*(1+'Costo De Ventas '!K$2)</f>
        <v>1534072.9982914955</v>
      </c>
      <c r="AK62" s="216">
        <f>AJ62*(1+'Costo De Ventas '!L$2)</f>
        <v>1584697.4072351146</v>
      </c>
      <c r="AL62" s="216">
        <f>AK62*(1+'Costo De Ventas '!M$2)</f>
        <v>1636992.4216738732</v>
      </c>
    </row>
    <row r="63" spans="2:38">
      <c r="B63" s="78" t="s">
        <v>68</v>
      </c>
      <c r="C63" s="68"/>
      <c r="D63" s="91">
        <f>+D55*$D$12</f>
        <v>3461340.7413230441</v>
      </c>
      <c r="E63" s="91">
        <f t="shared" ref="E63:H63" si="71">+E55*$D$12</f>
        <v>3640378.5599534316</v>
      </c>
      <c r="F63" s="91">
        <f t="shared" si="71"/>
        <v>3770413.4725576225</v>
      </c>
      <c r="G63" s="91">
        <f t="shared" si="71"/>
        <v>3901269.9423037916</v>
      </c>
      <c r="H63" s="83">
        <f t="shared" si="71"/>
        <v>4038362.8721699934</v>
      </c>
      <c r="I63" s="83">
        <f t="shared" ref="I63:K63" si="72">+I55*$D$12</f>
        <v>4182100.4721305436</v>
      </c>
      <c r="J63" s="83">
        <f t="shared" si="72"/>
        <v>4330701.416145876</v>
      </c>
      <c r="K63" s="83">
        <f t="shared" si="72"/>
        <v>4475450.4636734184</v>
      </c>
      <c r="L63" s="83">
        <f t="shared" ref="L63:M63" si="73">+L55*$D$12</f>
        <v>4615792.8083222434</v>
      </c>
      <c r="M63" s="83">
        <f t="shared" si="73"/>
        <v>4717131.1573078753</v>
      </c>
      <c r="P63" s="339">
        <f t="shared" ref="P63:S65" si="74">((E63-D63)/D63)</f>
        <v>5.1724990981949125E-2</v>
      </c>
      <c r="Q63" s="339">
        <f t="shared" si="74"/>
        <v>3.572016219265238E-2</v>
      </c>
      <c r="R63" s="339">
        <f t="shared" si="74"/>
        <v>3.4706132549808651E-2</v>
      </c>
      <c r="S63" s="339">
        <f t="shared" si="74"/>
        <v>3.5140590600927529E-2</v>
      </c>
      <c r="X63" s="201" t="s">
        <v>41</v>
      </c>
      <c r="Y63" s="201">
        <v>1</v>
      </c>
      <c r="Z63" s="202">
        <v>100000</v>
      </c>
      <c r="AA63" s="215"/>
      <c r="AB63" s="216">
        <f>(Y63*Z63*(1+AA63))*4</f>
        <v>400000</v>
      </c>
      <c r="AC63" s="216">
        <f t="shared" si="70"/>
        <v>1200000</v>
      </c>
      <c r="AD63" s="216">
        <f>AC63*(1+'Costo De Ventas '!E$2)</f>
        <v>1267440</v>
      </c>
      <c r="AE63" s="216">
        <f>AD63*(1+'Costo De Ventas '!F$2)</f>
        <v>1309265.5199999998</v>
      </c>
      <c r="AF63" s="216">
        <f>AE63*(1+'Costo De Ventas '!G$2)</f>
        <v>1349852.7511199997</v>
      </c>
      <c r="AG63" s="216">
        <f>AF63*(1+'Costo De Ventas '!H$2)</f>
        <v>1391698.1864047195</v>
      </c>
      <c r="AH63" s="216">
        <f>AG63*(1+'Costo De Ventas '!I$2)</f>
        <v>1437624.226556075</v>
      </c>
      <c r="AI63" s="216">
        <f>AH63*(1+'Costo De Ventas '!J$2)</f>
        <v>1485065.8260324255</v>
      </c>
      <c r="AJ63" s="216">
        <f>AI63*(1+'Costo De Ventas '!K$2)</f>
        <v>1534072.9982914955</v>
      </c>
      <c r="AK63" s="216">
        <f>AJ63*(1+'Costo De Ventas '!L$2)</f>
        <v>1584697.4072351146</v>
      </c>
      <c r="AL63" s="216">
        <f>AK63*(1+'Costo De Ventas '!M$2)</f>
        <v>1636992.4216738732</v>
      </c>
    </row>
    <row r="64" spans="2:38">
      <c r="B64" s="78" t="s">
        <v>112</v>
      </c>
      <c r="C64" s="91">
        <f t="shared" ref="C64:H64" si="75">+C34</f>
        <v>1.5153062780216928E-4</v>
      </c>
      <c r="D64" s="91">
        <f t="shared" si="75"/>
        <v>3.6367350672520624E-4</v>
      </c>
      <c r="E64" s="91">
        <f t="shared" si="75"/>
        <v>3.4843869166067281E-4</v>
      </c>
      <c r="F64" s="91">
        <f t="shared" si="75"/>
        <v>3.3041590543932971E-4</v>
      </c>
      <c r="G64" s="91">
        <f t="shared" si="75"/>
        <v>3.0909494933948093E-4</v>
      </c>
      <c r="H64" s="83">
        <f t="shared" si="75"/>
        <v>2.8387225827335974E-4</v>
      </c>
      <c r="I64" s="83">
        <f t="shared" ref="I64:K64" si="76">+I34</f>
        <v>2.5403381474213842E-4</v>
      </c>
      <c r="J64" s="83">
        <f t="shared" si="76"/>
        <v>2.1873493604470355E-4</v>
      </c>
      <c r="K64" s="83">
        <f t="shared" si="76"/>
        <v>1.7697636254563812E-4</v>
      </c>
      <c r="L64" s="83">
        <f t="shared" ref="L64:M64" si="77">+L34</f>
        <v>1.2757597009624376E-4</v>
      </c>
      <c r="M64" s="83">
        <f t="shared" si="77"/>
        <v>6.9135305828610193E-5</v>
      </c>
      <c r="P64" s="339">
        <f t="shared" si="74"/>
        <v>-4.1891462487106436E-2</v>
      </c>
      <c r="Q64" s="339">
        <f t="shared" si="74"/>
        <v>-5.1724411360419754E-2</v>
      </c>
      <c r="R64" s="339">
        <f t="shared" si="74"/>
        <v>-6.4527632444024971E-2</v>
      </c>
      <c r="S64" s="339">
        <f t="shared" si="74"/>
        <v>-8.1601757388856444E-2</v>
      </c>
      <c r="X64" s="201" t="s">
        <v>348</v>
      </c>
      <c r="Y64" s="201">
        <v>1</v>
      </c>
      <c r="Z64" s="202">
        <v>5000000</v>
      </c>
      <c r="AA64" s="215"/>
      <c r="AB64" s="216">
        <f>(Y64*Z64*(1+AA64))*4</f>
        <v>20000000</v>
      </c>
      <c r="AC64" s="216">
        <f t="shared" si="70"/>
        <v>60000000</v>
      </c>
      <c r="AD64" s="216">
        <f>AC64*(1+'Costo De Ventas '!E$2)</f>
        <v>63372000</v>
      </c>
      <c r="AE64" s="216">
        <f>AD64*(1+'Costo De Ventas '!F$2)</f>
        <v>65463275.999999993</v>
      </c>
      <c r="AF64" s="216">
        <f>AE64*(1+'Costo De Ventas '!G$2)</f>
        <v>67492637.555999994</v>
      </c>
      <c r="AG64" s="216">
        <f>AF64*(1+'Costo De Ventas '!H$2)</f>
        <v>69584909.320235983</v>
      </c>
      <c r="AH64" s="216">
        <f>AG64*(1+'Costo De Ventas '!I$2)</f>
        <v>71881211.327803761</v>
      </c>
      <c r="AI64" s="216">
        <f>AH64*(1+'Costo De Ventas '!J$2)</f>
        <v>74253291.301621273</v>
      </c>
      <c r="AJ64" s="216">
        <f>AI64*(1+'Costo De Ventas '!K$2)</f>
        <v>76703649.914574772</v>
      </c>
      <c r="AK64" s="216">
        <f>AJ64*(1+'Costo De Ventas '!L$2)</f>
        <v>79234870.361755729</v>
      </c>
      <c r="AL64" s="216">
        <f>AK64*(1+'Costo De Ventas '!M$2)</f>
        <v>81849621.083693668</v>
      </c>
    </row>
    <row r="65" spans="1:38" ht="15">
      <c r="B65" s="101" t="s">
        <v>113</v>
      </c>
      <c r="C65" s="98">
        <f>+C61+C63-C64</f>
        <v>-114966159.39971773</v>
      </c>
      <c r="D65" s="98">
        <f>+D61+D63-D64</f>
        <v>41175268.596820705</v>
      </c>
      <c r="E65" s="98">
        <f t="shared" ref="E65:H65" si="78">+E61+E63-E64</f>
        <v>56567255.546852604</v>
      </c>
      <c r="F65" s="98">
        <f t="shared" si="78"/>
        <v>69593234.810960069</v>
      </c>
      <c r="G65" s="98">
        <f t="shared" si="78"/>
        <v>84633408.717863679</v>
      </c>
      <c r="H65" s="337">
        <f t="shared" si="78"/>
        <v>99790316.839169309</v>
      </c>
      <c r="I65" s="337">
        <f t="shared" ref="I65:K65" si="79">+I61+I63-I64</f>
        <v>117068490.11140381</v>
      </c>
      <c r="J65" s="337">
        <f t="shared" si="79"/>
        <v>135833869.2287209</v>
      </c>
      <c r="K65" s="337">
        <f t="shared" si="79"/>
        <v>150347118.59250233</v>
      </c>
      <c r="L65" s="337">
        <f t="shared" ref="L65:M65" si="80">+L61+L63-L64</f>
        <v>156079956.65032789</v>
      </c>
      <c r="M65" s="337">
        <f t="shared" si="80"/>
        <v>166887197.18770877</v>
      </c>
      <c r="P65" s="339">
        <f t="shared" si="74"/>
        <v>0.37381630951207373</v>
      </c>
      <c r="Q65" s="339">
        <f t="shared" si="74"/>
        <v>0.23027419552498035</v>
      </c>
      <c r="R65" s="339">
        <f t="shared" si="74"/>
        <v>0.21611545932241921</v>
      </c>
      <c r="S65" s="339">
        <f t="shared" si="74"/>
        <v>0.17908894786257668</v>
      </c>
      <c r="X65" s="201" t="s">
        <v>350</v>
      </c>
      <c r="Y65" s="201">
        <v>1</v>
      </c>
      <c r="Z65" s="202">
        <v>200000</v>
      </c>
      <c r="AA65" s="215"/>
      <c r="AB65" s="216">
        <f>(Y65*Z65*(1+AA65))*4</f>
        <v>800000</v>
      </c>
      <c r="AC65" s="216">
        <f t="shared" si="70"/>
        <v>2400000</v>
      </c>
      <c r="AD65" s="216">
        <f>AC65*(1+'Costo De Ventas '!E$2)</f>
        <v>2534880</v>
      </c>
      <c r="AE65" s="216">
        <f>AD65*(1+'Costo De Ventas '!F$2)</f>
        <v>2618531.0399999996</v>
      </c>
      <c r="AF65" s="216">
        <f>AE65*(1+'Costo De Ventas '!G$2)</f>
        <v>2699705.5022399994</v>
      </c>
      <c r="AG65" s="216">
        <f>AF65*(1+'Costo De Ventas '!H$2)</f>
        <v>2783396.372809439</v>
      </c>
      <c r="AH65" s="216">
        <f>AG65*(1+'Costo De Ventas '!I$2)</f>
        <v>2875248.4531121501</v>
      </c>
      <c r="AI65" s="216">
        <f>AH65*(1+'Costo De Ventas '!J$2)</f>
        <v>2970131.652064851</v>
      </c>
      <c r="AJ65" s="216">
        <f>AI65*(1+'Costo De Ventas '!K$2)</f>
        <v>3068145.996582991</v>
      </c>
      <c r="AK65" s="216">
        <f>AJ65*(1+'Costo De Ventas '!L$2)</f>
        <v>3169394.8144702292</v>
      </c>
      <c r="AL65" s="216">
        <f>AK65*(1+'Costo De Ventas '!M$2)</f>
        <v>3273984.8433477464</v>
      </c>
    </row>
    <row r="66" spans="1:38">
      <c r="P66" s="339"/>
      <c r="Q66" s="339"/>
      <c r="R66" s="339"/>
      <c r="S66" s="339"/>
      <c r="X66" s="201" t="s">
        <v>355</v>
      </c>
      <c r="Y66" s="201">
        <v>1</v>
      </c>
      <c r="Z66" s="202">
        <f>+IF('Menú de Navegación'!$H$3="Optimista",8000000,IF('Menú de Navegación'!H3="Realista",5000000,IF('Menú de Navegación'!H3="Pesimista",3000000)))</f>
        <v>8000000</v>
      </c>
      <c r="AA66" s="215"/>
      <c r="AB66" s="216">
        <f>(Y66*Z66*(1+AA66))*4</f>
        <v>32000000</v>
      </c>
      <c r="AC66" s="216">
        <f t="shared" si="70"/>
        <v>96000000</v>
      </c>
      <c r="AD66" s="216">
        <f>AC66*(1+'Costo De Ventas '!E$2)</f>
        <v>101395200</v>
      </c>
      <c r="AE66" s="216">
        <f>AD66*(1+'Costo De Ventas '!F$2)</f>
        <v>104741241.59999999</v>
      </c>
      <c r="AF66" s="216">
        <f>AE66*(1+'Costo De Ventas '!G$2)</f>
        <v>107988220.08959998</v>
      </c>
      <c r="AG66" s="216">
        <f>AF66*(1+'Costo De Ventas '!H$2)</f>
        <v>111335854.91237757</v>
      </c>
      <c r="AH66" s="216">
        <f>AG66*(1+'Costo De Ventas '!I$2)</f>
        <v>115009938.12448601</v>
      </c>
      <c r="AI66" s="216">
        <f>AH66*(1+'Costo De Ventas '!J$2)</f>
        <v>118805266.08259404</v>
      </c>
      <c r="AJ66" s="216">
        <f>AI66*(1+'Costo De Ventas '!K$2)</f>
        <v>122725839.86331964</v>
      </c>
      <c r="AK66" s="216">
        <f>AJ66*(1+'Costo De Ventas '!L$2)</f>
        <v>126775792.57880917</v>
      </c>
      <c r="AL66" s="216">
        <f>AK66*(1+'Costo De Ventas '!M$2)</f>
        <v>130959393.73390986</v>
      </c>
    </row>
    <row r="67" spans="1:38" ht="15" thickBot="1">
      <c r="B67" s="78" t="s">
        <v>114</v>
      </c>
      <c r="C67" s="91">
        <f>+IF(C65&gt;0,C65*C5,0)</f>
        <v>0</v>
      </c>
      <c r="D67" s="91">
        <f>+IF(D65&gt;0,D65*D5,0)</f>
        <v>14411344.008887246</v>
      </c>
      <c r="E67" s="91">
        <f t="shared" ref="E67:H67" si="81">+IF(E65&gt;0,E65*E5,0)</f>
        <v>19798539.441398408</v>
      </c>
      <c r="F67" s="91">
        <f t="shared" si="81"/>
        <v>24357632.183836024</v>
      </c>
      <c r="G67" s="91">
        <f t="shared" si="81"/>
        <v>29621693.051252287</v>
      </c>
      <c r="H67" s="83">
        <f t="shared" si="81"/>
        <v>34926610.893709257</v>
      </c>
      <c r="I67" s="83">
        <f t="shared" ref="I67:K67" si="82">+IF(I65&gt;0,I65*I5,0)</f>
        <v>40973971.538991332</v>
      </c>
      <c r="J67" s="83">
        <f t="shared" si="82"/>
        <v>47541854.230052315</v>
      </c>
      <c r="K67" s="83">
        <f t="shared" si="82"/>
        <v>52621491.507375814</v>
      </c>
      <c r="L67" s="83">
        <f t="shared" ref="L67:M67" si="83">+IF(L65&gt;0,L65*L5,0)</f>
        <v>54627984.827614762</v>
      </c>
      <c r="M67" s="83">
        <f t="shared" si="83"/>
        <v>58410519.015698068</v>
      </c>
      <c r="P67" s="339">
        <f t="shared" ref="P67:S68" si="84">((E67-D67)/D67)</f>
        <v>0.37381630951207356</v>
      </c>
      <c r="Q67" s="339">
        <f t="shared" si="84"/>
        <v>0.23027419552498055</v>
      </c>
      <c r="R67" s="339">
        <f t="shared" si="84"/>
        <v>0.21611545932241918</v>
      </c>
      <c r="S67" s="339">
        <f t="shared" si="84"/>
        <v>0.17908894786257668</v>
      </c>
      <c r="X67" s="201" t="s">
        <v>53</v>
      </c>
      <c r="Y67" s="201">
        <v>1</v>
      </c>
      <c r="Z67" s="202">
        <f>+IF('Menú de Navegación'!$H$3="Pesimista",66667,0)</f>
        <v>0</v>
      </c>
      <c r="AA67" s="215"/>
      <c r="AB67" s="216"/>
      <c r="AC67" s="216">
        <f t="shared" si="70"/>
        <v>0</v>
      </c>
      <c r="AD67" s="216">
        <f>AC67*(1+'Costo De Ventas '!E$2)</f>
        <v>0</v>
      </c>
      <c r="AE67" s="216">
        <f>AD67*(1+'Costo De Ventas '!F$2)</f>
        <v>0</v>
      </c>
      <c r="AF67" s="216">
        <f>AE67*(1+'Costo De Ventas '!G$2)</f>
        <v>0</v>
      </c>
      <c r="AG67" s="216">
        <f>AF67*(1+'Costo De Ventas '!H$2)</f>
        <v>0</v>
      </c>
      <c r="AH67" s="216">
        <f>AG67*(1+'Costo De Ventas '!I$2)</f>
        <v>0</v>
      </c>
      <c r="AI67" s="216">
        <f>AH67*(1+'Costo De Ventas '!J$2)</f>
        <v>0</v>
      </c>
      <c r="AJ67" s="216">
        <f>AI67*(1+'Costo De Ventas '!K$2)</f>
        <v>0</v>
      </c>
      <c r="AK67" s="216">
        <f>AJ67*(1+'Costo De Ventas '!L$2)</f>
        <v>0</v>
      </c>
      <c r="AL67" s="216">
        <f>AK67*(1+'Costo De Ventas '!M$2)</f>
        <v>0</v>
      </c>
    </row>
    <row r="68" spans="1:38" ht="16.5" thickTop="1" thickBot="1">
      <c r="B68" s="101" t="s">
        <v>115</v>
      </c>
      <c r="C68" s="98">
        <f>+C65-C67</f>
        <v>-114966159.39971773</v>
      </c>
      <c r="D68" s="98">
        <f>+D65-D67</f>
        <v>26763924.587933458</v>
      </c>
      <c r="E68" s="98">
        <f>+E65-E67</f>
        <v>36768716.105454192</v>
      </c>
      <c r="F68" s="98">
        <f t="shared" ref="F68:H68" si="85">+F65-F67</f>
        <v>45235602.627124041</v>
      </c>
      <c r="G68" s="98">
        <f t="shared" si="85"/>
        <v>55011715.666611388</v>
      </c>
      <c r="H68" s="337">
        <f t="shared" si="85"/>
        <v>64863705.945460051</v>
      </c>
      <c r="I68" s="337">
        <f t="shared" ref="I68:K68" si="86">+I65-I67</f>
        <v>76094518.572412476</v>
      </c>
      <c r="J68" s="337">
        <f t="shared" si="86"/>
        <v>88292014.998668581</v>
      </c>
      <c r="K68" s="337">
        <f t="shared" si="86"/>
        <v>97725627.085126519</v>
      </c>
      <c r="L68" s="337">
        <f t="shared" ref="L68:M68" si="87">+L65-L67</f>
        <v>101451971.82271314</v>
      </c>
      <c r="M68" s="337">
        <f t="shared" si="87"/>
        <v>108476678.17201069</v>
      </c>
      <c r="P68" s="339">
        <f t="shared" si="84"/>
        <v>0.37381630951207367</v>
      </c>
      <c r="Q68" s="339">
        <f t="shared" si="84"/>
        <v>0.23027419552498027</v>
      </c>
      <c r="R68" s="339">
        <f t="shared" si="84"/>
        <v>0.21611545932241924</v>
      </c>
      <c r="S68" s="339">
        <f t="shared" si="84"/>
        <v>0.17908894786257673</v>
      </c>
      <c r="X68" s="198"/>
      <c r="Y68" s="198"/>
      <c r="Z68" s="198"/>
      <c r="AA68" s="198"/>
      <c r="AB68" s="220">
        <f t="shared" ref="AB68:AG68" si="88">SUM(AB50:AB67)</f>
        <v>99527552</v>
      </c>
      <c r="AC68" s="220">
        <f t="shared" si="88"/>
        <v>304828441.26719999</v>
      </c>
      <c r="AD68" s="220">
        <f t="shared" si="88"/>
        <v>319906802.8690176</v>
      </c>
      <c r="AE68" s="220">
        <f t="shared" si="88"/>
        <v>330280904.4592371</v>
      </c>
      <c r="AF68" s="220">
        <f t="shared" si="88"/>
        <v>340519612.49747348</v>
      </c>
      <c r="AG68" s="220">
        <f t="shared" si="88"/>
        <v>351270054.10224062</v>
      </c>
      <c r="AH68" s="220">
        <f t="shared" ref="AH68:AI68" si="89">SUM(AH50:AH67)</f>
        <v>362861965.88761455</v>
      </c>
      <c r="AI68" s="220">
        <f t="shared" si="89"/>
        <v>374836410.76190585</v>
      </c>
      <c r="AJ68" s="220">
        <f t="shared" ref="AJ68:AL68" si="90">SUM(AJ50:AJ67)</f>
        <v>387206012.31704867</v>
      </c>
      <c r="AK68" s="220">
        <f t="shared" si="90"/>
        <v>399983810.72351134</v>
      </c>
      <c r="AL68" s="220">
        <f t="shared" si="90"/>
        <v>409411608.2215451</v>
      </c>
    </row>
    <row r="69" spans="1:38" ht="15" thickTop="1"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</row>
    <row r="70" spans="1:38" ht="15">
      <c r="B70" s="95" t="s">
        <v>116</v>
      </c>
      <c r="C70" s="90">
        <f t="shared" ref="C70:M70" si="91">C$2</f>
        <v>2021</v>
      </c>
      <c r="D70" s="90">
        <f t="shared" si="91"/>
        <v>2022</v>
      </c>
      <c r="E70" s="90">
        <f t="shared" si="91"/>
        <v>2023</v>
      </c>
      <c r="F70" s="90">
        <f t="shared" si="91"/>
        <v>2024</v>
      </c>
      <c r="G70" s="90">
        <f t="shared" si="91"/>
        <v>2025</v>
      </c>
      <c r="H70" s="90">
        <f t="shared" si="91"/>
        <v>2026</v>
      </c>
      <c r="I70" s="90">
        <f t="shared" si="91"/>
        <v>2027</v>
      </c>
      <c r="J70" s="90">
        <f t="shared" si="91"/>
        <v>2028</v>
      </c>
      <c r="K70" s="90">
        <f t="shared" si="91"/>
        <v>2029</v>
      </c>
      <c r="L70" s="90">
        <f t="shared" si="91"/>
        <v>2030</v>
      </c>
      <c r="M70" s="90">
        <f t="shared" si="91"/>
        <v>2031</v>
      </c>
    </row>
    <row r="71" spans="1:38">
      <c r="B71" s="78" t="s">
        <v>117</v>
      </c>
      <c r="C71" s="91">
        <f>+C120</f>
        <v>68356010.612610683</v>
      </c>
      <c r="D71" s="91">
        <f t="shared" ref="D71:H71" si="92">+D120</f>
        <v>64601580.084305838</v>
      </c>
      <c r="E71" s="91">
        <f t="shared" si="92"/>
        <v>66806694.814685456</v>
      </c>
      <c r="F71" s="91">
        <f t="shared" si="92"/>
        <v>69133700.309260026</v>
      </c>
      <c r="G71" s="91">
        <f t="shared" si="92"/>
        <v>71581550.649268091</v>
      </c>
      <c r="H71" s="91">
        <f t="shared" si="92"/>
        <v>72419970.364800423</v>
      </c>
      <c r="I71" s="91">
        <f t="shared" ref="I71:K71" si="93">+I120</f>
        <v>76754365.10448119</v>
      </c>
      <c r="J71" s="91">
        <f t="shared" si="93"/>
        <v>79535903.369923681</v>
      </c>
      <c r="K71" s="91">
        <f t="shared" si="93"/>
        <v>82164926.616075143</v>
      </c>
      <c r="L71" s="91">
        <f t="shared" ref="L71:M71" si="94">+L120</f>
        <v>84641209.201880813</v>
      </c>
      <c r="M71" s="91">
        <f t="shared" si="94"/>
        <v>86124407.252477616</v>
      </c>
    </row>
    <row r="72" spans="1:38">
      <c r="B72" s="78" t="s">
        <v>118</v>
      </c>
      <c r="C72" s="91">
        <f>C119</f>
        <v>5717772.187237829</v>
      </c>
      <c r="D72" s="91">
        <f>+C72+D119</f>
        <v>5717772.187237829</v>
      </c>
      <c r="E72" s="91">
        <f>+D72+E119</f>
        <v>5717772.187237829</v>
      </c>
      <c r="F72" s="91">
        <f t="shared" ref="F72:G72" si="95">+E72+F119</f>
        <v>5717772.187237829</v>
      </c>
      <c r="G72" s="91">
        <f t="shared" si="95"/>
        <v>46602546.479267925</v>
      </c>
      <c r="H72" s="91">
        <f>+G72+H119</f>
        <v>74001933.763968706</v>
      </c>
      <c r="I72" s="91">
        <f t="shared" ref="I72:K72" si="96">+H72+I119</f>
        <v>82841481.992397338</v>
      </c>
      <c r="J72" s="91">
        <f t="shared" si="96"/>
        <v>95071523.625049889</v>
      </c>
      <c r="K72" s="91">
        <f t="shared" si="96"/>
        <v>106324382.2490098</v>
      </c>
      <c r="L72" s="91">
        <f t="shared" ref="L72:M72" si="97">+K72+L119</f>
        <v>113719240.39657398</v>
      </c>
      <c r="M72" s="91">
        <f t="shared" si="97"/>
        <v>126232674.26142405</v>
      </c>
    </row>
    <row r="73" spans="1:38">
      <c r="B73" s="78" t="s">
        <v>119</v>
      </c>
      <c r="C73" s="91"/>
      <c r="D73" s="91">
        <f>+(D54/360*$D$14)</f>
        <v>67494853.318368033</v>
      </c>
      <c r="E73" s="91">
        <f t="shared" ref="E73:H73" si="98">+(E54/360*$D$14)</f>
        <v>73212841.804881528</v>
      </c>
      <c r="F73" s="91">
        <f t="shared" si="98"/>
        <v>77670844.955222562</v>
      </c>
      <c r="G73" s="91">
        <f t="shared" si="98"/>
        <v>82481000.383299485</v>
      </c>
      <c r="H73" s="91">
        <f t="shared" si="98"/>
        <v>87418972.914246857</v>
      </c>
      <c r="I73" s="91">
        <f t="shared" ref="I73:K73" si="99">+(I54/360*$D$14)</f>
        <v>92832305.392988682</v>
      </c>
      <c r="J73" s="91">
        <f t="shared" si="99"/>
        <v>98580853.072144091</v>
      </c>
      <c r="K73" s="91">
        <f t="shared" si="99"/>
        <v>103549927.38467596</v>
      </c>
      <c r="L73" s="91">
        <f t="shared" ref="L73:M73" si="100">+(L54/360*$D$14)</f>
        <v>106967074.98837024</v>
      </c>
      <c r="M73" s="91">
        <f t="shared" si="100"/>
        <v>110496988.46298644</v>
      </c>
    </row>
    <row r="74" spans="1:38">
      <c r="B74" s="78" t="s">
        <v>120</v>
      </c>
      <c r="C74" s="91"/>
      <c r="D74" s="91">
        <f>+(D55/360*$D$15)</f>
        <v>58522495.495089687</v>
      </c>
      <c r="E74" s="91">
        <f t="shared" ref="E74:H74" si="101">+(E55/360*$D$15)</f>
        <v>61549571.04681436</v>
      </c>
      <c r="F74" s="91">
        <f t="shared" si="101"/>
        <v>63748131.707494758</v>
      </c>
      <c r="G74" s="91">
        <f t="shared" si="101"/>
        <v>65960582.816337727</v>
      </c>
      <c r="H74" s="91">
        <f t="shared" si="101"/>
        <v>68278476.652885228</v>
      </c>
      <c r="I74" s="91">
        <f t="shared" ref="I74:K74" si="102">+(I55/360*$D$15)</f>
        <v>70708715.012761638</v>
      </c>
      <c r="J74" s="91">
        <f t="shared" si="102"/>
        <v>73221180.189298779</v>
      </c>
      <c r="K74" s="91">
        <f t="shared" si="102"/>
        <v>75668519.562945992</v>
      </c>
      <c r="L74" s="91">
        <f t="shared" ref="L74:M74" si="103">+(L55/360*$D$15)</f>
        <v>78041352.764378145</v>
      </c>
      <c r="M74" s="91">
        <f t="shared" si="103"/>
        <v>79754727.296157032</v>
      </c>
    </row>
    <row r="75" spans="1:38" s="64" customFormat="1" ht="15">
      <c r="A75" s="325"/>
      <c r="B75" s="103" t="s">
        <v>121</v>
      </c>
      <c r="C75" s="100">
        <f>SUM(C71:C74)</f>
        <v>74073782.799848512</v>
      </c>
      <c r="D75" s="100">
        <f>SUM(D71:D74)</f>
        <v>196336701.08500138</v>
      </c>
      <c r="E75" s="100">
        <f t="shared" ref="E75:H75" si="104">SUM(E71:E74)</f>
        <v>207286879.85361919</v>
      </c>
      <c r="F75" s="100">
        <f t="shared" si="104"/>
        <v>216270449.15921518</v>
      </c>
      <c r="G75" s="100">
        <f t="shared" si="104"/>
        <v>266625680.32817325</v>
      </c>
      <c r="H75" s="100">
        <f t="shared" si="104"/>
        <v>302119353.69590122</v>
      </c>
      <c r="I75" s="100">
        <f t="shared" ref="I75:K75" si="105">SUM(I71:I74)</f>
        <v>323136867.50262886</v>
      </c>
      <c r="J75" s="100">
        <f t="shared" si="105"/>
        <v>346409460.25641644</v>
      </c>
      <c r="K75" s="100">
        <f t="shared" si="105"/>
        <v>367707755.81270695</v>
      </c>
      <c r="L75" s="100">
        <f t="shared" ref="L75:M75" si="106">SUM(L71:L74)</f>
        <v>383368877.35120314</v>
      </c>
      <c r="M75" s="100">
        <f t="shared" si="106"/>
        <v>402608797.27304506</v>
      </c>
    </row>
    <row r="76" spans="1:38">
      <c r="B76" s="78" t="s">
        <v>122</v>
      </c>
      <c r="C76" s="292">
        <f>+C42+Proyecciones!$AB$15</f>
        <v>9688750</v>
      </c>
      <c r="D76" s="292">
        <f>+D42+Proyecciones!$AB$15</f>
        <v>8677750</v>
      </c>
      <c r="E76" s="292">
        <f>+E42+Proyecciones!$AB$15</f>
        <v>7666750</v>
      </c>
      <c r="F76" s="292">
        <f>+F42+Proyecciones!$AB$15</f>
        <v>6655750</v>
      </c>
      <c r="G76" s="292">
        <f>+G42+Proyecciones!$AB$15</f>
        <v>5644750</v>
      </c>
      <c r="H76" s="292">
        <f>+H42+Proyecciones!$AB$15</f>
        <v>4633750</v>
      </c>
      <c r="I76" s="292">
        <f>+I42+Proyecciones!$AB$15</f>
        <v>3622750</v>
      </c>
      <c r="J76" s="292">
        <f>+J42+Proyecciones!$AB$15</f>
        <v>2611750</v>
      </c>
      <c r="K76" s="292">
        <f>+K42+Proyecciones!$AB$15</f>
        <v>1600750</v>
      </c>
      <c r="L76" s="292">
        <f>+L42+Proyecciones!$AB$15</f>
        <v>589750</v>
      </c>
      <c r="M76" s="292">
        <f>+M42+Proyecciones!$AB$15</f>
        <v>0</v>
      </c>
    </row>
    <row r="77" spans="1:38" ht="15">
      <c r="B77" s="97" t="s">
        <v>123</v>
      </c>
      <c r="C77" s="98">
        <f>+C75+C76</f>
        <v>83762532.799848512</v>
      </c>
      <c r="D77" s="98">
        <f>+D75+D76</f>
        <v>205014451.08500138</v>
      </c>
      <c r="E77" s="98">
        <f t="shared" ref="E77:H77" si="107">+E75+E76</f>
        <v>214953629.85361919</v>
      </c>
      <c r="F77" s="98">
        <f t="shared" si="107"/>
        <v>222926199.15921518</v>
      </c>
      <c r="G77" s="98">
        <f t="shared" si="107"/>
        <v>272270430.32817328</v>
      </c>
      <c r="H77" s="98">
        <f t="shared" si="107"/>
        <v>306753103.69590122</v>
      </c>
      <c r="I77" s="98">
        <f t="shared" ref="I77:K77" si="108">+I75+I76</f>
        <v>326759617.50262886</v>
      </c>
      <c r="J77" s="98">
        <f t="shared" si="108"/>
        <v>349021210.25641644</v>
      </c>
      <c r="K77" s="98">
        <f t="shared" si="108"/>
        <v>369308505.81270695</v>
      </c>
      <c r="L77" s="98">
        <f t="shared" ref="L77:M77" si="109">+L75+L76</f>
        <v>383958627.35120314</v>
      </c>
      <c r="M77" s="98">
        <f t="shared" si="109"/>
        <v>402608797.27304506</v>
      </c>
    </row>
    <row r="78" spans="1:38" ht="5.45" customHeight="1"/>
    <row r="79" spans="1:38">
      <c r="B79" s="78" t="s">
        <v>124</v>
      </c>
      <c r="C79" s="91">
        <f>+C118</f>
        <v>0</v>
      </c>
      <c r="D79" s="91">
        <f>+D118</f>
        <v>75849575.054658666</v>
      </c>
      <c r="E79" s="91">
        <f t="shared" ref="E79:H79" si="110">+E118</f>
        <v>46765089.780208223</v>
      </c>
      <c r="F79" s="91">
        <f t="shared" si="110"/>
        <v>7684532.6019547135</v>
      </c>
      <c r="G79" s="91">
        <f t="shared" si="110"/>
        <v>0</v>
      </c>
      <c r="H79" s="91">
        <f t="shared" si="110"/>
        <v>0</v>
      </c>
      <c r="I79" s="91">
        <f t="shared" ref="I79:K79" si="111">+I118</f>
        <v>0</v>
      </c>
      <c r="J79" s="91">
        <f t="shared" si="111"/>
        <v>0</v>
      </c>
      <c r="K79" s="91">
        <f t="shared" si="111"/>
        <v>0</v>
      </c>
      <c r="L79" s="91">
        <f t="shared" ref="L79:M79" si="112">+L118</f>
        <v>0</v>
      </c>
      <c r="M79" s="91">
        <f t="shared" si="112"/>
        <v>0</v>
      </c>
    </row>
    <row r="80" spans="1:38">
      <c r="B80" s="78" t="s">
        <v>125</v>
      </c>
      <c r="C80" s="91">
        <v>0</v>
      </c>
      <c r="D80" s="91">
        <f>+(D55/360*$D$16)</f>
        <v>14630623.873772422</v>
      </c>
      <c r="E80" s="91">
        <f t="shared" ref="E80:H80" si="113">+(E55/360*$D$16)</f>
        <v>15387392.76170359</v>
      </c>
      <c r="F80" s="91">
        <f t="shared" si="113"/>
        <v>15937032.92687369</v>
      </c>
      <c r="G80" s="91">
        <f t="shared" si="113"/>
        <v>16490145.704084432</v>
      </c>
      <c r="H80" s="91">
        <f t="shared" si="113"/>
        <v>17069619.163221307</v>
      </c>
      <c r="I80" s="91">
        <f t="shared" ref="I80:K80" si="114">+(I55/360*$D$16)</f>
        <v>17677178.753190409</v>
      </c>
      <c r="J80" s="91">
        <f t="shared" si="114"/>
        <v>18305295.047324695</v>
      </c>
      <c r="K80" s="91">
        <f t="shared" si="114"/>
        <v>18917129.890736498</v>
      </c>
      <c r="L80" s="91">
        <f t="shared" ref="L80:M80" si="115">+(L55/360*$D$16)</f>
        <v>19510338.191094536</v>
      </c>
      <c r="M80" s="91">
        <f t="shared" si="115"/>
        <v>19938681.824039258</v>
      </c>
    </row>
    <row r="81" spans="1:23">
      <c r="B81" s="78" t="s">
        <v>126</v>
      </c>
      <c r="C81" s="91">
        <f>+C67*(1-$C$21)</f>
        <v>0</v>
      </c>
      <c r="D81" s="91">
        <f>+D67*(1-$C$21)</f>
        <v>4007794.7688715435</v>
      </c>
      <c r="E81" s="91">
        <f t="shared" ref="E81:H81" si="116">+E67*(1-$C$21)</f>
        <v>5505973.8186528981</v>
      </c>
      <c r="F81" s="91">
        <f t="shared" si="116"/>
        <v>6773857.5103247985</v>
      </c>
      <c r="G81" s="91">
        <f t="shared" si="116"/>
        <v>8237792.8375532618</v>
      </c>
      <c r="H81" s="91">
        <f t="shared" si="116"/>
        <v>9713090.4895405453</v>
      </c>
      <c r="I81" s="91">
        <f t="shared" ref="I81:K81" si="117">+I67*(1-$C$21)</f>
        <v>11394861.484993489</v>
      </c>
      <c r="J81" s="91">
        <f t="shared" si="117"/>
        <v>13221389.661377549</v>
      </c>
      <c r="K81" s="91">
        <f t="shared" si="117"/>
        <v>14634036.788201215</v>
      </c>
      <c r="L81" s="91">
        <f t="shared" ref="L81:M81" si="118">+L67*(1-$C$21)</f>
        <v>15192042.580559665</v>
      </c>
      <c r="M81" s="91">
        <f t="shared" si="118"/>
        <v>16243965.338265633</v>
      </c>
    </row>
    <row r="82" spans="1:23">
      <c r="B82" s="78" t="s">
        <v>127</v>
      </c>
      <c r="C82" s="91">
        <f>+D35</f>
        <v>8.3250355543898512E-5</v>
      </c>
      <c r="D82" s="91">
        <f t="shared" ref="D82:G82" si="119">+E35</f>
        <v>9.848517060843194E-5</v>
      </c>
      <c r="E82" s="91">
        <f t="shared" si="119"/>
        <v>1.1650795682977504E-4</v>
      </c>
      <c r="F82" s="91">
        <f t="shared" si="119"/>
        <v>1.3782891292962382E-4</v>
      </c>
      <c r="G82" s="91">
        <f t="shared" si="119"/>
        <v>1.6305160399574501E-4</v>
      </c>
      <c r="H82" s="91">
        <f>+I35</f>
        <v>1.9289004752696634E-4</v>
      </c>
      <c r="I82" s="91">
        <f t="shared" ref="I82:K82" si="120">+J35</f>
        <v>2.281889262244012E-4</v>
      </c>
      <c r="J82" s="91">
        <f t="shared" si="120"/>
        <v>2.6994749972346664E-4</v>
      </c>
      <c r="K82" s="91">
        <f t="shared" si="120"/>
        <v>3.1934789217286097E-4</v>
      </c>
      <c r="L82" s="91">
        <f t="shared" ref="L82" si="121">+M35</f>
        <v>3.7778855644049459E-4</v>
      </c>
      <c r="M82" s="91">
        <v>0</v>
      </c>
      <c r="N82" s="117"/>
      <c r="O82" s="117"/>
      <c r="P82" s="117"/>
      <c r="Q82" s="117"/>
      <c r="R82" s="117"/>
      <c r="S82" s="117"/>
      <c r="T82" s="117"/>
      <c r="U82" s="117"/>
      <c r="V82" s="117"/>
      <c r="W82" s="117"/>
    </row>
    <row r="83" spans="1:23" s="64" customFormat="1" ht="15">
      <c r="A83" s="325"/>
      <c r="B83" s="103" t="s">
        <v>128</v>
      </c>
      <c r="C83" s="100">
        <f>SUM(C79:C82)</f>
        <v>8.3250355543898512E-5</v>
      </c>
      <c r="D83" s="100">
        <f t="shared" ref="D83:G83" si="122">SUM(D79:D82)</f>
        <v>94487993.697401121</v>
      </c>
      <c r="E83" s="100">
        <f t="shared" si="122"/>
        <v>67658456.360681221</v>
      </c>
      <c r="F83" s="100">
        <f t="shared" si="122"/>
        <v>30395423.039291032</v>
      </c>
      <c r="G83" s="100">
        <f t="shared" si="122"/>
        <v>24727938.541800745</v>
      </c>
      <c r="H83" s="100">
        <f>SUM(H79:H82)</f>
        <v>26782709.652954746</v>
      </c>
      <c r="I83" s="100">
        <f t="shared" ref="I83:M83" si="123">SUM(I79:I82)</f>
        <v>29072040.23841209</v>
      </c>
      <c r="J83" s="100">
        <f t="shared" si="123"/>
        <v>31526684.70897219</v>
      </c>
      <c r="K83" s="100">
        <f t="shared" si="123"/>
        <v>33551166.679257058</v>
      </c>
      <c r="L83" s="100">
        <f t="shared" si="123"/>
        <v>34702380.772031993</v>
      </c>
      <c r="M83" s="100">
        <f t="shared" si="123"/>
        <v>36182647.162304893</v>
      </c>
      <c r="N83" s="341"/>
      <c r="O83" s="341"/>
      <c r="P83" s="341"/>
      <c r="Q83" s="341"/>
      <c r="R83" s="341"/>
      <c r="S83" s="341"/>
      <c r="T83" s="341"/>
      <c r="U83" s="341"/>
      <c r="V83" s="341"/>
      <c r="W83" s="341"/>
    </row>
    <row r="84" spans="1:23">
      <c r="B84" s="78" t="s">
        <v>129</v>
      </c>
      <c r="C84" s="91">
        <f t="shared" ref="C84:H84" si="124">+C36-C82</f>
        <v>1.904036566451764E-3</v>
      </c>
      <c r="D84" s="91">
        <f t="shared" si="124"/>
        <v>1.8055513958433319E-3</v>
      </c>
      <c r="E84" s="91">
        <f t="shared" si="124"/>
        <v>1.6890434390135569E-3</v>
      </c>
      <c r="F84" s="91">
        <f t="shared" si="124"/>
        <v>1.5512145260839331E-3</v>
      </c>
      <c r="G84" s="91">
        <f t="shared" si="124"/>
        <v>1.388162922088188E-3</v>
      </c>
      <c r="H84" s="91">
        <f t="shared" si="124"/>
        <v>1.1952728745612217E-3</v>
      </c>
      <c r="I84" s="91">
        <f t="shared" ref="I84:K84" si="125">+I36-I82</f>
        <v>9.6708394833682041E-4</v>
      </c>
      <c r="J84" s="91">
        <f t="shared" si="125"/>
        <v>6.9713644861335382E-4</v>
      </c>
      <c r="K84" s="91">
        <f t="shared" si="125"/>
        <v>3.7778855644049285E-4</v>
      </c>
      <c r="L84" s="91">
        <f t="shared" ref="L84" si="126">+L36-L82</f>
        <v>-1.7347234759768071E-18</v>
      </c>
      <c r="M84" s="91">
        <v>0</v>
      </c>
      <c r="N84" s="117"/>
      <c r="O84" s="117"/>
      <c r="P84" s="117"/>
      <c r="Q84" s="117"/>
      <c r="R84" s="117"/>
      <c r="S84" s="117"/>
      <c r="T84" s="117"/>
      <c r="U84" s="117"/>
      <c r="V84" s="117"/>
      <c r="W84" s="117"/>
    </row>
    <row r="85" spans="1:23" ht="15">
      <c r="B85" s="97" t="s">
        <v>130</v>
      </c>
      <c r="C85" s="98">
        <f>+C83+C84</f>
        <v>1.9872869219956625E-3</v>
      </c>
      <c r="D85" s="98">
        <f t="shared" ref="D85:H85" si="127">+D83+D84</f>
        <v>94487993.69920668</v>
      </c>
      <c r="E85" s="98">
        <f t="shared" si="127"/>
        <v>67658456.362370268</v>
      </c>
      <c r="F85" s="98">
        <f t="shared" si="127"/>
        <v>30395423.040842246</v>
      </c>
      <c r="G85" s="98">
        <f t="shared" si="127"/>
        <v>24727938.543188907</v>
      </c>
      <c r="H85" s="98">
        <f t="shared" si="127"/>
        <v>26782709.65415002</v>
      </c>
      <c r="I85" s="98">
        <f t="shared" ref="I85:K85" si="128">+I83+I84</f>
        <v>29072040.239379175</v>
      </c>
      <c r="J85" s="98">
        <f t="shared" si="128"/>
        <v>31526684.709669326</v>
      </c>
      <c r="K85" s="98">
        <f t="shared" si="128"/>
        <v>33551166.679634847</v>
      </c>
      <c r="L85" s="98">
        <f t="shared" ref="L85:M85" si="129">+L83+L84</f>
        <v>34702380.772031993</v>
      </c>
      <c r="M85" s="98">
        <f t="shared" si="129"/>
        <v>36182647.162304893</v>
      </c>
      <c r="N85" s="342">
        <f t="shared" ref="N85" si="130">+H85/H93</f>
        <v>8.7310313510962773E-2</v>
      </c>
      <c r="O85" s="342"/>
      <c r="P85" s="342"/>
      <c r="Q85" s="342"/>
      <c r="R85" s="342"/>
      <c r="S85" s="342"/>
      <c r="T85" s="342"/>
      <c r="U85" s="342"/>
      <c r="V85" s="342"/>
      <c r="W85" s="342"/>
    </row>
    <row r="86" spans="1:23" ht="5.45" customHeight="1">
      <c r="N86" s="342"/>
      <c r="O86" s="342"/>
      <c r="P86" s="342"/>
      <c r="Q86" s="342"/>
      <c r="R86" s="342"/>
      <c r="S86" s="342"/>
      <c r="T86" s="342"/>
      <c r="U86" s="342"/>
      <c r="V86" s="342"/>
      <c r="W86" s="342"/>
    </row>
    <row r="87" spans="1:23">
      <c r="B87" s="78" t="s">
        <v>131</v>
      </c>
      <c r="C87" s="91">
        <f>+C7-C36</f>
        <v>198728692.19757897</v>
      </c>
      <c r="D87" s="91">
        <f>+C87</f>
        <v>198728692.19757897</v>
      </c>
      <c r="E87" s="91">
        <f t="shared" ref="E87:H87" si="131">+D87</f>
        <v>198728692.19757897</v>
      </c>
      <c r="F87" s="91">
        <f t="shared" si="131"/>
        <v>198728692.19757897</v>
      </c>
      <c r="G87" s="91">
        <f t="shared" si="131"/>
        <v>198728692.19757897</v>
      </c>
      <c r="H87" s="91">
        <f t="shared" si="131"/>
        <v>198728692.19757897</v>
      </c>
      <c r="I87" s="91">
        <f t="shared" ref="I87" si="132">+H87</f>
        <v>198728692.19757897</v>
      </c>
      <c r="J87" s="91">
        <f t="shared" ref="J87" si="133">+I87</f>
        <v>198728692.19757897</v>
      </c>
      <c r="K87" s="91">
        <f t="shared" ref="K87:M87" si="134">+J87</f>
        <v>198728692.19757897</v>
      </c>
      <c r="L87" s="91">
        <f t="shared" si="134"/>
        <v>198728692.19757897</v>
      </c>
      <c r="M87" s="91">
        <f t="shared" si="134"/>
        <v>198728692.19757897</v>
      </c>
      <c r="N87" s="342"/>
      <c r="O87" s="342"/>
      <c r="P87" s="342"/>
      <c r="Q87" s="342"/>
      <c r="R87" s="342"/>
      <c r="S87" s="342"/>
      <c r="T87" s="342"/>
      <c r="U87" s="342"/>
      <c r="V87" s="342"/>
      <c r="W87" s="342"/>
    </row>
    <row r="88" spans="1:23">
      <c r="B88" s="78" t="s">
        <v>76</v>
      </c>
      <c r="C88" s="92"/>
      <c r="D88" s="91">
        <f>+C88+D48</f>
        <v>0</v>
      </c>
      <c r="E88" s="91">
        <f>+D88+E48</f>
        <v>2676392.4587933458</v>
      </c>
      <c r="F88" s="91">
        <f t="shared" ref="F88:H88" si="135">+E88+F48</f>
        <v>6353264.069338765</v>
      </c>
      <c r="G88" s="91">
        <f t="shared" si="135"/>
        <v>10876824.332051169</v>
      </c>
      <c r="H88" s="91">
        <f t="shared" si="135"/>
        <v>16377995.898712307</v>
      </c>
      <c r="I88" s="91">
        <f t="shared" ref="I88" si="136">+H88+I48</f>
        <v>22864366.493258312</v>
      </c>
      <c r="J88" s="91">
        <f t="shared" ref="J88" si="137">+I88+J48</f>
        <v>30473818.350499559</v>
      </c>
      <c r="K88" s="91">
        <f t="shared" ref="K88:M88" si="138">+J88+K48</f>
        <v>39303019.850366414</v>
      </c>
      <c r="L88" s="91">
        <f t="shared" si="138"/>
        <v>49075582.558879063</v>
      </c>
      <c r="M88" s="91">
        <f t="shared" si="138"/>
        <v>59220779.741150379</v>
      </c>
      <c r="N88" s="342"/>
      <c r="O88" s="342"/>
      <c r="P88" s="342"/>
      <c r="Q88" s="342"/>
      <c r="R88" s="342"/>
      <c r="S88" s="342"/>
      <c r="T88" s="342"/>
      <c r="U88" s="342"/>
      <c r="V88" s="342"/>
      <c r="W88" s="342"/>
    </row>
    <row r="89" spans="1:23">
      <c r="B89" s="78" t="s">
        <v>132</v>
      </c>
      <c r="C89" s="91">
        <f>+C68</f>
        <v>-114966159.39971773</v>
      </c>
      <c r="D89" s="91">
        <f>+D68</f>
        <v>26763924.587933458</v>
      </c>
      <c r="E89" s="91">
        <f t="shared" ref="E89:H89" si="139">+E68</f>
        <v>36768716.105454192</v>
      </c>
      <c r="F89" s="91">
        <f t="shared" si="139"/>
        <v>45235602.627124041</v>
      </c>
      <c r="G89" s="91">
        <f t="shared" si="139"/>
        <v>55011715.666611388</v>
      </c>
      <c r="H89" s="91">
        <f t="shared" si="139"/>
        <v>64863705.945460051</v>
      </c>
      <c r="I89" s="91">
        <f t="shared" ref="I89:K89" si="140">+I68</f>
        <v>76094518.572412476</v>
      </c>
      <c r="J89" s="91">
        <f t="shared" si="140"/>
        <v>88292014.998668581</v>
      </c>
      <c r="K89" s="91">
        <f t="shared" si="140"/>
        <v>97725627.085126519</v>
      </c>
      <c r="L89" s="91">
        <f t="shared" ref="L89:M89" si="141">+L68</f>
        <v>101451971.82271314</v>
      </c>
      <c r="M89" s="91">
        <f t="shared" si="141"/>
        <v>108476678.17201069</v>
      </c>
      <c r="N89" s="342"/>
      <c r="O89" s="342"/>
      <c r="P89" s="342"/>
      <c r="Q89" s="342"/>
      <c r="R89" s="342"/>
      <c r="S89" s="342"/>
      <c r="T89" s="342"/>
      <c r="U89" s="342"/>
      <c r="V89" s="342"/>
      <c r="W89" s="342"/>
    </row>
    <row r="90" spans="1:23">
      <c r="B90" s="78" t="s">
        <v>103</v>
      </c>
      <c r="C90" s="92"/>
      <c r="D90" s="91">
        <f>+D51</f>
        <v>-114966159.39971773</v>
      </c>
      <c r="E90" s="91">
        <f>+E51</f>
        <v>-90878627.27057761</v>
      </c>
      <c r="F90" s="91">
        <f t="shared" ref="F90:H90" si="142">+F51</f>
        <v>-57786782.775668837</v>
      </c>
      <c r="G90" s="91">
        <f t="shared" si="142"/>
        <v>-17074740.4112572</v>
      </c>
      <c r="H90" s="91">
        <f t="shared" si="142"/>
        <v>0</v>
      </c>
      <c r="I90" s="91">
        <f t="shared" ref="I90:K90" si="143">+I51</f>
        <v>0</v>
      </c>
      <c r="J90" s="91">
        <f t="shared" si="143"/>
        <v>0</v>
      </c>
      <c r="K90" s="91">
        <f t="shared" si="143"/>
        <v>0</v>
      </c>
      <c r="L90" s="91">
        <f t="shared" ref="L90:M90" si="144">+L51</f>
        <v>0</v>
      </c>
      <c r="M90" s="91">
        <f t="shared" si="144"/>
        <v>0</v>
      </c>
      <c r="N90" s="342"/>
      <c r="O90" s="342"/>
      <c r="P90" s="342"/>
      <c r="Q90" s="342"/>
      <c r="R90" s="342"/>
      <c r="S90" s="342"/>
      <c r="T90" s="342"/>
      <c r="U90" s="342"/>
      <c r="V90" s="342"/>
      <c r="W90" s="342"/>
    </row>
    <row r="91" spans="1:23" ht="15">
      <c r="B91" s="101" t="s">
        <v>133</v>
      </c>
      <c r="C91" s="98">
        <f>SUM(C87:C90)</f>
        <v>83762532.797861233</v>
      </c>
      <c r="D91" s="98">
        <f t="shared" ref="D91" si="145">SUM(D87:D90)</f>
        <v>110526457.38579468</v>
      </c>
      <c r="E91" s="98">
        <f>SUM(E87:E90)</f>
        <v>147295173.49124891</v>
      </c>
      <c r="F91" s="98">
        <f t="shared" ref="F91:H91" si="146">SUM(F87:F90)</f>
        <v>192530776.11837295</v>
      </c>
      <c r="G91" s="98">
        <f t="shared" si="146"/>
        <v>247542491.78498429</v>
      </c>
      <c r="H91" s="98">
        <f t="shared" si="146"/>
        <v>279970394.04175133</v>
      </c>
      <c r="I91" s="98">
        <f t="shared" ref="I91:K91" si="147">SUM(I87:I90)</f>
        <v>297687577.26324975</v>
      </c>
      <c r="J91" s="98">
        <f t="shared" si="147"/>
        <v>317494525.54674709</v>
      </c>
      <c r="K91" s="98">
        <f t="shared" si="147"/>
        <v>335757339.1330719</v>
      </c>
      <c r="L91" s="98">
        <f t="shared" ref="L91:M91" si="148">SUM(L87:L90)</f>
        <v>349256246.57917118</v>
      </c>
      <c r="M91" s="98">
        <f t="shared" si="148"/>
        <v>366426150.11074007</v>
      </c>
      <c r="N91" s="342">
        <f t="shared" ref="N91" si="149">1-N85</f>
        <v>0.91268968648903726</v>
      </c>
      <c r="O91" s="342"/>
      <c r="P91" s="342"/>
      <c r="Q91" s="342"/>
      <c r="R91" s="342"/>
      <c r="S91" s="342"/>
      <c r="T91" s="342"/>
      <c r="U91" s="342"/>
      <c r="V91" s="342"/>
      <c r="W91" s="342"/>
    </row>
    <row r="92" spans="1:23" ht="5.45" customHeight="1">
      <c r="N92" s="117"/>
      <c r="O92" s="117"/>
      <c r="P92" s="117"/>
      <c r="Q92" s="117"/>
      <c r="R92" s="117"/>
      <c r="S92" s="117"/>
      <c r="T92" s="117"/>
      <c r="U92" s="117"/>
      <c r="V92" s="117"/>
      <c r="W92" s="117"/>
    </row>
    <row r="93" spans="1:23" ht="15">
      <c r="B93" s="101" t="s">
        <v>134</v>
      </c>
      <c r="C93" s="98">
        <f>+C85+C91</f>
        <v>83762532.799848527</v>
      </c>
      <c r="D93" s="98">
        <f t="shared" ref="D93:H93" si="150">+D85+D91</f>
        <v>205014451.08500135</v>
      </c>
      <c r="E93" s="98">
        <f t="shared" si="150"/>
        <v>214953629.85361916</v>
      </c>
      <c r="F93" s="98">
        <f t="shared" si="150"/>
        <v>222926199.15921518</v>
      </c>
      <c r="G93" s="98">
        <f t="shared" si="150"/>
        <v>272270430.32817322</v>
      </c>
      <c r="H93" s="98">
        <f t="shared" si="150"/>
        <v>306753103.69590133</v>
      </c>
      <c r="I93" s="98">
        <f t="shared" ref="I93:K93" si="151">+I85+I91</f>
        <v>326759617.50262892</v>
      </c>
      <c r="J93" s="98">
        <f t="shared" si="151"/>
        <v>349021210.25641644</v>
      </c>
      <c r="K93" s="98">
        <f t="shared" si="151"/>
        <v>369308505.81270677</v>
      </c>
      <c r="L93" s="98">
        <f t="shared" ref="L93:M93" si="152">+L85+L91</f>
        <v>383958627.3512032</v>
      </c>
      <c r="M93" s="98">
        <f t="shared" si="152"/>
        <v>402608797.27304494</v>
      </c>
      <c r="N93" s="117"/>
      <c r="O93" s="117"/>
      <c r="P93" s="117"/>
      <c r="Q93" s="117"/>
      <c r="R93" s="117"/>
      <c r="S93" s="117"/>
      <c r="T93" s="117"/>
      <c r="U93" s="117"/>
      <c r="V93" s="117"/>
      <c r="W93" s="117"/>
    </row>
    <row r="94" spans="1:23" ht="5.45" customHeight="1">
      <c r="N94" s="117"/>
      <c r="O94" s="117"/>
      <c r="P94" s="117"/>
      <c r="Q94" s="117"/>
      <c r="R94" s="117"/>
      <c r="S94" s="117"/>
      <c r="T94" s="117"/>
      <c r="U94" s="117"/>
      <c r="V94" s="117"/>
      <c r="W94" s="117"/>
    </row>
    <row r="95" spans="1:23" ht="15">
      <c r="B95" s="104" t="s">
        <v>135</v>
      </c>
      <c r="C95" s="105">
        <f>ROUND(C93-C77,0)</f>
        <v>0</v>
      </c>
      <c r="D95" s="105">
        <f t="shared" ref="D95:H95" si="153">ROUND(D93-D77,0)</f>
        <v>0</v>
      </c>
      <c r="E95" s="105">
        <f t="shared" si="153"/>
        <v>0</v>
      </c>
      <c r="F95" s="105">
        <f t="shared" si="153"/>
        <v>0</v>
      </c>
      <c r="G95" s="105">
        <f t="shared" si="153"/>
        <v>0</v>
      </c>
      <c r="H95" s="105">
        <f t="shared" si="153"/>
        <v>0</v>
      </c>
      <c r="I95" s="105">
        <f>ROUND(I93-I77,0)</f>
        <v>0</v>
      </c>
      <c r="J95" s="105">
        <f t="shared" ref="J95:K95" si="154">ROUND(J93-J77,0)</f>
        <v>0</v>
      </c>
      <c r="K95" s="105">
        <f t="shared" si="154"/>
        <v>0</v>
      </c>
      <c r="L95" s="105">
        <f t="shared" ref="L95:M95" si="155">ROUND(L93-L77,0)</f>
        <v>0</v>
      </c>
      <c r="M95" s="105">
        <f t="shared" si="155"/>
        <v>0</v>
      </c>
    </row>
    <row r="96" spans="1:23">
      <c r="E96" s="93">
        <f>+E95-D95</f>
        <v>0</v>
      </c>
      <c r="F96" s="93">
        <f t="shared" ref="F96:H96" si="156">+F95-E95</f>
        <v>0</v>
      </c>
      <c r="G96" s="93">
        <f t="shared" si="156"/>
        <v>0</v>
      </c>
      <c r="H96" s="93">
        <f t="shared" si="156"/>
        <v>0</v>
      </c>
      <c r="I96" s="93">
        <f t="shared" ref="I96" si="157">+I95-H95</f>
        <v>0</v>
      </c>
      <c r="J96" s="93">
        <f t="shared" ref="J96" si="158">+J95-I95</f>
        <v>0</v>
      </c>
      <c r="K96" s="93">
        <f t="shared" ref="K96:M96" si="159">+K95-J95</f>
        <v>0</v>
      </c>
      <c r="L96" s="93">
        <f t="shared" si="159"/>
        <v>0</v>
      </c>
      <c r="M96" s="93">
        <f t="shared" si="159"/>
        <v>0</v>
      </c>
    </row>
    <row r="97" spans="2:21" ht="15">
      <c r="B97" s="95" t="s">
        <v>136</v>
      </c>
      <c r="C97" s="90">
        <f t="shared" ref="C97:M97" si="160">C$2</f>
        <v>2021</v>
      </c>
      <c r="D97" s="90">
        <f t="shared" si="160"/>
        <v>2022</v>
      </c>
      <c r="E97" s="90">
        <f t="shared" si="160"/>
        <v>2023</v>
      </c>
      <c r="F97" s="90">
        <f t="shared" si="160"/>
        <v>2024</v>
      </c>
      <c r="G97" s="90">
        <f t="shared" si="160"/>
        <v>2025</v>
      </c>
      <c r="H97" s="90">
        <f t="shared" si="160"/>
        <v>2026</v>
      </c>
      <c r="I97" s="90">
        <f t="shared" si="160"/>
        <v>2027</v>
      </c>
      <c r="J97" s="90">
        <f t="shared" si="160"/>
        <v>2028</v>
      </c>
      <c r="K97" s="90">
        <f t="shared" si="160"/>
        <v>2029</v>
      </c>
      <c r="L97" s="90">
        <f t="shared" si="160"/>
        <v>2030</v>
      </c>
      <c r="M97" s="90">
        <f t="shared" si="160"/>
        <v>2031</v>
      </c>
    </row>
    <row r="98" spans="2:21">
      <c r="B98" s="78" t="s">
        <v>86</v>
      </c>
      <c r="C98" s="91">
        <v>0</v>
      </c>
      <c r="D98" s="91">
        <f>+C120</f>
        <v>68356010.612610683</v>
      </c>
      <c r="E98" s="91">
        <f t="shared" ref="E98:H98" si="161">+D120</f>
        <v>64601580.084305838</v>
      </c>
      <c r="F98" s="91">
        <f t="shared" si="161"/>
        <v>66806694.814685456</v>
      </c>
      <c r="G98" s="91">
        <f t="shared" si="161"/>
        <v>69133700.309260026</v>
      </c>
      <c r="H98" s="91">
        <f t="shared" si="161"/>
        <v>71581550.649268091</v>
      </c>
      <c r="I98" s="91">
        <f t="shared" ref="I98" si="162">+H120</f>
        <v>72419970.364800423</v>
      </c>
      <c r="J98" s="91">
        <f t="shared" ref="J98" si="163">+I120</f>
        <v>76754365.10448119</v>
      </c>
      <c r="K98" s="91">
        <f t="shared" ref="K98:M98" si="164">+J120</f>
        <v>79535903.369923681</v>
      </c>
      <c r="L98" s="91">
        <f t="shared" si="164"/>
        <v>82164926.616075143</v>
      </c>
      <c r="M98" s="91">
        <f t="shared" si="164"/>
        <v>84641209.201880813</v>
      </c>
    </row>
    <row r="99" spans="2:21" ht="5.45" customHeight="1"/>
    <row r="100" spans="2:21">
      <c r="B100" s="78" t="s">
        <v>137</v>
      </c>
      <c r="C100" s="92"/>
      <c r="D100" s="91">
        <f>+(C73+D54-D73)</f>
        <v>337474266.59184015</v>
      </c>
      <c r="E100" s="91">
        <f t="shared" ref="E100:H100" si="165">+(D73+E54-E73)</f>
        <v>433559062.34277564</v>
      </c>
      <c r="F100" s="91">
        <f t="shared" si="165"/>
        <v>461567066.58099431</v>
      </c>
      <c r="G100" s="91">
        <f t="shared" si="165"/>
        <v>490075846.87171996</v>
      </c>
      <c r="H100" s="91">
        <f t="shared" si="165"/>
        <v>519575864.95453376</v>
      </c>
      <c r="I100" s="91">
        <f t="shared" ref="I100" si="166">+(H73+I54-I73)</f>
        <v>551580499.87919021</v>
      </c>
      <c r="J100" s="91">
        <f t="shared" ref="J100" si="167">+(I73+J54-J73)</f>
        <v>585736570.75370908</v>
      </c>
      <c r="K100" s="91">
        <f t="shared" ref="K100:M100" si="168">+(J73+K54-K73)</f>
        <v>616330489.99552393</v>
      </c>
      <c r="L100" s="91">
        <f t="shared" si="168"/>
        <v>638385302.32652712</v>
      </c>
      <c r="M100" s="91">
        <f t="shared" si="168"/>
        <v>659452017.30330253</v>
      </c>
    </row>
    <row r="101" spans="2:21">
      <c r="B101" s="78" t="s">
        <v>138</v>
      </c>
      <c r="C101" s="92"/>
      <c r="D101" s="91">
        <f>+D63</f>
        <v>3461340.7413230441</v>
      </c>
      <c r="E101" s="91">
        <f t="shared" ref="E101:H101" si="169">+E63</f>
        <v>3640378.5599534316</v>
      </c>
      <c r="F101" s="91">
        <f t="shared" si="169"/>
        <v>3770413.4725576225</v>
      </c>
      <c r="G101" s="91">
        <f t="shared" si="169"/>
        <v>3901269.9423037916</v>
      </c>
      <c r="H101" s="91">
        <f t="shared" si="169"/>
        <v>4038362.8721699934</v>
      </c>
      <c r="I101" s="91">
        <f t="shared" ref="I101:K101" si="170">+I63</f>
        <v>4182100.4721305436</v>
      </c>
      <c r="J101" s="91">
        <f t="shared" si="170"/>
        <v>4330701.416145876</v>
      </c>
      <c r="K101" s="91">
        <f t="shared" si="170"/>
        <v>4475450.4636734184</v>
      </c>
      <c r="L101" s="91">
        <f t="shared" ref="L101:M101" si="171">+L63</f>
        <v>4615792.8083222434</v>
      </c>
      <c r="M101" s="91">
        <f t="shared" si="171"/>
        <v>4717131.1573078753</v>
      </c>
    </row>
    <row r="102" spans="2:21">
      <c r="B102" s="78" t="s">
        <v>139</v>
      </c>
      <c r="C102" s="91">
        <f>+C36</f>
        <v>1.9872869219956625E-3</v>
      </c>
      <c r="D102" s="92"/>
      <c r="E102" s="92"/>
      <c r="F102" s="92"/>
      <c r="G102" s="92"/>
      <c r="H102" s="92"/>
      <c r="I102" s="92"/>
      <c r="J102" s="92"/>
      <c r="K102" s="92"/>
      <c r="L102" s="92"/>
      <c r="M102" s="92"/>
    </row>
    <row r="103" spans="2:21">
      <c r="B103" s="78" t="s">
        <v>140</v>
      </c>
      <c r="C103" s="91">
        <f>+C87</f>
        <v>198728692.19757897</v>
      </c>
      <c r="D103" s="92"/>
      <c r="E103" s="92"/>
      <c r="F103" s="92"/>
      <c r="G103" s="92"/>
      <c r="H103" s="92"/>
      <c r="I103" s="92"/>
      <c r="J103" s="92"/>
      <c r="K103" s="92"/>
      <c r="L103" s="92"/>
      <c r="M103" s="92"/>
    </row>
    <row r="104" spans="2:21" ht="15">
      <c r="B104" s="103" t="s">
        <v>141</v>
      </c>
      <c r="C104" s="100">
        <f>SUM(C100:C103)</f>
        <v>198728692.19956625</v>
      </c>
      <c r="D104" s="100">
        <f>SUM(D100:D103)</f>
        <v>340935607.3331632</v>
      </c>
      <c r="E104" s="100">
        <f>SUM(E100:E103)</f>
        <v>437199440.90272909</v>
      </c>
      <c r="F104" s="100">
        <f t="shared" ref="F104:H104" si="172">SUM(F100:F103)</f>
        <v>465337480.05355191</v>
      </c>
      <c r="G104" s="100">
        <f t="shared" si="172"/>
        <v>493977116.81402373</v>
      </c>
      <c r="H104" s="100">
        <f t="shared" si="172"/>
        <v>523614227.82670373</v>
      </c>
      <c r="I104" s="100">
        <f t="shared" ref="I104:K104" si="173">SUM(I100:I103)</f>
        <v>555762600.35132074</v>
      </c>
      <c r="J104" s="100">
        <f t="shared" si="173"/>
        <v>590067272.169855</v>
      </c>
      <c r="K104" s="100">
        <f t="shared" si="173"/>
        <v>620805940.4591974</v>
      </c>
      <c r="L104" s="100">
        <f t="shared" ref="L104:M104" si="174">SUM(L100:L103)</f>
        <v>643001095.13484931</v>
      </c>
      <c r="M104" s="100">
        <f t="shared" si="174"/>
        <v>664169148.46061039</v>
      </c>
    </row>
    <row r="105" spans="2:21" ht="7.15" customHeight="1">
      <c r="B105" s="106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</row>
    <row r="106" spans="2:21">
      <c r="B106" s="78" t="s">
        <v>142</v>
      </c>
      <c r="C106" s="91"/>
      <c r="D106" s="91">
        <f>+C79</f>
        <v>0</v>
      </c>
      <c r="E106" s="91">
        <f t="shared" ref="E106:H106" si="175">+D79</f>
        <v>75849575.054658666</v>
      </c>
      <c r="F106" s="91">
        <f t="shared" si="175"/>
        <v>46765089.780208223</v>
      </c>
      <c r="G106" s="91">
        <f>+F79</f>
        <v>7684532.6019547135</v>
      </c>
      <c r="H106" s="91">
        <f t="shared" si="175"/>
        <v>0</v>
      </c>
      <c r="I106" s="91">
        <f t="shared" ref="I106" si="176">+H79</f>
        <v>0</v>
      </c>
      <c r="J106" s="91">
        <f t="shared" ref="J106" si="177">+I79</f>
        <v>0</v>
      </c>
      <c r="K106" s="91">
        <f t="shared" ref="K106:M106" si="178">+J79</f>
        <v>0</v>
      </c>
      <c r="L106" s="91">
        <f t="shared" si="178"/>
        <v>0</v>
      </c>
      <c r="M106" s="91">
        <f t="shared" si="178"/>
        <v>0</v>
      </c>
    </row>
    <row r="107" spans="2:21" ht="15">
      <c r="B107" s="78" t="s">
        <v>143</v>
      </c>
      <c r="C107" s="91">
        <f>+C55-C80</f>
        <v>111144909.3995662</v>
      </c>
      <c r="D107" s="91">
        <f>+C80+D55-D80+(D74-C74)</f>
        <v>395026844.59185541</v>
      </c>
      <c r="E107" s="91">
        <f t="shared" ref="E107:F107" si="179">+D80+E55-E80+(E74-D74)</f>
        <v>371567732.94467968</v>
      </c>
      <c r="F107" s="91">
        <f t="shared" si="179"/>
        <v>384137710.74047887</v>
      </c>
      <c r="G107" s="91">
        <f>+F80+G55-G80+(G74-F74)</f>
        <v>397422835.22965854</v>
      </c>
      <c r="H107" s="91">
        <f>+G80+H55-H80+(H74-G74)</f>
        <v>411409280.29472202</v>
      </c>
      <c r="I107" s="91">
        <f t="shared" ref="I107" si="180">+H80+I55-I80+(I74-H74)</f>
        <v>426074968.84647709</v>
      </c>
      <c r="J107" s="91">
        <f t="shared" ref="J107" si="181">+I80+J55-J80+(J74-I74)</f>
        <v>441211430.01819545</v>
      </c>
      <c r="K107" s="91">
        <f t="shared" ref="K107:M107" si="182">+J80+K55-K80+(K74-J74)</f>
        <v>455846621.9079113</v>
      </c>
      <c r="L107" s="91">
        <f t="shared" si="182"/>
        <v>470027741.48734307</v>
      </c>
      <c r="M107" s="91">
        <f t="shared" si="182"/>
        <v>479813394.67577624</v>
      </c>
      <c r="P107" s="100">
        <f>H107*(1+RATE(4,,-D107,H107))</f>
        <v>415609965.53524607</v>
      </c>
      <c r="Q107" s="100">
        <f t="shared" ref="Q107:U108" si="183">I107*(1+RATE(4,,-E107,I107))</f>
        <v>440908049.81721526</v>
      </c>
      <c r="R107" s="100">
        <f t="shared" si="183"/>
        <v>456758572.98858762</v>
      </c>
      <c r="S107" s="100">
        <f t="shared" si="183"/>
        <v>471748167.29132086</v>
      </c>
      <c r="T107" s="100">
        <f t="shared" si="183"/>
        <v>485943573.40430492</v>
      </c>
      <c r="U107" s="100">
        <f t="shared" si="183"/>
        <v>494275352.4522422</v>
      </c>
    </row>
    <row r="108" spans="2:21" ht="15">
      <c r="B108" s="78" t="s">
        <v>144</v>
      </c>
      <c r="C108" s="91">
        <f>+C58</f>
        <v>3400000</v>
      </c>
      <c r="D108" s="91">
        <f>+D58</f>
        <v>15109219.083808698</v>
      </c>
      <c r="E108" s="91">
        <f t="shared" ref="E108:H108" si="184">+E58</f>
        <v>16041747.561155353</v>
      </c>
      <c r="F108" s="91">
        <f t="shared" si="184"/>
        <v>16702458.14763394</v>
      </c>
      <c r="G108" s="91">
        <f t="shared" si="184"/>
        <v>17379366.625901554</v>
      </c>
      <c r="H108" s="91">
        <f t="shared" si="184"/>
        <v>18080023.600886591</v>
      </c>
      <c r="I108" s="91">
        <f t="shared" ref="I108:K108" si="185">+I58</f>
        <v>18844152.641834993</v>
      </c>
      <c r="J108" s="91">
        <f t="shared" si="185"/>
        <v>19643869.484278161</v>
      </c>
      <c r="K108" s="91">
        <f t="shared" si="185"/>
        <v>20405778.801373988</v>
      </c>
      <c r="L108" s="91">
        <f t="shared" ref="L108:M108" si="186">+L58</f>
        <v>21079169.501819324</v>
      </c>
      <c r="M108" s="91">
        <f t="shared" si="186"/>
        <v>21693750.970506508</v>
      </c>
      <c r="P108" s="100">
        <f>H108*(1+RATE(4,,-D108,H108))</f>
        <v>18909856.653556466</v>
      </c>
      <c r="Q108" s="100">
        <f t="shared" si="183"/>
        <v>19618140.809671909</v>
      </c>
      <c r="R108" s="100">
        <f t="shared" si="183"/>
        <v>20456847.23095445</v>
      </c>
      <c r="S108" s="100">
        <f t="shared" si="183"/>
        <v>21241392.405129943</v>
      </c>
      <c r="T108" s="100">
        <f t="shared" si="183"/>
        <v>21903681.806979947</v>
      </c>
      <c r="U108" s="100">
        <f t="shared" si="183"/>
        <v>22471091.062623519</v>
      </c>
    </row>
    <row r="109" spans="2:21">
      <c r="B109" s="78" t="s">
        <v>95</v>
      </c>
      <c r="C109" s="91">
        <f>+C39+Proyecciones!AB15</f>
        <v>10110000</v>
      </c>
      <c r="D109" s="91">
        <v>0</v>
      </c>
      <c r="E109" s="91">
        <v>0</v>
      </c>
      <c r="F109" s="91">
        <v>0</v>
      </c>
      <c r="G109" s="91">
        <v>0</v>
      </c>
      <c r="H109" s="91">
        <v>0</v>
      </c>
      <c r="I109" s="91">
        <v>0</v>
      </c>
      <c r="J109" s="91">
        <v>0</v>
      </c>
      <c r="K109" s="91">
        <v>0</v>
      </c>
      <c r="L109" s="91">
        <v>0</v>
      </c>
      <c r="M109" s="91">
        <v>0</v>
      </c>
    </row>
    <row r="110" spans="2:21">
      <c r="B110" s="78" t="s">
        <v>145</v>
      </c>
      <c r="C110" s="92"/>
      <c r="D110" s="91">
        <f>+C81+D67-D81</f>
        <v>10403549.240015702</v>
      </c>
      <c r="E110" s="91">
        <f t="shared" ref="E110:H110" si="187">+D81+E67-E81</f>
        <v>18300360.391617052</v>
      </c>
      <c r="F110" s="91">
        <f t="shared" si="187"/>
        <v>23089748.492164124</v>
      </c>
      <c r="G110" s="91">
        <f t="shared" si="187"/>
        <v>28157757.724023819</v>
      </c>
      <c r="H110" s="91">
        <f t="shared" si="187"/>
        <v>33451313.241721973</v>
      </c>
      <c r="I110" s="91">
        <f t="shared" ref="I110" si="188">+H81+I67-I81</f>
        <v>39292200.543538392</v>
      </c>
      <c r="J110" s="91">
        <f t="shared" ref="J110" si="189">+I81+J67-J81</f>
        <v>45715326.053668253</v>
      </c>
      <c r="K110" s="91">
        <f t="shared" ref="K110:M110" si="190">+J81+K67-K81</f>
        <v>51208844.38055215</v>
      </c>
      <c r="L110" s="91">
        <f t="shared" si="190"/>
        <v>54069979.035256319</v>
      </c>
      <c r="M110" s="91">
        <f t="shared" si="190"/>
        <v>57358596.257992096</v>
      </c>
    </row>
    <row r="111" spans="2:21">
      <c r="B111" s="78" t="s">
        <v>146</v>
      </c>
      <c r="C111" s="91">
        <f>+C64</f>
        <v>1.5153062780216928E-4</v>
      </c>
      <c r="D111" s="91">
        <f>+D64</f>
        <v>3.6367350672520624E-4</v>
      </c>
      <c r="E111" s="91">
        <f t="shared" ref="E111:H111" si="191">+E64</f>
        <v>3.4843869166067281E-4</v>
      </c>
      <c r="F111" s="91">
        <f t="shared" si="191"/>
        <v>3.3041590543932971E-4</v>
      </c>
      <c r="G111" s="91">
        <f t="shared" si="191"/>
        <v>3.0909494933948093E-4</v>
      </c>
      <c r="H111" s="91">
        <f t="shared" si="191"/>
        <v>2.8387225827335974E-4</v>
      </c>
      <c r="I111" s="91">
        <f t="shared" ref="I111:K111" si="192">+I64</f>
        <v>2.5403381474213842E-4</v>
      </c>
      <c r="J111" s="91">
        <f t="shared" si="192"/>
        <v>2.1873493604470355E-4</v>
      </c>
      <c r="K111" s="91">
        <f t="shared" si="192"/>
        <v>1.7697636254563812E-4</v>
      </c>
      <c r="L111" s="91">
        <f t="shared" ref="L111:M111" si="193">+L64</f>
        <v>1.2757597009624376E-4</v>
      </c>
      <c r="M111" s="91">
        <f t="shared" si="193"/>
        <v>6.9135305828610193E-5</v>
      </c>
    </row>
    <row r="112" spans="2:21">
      <c r="B112" s="78" t="s">
        <v>147</v>
      </c>
      <c r="C112" s="92"/>
      <c r="D112" s="91">
        <f>+D35</f>
        <v>8.3250355543898512E-5</v>
      </c>
      <c r="E112" s="91">
        <f>+E35</f>
        <v>9.848517060843194E-5</v>
      </c>
      <c r="F112" s="91">
        <f>+F35</f>
        <v>1.1650795682977504E-4</v>
      </c>
      <c r="G112" s="91">
        <f>+G35</f>
        <v>1.3782891292962382E-4</v>
      </c>
      <c r="H112" s="91">
        <f>+H35</f>
        <v>1.6305160399574501E-4</v>
      </c>
      <c r="I112" s="91">
        <f t="shared" ref="I112:K112" si="194">+I35</f>
        <v>1.9289004752696634E-4</v>
      </c>
      <c r="J112" s="91">
        <f t="shared" si="194"/>
        <v>2.281889262244012E-4</v>
      </c>
      <c r="K112" s="91">
        <f t="shared" si="194"/>
        <v>2.6994749972346664E-4</v>
      </c>
      <c r="L112" s="91">
        <f t="shared" ref="L112:M112" si="195">+L35</f>
        <v>3.1934789217286097E-4</v>
      </c>
      <c r="M112" s="91">
        <f t="shared" si="195"/>
        <v>3.7778855644049459E-4</v>
      </c>
    </row>
    <row r="113" spans="2:13">
      <c r="B113" s="78" t="s">
        <v>75</v>
      </c>
      <c r="C113" s="92"/>
      <c r="D113" s="92"/>
      <c r="E113" s="91">
        <f>+E50</f>
        <v>0</v>
      </c>
      <c r="F113" s="91">
        <f t="shared" ref="F113:H113" si="196">+F50</f>
        <v>0</v>
      </c>
      <c r="G113" s="91">
        <f t="shared" si="196"/>
        <v>0</v>
      </c>
      <c r="H113" s="91">
        <f t="shared" si="196"/>
        <v>32435803.68869305</v>
      </c>
      <c r="I113" s="91">
        <f t="shared" ref="I113:K113" si="197">+I50</f>
        <v>58377335.350914046</v>
      </c>
      <c r="J113" s="91">
        <f t="shared" si="197"/>
        <v>68485066.715171233</v>
      </c>
      <c r="K113" s="91">
        <f t="shared" si="197"/>
        <v>79462813.498801723</v>
      </c>
      <c r="L113" s="91">
        <f t="shared" ref="L113:M113" si="198">+L50</f>
        <v>87953064.37661387</v>
      </c>
      <c r="M113" s="91">
        <f t="shared" si="198"/>
        <v>91306774.64044182</v>
      </c>
    </row>
    <row r="114" spans="2:13" ht="15">
      <c r="B114" s="103" t="s">
        <v>148</v>
      </c>
      <c r="C114" s="100">
        <f>SUM(C106:C113)</f>
        <v>124654909.39971773</v>
      </c>
      <c r="D114" s="100">
        <f t="shared" ref="D114:H114" si="199">SUM(D106:D113)</f>
        <v>420539612.91612673</v>
      </c>
      <c r="E114" s="100">
        <f t="shared" si="199"/>
        <v>481759415.95255768</v>
      </c>
      <c r="F114" s="100">
        <f t="shared" si="199"/>
        <v>470695007.16093206</v>
      </c>
      <c r="G114" s="100">
        <f t="shared" si="199"/>
        <v>450644492.18198556</v>
      </c>
      <c r="H114" s="100">
        <f t="shared" si="199"/>
        <v>495376420.82647061</v>
      </c>
      <c r="I114" s="100">
        <f t="shared" ref="I114:K114" si="200">SUM(I106:I113)</f>
        <v>542588657.38321137</v>
      </c>
      <c r="J114" s="100">
        <f t="shared" si="200"/>
        <v>575055692.27175999</v>
      </c>
      <c r="K114" s="100">
        <f t="shared" si="200"/>
        <v>606924058.58908606</v>
      </c>
      <c r="L114" s="100">
        <f t="shared" ref="L114:M114" si="201">SUM(L106:L113)</f>
        <v>633129954.40147948</v>
      </c>
      <c r="M114" s="100">
        <f t="shared" si="201"/>
        <v>650172516.54516351</v>
      </c>
    </row>
    <row r="115" spans="2:13" ht="7.15" customHeight="1">
      <c r="B115" s="106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</row>
    <row r="116" spans="2:13" ht="15">
      <c r="B116" s="103" t="s">
        <v>149</v>
      </c>
      <c r="C116" s="100">
        <f>+C98+C104-C114</f>
        <v>74073782.799848512</v>
      </c>
      <c r="D116" s="100">
        <f>+D98+D104-D114</f>
        <v>-11247994.970352829</v>
      </c>
      <c r="E116" s="100">
        <f t="shared" ref="E116:H116" si="202">+E98+E104-E114</f>
        <v>20041605.034477234</v>
      </c>
      <c r="F116" s="100">
        <f t="shared" si="202"/>
        <v>61449167.707305312</v>
      </c>
      <c r="G116" s="100">
        <f t="shared" si="202"/>
        <v>112466324.94129819</v>
      </c>
      <c r="H116" s="100">
        <f t="shared" si="202"/>
        <v>99819357.649501204</v>
      </c>
      <c r="I116" s="100">
        <f t="shared" ref="I116:K116" si="203">+I98+I104-I114</f>
        <v>85593913.332909822</v>
      </c>
      <c r="J116" s="100">
        <f>+J98+J104-J114</f>
        <v>91765945.002576232</v>
      </c>
      <c r="K116" s="100">
        <f t="shared" si="203"/>
        <v>93417785.240035057</v>
      </c>
      <c r="L116" s="100">
        <f t="shared" ref="L116:M116" si="204">+L98+L104-L114</f>
        <v>92036067.349444985</v>
      </c>
      <c r="M116" s="100">
        <f t="shared" si="204"/>
        <v>98637841.11732769</v>
      </c>
    </row>
    <row r="117" spans="2:13" ht="7.15" customHeight="1">
      <c r="B117" s="106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</row>
    <row r="118" spans="2:13">
      <c r="B118" s="78" t="s">
        <v>150</v>
      </c>
      <c r="C118" s="91">
        <f>+IF(C123&lt;=0,-C123,0)</f>
        <v>0</v>
      </c>
      <c r="D118" s="91">
        <f t="shared" ref="D118:H118" si="205">+IF(D123&lt;=0,-D123,0)</f>
        <v>75849575.054658666</v>
      </c>
      <c r="E118" s="91">
        <f t="shared" si="205"/>
        <v>46765089.780208223</v>
      </c>
      <c r="F118" s="91">
        <f t="shared" si="205"/>
        <v>7684532.6019547135</v>
      </c>
      <c r="G118" s="91">
        <f t="shared" si="205"/>
        <v>0</v>
      </c>
      <c r="H118" s="91">
        <f t="shared" si="205"/>
        <v>0</v>
      </c>
      <c r="I118" s="91">
        <f t="shared" ref="I118:K118" si="206">+IF(I123&lt;=0,-I123,0)</f>
        <v>0</v>
      </c>
      <c r="J118" s="91">
        <f t="shared" si="206"/>
        <v>0</v>
      </c>
      <c r="K118" s="91">
        <f t="shared" si="206"/>
        <v>0</v>
      </c>
      <c r="L118" s="91">
        <f t="shared" ref="L118:M118" si="207">+IF(L123&lt;=0,-L123,0)</f>
        <v>0</v>
      </c>
      <c r="M118" s="91">
        <f t="shared" si="207"/>
        <v>0</v>
      </c>
    </row>
    <row r="119" spans="2:13">
      <c r="B119" s="78" t="s">
        <v>151</v>
      </c>
      <c r="C119" s="91">
        <f>+IF(C123&gt;0,C123,0)</f>
        <v>5717772.187237829</v>
      </c>
      <c r="D119" s="91">
        <f t="shared" ref="D119:H119" si="208">+IF(D123&gt;0,D123,0)</f>
        <v>0</v>
      </c>
      <c r="E119" s="91">
        <f t="shared" si="208"/>
        <v>0</v>
      </c>
      <c r="F119" s="91">
        <f t="shared" si="208"/>
        <v>0</v>
      </c>
      <c r="G119" s="91">
        <f>+IF(G123&gt;0,G123,0)</f>
        <v>40884774.292030096</v>
      </c>
      <c r="H119" s="91">
        <f t="shared" si="208"/>
        <v>27399387.284700781</v>
      </c>
      <c r="I119" s="91">
        <f t="shared" ref="I119:K119" si="209">+IF(I123&gt;0,I123,0)</f>
        <v>8839548.228428632</v>
      </c>
      <c r="J119" s="91">
        <f t="shared" si="209"/>
        <v>12230041.632652551</v>
      </c>
      <c r="K119" s="91">
        <f t="shared" si="209"/>
        <v>11252858.623959914</v>
      </c>
      <c r="L119" s="91">
        <f t="shared" ref="L119:M119" si="210">+IF(L123&gt;0,L123,0)</f>
        <v>7394858.1475641727</v>
      </c>
      <c r="M119" s="91">
        <f t="shared" si="210"/>
        <v>12513433.864850074</v>
      </c>
    </row>
    <row r="120" spans="2:13" ht="15">
      <c r="B120" s="103" t="s">
        <v>25</v>
      </c>
      <c r="C120" s="100">
        <f>+C116+C118-C119</f>
        <v>68356010.612610683</v>
      </c>
      <c r="D120" s="100">
        <f t="shared" ref="D120:H120" si="211">+D116+D118-D119</f>
        <v>64601580.084305838</v>
      </c>
      <c r="E120" s="100">
        <f t="shared" si="211"/>
        <v>66806694.814685456</v>
      </c>
      <c r="F120" s="100">
        <f t="shared" si="211"/>
        <v>69133700.309260026</v>
      </c>
      <c r="G120" s="100">
        <f t="shared" si="211"/>
        <v>71581550.649268091</v>
      </c>
      <c r="H120" s="100">
        <f t="shared" si="211"/>
        <v>72419970.364800423</v>
      </c>
      <c r="I120" s="100">
        <f t="shared" ref="I120:K120" si="212">+I116+I118-I119</f>
        <v>76754365.10448119</v>
      </c>
      <c r="J120" s="100">
        <f t="shared" si="212"/>
        <v>79535903.369923681</v>
      </c>
      <c r="K120" s="100">
        <f t="shared" si="212"/>
        <v>82164926.616075143</v>
      </c>
      <c r="L120" s="100">
        <f t="shared" ref="L120:M120" si="213">+L116+L118-L119</f>
        <v>84641209.201880813</v>
      </c>
      <c r="M120" s="100">
        <f t="shared" si="213"/>
        <v>86124407.252477616</v>
      </c>
    </row>
    <row r="121" spans="2:13">
      <c r="B121" s="106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</row>
    <row r="122" spans="2:13">
      <c r="B122" s="107" t="s">
        <v>73</v>
      </c>
      <c r="C122" s="108">
        <f>+(D107+D108)/360*$D$17</f>
        <v>68356010.612610683</v>
      </c>
      <c r="D122" s="108">
        <f t="shared" ref="D122:F122" si="214">+(E107+E108)/360*$D$17</f>
        <v>64601580.084305838</v>
      </c>
      <c r="E122" s="108">
        <f t="shared" si="214"/>
        <v>66806694.814685456</v>
      </c>
      <c r="F122" s="108">
        <f t="shared" si="214"/>
        <v>69133700.309260026</v>
      </c>
      <c r="G122" s="108">
        <f>+(H107+H108)/360*$D$17</f>
        <v>71581550.649268091</v>
      </c>
      <c r="H122" s="108">
        <f>+(P107+P108)/360*$D$17</f>
        <v>72419970.364800423</v>
      </c>
      <c r="I122" s="108">
        <f t="shared" ref="I122:M122" si="215">+(Q107+Q108)/360*$D$17</f>
        <v>76754365.10448119</v>
      </c>
      <c r="J122" s="108">
        <f t="shared" si="215"/>
        <v>79535903.369923681</v>
      </c>
      <c r="K122" s="108">
        <f t="shared" si="215"/>
        <v>82164926.616075143</v>
      </c>
      <c r="L122" s="108">
        <f t="shared" si="215"/>
        <v>84641209.201880813</v>
      </c>
      <c r="M122" s="108">
        <f t="shared" si="215"/>
        <v>86124407.252477616</v>
      </c>
    </row>
    <row r="123" spans="2:13">
      <c r="B123" s="107" t="s">
        <v>152</v>
      </c>
      <c r="C123" s="108">
        <f>+C116-C122</f>
        <v>5717772.187237829</v>
      </c>
      <c r="D123" s="108">
        <f t="shared" ref="D123:H123" si="216">+D116-D122</f>
        <v>-75849575.054658666</v>
      </c>
      <c r="E123" s="108">
        <f t="shared" si="216"/>
        <v>-46765089.780208223</v>
      </c>
      <c r="F123" s="108">
        <f t="shared" si="216"/>
        <v>-7684532.6019547135</v>
      </c>
      <c r="G123" s="108">
        <f t="shared" si="216"/>
        <v>40884774.292030096</v>
      </c>
      <c r="H123" s="108">
        <f t="shared" si="216"/>
        <v>27399387.284700781</v>
      </c>
      <c r="I123" s="108">
        <f t="shared" ref="I123:K123" si="217">+I116-I122</f>
        <v>8839548.228428632</v>
      </c>
      <c r="J123" s="108">
        <f t="shared" si="217"/>
        <v>12230041.632652551</v>
      </c>
      <c r="K123" s="108">
        <f t="shared" si="217"/>
        <v>11252858.623959914</v>
      </c>
      <c r="L123" s="108">
        <f t="shared" ref="L123:M123" si="218">+L116-L122</f>
        <v>7394858.1475641727</v>
      </c>
      <c r="M123" s="108">
        <f t="shared" si="218"/>
        <v>12513433.864850074</v>
      </c>
    </row>
    <row r="124" spans="2:13">
      <c r="B124" s="106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</row>
    <row r="125" spans="2:13" ht="15">
      <c r="B125" s="95" t="s">
        <v>153</v>
      </c>
      <c r="C125" s="90">
        <f t="shared" ref="C125:M125" si="219">C$2</f>
        <v>2021</v>
      </c>
      <c r="D125" s="90">
        <f t="shared" si="219"/>
        <v>2022</v>
      </c>
      <c r="E125" s="90">
        <f t="shared" si="219"/>
        <v>2023</v>
      </c>
      <c r="F125" s="90">
        <f t="shared" si="219"/>
        <v>2024</v>
      </c>
      <c r="G125" s="90">
        <f t="shared" si="219"/>
        <v>2025</v>
      </c>
      <c r="H125" s="90">
        <f t="shared" si="219"/>
        <v>2026</v>
      </c>
      <c r="I125" s="90">
        <f t="shared" si="219"/>
        <v>2027</v>
      </c>
      <c r="J125" s="90">
        <f t="shared" si="219"/>
        <v>2028</v>
      </c>
      <c r="K125" s="90">
        <f t="shared" si="219"/>
        <v>2029</v>
      </c>
      <c r="L125" s="90">
        <f t="shared" si="219"/>
        <v>2030</v>
      </c>
      <c r="M125" s="90">
        <f t="shared" si="219"/>
        <v>2031</v>
      </c>
    </row>
    <row r="126" spans="2:13">
      <c r="B126" s="67" t="s">
        <v>154</v>
      </c>
      <c r="C126" s="91">
        <f>+C68</f>
        <v>-114966159.39971773</v>
      </c>
      <c r="D126" s="91">
        <f>+D68</f>
        <v>26763924.587933458</v>
      </c>
      <c r="E126" s="91">
        <f t="shared" ref="E126:H126" si="220">+E68</f>
        <v>36768716.105454192</v>
      </c>
      <c r="F126" s="91">
        <f t="shared" si="220"/>
        <v>45235602.627124041</v>
      </c>
      <c r="G126" s="91">
        <f t="shared" si="220"/>
        <v>55011715.666611388</v>
      </c>
      <c r="H126" s="91">
        <f t="shared" si="220"/>
        <v>64863705.945460051</v>
      </c>
      <c r="I126" s="91">
        <f t="shared" ref="I126:K126" si="221">+I68</f>
        <v>76094518.572412476</v>
      </c>
      <c r="J126" s="91">
        <f t="shared" si="221"/>
        <v>88292014.998668581</v>
      </c>
      <c r="K126" s="91">
        <f t="shared" si="221"/>
        <v>97725627.085126519</v>
      </c>
      <c r="L126" s="91">
        <f t="shared" ref="L126:M126" si="222">+L68</f>
        <v>101451971.82271314</v>
      </c>
      <c r="M126" s="91">
        <f t="shared" si="222"/>
        <v>108476678.17201069</v>
      </c>
    </row>
    <row r="127" spans="2:13">
      <c r="B127" s="78" t="s">
        <v>155</v>
      </c>
      <c r="C127" s="91">
        <f>+C67</f>
        <v>0</v>
      </c>
      <c r="D127" s="91">
        <f>+D67</f>
        <v>14411344.008887246</v>
      </c>
      <c r="E127" s="91">
        <f t="shared" ref="E127:H127" si="223">+E67</f>
        <v>19798539.441398408</v>
      </c>
      <c r="F127" s="91">
        <f t="shared" si="223"/>
        <v>24357632.183836024</v>
      </c>
      <c r="G127" s="91">
        <f t="shared" si="223"/>
        <v>29621693.051252287</v>
      </c>
      <c r="H127" s="91">
        <f t="shared" si="223"/>
        <v>34926610.893709257</v>
      </c>
      <c r="I127" s="91">
        <f t="shared" ref="I127:K127" si="224">+I67</f>
        <v>40973971.538991332</v>
      </c>
      <c r="J127" s="91">
        <f t="shared" si="224"/>
        <v>47541854.230052315</v>
      </c>
      <c r="K127" s="91">
        <f t="shared" si="224"/>
        <v>52621491.507375814</v>
      </c>
      <c r="L127" s="91">
        <f t="shared" ref="L127:M127" si="225">+L67</f>
        <v>54627984.827614762</v>
      </c>
      <c r="M127" s="91">
        <f t="shared" si="225"/>
        <v>58410519.015698068</v>
      </c>
    </row>
    <row r="128" spans="2:13">
      <c r="B128" s="78" t="s">
        <v>156</v>
      </c>
      <c r="C128" s="91">
        <f>+C111</f>
        <v>1.5153062780216928E-4</v>
      </c>
      <c r="D128" s="91">
        <f>+D111</f>
        <v>3.6367350672520624E-4</v>
      </c>
      <c r="E128" s="91">
        <f t="shared" ref="E128:H128" si="226">+E111</f>
        <v>3.4843869166067281E-4</v>
      </c>
      <c r="F128" s="91">
        <f t="shared" si="226"/>
        <v>3.3041590543932971E-4</v>
      </c>
      <c r="G128" s="91">
        <f t="shared" si="226"/>
        <v>3.0909494933948093E-4</v>
      </c>
      <c r="H128" s="91">
        <f t="shared" si="226"/>
        <v>2.8387225827335974E-4</v>
      </c>
      <c r="I128" s="91">
        <f t="shared" ref="I128:K128" si="227">+I111</f>
        <v>2.5403381474213842E-4</v>
      </c>
      <c r="J128" s="91">
        <f t="shared" si="227"/>
        <v>2.1873493604470355E-4</v>
      </c>
      <c r="K128" s="91">
        <f t="shared" si="227"/>
        <v>1.7697636254563812E-4</v>
      </c>
      <c r="L128" s="91">
        <f t="shared" ref="L128:M128" si="228">+L111</f>
        <v>1.2757597009624376E-4</v>
      </c>
      <c r="M128" s="91">
        <f t="shared" si="228"/>
        <v>6.9135305828610193E-5</v>
      </c>
    </row>
    <row r="129" spans="2:13" ht="15">
      <c r="B129" s="99" t="s">
        <v>157</v>
      </c>
      <c r="C129" s="100">
        <f>+C126+C127+C128</f>
        <v>-114966159.3995662</v>
      </c>
      <c r="D129" s="100">
        <f>+D126+D127+D128</f>
        <v>41175268.597184375</v>
      </c>
      <c r="E129" s="100">
        <f t="shared" ref="E129:H129" si="229">+E126+E127+E128</f>
        <v>56567255.547201045</v>
      </c>
      <c r="F129" s="100">
        <f t="shared" si="229"/>
        <v>69593234.811290488</v>
      </c>
      <c r="G129" s="100">
        <f t="shared" si="229"/>
        <v>84633408.718172774</v>
      </c>
      <c r="H129" s="100">
        <f t="shared" si="229"/>
        <v>99790316.839453176</v>
      </c>
      <c r="I129" s="100">
        <f t="shared" ref="I129:K129" si="230">+I126+I127+I128</f>
        <v>117068490.11165784</v>
      </c>
      <c r="J129" s="100">
        <f t="shared" si="230"/>
        <v>135833869.22893965</v>
      </c>
      <c r="K129" s="100">
        <f t="shared" si="230"/>
        <v>150347118.59267929</v>
      </c>
      <c r="L129" s="100">
        <f t="shared" ref="L129:M129" si="231">+L126+L127+L128</f>
        <v>156079956.65045547</v>
      </c>
      <c r="M129" s="100">
        <f t="shared" si="231"/>
        <v>166887197.18777791</v>
      </c>
    </row>
    <row r="130" spans="2:13">
      <c r="B130" s="67" t="s">
        <v>158</v>
      </c>
      <c r="C130" s="91">
        <f t="shared" ref="C130:H130" si="232">+IF(C129&gt;0,C129*C5,0)</f>
        <v>0</v>
      </c>
      <c r="D130" s="91">
        <f t="shared" si="232"/>
        <v>14411344.00901453</v>
      </c>
      <c r="E130" s="91">
        <f t="shared" si="232"/>
        <v>19798539.441520363</v>
      </c>
      <c r="F130" s="91">
        <f t="shared" si="232"/>
        <v>24357632.183951668</v>
      </c>
      <c r="G130" s="91">
        <f t="shared" si="232"/>
        <v>29621693.051360469</v>
      </c>
      <c r="H130" s="91">
        <f t="shared" si="232"/>
        <v>34926610.893808611</v>
      </c>
      <c r="I130" s="91">
        <f t="shared" ref="I130:K130" si="233">+IF(I129&gt;0,I129*I5,0)</f>
        <v>40973971.53908024</v>
      </c>
      <c r="J130" s="91">
        <f t="shared" si="233"/>
        <v>47541854.230128877</v>
      </c>
      <c r="K130" s="91">
        <f t="shared" si="233"/>
        <v>52621491.507437751</v>
      </c>
      <c r="L130" s="91">
        <f t="shared" ref="L130:M130" si="234">+IF(L129&gt;0,L129*L5,0)</f>
        <v>54627984.827659413</v>
      </c>
      <c r="M130" s="91">
        <f t="shared" si="234"/>
        <v>58410519.015722267</v>
      </c>
    </row>
    <row r="131" spans="2:13" ht="15">
      <c r="B131" s="103" t="s">
        <v>159</v>
      </c>
      <c r="C131" s="100">
        <f>+C129-C130</f>
        <v>-114966159.3995662</v>
      </c>
      <c r="D131" s="100">
        <f>+D129-D130</f>
        <v>26763924.588169843</v>
      </c>
      <c r="E131" s="100">
        <f t="shared" ref="E131:H131" si="235">+E129-E130</f>
        <v>36768716.105680682</v>
      </c>
      <c r="F131" s="100">
        <f t="shared" si="235"/>
        <v>45235602.627338819</v>
      </c>
      <c r="G131" s="100">
        <f t="shared" si="235"/>
        <v>55011715.666812301</v>
      </c>
      <c r="H131" s="100">
        <f t="shared" si="235"/>
        <v>64863705.945644565</v>
      </c>
      <c r="I131" s="100">
        <f t="shared" ref="I131:K131" si="236">+I129-I130</f>
        <v>76094518.572577596</v>
      </c>
      <c r="J131" s="100">
        <f t="shared" si="236"/>
        <v>88292014.998810768</v>
      </c>
      <c r="K131" s="100">
        <f t="shared" si="236"/>
        <v>97725627.085241541</v>
      </c>
      <c r="L131" s="100">
        <f t="shared" ref="L131:M131" si="237">+L129-L130</f>
        <v>101451971.82279606</v>
      </c>
      <c r="M131" s="100">
        <f t="shared" si="237"/>
        <v>108476678.17205563</v>
      </c>
    </row>
    <row r="132" spans="2:13">
      <c r="B132" s="67" t="s">
        <v>160</v>
      </c>
      <c r="C132" s="91">
        <f>+C59</f>
        <v>421250</v>
      </c>
      <c r="D132" s="91">
        <f>+D59</f>
        <v>1011000</v>
      </c>
      <c r="E132" s="91">
        <f t="shared" ref="E132:H132" si="238">+E59</f>
        <v>1011000</v>
      </c>
      <c r="F132" s="91">
        <f t="shared" si="238"/>
        <v>1011000</v>
      </c>
      <c r="G132" s="91">
        <f t="shared" si="238"/>
        <v>1011000</v>
      </c>
      <c r="H132" s="91">
        <f t="shared" si="238"/>
        <v>1011000</v>
      </c>
      <c r="I132" s="91">
        <f t="shared" ref="I132:K132" si="239">+I59</f>
        <v>1011000</v>
      </c>
      <c r="J132" s="91">
        <f t="shared" si="239"/>
        <v>1011000</v>
      </c>
      <c r="K132" s="91">
        <f t="shared" si="239"/>
        <v>1011000</v>
      </c>
      <c r="L132" s="91">
        <f t="shared" ref="L132:M132" si="240">+L59</f>
        <v>1011000</v>
      </c>
      <c r="M132" s="91">
        <f t="shared" si="240"/>
        <v>589750</v>
      </c>
    </row>
    <row r="133" spans="2:13" ht="15">
      <c r="B133" s="103" t="s">
        <v>161</v>
      </c>
      <c r="C133" s="100">
        <f>+C131+C132</f>
        <v>-114544909.3995662</v>
      </c>
      <c r="D133" s="100">
        <f>+D131+D132</f>
        <v>27774924.588169843</v>
      </c>
      <c r="E133" s="100">
        <f t="shared" ref="E133:H133" si="241">+E131+E132</f>
        <v>37779716.105680682</v>
      </c>
      <c r="F133" s="100">
        <f t="shared" si="241"/>
        <v>46246602.627338819</v>
      </c>
      <c r="G133" s="100">
        <f t="shared" si="241"/>
        <v>56022715.666812301</v>
      </c>
      <c r="H133" s="100">
        <f t="shared" si="241"/>
        <v>65874705.945644565</v>
      </c>
      <c r="I133" s="100">
        <f t="shared" ref="I133:K133" si="242">+I131+I132</f>
        <v>77105518.572577596</v>
      </c>
      <c r="J133" s="100">
        <f t="shared" si="242"/>
        <v>89303014.998810768</v>
      </c>
      <c r="K133" s="100">
        <f t="shared" si="242"/>
        <v>98736627.085241541</v>
      </c>
      <c r="L133" s="100">
        <f t="shared" ref="L133:M133" si="243">+L131+L132</f>
        <v>102462971.82279606</v>
      </c>
      <c r="M133" s="100">
        <f t="shared" si="243"/>
        <v>109066428.17205563</v>
      </c>
    </row>
    <row r="134" spans="2:13">
      <c r="B134" s="78" t="s">
        <v>162</v>
      </c>
      <c r="C134" s="91">
        <f>+C8+AA15</f>
        <v>10110000</v>
      </c>
      <c r="D134" s="91">
        <v>0</v>
      </c>
      <c r="E134" s="91">
        <v>0</v>
      </c>
      <c r="F134" s="91">
        <v>0</v>
      </c>
      <c r="G134" s="91">
        <v>0</v>
      </c>
      <c r="H134" s="91">
        <v>0</v>
      </c>
      <c r="I134" s="91">
        <v>0</v>
      </c>
      <c r="J134" s="91">
        <v>0</v>
      </c>
      <c r="K134" s="91">
        <v>0</v>
      </c>
      <c r="L134" s="91">
        <v>0</v>
      </c>
      <c r="M134" s="91">
        <v>0</v>
      </c>
    </row>
    <row r="135" spans="2:13">
      <c r="B135" s="67" t="s">
        <v>163</v>
      </c>
      <c r="C135" s="91">
        <f>+C146</f>
        <v>74073782.799848512</v>
      </c>
      <c r="D135" s="91">
        <f>+D146</f>
        <v>27774924.587850228</v>
      </c>
      <c r="E135" s="91">
        <f t="shared" ref="E135:H135" si="244">+E146</f>
        <v>37779716.10535574</v>
      </c>
      <c r="F135" s="91">
        <f t="shared" si="244"/>
        <v>46246602.627007514</v>
      </c>
      <c r="G135" s="91">
        <f t="shared" si="244"/>
        <v>56022715.666473567</v>
      </c>
      <c r="H135" s="91">
        <f t="shared" si="244"/>
        <v>33438902.256603777</v>
      </c>
      <c r="I135" s="91">
        <f t="shared" ref="I135:K135" si="245">+I146</f>
        <v>18728183.221305609</v>
      </c>
      <c r="J135" s="91">
        <f t="shared" si="245"/>
        <v>20817948.283269227</v>
      </c>
      <c r="K135" s="91">
        <f t="shared" si="245"/>
        <v>19273813.58605504</v>
      </c>
      <c r="L135" s="91">
        <f t="shared" ref="L135:M135" si="246">+L146</f>
        <v>14509907.445779741</v>
      </c>
      <c r="M135" s="91">
        <f t="shared" si="246"/>
        <v>17759653.53119123</v>
      </c>
    </row>
    <row r="136" spans="2:13" ht="15">
      <c r="B136" s="101" t="s">
        <v>153</v>
      </c>
      <c r="C136" s="98">
        <f>+C133-C134-C135</f>
        <v>-198728692.19941473</v>
      </c>
      <c r="D136" s="98">
        <f>+D133-D134-D135</f>
        <v>3.1961500644683838E-4</v>
      </c>
      <c r="E136" s="98">
        <f t="shared" ref="E136:H136" si="247">+E133-E134-E135</f>
        <v>3.2494217157363892E-4</v>
      </c>
      <c r="F136" s="98">
        <f t="shared" si="247"/>
        <v>3.3130496740341187E-4</v>
      </c>
      <c r="G136" s="98">
        <f t="shared" si="247"/>
        <v>3.3873319625854492E-4</v>
      </c>
      <c r="H136" s="98">
        <f t="shared" si="247"/>
        <v>32435803.689040788</v>
      </c>
      <c r="I136" s="98">
        <f t="shared" ref="I136:K136" si="248">+I133-I134-I135</f>
        <v>58377335.351271987</v>
      </c>
      <c r="J136" s="98">
        <f t="shared" si="248"/>
        <v>68485066.715541542</v>
      </c>
      <c r="K136" s="98">
        <f t="shared" si="248"/>
        <v>79462813.499186501</v>
      </c>
      <c r="L136" s="98">
        <f t="shared" ref="L136:M136" si="249">+L133-L134-L135</f>
        <v>87953064.377016321</v>
      </c>
      <c r="M136" s="98">
        <f t="shared" si="249"/>
        <v>91306774.640864402</v>
      </c>
    </row>
    <row r="137" spans="2:13">
      <c r="D137" s="102"/>
      <c r="E137" s="102"/>
      <c r="F137" s="102"/>
      <c r="G137" s="102"/>
      <c r="H137" s="102"/>
      <c r="I137" s="102"/>
      <c r="J137" s="102">
        <f>+(J136/I136)-1</f>
        <v>0.1731447881861794</v>
      </c>
      <c r="K137" s="102">
        <f t="shared" ref="K137:M137" si="250">+(K136/J136)-1</f>
        <v>0.1602940218959259</v>
      </c>
      <c r="L137" s="102">
        <f t="shared" si="250"/>
        <v>0.10684558605411998</v>
      </c>
      <c r="M137" s="102">
        <f t="shared" si="250"/>
        <v>3.813068126281749E-2</v>
      </c>
    </row>
    <row r="138" spans="2:13" ht="15">
      <c r="B138" s="64" t="s">
        <v>164</v>
      </c>
    </row>
    <row r="139" spans="2:13" ht="15">
      <c r="B139" s="103" t="s">
        <v>165</v>
      </c>
      <c r="C139" s="100">
        <f>+C75</f>
        <v>74073782.799848512</v>
      </c>
      <c r="D139" s="100">
        <f t="shared" ref="D139:H139" si="251">+D75</f>
        <v>196336701.08500138</v>
      </c>
      <c r="E139" s="100">
        <f t="shared" si="251"/>
        <v>207286879.85361919</v>
      </c>
      <c r="F139" s="100">
        <f t="shared" si="251"/>
        <v>216270449.15921518</v>
      </c>
      <c r="G139" s="100">
        <f t="shared" si="251"/>
        <v>266625680.32817325</v>
      </c>
      <c r="H139" s="100">
        <f t="shared" si="251"/>
        <v>302119353.69590122</v>
      </c>
      <c r="I139" s="100">
        <f t="shared" ref="I139:K139" si="252">+I75</f>
        <v>323136867.50262886</v>
      </c>
      <c r="J139" s="100">
        <f t="shared" si="252"/>
        <v>346409460.25641644</v>
      </c>
      <c r="K139" s="100">
        <f t="shared" si="252"/>
        <v>367707755.81270695</v>
      </c>
      <c r="L139" s="100">
        <f t="shared" ref="L139:M139" si="253">+L75</f>
        <v>383368877.35120314</v>
      </c>
      <c r="M139" s="100">
        <f t="shared" si="253"/>
        <v>402608797.27304506</v>
      </c>
    </row>
    <row r="140" spans="2:13" ht="7.15" customHeight="1">
      <c r="B140" s="78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</row>
    <row r="141" spans="2:13">
      <c r="B141" s="78" t="s">
        <v>128</v>
      </c>
      <c r="C141" s="91">
        <f>+C83</f>
        <v>8.3250355543898512E-5</v>
      </c>
      <c r="D141" s="91">
        <f t="shared" ref="D141:G141" si="254">+D83</f>
        <v>94487993.697401121</v>
      </c>
      <c r="E141" s="91">
        <f t="shared" si="254"/>
        <v>67658456.360681221</v>
      </c>
      <c r="F141" s="91">
        <f t="shared" si="254"/>
        <v>30395423.039291032</v>
      </c>
      <c r="G141" s="91">
        <f t="shared" si="254"/>
        <v>24727938.541800745</v>
      </c>
      <c r="H141" s="91">
        <f>+H83</f>
        <v>26782709.652954746</v>
      </c>
      <c r="I141" s="91">
        <f t="shared" ref="I141:K141" si="255">+I83</f>
        <v>29072040.23841209</v>
      </c>
      <c r="J141" s="91">
        <f t="shared" si="255"/>
        <v>31526684.70897219</v>
      </c>
      <c r="K141" s="91">
        <f t="shared" si="255"/>
        <v>33551166.679257058</v>
      </c>
      <c r="L141" s="91">
        <f t="shared" ref="L141:M141" si="256">+L83</f>
        <v>34702380.772031993</v>
      </c>
      <c r="M141" s="91">
        <f t="shared" si="256"/>
        <v>36182647.162304893</v>
      </c>
    </row>
    <row r="142" spans="2:13">
      <c r="B142" s="78" t="s">
        <v>166</v>
      </c>
      <c r="C142" s="91">
        <f>-C82</f>
        <v>-8.3250355543898512E-5</v>
      </c>
      <c r="D142" s="91">
        <f t="shared" ref="D142:G142" si="257">-D82</f>
        <v>-9.848517060843194E-5</v>
      </c>
      <c r="E142" s="91">
        <f t="shared" si="257"/>
        <v>-1.1650795682977504E-4</v>
      </c>
      <c r="F142" s="91">
        <f t="shared" si="257"/>
        <v>-1.3782891292962382E-4</v>
      </c>
      <c r="G142" s="91">
        <f t="shared" si="257"/>
        <v>-1.6305160399574501E-4</v>
      </c>
      <c r="H142" s="91">
        <f>-H82</f>
        <v>-1.9289004752696634E-4</v>
      </c>
      <c r="I142" s="91">
        <f t="shared" ref="I142:K142" si="258">-I82</f>
        <v>-2.281889262244012E-4</v>
      </c>
      <c r="J142" s="91">
        <f t="shared" si="258"/>
        <v>-2.6994749972346664E-4</v>
      </c>
      <c r="K142" s="91">
        <f t="shared" si="258"/>
        <v>-3.1934789217286097E-4</v>
      </c>
      <c r="L142" s="91">
        <f t="shared" ref="L142:M142" si="259">-L82</f>
        <v>-3.7778855644049459E-4</v>
      </c>
      <c r="M142" s="91">
        <f t="shared" si="259"/>
        <v>0</v>
      </c>
    </row>
    <row r="143" spans="2:13" ht="15">
      <c r="B143" s="103" t="s">
        <v>167</v>
      </c>
      <c r="C143" s="100">
        <f>+C141+C142</f>
        <v>0</v>
      </c>
      <c r="D143" s="100">
        <f>+D141+D142</f>
        <v>94487993.697302639</v>
      </c>
      <c r="E143" s="100">
        <f t="shared" ref="E143" si="260">+E141+E142</f>
        <v>67658456.360564709</v>
      </c>
      <c r="F143" s="100">
        <f>+F141+F142</f>
        <v>30395423.039153203</v>
      </c>
      <c r="G143" s="100">
        <f>+G141+G142</f>
        <v>24727938.541637693</v>
      </c>
      <c r="H143" s="100">
        <f>+H141+H142</f>
        <v>26782709.652761854</v>
      </c>
      <c r="I143" s="100">
        <f t="shared" ref="I143:M143" si="261">+I141+I142</f>
        <v>29072040.238183901</v>
      </c>
      <c r="J143" s="100">
        <f t="shared" si="261"/>
        <v>31526684.708702244</v>
      </c>
      <c r="K143" s="100">
        <f t="shared" si="261"/>
        <v>33551166.678937711</v>
      </c>
      <c r="L143" s="100">
        <f t="shared" si="261"/>
        <v>34702380.771654204</v>
      </c>
      <c r="M143" s="100">
        <f t="shared" si="261"/>
        <v>36182647.162304893</v>
      </c>
    </row>
    <row r="144" spans="2:13" ht="7.15" customHeight="1">
      <c r="B144" s="78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</row>
    <row r="145" spans="2:13" ht="15">
      <c r="B145" s="103" t="s">
        <v>168</v>
      </c>
      <c r="C145" s="100">
        <f>+C139-C143</f>
        <v>74073782.799848512</v>
      </c>
      <c r="D145" s="100">
        <f>+D139-D143</f>
        <v>101848707.38769874</v>
      </c>
      <c r="E145" s="100">
        <f t="shared" ref="E145:G145" si="262">+E139-E143</f>
        <v>139628423.49305448</v>
      </c>
      <c r="F145" s="100">
        <f>+F139-F143</f>
        <v>185875026.12006199</v>
      </c>
      <c r="G145" s="100">
        <f t="shared" si="262"/>
        <v>241897741.78653556</v>
      </c>
      <c r="H145" s="100">
        <f>+H139-H143</f>
        <v>275336644.04313934</v>
      </c>
      <c r="I145" s="100">
        <f t="shared" ref="I145:K145" si="263">+I139-I143</f>
        <v>294064827.26444495</v>
      </c>
      <c r="J145" s="100">
        <f t="shared" si="263"/>
        <v>314882775.54771417</v>
      </c>
      <c r="K145" s="100">
        <f t="shared" si="263"/>
        <v>334156589.13376921</v>
      </c>
      <c r="L145" s="100">
        <f t="shared" ref="L145:M145" si="264">+L139-L143</f>
        <v>348666496.57954895</v>
      </c>
      <c r="M145" s="100">
        <f t="shared" si="264"/>
        <v>366426150.11074018</v>
      </c>
    </row>
    <row r="146" spans="2:13" ht="15">
      <c r="B146" s="103" t="s">
        <v>169</v>
      </c>
      <c r="C146" s="100">
        <f>+C139-C143</f>
        <v>74073782.799848512</v>
      </c>
      <c r="D146" s="100">
        <f>+D145-C145</f>
        <v>27774924.587850228</v>
      </c>
      <c r="E146" s="100">
        <f>+E145-D145</f>
        <v>37779716.10535574</v>
      </c>
      <c r="F146" s="100">
        <f t="shared" ref="F146:G146" si="265">+F145-E145</f>
        <v>46246602.627007514</v>
      </c>
      <c r="G146" s="100">
        <f t="shared" si="265"/>
        <v>56022715.666473567</v>
      </c>
      <c r="H146" s="100">
        <f>+H145-G145</f>
        <v>33438902.256603777</v>
      </c>
      <c r="I146" s="100">
        <f t="shared" ref="I146:M146" si="266">+I145-H145</f>
        <v>18728183.221305609</v>
      </c>
      <c r="J146" s="100">
        <f t="shared" si="266"/>
        <v>20817948.283269227</v>
      </c>
      <c r="K146" s="100">
        <f t="shared" si="266"/>
        <v>19273813.58605504</v>
      </c>
      <c r="L146" s="100">
        <f t="shared" si="266"/>
        <v>14509907.445779741</v>
      </c>
      <c r="M146" s="100">
        <f t="shared" si="266"/>
        <v>17759653.53119123</v>
      </c>
    </row>
    <row r="148" spans="2:13" ht="15">
      <c r="B148" s="95" t="s">
        <v>170</v>
      </c>
      <c r="C148" s="90">
        <f t="shared" ref="C148:M148" si="267">C$2</f>
        <v>2021</v>
      </c>
      <c r="D148" s="90">
        <f t="shared" si="267"/>
        <v>2022</v>
      </c>
      <c r="E148" s="90">
        <f t="shared" si="267"/>
        <v>2023</v>
      </c>
      <c r="F148" s="90">
        <f t="shared" si="267"/>
        <v>2024</v>
      </c>
      <c r="G148" s="90">
        <f t="shared" si="267"/>
        <v>2025</v>
      </c>
      <c r="H148" s="90">
        <f t="shared" si="267"/>
        <v>2026</v>
      </c>
      <c r="I148" s="90">
        <f t="shared" si="267"/>
        <v>2027</v>
      </c>
      <c r="J148" s="90">
        <f t="shared" si="267"/>
        <v>2028</v>
      </c>
      <c r="K148" s="90">
        <f t="shared" si="267"/>
        <v>2029</v>
      </c>
      <c r="L148" s="90">
        <f t="shared" si="267"/>
        <v>2030</v>
      </c>
      <c r="M148" s="90">
        <f t="shared" si="267"/>
        <v>2031</v>
      </c>
    </row>
    <row r="149" spans="2:13" ht="18" customHeight="1">
      <c r="B149" s="78" t="s">
        <v>369</v>
      </c>
      <c r="C149" s="92"/>
      <c r="D149" s="91">
        <f>C82+C84+D102</f>
        <v>1.9872869219956625E-3</v>
      </c>
      <c r="E149" s="91">
        <f t="shared" ref="E149:H149" si="268">D82+D84+E102</f>
        <v>1.904036566451764E-3</v>
      </c>
      <c r="F149" s="91">
        <f t="shared" si="268"/>
        <v>1.8055513958433319E-3</v>
      </c>
      <c r="G149" s="91">
        <f t="shared" si="268"/>
        <v>1.6890434390135569E-3</v>
      </c>
      <c r="H149" s="91">
        <f t="shared" si="268"/>
        <v>1.5512145260839329E-3</v>
      </c>
      <c r="I149" s="91">
        <f t="shared" ref="I149" si="269">H82+H84+I102</f>
        <v>1.388162922088188E-3</v>
      </c>
      <c r="J149" s="91">
        <f t="shared" ref="J149" si="270">I82+I84+J102</f>
        <v>1.1952728745612217E-3</v>
      </c>
      <c r="K149" s="91">
        <f t="shared" ref="K149:M149" si="271">J82+J84+K102</f>
        <v>9.6708394833682041E-4</v>
      </c>
      <c r="L149" s="91">
        <f t="shared" si="271"/>
        <v>6.9713644861335382E-4</v>
      </c>
      <c r="M149" s="91">
        <f t="shared" si="271"/>
        <v>3.7778855644049285E-4</v>
      </c>
    </row>
    <row r="150" spans="2:13" ht="15">
      <c r="B150" s="78" t="s">
        <v>370</v>
      </c>
      <c r="C150" s="92"/>
      <c r="D150" s="91">
        <f>+IF($H$1="Contable",C91+D103,D253)</f>
        <v>83762532.797861233</v>
      </c>
      <c r="E150" s="91">
        <f>+IF($H$1="Contable",D91+E103,E253)</f>
        <v>110526457.38579468</v>
      </c>
      <c r="F150" s="91">
        <f>+IF($H$1="Contable",E91+F103,F253)</f>
        <v>147295173.49124891</v>
      </c>
      <c r="G150" s="91">
        <f>+IF($H$1="Contable",F91+G103,G253)</f>
        <v>192530776.11837295</v>
      </c>
      <c r="H150" s="91">
        <f>+IF($H$1="Contable",G91+H103,H253)</f>
        <v>247542491.78498429</v>
      </c>
      <c r="I150" s="91">
        <f t="shared" ref="I150:K150" si="272">+IF($H$1="Contable",H91+I103,I253)</f>
        <v>279970394.04175133</v>
      </c>
      <c r="J150" s="91">
        <f t="shared" si="272"/>
        <v>297687577.26324975</v>
      </c>
      <c r="K150" s="91">
        <f t="shared" si="272"/>
        <v>317494525.54674709</v>
      </c>
      <c r="L150" s="91">
        <f t="shared" ref="L150:M150" si="273">+IF($H$1="Contable",K91+L103,L253)</f>
        <v>335757339.1330719</v>
      </c>
      <c r="M150" s="91">
        <f t="shared" si="273"/>
        <v>349256246.57917118</v>
      </c>
    </row>
    <row r="151" spans="2:13" ht="15">
      <c r="B151" s="78" t="s">
        <v>371</v>
      </c>
      <c r="C151" s="92"/>
      <c r="D151" s="91">
        <f>+D149+D150</f>
        <v>83762532.799848527</v>
      </c>
      <c r="E151" s="91">
        <f t="shared" ref="E151:H151" si="274">+E149+E150</f>
        <v>110526457.38769872</v>
      </c>
      <c r="F151" s="91">
        <f t="shared" si="274"/>
        <v>147295173.49305445</v>
      </c>
      <c r="G151" s="91">
        <f t="shared" si="274"/>
        <v>192530776.12006199</v>
      </c>
      <c r="H151" s="91">
        <f t="shared" si="274"/>
        <v>247542491.7865355</v>
      </c>
      <c r="I151" s="91">
        <f t="shared" ref="I151:K151" si="275">+I149+I150</f>
        <v>279970394.04313952</v>
      </c>
      <c r="J151" s="91">
        <f t="shared" si="275"/>
        <v>297687577.26444501</v>
      </c>
      <c r="K151" s="91">
        <f t="shared" si="275"/>
        <v>317494525.54771417</v>
      </c>
      <c r="L151" s="91">
        <f t="shared" ref="L151:M151" si="276">+L149+L150</f>
        <v>335757339.13376904</v>
      </c>
      <c r="M151" s="91">
        <f t="shared" si="276"/>
        <v>349256246.57954895</v>
      </c>
    </row>
    <row r="152" spans="2:13" ht="6.6" customHeight="1"/>
    <row r="153" spans="2:13" ht="15">
      <c r="B153" s="109" t="s">
        <v>171</v>
      </c>
    </row>
    <row r="154" spans="2:13" ht="15">
      <c r="B154" s="78" t="s">
        <v>369</v>
      </c>
      <c r="C154" s="68"/>
      <c r="D154" s="110">
        <f>+D149/D151</f>
        <v>2.3725248694954175E-11</v>
      </c>
      <c r="E154" s="110">
        <f t="shared" ref="E154:H154" si="277">+E149/E151</f>
        <v>1.722697543605227E-11</v>
      </c>
      <c r="F154" s="110">
        <f t="shared" si="277"/>
        <v>1.2258048604209497E-11</v>
      </c>
      <c r="G154" s="110">
        <f t="shared" si="277"/>
        <v>8.7728490636752593E-12</v>
      </c>
      <c r="H154" s="110">
        <f t="shared" si="277"/>
        <v>6.2664575883060881E-12</v>
      </c>
      <c r="I154" s="110">
        <f t="shared" ref="I154:K154" si="278">+I149/I151</f>
        <v>4.958248984977646E-12</v>
      </c>
      <c r="J154" s="110">
        <f t="shared" si="278"/>
        <v>4.0151923219134673E-12</v>
      </c>
      <c r="K154" s="110">
        <f t="shared" si="278"/>
        <v>3.0459862155685693E-12</v>
      </c>
      <c r="L154" s="110">
        <f t="shared" ref="L154:M154" si="279">+L149/L151</f>
        <v>2.0763103806216659E-12</v>
      </c>
      <c r="M154" s="58">
        <f t="shared" si="279"/>
        <v>1.0816944869000222E-12</v>
      </c>
    </row>
    <row r="155" spans="2:13" ht="15">
      <c r="B155" s="78" t="s">
        <v>370</v>
      </c>
      <c r="C155" s="68"/>
      <c r="D155" s="110">
        <f>+D150/D151</f>
        <v>0.99999999997627464</v>
      </c>
      <c r="E155" s="110">
        <f t="shared" ref="E155:H155" si="280">+E150/E151</f>
        <v>0.999999999982773</v>
      </c>
      <c r="F155" s="110">
        <f t="shared" si="280"/>
        <v>0.99999999998774203</v>
      </c>
      <c r="G155" s="110">
        <f t="shared" si="280"/>
        <v>0.99999999999122713</v>
      </c>
      <c r="H155" s="110">
        <f t="shared" si="280"/>
        <v>0.99999999999373357</v>
      </c>
      <c r="I155" s="110">
        <f t="shared" ref="I155:K155" si="281">+I150/I151</f>
        <v>0.99999999999504163</v>
      </c>
      <c r="J155" s="110">
        <f t="shared" si="281"/>
        <v>0.99999999999598488</v>
      </c>
      <c r="K155" s="110">
        <f t="shared" si="281"/>
        <v>0.99999999999695399</v>
      </c>
      <c r="L155" s="110">
        <f t="shared" ref="L155:M155" si="282">+L150/L151</f>
        <v>0.99999999999792366</v>
      </c>
      <c r="M155" s="110">
        <f t="shared" si="282"/>
        <v>0.99999999999891831</v>
      </c>
    </row>
    <row r="156" spans="2:13" ht="15">
      <c r="B156" s="78" t="s">
        <v>372</v>
      </c>
      <c r="C156" s="68"/>
      <c r="D156" s="111">
        <f>+D149/D150</f>
        <v>2.3725248695517065E-11</v>
      </c>
      <c r="E156" s="111">
        <f t="shared" ref="E156:H156" si="283">+E149/E150</f>
        <v>1.722697543634904E-11</v>
      </c>
      <c r="F156" s="111">
        <f t="shared" si="283"/>
        <v>1.2258048604359757E-11</v>
      </c>
      <c r="G156" s="111">
        <f t="shared" si="283"/>
        <v>8.7728490637522226E-12</v>
      </c>
      <c r="H156" s="111">
        <f t="shared" si="283"/>
        <v>6.2664575883453565E-12</v>
      </c>
      <c r="I156" s="111">
        <f t="shared" ref="I156:K156" si="284">+I149/I150</f>
        <v>4.9582489850022304E-12</v>
      </c>
      <c r="J156" s="111">
        <f t="shared" si="284"/>
        <v>4.0151923219295885E-12</v>
      </c>
      <c r="K156" s="111">
        <f t="shared" si="284"/>
        <v>3.0459862155778476E-12</v>
      </c>
      <c r="L156" s="111">
        <f t="shared" ref="L156:M156" si="285">+L149/L150</f>
        <v>2.0763103806259771E-12</v>
      </c>
      <c r="M156" s="111">
        <f t="shared" si="285"/>
        <v>1.0816944869011923E-12</v>
      </c>
    </row>
    <row r="157" spans="2:13">
      <c r="B157" s="78" t="s">
        <v>172</v>
      </c>
      <c r="C157" s="68"/>
      <c r="D157" s="110">
        <f>+D128/(D82+D84)*(1-D5)</f>
        <v>0.12415086114228396</v>
      </c>
      <c r="E157" s="110">
        <f>+E128/(E82+E84)*(1-E5)</f>
        <v>0.12543821798750363</v>
      </c>
      <c r="F157" s="110">
        <f>+F128/(F82+F84)*(1-F5)</f>
        <v>0.12715501186931905</v>
      </c>
      <c r="G157" s="110">
        <f>+G128/(G82+G84)*(1-G5)</f>
        <v>0.12951897606185239</v>
      </c>
      <c r="H157" s="110">
        <f>+H128/(H82+H84)*(1-H5)</f>
        <v>0.1329216945228002</v>
      </c>
      <c r="I157" s="110">
        <f t="shared" ref="I157:K157" si="286">+I128/(I82+I84)*(1-I5)</f>
        <v>0.13814584359492421</v>
      </c>
      <c r="J157" s="110">
        <f t="shared" si="286"/>
        <v>0.14701692513206621</v>
      </c>
      <c r="K157" s="110">
        <f t="shared" si="286"/>
        <v>0.16501021555174109</v>
      </c>
      <c r="L157" s="110">
        <f>+L128/(L82+L84)*(1-L5)</f>
        <v>0.21949945054945103</v>
      </c>
      <c r="M157" s="110">
        <v>0</v>
      </c>
    </row>
    <row r="158" spans="2:13" ht="6.6" customHeight="1"/>
    <row r="159" spans="2:13" ht="16.5">
      <c r="B159" s="78" t="s">
        <v>373</v>
      </c>
      <c r="C159" s="111"/>
      <c r="D159" s="111">
        <f>+'Riesgo Sector'!D11</f>
        <v>0.92292862494381589</v>
      </c>
      <c r="E159" s="111">
        <f>+'Riesgo Sector'!E11</f>
        <v>0.92126195827714918</v>
      </c>
      <c r="F159" s="111">
        <f>+'Riesgo Sector'!F11</f>
        <v>0.91459529161048247</v>
      </c>
      <c r="G159" s="111">
        <f>+'Riesgo Sector'!G11</f>
        <v>0.90626195827714917</v>
      </c>
      <c r="H159" s="111">
        <f>+'Riesgo Sector'!H11</f>
        <v>0.89626195827714916</v>
      </c>
      <c r="I159" s="111">
        <f>+'Riesgo Sector'!I11</f>
        <v>0.88626195827714915</v>
      </c>
      <c r="J159" s="111">
        <f>+'Riesgo Sector'!J11</f>
        <v>0.87626195827714914</v>
      </c>
      <c r="K159" s="111">
        <f>+'Riesgo Sector'!K11</f>
        <v>0.86626195827714914</v>
      </c>
      <c r="L159" s="111">
        <f>+'Riesgo Sector'!L11</f>
        <v>0.85626195827714913</v>
      </c>
      <c r="M159" s="111">
        <f>+'Riesgo Sector'!M11</f>
        <v>0.84626195827714912</v>
      </c>
    </row>
    <row r="160" spans="2:13" ht="16.5">
      <c r="B160" s="78" t="s">
        <v>374</v>
      </c>
      <c r="C160" s="68"/>
      <c r="D160" s="111">
        <f>+'Riesgo Sector'!D13</f>
        <v>0.92292862495804873</v>
      </c>
      <c r="E160" s="111">
        <f>+'Riesgo Sector'!E13</f>
        <v>0.92126195828746504</v>
      </c>
      <c r="F160" s="111">
        <f>+'Riesgo Sector'!F13</f>
        <v>0.91459529161776965</v>
      </c>
      <c r="G160" s="111">
        <f>+'Riesgo Sector'!G13</f>
        <v>0.90626195828231693</v>
      </c>
      <c r="H160" s="111">
        <f>+'Riesgo Sector'!H13</f>
        <v>0.8962619582807998</v>
      </c>
      <c r="I160" s="111">
        <f>+'Riesgo Sector'!I13</f>
        <v>0.88626195828000531</v>
      </c>
      <c r="J160" s="111">
        <f>+'Riesgo Sector'!J13</f>
        <v>0.87626195827943609</v>
      </c>
      <c r="K160" s="111">
        <f>+'Riesgo Sector'!K13</f>
        <v>0.86626195827886432</v>
      </c>
      <c r="L160" s="111">
        <f>+'Riesgo Sector'!L13</f>
        <v>0.85626195827830476</v>
      </c>
      <c r="M160" s="111">
        <f>+'Riesgo Sector'!M13</f>
        <v>0.84626195827774409</v>
      </c>
    </row>
    <row r="161" spans="1:30" ht="16.5">
      <c r="B161" s="78" t="s">
        <v>375</v>
      </c>
      <c r="C161" s="68"/>
      <c r="D161" s="110">
        <f>+'Riesgo Sector'!$D$45+'Riesgo Sector'!D13*'Riesgo Sector'!$D$49+'Riesgo Sector'!D87</f>
        <v>0.16260398774235726</v>
      </c>
      <c r="E161" s="110">
        <f>+'Riesgo Sector'!$D$45+'Riesgo Sector'!E13*'Riesgo Sector'!$D$49+'Riesgo Sector'!E87</f>
        <v>0.16163570440870678</v>
      </c>
      <c r="F161" s="110">
        <f>+'Riesgo Sector'!$D$45+'Riesgo Sector'!F13*'Riesgo Sector'!$D$49+'Riesgo Sector'!F87</f>
        <v>0.16109590440846155</v>
      </c>
      <c r="G161" s="110">
        <f>+'Riesgo Sector'!$D$45+'Riesgo Sector'!G13*'Riesgo Sector'!$D$49+'Riesgo Sector'!G87</f>
        <v>0.15958782107495656</v>
      </c>
      <c r="H161" s="110">
        <f>+'Riesgo Sector'!$D$45+'Riesgo Sector'!H13*'Riesgo Sector'!$D$49+'Riesgo Sector'!H87</f>
        <v>0.15794478774150042</v>
      </c>
      <c r="I161" s="110">
        <f>+'Riesgo Sector'!$D$45+'Riesgo Sector'!I13*'Riesgo Sector'!$D$49+'Riesgo Sector'!I87</f>
        <v>0.14130175440810275</v>
      </c>
      <c r="J161" s="110">
        <f>+'Riesgo Sector'!$D$45+'Riesgo Sector'!J13*'Riesgo Sector'!$D$49+'Riesgo Sector'!J87</f>
        <v>0.14049205440805665</v>
      </c>
      <c r="K161" s="110">
        <f>+'Riesgo Sector'!$D$45+'Riesgo Sector'!K13*'Riesgo Sector'!$D$49+'Riesgo Sector'!K87</f>
        <v>0.13968235440801036</v>
      </c>
      <c r="L161" s="110">
        <f>+'Riesgo Sector'!$D$45+'Riesgo Sector'!L13*'Riesgo Sector'!$D$49+'Riesgo Sector'!L87</f>
        <v>0.13887265440796503</v>
      </c>
      <c r="M161" s="110">
        <f>+'Riesgo Sector'!$D$45+'Riesgo Sector'!M13*'Riesgo Sector'!$D$49+'Riesgo Sector'!M87</f>
        <v>0.13806295440791966</v>
      </c>
    </row>
    <row r="162" spans="1:30" ht="6.6" customHeight="1"/>
    <row r="163" spans="1:30" ht="15">
      <c r="B163" s="101" t="s">
        <v>170</v>
      </c>
      <c r="C163" s="68"/>
      <c r="D163" s="112">
        <f>+D157*(D154)+D161*D155</f>
        <v>0.16260398774144494</v>
      </c>
      <c r="E163" s="112">
        <f t="shared" ref="E163:H163" si="287">+E157*(E154)+E161*E155</f>
        <v>0.1616357044080832</v>
      </c>
      <c r="F163" s="112">
        <f>+F157*(F154)+F161*F155</f>
        <v>0.16109590440804553</v>
      </c>
      <c r="G163" s="112">
        <f t="shared" si="287"/>
        <v>0.15958782107469277</v>
      </c>
      <c r="H163" s="112">
        <f t="shared" si="287"/>
        <v>0.1579447877413436</v>
      </c>
      <c r="I163" s="112">
        <f t="shared" ref="I163:K163" si="288">+I157*(I154)+I161*I155</f>
        <v>0.14130175440808707</v>
      </c>
      <c r="J163" s="112">
        <f t="shared" si="288"/>
        <v>0.14049205440808285</v>
      </c>
      <c r="K163" s="112">
        <f t="shared" si="288"/>
        <v>0.13968235440808752</v>
      </c>
      <c r="L163" s="112">
        <f t="shared" ref="L163" si="289">+L157*(L154)+L161*L155</f>
        <v>0.13887265440813243</v>
      </c>
      <c r="M163" s="112">
        <f>+M157*(M154)+M161*M155</f>
        <v>0.13806295440777031</v>
      </c>
    </row>
    <row r="165" spans="1:30" s="115" customFormat="1" ht="18" customHeight="1">
      <c r="A165" s="326"/>
      <c r="B165" s="113"/>
      <c r="C165" s="114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</row>
    <row r="166" spans="1:30" s="115" customFormat="1" ht="15">
      <c r="A166" s="327"/>
      <c r="B166" s="116" t="s">
        <v>176</v>
      </c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</row>
    <row r="167" spans="1:30" ht="15">
      <c r="A167" s="327"/>
      <c r="B167" s="118"/>
      <c r="C167" s="90">
        <f t="shared" ref="C167:M167" si="290">C$2</f>
        <v>2021</v>
      </c>
      <c r="D167" s="90">
        <f t="shared" si="290"/>
        <v>2022</v>
      </c>
      <c r="E167" s="90">
        <f t="shared" si="290"/>
        <v>2023</v>
      </c>
      <c r="F167" s="90">
        <f t="shared" si="290"/>
        <v>2024</v>
      </c>
      <c r="G167" s="90">
        <f t="shared" si="290"/>
        <v>2025</v>
      </c>
      <c r="H167" s="90">
        <f t="shared" si="290"/>
        <v>2026</v>
      </c>
      <c r="I167" s="90">
        <f t="shared" si="290"/>
        <v>2027</v>
      </c>
      <c r="J167" s="90">
        <f t="shared" si="290"/>
        <v>2028</v>
      </c>
      <c r="K167" s="90">
        <f t="shared" si="290"/>
        <v>2029</v>
      </c>
      <c r="L167" s="90">
        <f t="shared" si="290"/>
        <v>2030</v>
      </c>
      <c r="M167" s="90">
        <f t="shared" si="290"/>
        <v>2031</v>
      </c>
    </row>
    <row r="168" spans="1:30" ht="16.5">
      <c r="A168" s="327"/>
      <c r="B168" s="119" t="s">
        <v>376</v>
      </c>
      <c r="C168" s="120"/>
      <c r="D168" s="121">
        <f>+D131</f>
        <v>26763924.588169843</v>
      </c>
      <c r="E168" s="121">
        <f>+E131</f>
        <v>36768716.105680682</v>
      </c>
      <c r="F168" s="121">
        <f>+F131</f>
        <v>45235602.627338819</v>
      </c>
      <c r="G168" s="121">
        <f>+G131</f>
        <v>55011715.666812301</v>
      </c>
      <c r="H168" s="121">
        <f>+H131</f>
        <v>64863705.945644565</v>
      </c>
      <c r="I168" s="121">
        <f t="shared" ref="I168:K168" si="291">+I131</f>
        <v>76094518.572577596</v>
      </c>
      <c r="J168" s="121">
        <f t="shared" si="291"/>
        <v>88292014.998810768</v>
      </c>
      <c r="K168" s="121">
        <f t="shared" si="291"/>
        <v>97725627.085241541</v>
      </c>
      <c r="L168" s="121">
        <f t="shared" ref="L168:M168" si="292">+L131</f>
        <v>101451971.82279606</v>
      </c>
      <c r="M168" s="121">
        <f t="shared" si="292"/>
        <v>108476678.17205563</v>
      </c>
    </row>
    <row r="169" spans="1:30" ht="11.25" customHeight="1">
      <c r="A169" s="327"/>
      <c r="B169" s="115"/>
      <c r="C169" s="115"/>
      <c r="D169" s="122"/>
      <c r="E169" s="122"/>
      <c r="F169" s="114"/>
      <c r="G169" s="114"/>
      <c r="H169" s="114"/>
      <c r="I169" s="114"/>
      <c r="J169" s="114"/>
      <c r="K169" s="114"/>
      <c r="L169" s="114"/>
      <c r="M169" s="114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  <c r="AC169" s="123"/>
    </row>
    <row r="170" spans="1:30" ht="33.6" customHeight="1">
      <c r="A170" s="327"/>
      <c r="B170" s="383" t="s">
        <v>416</v>
      </c>
      <c r="C170" s="384"/>
      <c r="D170" s="124">
        <f>+D82+D84</f>
        <v>1.904036566451764E-3</v>
      </c>
      <c r="E170" s="124">
        <f>+E82+E84</f>
        <v>1.8055513958433319E-3</v>
      </c>
      <c r="F170" s="124">
        <f>+F82+F84</f>
        <v>1.6890434390135569E-3</v>
      </c>
      <c r="G170" s="124">
        <f>+G82+G84</f>
        <v>1.5512145260839329E-3</v>
      </c>
      <c r="H170" s="124">
        <f>+H82+H84</f>
        <v>1.388162922088188E-3</v>
      </c>
      <c r="I170" s="124">
        <f t="shared" ref="I170:K170" si="293">+I82+I84</f>
        <v>1.1952728745612217E-3</v>
      </c>
      <c r="J170" s="124">
        <f t="shared" si="293"/>
        <v>9.6708394833682041E-4</v>
      </c>
      <c r="K170" s="124">
        <f t="shared" si="293"/>
        <v>6.9713644861335382E-4</v>
      </c>
      <c r="L170" s="124">
        <f t="shared" ref="L170:M170" si="294">+L82+L84</f>
        <v>3.7778855644049285E-4</v>
      </c>
      <c r="M170" s="124">
        <f t="shared" si="294"/>
        <v>0</v>
      </c>
    </row>
    <row r="171" spans="1:30" ht="33.6" customHeight="1">
      <c r="A171" s="327"/>
      <c r="B171" s="383" t="s">
        <v>417</v>
      </c>
      <c r="C171" s="384"/>
      <c r="D171" s="124">
        <f>+IF($H$1="Contable",D91,D253)</f>
        <v>110526457.38579468</v>
      </c>
      <c r="E171" s="124">
        <f>+IF($H$1="Contable",E91,E253)</f>
        <v>147295173.49124891</v>
      </c>
      <c r="F171" s="124">
        <f>+IF($H$1="Contable",F91,F253)</f>
        <v>192530776.11837295</v>
      </c>
      <c r="G171" s="124">
        <f>+IF($H$1="Contable",G91,G253)</f>
        <v>247542491.78498429</v>
      </c>
      <c r="H171" s="124">
        <f>+IF($H$1="Contable",H91,H253)</f>
        <v>279970394.04175133</v>
      </c>
      <c r="I171" s="124">
        <f t="shared" ref="I171:K171" si="295">+IF($H$1="Contable",I91,I253)</f>
        <v>297687577.26324975</v>
      </c>
      <c r="J171" s="124">
        <f t="shared" si="295"/>
        <v>317494525.54674709</v>
      </c>
      <c r="K171" s="124">
        <f t="shared" si="295"/>
        <v>335757339.1330719</v>
      </c>
      <c r="L171" s="124">
        <f t="shared" ref="L171:M171" si="296">+IF($H$1="Contable",L91,L253)</f>
        <v>349256246.57917118</v>
      </c>
      <c r="M171" s="124">
        <f t="shared" si="296"/>
        <v>366426150.11074007</v>
      </c>
      <c r="AD171" s="123"/>
    </row>
    <row r="172" spans="1:30" s="123" customFormat="1" ht="20.25" customHeight="1">
      <c r="A172" s="327"/>
      <c r="B172" s="125" t="s">
        <v>425</v>
      </c>
      <c r="C172" s="126"/>
      <c r="D172" s="127">
        <f>+D170+D171</f>
        <v>110526457.38769872</v>
      </c>
      <c r="E172" s="127">
        <f t="shared" ref="E172:H172" si="297">+E170+E171</f>
        <v>147295173.49305445</v>
      </c>
      <c r="F172" s="127">
        <f t="shared" si="297"/>
        <v>192530776.12006199</v>
      </c>
      <c r="G172" s="127">
        <f t="shared" si="297"/>
        <v>247542491.7865355</v>
      </c>
      <c r="H172" s="127">
        <f t="shared" si="297"/>
        <v>279970394.04313952</v>
      </c>
      <c r="I172" s="127">
        <f t="shared" ref="I172:K172" si="298">+I170+I171</f>
        <v>297687577.26444501</v>
      </c>
      <c r="J172" s="127">
        <f t="shared" si="298"/>
        <v>317494525.54771417</v>
      </c>
      <c r="K172" s="127">
        <f t="shared" si="298"/>
        <v>335757339.13376904</v>
      </c>
      <c r="L172" s="127">
        <f t="shared" ref="L172:M172" si="299">+L170+L171</f>
        <v>349256246.57954895</v>
      </c>
      <c r="M172" s="127">
        <f t="shared" si="299"/>
        <v>366426150.11074007</v>
      </c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</row>
    <row r="173" spans="1:30" ht="11.25" customHeight="1">
      <c r="A173" s="327"/>
      <c r="B173" s="115"/>
      <c r="C173" s="115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</row>
    <row r="174" spans="1:30" ht="20.25" customHeight="1">
      <c r="A174" s="327"/>
      <c r="B174" s="128" t="s">
        <v>177</v>
      </c>
      <c r="C174" s="129"/>
      <c r="D174" s="130">
        <f>+D168/D172</f>
        <v>0.24214948366877259</v>
      </c>
      <c r="E174" s="130">
        <f t="shared" ref="E174:H174" si="300">+E168/E172</f>
        <v>0.24962607554425043</v>
      </c>
      <c r="F174" s="130">
        <f t="shared" si="300"/>
        <v>0.23495258025205251</v>
      </c>
      <c r="G174" s="130">
        <f t="shared" si="300"/>
        <v>0.222231404676377</v>
      </c>
      <c r="H174" s="130">
        <f t="shared" si="300"/>
        <v>0.23168058953994247</v>
      </c>
      <c r="I174" s="130">
        <f t="shared" ref="I174:K174" si="301">+I168/I172</f>
        <v>0.25561872373659889</v>
      </c>
      <c r="J174" s="130">
        <f t="shared" si="301"/>
        <v>0.27808988153889269</v>
      </c>
      <c r="K174" s="130">
        <f t="shared" si="301"/>
        <v>0.29106028579261134</v>
      </c>
      <c r="L174" s="130">
        <f t="shared" ref="L174" si="302">+L168/L172</f>
        <v>0.29048004958069856</v>
      </c>
      <c r="M174" s="130">
        <f>+M168/M172</f>
        <v>0.29603967440443912</v>
      </c>
    </row>
    <row r="175" spans="1:30" ht="11.25" customHeight="1">
      <c r="A175" s="327"/>
      <c r="B175" s="115"/>
      <c r="C175" s="11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30" ht="20.25" customHeight="1">
      <c r="A176" s="327"/>
      <c r="B176" s="128" t="s">
        <v>178</v>
      </c>
      <c r="C176" s="129"/>
      <c r="D176" s="130">
        <f>+D163</f>
        <v>0.16260398774144494</v>
      </c>
      <c r="E176" s="130">
        <f>+E163</f>
        <v>0.1616357044080832</v>
      </c>
      <c r="F176" s="130">
        <f>+F163</f>
        <v>0.16109590440804553</v>
      </c>
      <c r="G176" s="130">
        <f>+G163</f>
        <v>0.15958782107469277</v>
      </c>
      <c r="H176" s="130">
        <f>+H163</f>
        <v>0.1579447877413436</v>
      </c>
      <c r="I176" s="130">
        <f t="shared" ref="I176:K176" si="303">+I163</f>
        <v>0.14130175440808707</v>
      </c>
      <c r="J176" s="130">
        <f t="shared" si="303"/>
        <v>0.14049205440808285</v>
      </c>
      <c r="K176" s="130">
        <f t="shared" si="303"/>
        <v>0.13968235440808752</v>
      </c>
      <c r="L176" s="130">
        <f t="shared" ref="L176:M176" si="304">+L163</f>
        <v>0.13887265440813243</v>
      </c>
      <c r="M176" s="130">
        <f t="shared" si="304"/>
        <v>0.13806295440777031</v>
      </c>
    </row>
    <row r="177" spans="1:30" ht="20.25" customHeight="1">
      <c r="A177" s="327"/>
      <c r="B177" s="119" t="s">
        <v>179</v>
      </c>
      <c r="C177" s="120"/>
      <c r="D177" s="131">
        <f>+D172*D176</f>
        <v>17972042.7221747</v>
      </c>
      <c r="E177" s="131">
        <f t="shared" ref="E177:H177" si="305">+E172*E176</f>
        <v>23808159.12346068</v>
      </c>
      <c r="F177" s="131">
        <f t="shared" si="305"/>
        <v>31015919.505444322</v>
      </c>
      <c r="G177" s="131">
        <f>+G172*G176</f>
        <v>39504766.887613229</v>
      </c>
      <c r="H177" s="131">
        <f t="shared" si="305"/>
        <v>44219864.461003996</v>
      </c>
      <c r="I177" s="131">
        <f t="shared" ref="I177:K177" si="306">+I172*I176</f>
        <v>42063776.93295905</v>
      </c>
      <c r="J177" s="131">
        <f t="shared" si="306"/>
        <v>44605458.15751791</v>
      </c>
      <c r="K177" s="131">
        <f t="shared" si="306"/>
        <v>46899375.639999561</v>
      </c>
      <c r="L177" s="131">
        <f t="shared" ref="L177:M177" si="307">+L172*L176</f>
        <v>48502142.031123184</v>
      </c>
      <c r="M177" s="131">
        <f t="shared" si="307"/>
        <v>50589876.856553905</v>
      </c>
    </row>
    <row r="178" spans="1:30" ht="11.25" customHeight="1">
      <c r="A178" s="327"/>
      <c r="B178" s="115"/>
      <c r="C178" s="11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30" ht="20.25" customHeight="1">
      <c r="A179" s="327"/>
      <c r="B179" s="119" t="s">
        <v>377</v>
      </c>
      <c r="C179" s="120"/>
      <c r="D179" s="131">
        <f>+D168-D177</f>
        <v>8791881.8659951426</v>
      </c>
      <c r="E179" s="131">
        <f t="shared" ref="E179:H179" si="308">+E168-E177</f>
        <v>12960556.982220002</v>
      </c>
      <c r="F179" s="131">
        <f t="shared" si="308"/>
        <v>14219683.121894497</v>
      </c>
      <c r="G179" s="131">
        <f>+G168-G177</f>
        <v>15506948.779199071</v>
      </c>
      <c r="H179" s="131">
        <f t="shared" si="308"/>
        <v>20643841.484640568</v>
      </c>
      <c r="I179" s="131">
        <f t="shared" ref="I179:K179" si="309">+I168-I177</f>
        <v>34030741.639618546</v>
      </c>
      <c r="J179" s="131">
        <f t="shared" si="309"/>
        <v>43686556.841292858</v>
      </c>
      <c r="K179" s="131">
        <f t="shared" si="309"/>
        <v>50826251.44524198</v>
      </c>
      <c r="L179" s="131">
        <f t="shared" ref="L179:M179" si="310">+L168-L177</f>
        <v>52949829.791672878</v>
      </c>
      <c r="M179" s="131">
        <f t="shared" si="310"/>
        <v>57886801.315501727</v>
      </c>
    </row>
    <row r="180" spans="1:30" ht="19.899999999999999" customHeight="1">
      <c r="A180" s="327"/>
      <c r="B180" s="119" t="s">
        <v>180</v>
      </c>
      <c r="C180" s="120"/>
      <c r="D180" s="131">
        <f>+(D174-D176)*D172</f>
        <v>8791881.8659951426</v>
      </c>
      <c r="E180" s="131">
        <f t="shared" ref="E180:H180" si="311">+(E174-E176)*E172</f>
        <v>12960556.982220002</v>
      </c>
      <c r="F180" s="131">
        <f t="shared" si="311"/>
        <v>14219683.121894499</v>
      </c>
      <c r="G180" s="131">
        <f t="shared" si="311"/>
        <v>15506948.779199069</v>
      </c>
      <c r="H180" s="131">
        <f t="shared" si="311"/>
        <v>20643841.484640561</v>
      </c>
      <c r="I180" s="131">
        <f t="shared" ref="I180:K180" si="312">+(I174-I176)*I172</f>
        <v>34030741.639618553</v>
      </c>
      <c r="J180" s="131">
        <f t="shared" si="312"/>
        <v>43686556.841292866</v>
      </c>
      <c r="K180" s="131">
        <f t="shared" si="312"/>
        <v>50826251.445241988</v>
      </c>
      <c r="L180" s="131">
        <f t="shared" ref="L180:M180" si="313">+(L174-L176)*L172</f>
        <v>52949829.791672878</v>
      </c>
      <c r="M180" s="131">
        <f t="shared" si="313"/>
        <v>57886801.31550172</v>
      </c>
    </row>
    <row r="181" spans="1:30">
      <c r="A181" s="327"/>
    </row>
    <row r="182" spans="1:30" ht="18" customHeight="1"/>
    <row r="183" spans="1:30" ht="28.15" customHeight="1">
      <c r="A183" s="327"/>
      <c r="B183" s="116" t="s">
        <v>181</v>
      </c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AD183" s="115"/>
    </row>
    <row r="184" spans="1:30" s="115" customFormat="1">
      <c r="A184" s="327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</row>
    <row r="185" spans="1:30" ht="15">
      <c r="A185" s="327"/>
      <c r="B185" s="116" t="s">
        <v>182</v>
      </c>
      <c r="C185" s="90">
        <f t="shared" ref="C185:M185" si="314">C$2</f>
        <v>2021</v>
      </c>
      <c r="D185" s="90">
        <f t="shared" si="314"/>
        <v>2022</v>
      </c>
      <c r="E185" s="90">
        <f t="shared" si="314"/>
        <v>2023</v>
      </c>
      <c r="F185" s="90">
        <f t="shared" si="314"/>
        <v>2024</v>
      </c>
      <c r="G185" s="90">
        <f t="shared" si="314"/>
        <v>2025</v>
      </c>
      <c r="H185" s="90">
        <f t="shared" si="314"/>
        <v>2026</v>
      </c>
      <c r="I185" s="90">
        <f t="shared" si="314"/>
        <v>2027</v>
      </c>
      <c r="J185" s="90">
        <f t="shared" si="314"/>
        <v>2028</v>
      </c>
      <c r="K185" s="90">
        <f t="shared" si="314"/>
        <v>2029</v>
      </c>
      <c r="L185" s="90">
        <f t="shared" si="314"/>
        <v>2030</v>
      </c>
      <c r="M185" s="90">
        <f t="shared" si="314"/>
        <v>2031</v>
      </c>
    </row>
    <row r="186" spans="1:30" ht="17.45" customHeight="1">
      <c r="A186" s="327"/>
      <c r="B186" s="128" t="s">
        <v>154</v>
      </c>
      <c r="C186" s="132">
        <f t="shared" ref="C186:H186" si="315">+C68</f>
        <v>-114966159.39971773</v>
      </c>
      <c r="D186" s="132">
        <f t="shared" si="315"/>
        <v>26763924.587933458</v>
      </c>
      <c r="E186" s="132">
        <f t="shared" si="315"/>
        <v>36768716.105454192</v>
      </c>
      <c r="F186" s="132">
        <f t="shared" si="315"/>
        <v>45235602.627124041</v>
      </c>
      <c r="G186" s="132">
        <f t="shared" si="315"/>
        <v>55011715.666611388</v>
      </c>
      <c r="H186" s="132">
        <f t="shared" si="315"/>
        <v>64863705.945460051</v>
      </c>
      <c r="I186" s="132">
        <f t="shared" ref="I186:K186" si="316">+I68</f>
        <v>76094518.572412476</v>
      </c>
      <c r="J186" s="132">
        <f t="shared" si="316"/>
        <v>88292014.998668581</v>
      </c>
      <c r="K186" s="132">
        <f t="shared" si="316"/>
        <v>97725627.085126519</v>
      </c>
      <c r="L186" s="132">
        <f t="shared" ref="L186:M186" si="317">+L68</f>
        <v>101451971.82271314</v>
      </c>
      <c r="M186" s="132">
        <f t="shared" si="317"/>
        <v>108476678.17201069</v>
      </c>
    </row>
    <row r="187" spans="1:30" ht="17.45" customHeight="1">
      <c r="A187" s="327"/>
      <c r="B187" s="128" t="s">
        <v>183</v>
      </c>
      <c r="C187" s="132">
        <f t="shared" ref="C187:H187" si="318">+C67</f>
        <v>0</v>
      </c>
      <c r="D187" s="132">
        <f t="shared" si="318"/>
        <v>14411344.008887246</v>
      </c>
      <c r="E187" s="132">
        <f t="shared" si="318"/>
        <v>19798539.441398408</v>
      </c>
      <c r="F187" s="132">
        <f t="shared" si="318"/>
        <v>24357632.183836024</v>
      </c>
      <c r="G187" s="132">
        <f t="shared" si="318"/>
        <v>29621693.051252287</v>
      </c>
      <c r="H187" s="132">
        <f t="shared" si="318"/>
        <v>34926610.893709257</v>
      </c>
      <c r="I187" s="132">
        <f t="shared" ref="I187:K187" si="319">+I67</f>
        <v>40973971.538991332</v>
      </c>
      <c r="J187" s="132">
        <f t="shared" si="319"/>
        <v>47541854.230052315</v>
      </c>
      <c r="K187" s="132">
        <f t="shared" si="319"/>
        <v>52621491.507375814</v>
      </c>
      <c r="L187" s="132">
        <f t="shared" ref="L187:M187" si="320">+L67</f>
        <v>54627984.827614762</v>
      </c>
      <c r="M187" s="132">
        <f t="shared" si="320"/>
        <v>58410519.015698068</v>
      </c>
    </row>
    <row r="188" spans="1:30" ht="17.45" customHeight="1">
      <c r="A188" s="327"/>
      <c r="B188" s="128" t="s">
        <v>113</v>
      </c>
      <c r="C188" s="124">
        <f>+C186+C187</f>
        <v>-114966159.39971773</v>
      </c>
      <c r="D188" s="124">
        <f t="shared" ref="D188:H188" si="321">+D186+D187</f>
        <v>41175268.596820705</v>
      </c>
      <c r="E188" s="124">
        <f t="shared" si="321"/>
        <v>56567255.546852604</v>
      </c>
      <c r="F188" s="124">
        <f t="shared" si="321"/>
        <v>69593234.810960069</v>
      </c>
      <c r="G188" s="124">
        <f t="shared" si="321"/>
        <v>84633408.717863679</v>
      </c>
      <c r="H188" s="124">
        <f t="shared" si="321"/>
        <v>99790316.839169309</v>
      </c>
      <c r="I188" s="124">
        <f t="shared" ref="I188:K188" si="322">+I186+I187</f>
        <v>117068490.11140381</v>
      </c>
      <c r="J188" s="124">
        <f t="shared" si="322"/>
        <v>135833869.2287209</v>
      </c>
      <c r="K188" s="124">
        <f t="shared" si="322"/>
        <v>150347118.59250233</v>
      </c>
      <c r="L188" s="124">
        <f t="shared" ref="L188:M188" si="323">+L186+L187</f>
        <v>156079956.65032789</v>
      </c>
      <c r="M188" s="124">
        <f t="shared" si="323"/>
        <v>166887197.18770877</v>
      </c>
    </row>
    <row r="189" spans="1:30" ht="17.45" customHeight="1">
      <c r="A189" s="327"/>
      <c r="B189" s="128" t="s">
        <v>156</v>
      </c>
      <c r="C189" s="132">
        <f t="shared" ref="C189:H189" si="324">+C64</f>
        <v>1.5153062780216928E-4</v>
      </c>
      <c r="D189" s="132">
        <f t="shared" si="324"/>
        <v>3.6367350672520624E-4</v>
      </c>
      <c r="E189" s="132">
        <f t="shared" si="324"/>
        <v>3.4843869166067281E-4</v>
      </c>
      <c r="F189" s="132">
        <f t="shared" si="324"/>
        <v>3.3041590543932971E-4</v>
      </c>
      <c r="G189" s="132">
        <f t="shared" si="324"/>
        <v>3.0909494933948093E-4</v>
      </c>
      <c r="H189" s="132">
        <f t="shared" si="324"/>
        <v>2.8387225827335974E-4</v>
      </c>
      <c r="I189" s="132">
        <f t="shared" ref="I189:K189" si="325">+I64</f>
        <v>2.5403381474213842E-4</v>
      </c>
      <c r="J189" s="132">
        <f t="shared" si="325"/>
        <v>2.1873493604470355E-4</v>
      </c>
      <c r="K189" s="132">
        <f t="shared" si="325"/>
        <v>1.7697636254563812E-4</v>
      </c>
      <c r="L189" s="132">
        <f t="shared" ref="L189:M189" si="326">+L64</f>
        <v>1.2757597009624376E-4</v>
      </c>
      <c r="M189" s="132">
        <f t="shared" si="326"/>
        <v>6.9135305828610193E-5</v>
      </c>
    </row>
    <row r="190" spans="1:30" ht="15">
      <c r="A190" s="327"/>
      <c r="B190" s="125" t="s">
        <v>184</v>
      </c>
      <c r="C190" s="133">
        <f>+C188+C189</f>
        <v>-114966159.3995662</v>
      </c>
      <c r="D190" s="133">
        <f t="shared" ref="D190:H190" si="327">+D188+D189</f>
        <v>41175268.597184375</v>
      </c>
      <c r="E190" s="133">
        <f t="shared" si="327"/>
        <v>56567255.547201045</v>
      </c>
      <c r="F190" s="133">
        <f t="shared" si="327"/>
        <v>69593234.811290488</v>
      </c>
      <c r="G190" s="133">
        <f t="shared" si="327"/>
        <v>84633408.718172774</v>
      </c>
      <c r="H190" s="133">
        <f t="shared" si="327"/>
        <v>99790316.839453176</v>
      </c>
      <c r="I190" s="133">
        <f t="shared" ref="I190:K190" si="328">+I188+I189</f>
        <v>117068490.11165784</v>
      </c>
      <c r="J190" s="133">
        <f t="shared" si="328"/>
        <v>135833869.22893965</v>
      </c>
      <c r="K190" s="133">
        <f t="shared" si="328"/>
        <v>150347118.59267929</v>
      </c>
      <c r="L190" s="133">
        <f t="shared" ref="L190:M190" si="329">+L188+L189</f>
        <v>156079956.65045547</v>
      </c>
      <c r="M190" s="133">
        <f t="shared" si="329"/>
        <v>166887197.18777791</v>
      </c>
    </row>
    <row r="191" spans="1:30" ht="17.45" customHeight="1">
      <c r="A191" s="327"/>
      <c r="B191" s="128" t="s">
        <v>160</v>
      </c>
      <c r="C191" s="124">
        <f t="shared" ref="C191:H191" si="330">+C59</f>
        <v>421250</v>
      </c>
      <c r="D191" s="124">
        <f t="shared" si="330"/>
        <v>1011000</v>
      </c>
      <c r="E191" s="124">
        <f t="shared" si="330"/>
        <v>1011000</v>
      </c>
      <c r="F191" s="124">
        <f t="shared" si="330"/>
        <v>1011000</v>
      </c>
      <c r="G191" s="124">
        <f t="shared" si="330"/>
        <v>1011000</v>
      </c>
      <c r="H191" s="124">
        <f t="shared" si="330"/>
        <v>1011000</v>
      </c>
      <c r="I191" s="124">
        <f t="shared" ref="I191:K191" si="331">+I59</f>
        <v>1011000</v>
      </c>
      <c r="J191" s="124">
        <f t="shared" si="331"/>
        <v>1011000</v>
      </c>
      <c r="K191" s="124">
        <f t="shared" si="331"/>
        <v>1011000</v>
      </c>
      <c r="L191" s="124">
        <f t="shared" ref="L191:M191" si="332">+L59</f>
        <v>1011000</v>
      </c>
      <c r="M191" s="124">
        <f t="shared" si="332"/>
        <v>589750</v>
      </c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</row>
    <row r="192" spans="1:30" ht="17.45" customHeight="1">
      <c r="A192" s="327"/>
      <c r="B192" s="134" t="s">
        <v>185</v>
      </c>
      <c r="C192" s="133">
        <f>+C190+C191</f>
        <v>-114544909.3995662</v>
      </c>
      <c r="D192" s="133">
        <f t="shared" ref="D192:H192" si="333">+D190+D191</f>
        <v>42186268.597184375</v>
      </c>
      <c r="E192" s="133">
        <f t="shared" si="333"/>
        <v>57578255.547201045</v>
      </c>
      <c r="F192" s="133">
        <f t="shared" si="333"/>
        <v>70604234.811290488</v>
      </c>
      <c r="G192" s="133">
        <f t="shared" si="333"/>
        <v>85644408.718172774</v>
      </c>
      <c r="H192" s="133">
        <f t="shared" si="333"/>
        <v>100801316.83945318</v>
      </c>
      <c r="I192" s="133">
        <f t="shared" ref="I192:K192" si="334">+I190+I191</f>
        <v>118079490.11165784</v>
      </c>
      <c r="J192" s="133">
        <f t="shared" si="334"/>
        <v>136844869.22893965</v>
      </c>
      <c r="K192" s="133">
        <f t="shared" si="334"/>
        <v>151358118.59267929</v>
      </c>
      <c r="L192" s="133">
        <f t="shared" ref="L192:M192" si="335">+L190+L191</f>
        <v>157090956.65045547</v>
      </c>
      <c r="M192" s="133">
        <f t="shared" si="335"/>
        <v>167476947.18777791</v>
      </c>
    </row>
    <row r="193" spans="1:30" ht="15">
      <c r="A193" s="327"/>
      <c r="B193" s="135"/>
      <c r="C193" s="136"/>
      <c r="D193" s="136"/>
      <c r="E193" s="136"/>
      <c r="AD193" s="115"/>
    </row>
    <row r="194" spans="1:30" s="115" customFormat="1" ht="15">
      <c r="A194" s="327"/>
      <c r="H194" s="6"/>
      <c r="I194" s="6"/>
      <c r="J194" s="6"/>
      <c r="K194" s="6"/>
      <c r="L194" s="6"/>
      <c r="M194" s="6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</row>
    <row r="195" spans="1:30" ht="15">
      <c r="A195" s="327"/>
      <c r="B195" s="116" t="s">
        <v>186</v>
      </c>
      <c r="C195" s="90">
        <f t="shared" ref="C195:M195" si="336">C$2</f>
        <v>2021</v>
      </c>
      <c r="D195" s="90">
        <f t="shared" si="336"/>
        <v>2022</v>
      </c>
      <c r="E195" s="90">
        <f t="shared" si="336"/>
        <v>2023</v>
      </c>
      <c r="F195" s="90">
        <f t="shared" si="336"/>
        <v>2024</v>
      </c>
      <c r="G195" s="90">
        <f t="shared" si="336"/>
        <v>2025</v>
      </c>
      <c r="H195" s="90">
        <f t="shared" si="336"/>
        <v>2026</v>
      </c>
      <c r="I195" s="90">
        <f t="shared" si="336"/>
        <v>2027</v>
      </c>
      <c r="J195" s="90">
        <f t="shared" si="336"/>
        <v>2028</v>
      </c>
      <c r="K195" s="90">
        <f t="shared" si="336"/>
        <v>2029</v>
      </c>
      <c r="L195" s="90">
        <f t="shared" si="336"/>
        <v>2030</v>
      </c>
      <c r="M195" s="90">
        <f t="shared" si="336"/>
        <v>2031</v>
      </c>
    </row>
    <row r="196" spans="1:30" ht="17.45" customHeight="1">
      <c r="A196" s="327"/>
      <c r="B196" s="128" t="s">
        <v>105</v>
      </c>
      <c r="C196" s="124">
        <f t="shared" ref="C196:H196" si="337">+C54</f>
        <v>0</v>
      </c>
      <c r="D196" s="124">
        <f t="shared" si="337"/>
        <v>404969119.91020817</v>
      </c>
      <c r="E196" s="124">
        <f t="shared" si="337"/>
        <v>439277050.82928914</v>
      </c>
      <c r="F196" s="124">
        <f t="shared" si="337"/>
        <v>466025069.73133534</v>
      </c>
      <c r="G196" s="124">
        <f t="shared" si="337"/>
        <v>494886002.29979688</v>
      </c>
      <c r="H196" s="124">
        <f t="shared" si="337"/>
        <v>524513837.48548114</v>
      </c>
      <c r="I196" s="124">
        <f t="shared" ref="I196:K196" si="338">+I54</f>
        <v>556993832.35793209</v>
      </c>
      <c r="J196" s="124">
        <f t="shared" si="338"/>
        <v>591485118.43286455</v>
      </c>
      <c r="K196" s="124">
        <f t="shared" si="338"/>
        <v>621299564.30805576</v>
      </c>
      <c r="L196" s="124">
        <f t="shared" ref="L196:M196" si="339">+L54</f>
        <v>641802449.93022144</v>
      </c>
      <c r="M196" s="124">
        <f t="shared" si="339"/>
        <v>662981930.7779187</v>
      </c>
    </row>
    <row r="197" spans="1:30" ht="17.45" customHeight="1">
      <c r="A197" s="327"/>
      <c r="B197" s="128" t="s">
        <v>68</v>
      </c>
      <c r="C197" s="124">
        <f t="shared" ref="C197:H197" si="340">+C63</f>
        <v>0</v>
      </c>
      <c r="D197" s="124">
        <f t="shared" si="340"/>
        <v>3461340.7413230441</v>
      </c>
      <c r="E197" s="124">
        <f t="shared" si="340"/>
        <v>3640378.5599534316</v>
      </c>
      <c r="F197" s="124">
        <f t="shared" si="340"/>
        <v>3770413.4725576225</v>
      </c>
      <c r="G197" s="124">
        <f t="shared" si="340"/>
        <v>3901269.9423037916</v>
      </c>
      <c r="H197" s="124">
        <f t="shared" si="340"/>
        <v>4038362.8721699934</v>
      </c>
      <c r="I197" s="124">
        <f t="shared" ref="I197:K197" si="341">+I63</f>
        <v>4182100.4721305436</v>
      </c>
      <c r="J197" s="124">
        <f t="shared" si="341"/>
        <v>4330701.416145876</v>
      </c>
      <c r="K197" s="124">
        <f t="shared" si="341"/>
        <v>4475450.4636734184</v>
      </c>
      <c r="L197" s="124">
        <f t="shared" ref="L197:M197" si="342">+L63</f>
        <v>4615792.8083222434</v>
      </c>
      <c r="M197" s="124">
        <f t="shared" si="342"/>
        <v>4717131.1573078753</v>
      </c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</row>
    <row r="198" spans="1:30" ht="17.45" customHeight="1">
      <c r="A198" s="327"/>
      <c r="B198" s="125" t="s">
        <v>187</v>
      </c>
      <c r="C198" s="133">
        <f>+C196+C197</f>
        <v>0</v>
      </c>
      <c r="D198" s="133">
        <f t="shared" ref="D198:H198" si="343">+D196+D197</f>
        <v>408430460.65153122</v>
      </c>
      <c r="E198" s="133">
        <f t="shared" si="343"/>
        <v>442917429.38924259</v>
      </c>
      <c r="F198" s="133">
        <f t="shared" si="343"/>
        <v>469795483.20389295</v>
      </c>
      <c r="G198" s="133">
        <f t="shared" si="343"/>
        <v>498787272.24210066</v>
      </c>
      <c r="H198" s="133">
        <f t="shared" si="343"/>
        <v>528552200.35765111</v>
      </c>
      <c r="I198" s="133">
        <f t="shared" ref="I198:K198" si="344">+I196+I197</f>
        <v>561175932.83006263</v>
      </c>
      <c r="J198" s="133">
        <f t="shared" si="344"/>
        <v>595815819.84901047</v>
      </c>
      <c r="K198" s="133">
        <f t="shared" si="344"/>
        <v>625775014.77172923</v>
      </c>
      <c r="L198" s="133">
        <f t="shared" ref="L198:M198" si="345">+L196+L197</f>
        <v>646418242.73854363</v>
      </c>
      <c r="M198" s="133">
        <f t="shared" si="345"/>
        <v>667699061.93522656</v>
      </c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</row>
    <row r="199" spans="1:30" ht="17.45" customHeight="1">
      <c r="A199" s="327"/>
      <c r="B199" s="128"/>
      <c r="C199" s="137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</row>
    <row r="200" spans="1:30" s="115" customFormat="1" ht="17.45" customHeight="1">
      <c r="A200" s="327"/>
      <c r="B200" s="139" t="s">
        <v>106</v>
      </c>
      <c r="C200" s="140">
        <f t="shared" ref="C200:H200" si="346">+C55</f>
        <v>111144909.3995662</v>
      </c>
      <c r="D200" s="140">
        <f t="shared" si="346"/>
        <v>351134972.97053814</v>
      </c>
      <c r="E200" s="140">
        <f t="shared" si="346"/>
        <v>369297426.28088617</v>
      </c>
      <c r="F200" s="140">
        <f t="shared" si="346"/>
        <v>382488790.24496853</v>
      </c>
      <c r="G200" s="140">
        <f t="shared" si="346"/>
        <v>395763496.89802635</v>
      </c>
      <c r="H200" s="140">
        <f t="shared" si="346"/>
        <v>409670859.91731137</v>
      </c>
      <c r="I200" s="140">
        <f t="shared" ref="I200:K200" si="347">+I55</f>
        <v>424252290.0765698</v>
      </c>
      <c r="J200" s="140">
        <f t="shared" si="347"/>
        <v>439327081.13579261</v>
      </c>
      <c r="K200" s="140">
        <f t="shared" si="347"/>
        <v>454011117.37767589</v>
      </c>
      <c r="L200" s="140">
        <f t="shared" ref="L200:M200" si="348">+L55</f>
        <v>468248116.5862689</v>
      </c>
      <c r="M200" s="140">
        <f t="shared" si="348"/>
        <v>478528363.77694213</v>
      </c>
    </row>
    <row r="201" spans="1:30" s="115" customFormat="1" ht="17.45" customHeight="1">
      <c r="A201" s="327"/>
      <c r="B201" s="139" t="s">
        <v>188</v>
      </c>
      <c r="C201" s="140">
        <f t="shared" ref="C201:H201" si="349">+C58</f>
        <v>3400000</v>
      </c>
      <c r="D201" s="140">
        <f t="shared" si="349"/>
        <v>15109219.083808698</v>
      </c>
      <c r="E201" s="140">
        <f t="shared" si="349"/>
        <v>16041747.561155353</v>
      </c>
      <c r="F201" s="140">
        <f t="shared" si="349"/>
        <v>16702458.14763394</v>
      </c>
      <c r="G201" s="140">
        <f t="shared" si="349"/>
        <v>17379366.625901554</v>
      </c>
      <c r="H201" s="140">
        <f t="shared" si="349"/>
        <v>18080023.600886591</v>
      </c>
      <c r="I201" s="140">
        <f t="shared" ref="I201:K201" si="350">+I58</f>
        <v>18844152.641834993</v>
      </c>
      <c r="J201" s="140">
        <f t="shared" si="350"/>
        <v>19643869.484278161</v>
      </c>
      <c r="K201" s="140">
        <f t="shared" si="350"/>
        <v>20405778.801373988</v>
      </c>
      <c r="L201" s="140">
        <f t="shared" ref="L201:M201" si="351">+L58</f>
        <v>21079169.501819324</v>
      </c>
      <c r="M201" s="140">
        <f t="shared" si="351"/>
        <v>21693750.970506508</v>
      </c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</row>
    <row r="202" spans="1:30" s="115" customFormat="1" ht="17.45" customHeight="1">
      <c r="A202" s="327"/>
      <c r="B202" s="125" t="s">
        <v>189</v>
      </c>
      <c r="C202" s="141">
        <f>+C200+C201</f>
        <v>114544909.3995662</v>
      </c>
      <c r="D202" s="141">
        <f t="shared" ref="D202:H202" si="352">+D200+D201</f>
        <v>366244192.05434686</v>
      </c>
      <c r="E202" s="141">
        <f t="shared" si="352"/>
        <v>385339173.84204155</v>
      </c>
      <c r="F202" s="141">
        <f t="shared" si="352"/>
        <v>399191248.39260244</v>
      </c>
      <c r="G202" s="141">
        <f t="shared" si="352"/>
        <v>413142863.52392793</v>
      </c>
      <c r="H202" s="141">
        <f t="shared" si="352"/>
        <v>427750883.51819795</v>
      </c>
      <c r="I202" s="141">
        <f t="shared" ref="I202:K202" si="353">+I200+I201</f>
        <v>443096442.71840477</v>
      </c>
      <c r="J202" s="141">
        <f t="shared" si="353"/>
        <v>458970950.62007076</v>
      </c>
      <c r="K202" s="141">
        <f t="shared" si="353"/>
        <v>474416896.17904985</v>
      </c>
      <c r="L202" s="141">
        <f t="shared" ref="L202:M202" si="354">+L200+L201</f>
        <v>489327286.08808821</v>
      </c>
      <c r="M202" s="141">
        <f t="shared" si="354"/>
        <v>500222114.74744862</v>
      </c>
      <c r="AD202" s="63"/>
    </row>
    <row r="203" spans="1:30" ht="4.9000000000000004" customHeight="1">
      <c r="A203" s="327"/>
      <c r="B203" s="128"/>
      <c r="C203" s="137"/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</row>
    <row r="204" spans="1:30" s="115" customFormat="1" ht="17.45" customHeight="1">
      <c r="A204" s="327"/>
      <c r="B204" s="134" t="s">
        <v>185</v>
      </c>
      <c r="C204" s="141">
        <f>+C198-C202</f>
        <v>-114544909.3995662</v>
      </c>
      <c r="D204" s="141">
        <f t="shared" ref="D204:H204" si="355">+D198-D202</f>
        <v>42186268.59718436</v>
      </c>
      <c r="E204" s="141">
        <f t="shared" si="355"/>
        <v>57578255.547201037</v>
      </c>
      <c r="F204" s="141">
        <f t="shared" si="355"/>
        <v>70604234.811290503</v>
      </c>
      <c r="G204" s="141">
        <f t="shared" si="355"/>
        <v>85644408.718172729</v>
      </c>
      <c r="H204" s="141">
        <f t="shared" si="355"/>
        <v>100801316.83945316</v>
      </c>
      <c r="I204" s="141">
        <f t="shared" ref="I204:K204" si="356">+I198-I202</f>
        <v>118079490.11165786</v>
      </c>
      <c r="J204" s="141">
        <f t="shared" si="356"/>
        <v>136844869.22893971</v>
      </c>
      <c r="K204" s="141">
        <f t="shared" si="356"/>
        <v>151358118.59267938</v>
      </c>
      <c r="L204" s="141">
        <f t="shared" ref="L204:M204" si="357">+L198-L202</f>
        <v>157090956.65045542</v>
      </c>
      <c r="M204" s="141">
        <f t="shared" si="357"/>
        <v>167476947.18777794</v>
      </c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</row>
    <row r="205" spans="1:30" s="115" customFormat="1" ht="12" customHeight="1">
      <c r="A205" s="327"/>
      <c r="B205" s="113" t="s">
        <v>190</v>
      </c>
      <c r="C205" s="114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</row>
    <row r="206" spans="1:30" s="115" customFormat="1" ht="12" customHeight="1">
      <c r="A206" s="327"/>
      <c r="B206" s="113" t="s">
        <v>191</v>
      </c>
      <c r="C206" s="114"/>
      <c r="F206" s="114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</row>
    <row r="207" spans="1:30" ht="4.9000000000000004" customHeight="1">
      <c r="A207" s="327"/>
      <c r="B207" s="142"/>
      <c r="C207" s="114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</row>
    <row r="208" spans="1:30" ht="17.45" customHeight="1">
      <c r="A208" s="327"/>
      <c r="B208" s="143" t="s">
        <v>192</v>
      </c>
      <c r="C208" s="90">
        <f t="shared" ref="C208:M208" si="358">C$2</f>
        <v>2021</v>
      </c>
      <c r="D208" s="90">
        <f t="shared" si="358"/>
        <v>2022</v>
      </c>
      <c r="E208" s="90">
        <f t="shared" si="358"/>
        <v>2023</v>
      </c>
      <c r="F208" s="90">
        <f t="shared" si="358"/>
        <v>2024</v>
      </c>
      <c r="G208" s="90">
        <f t="shared" si="358"/>
        <v>2025</v>
      </c>
      <c r="H208" s="90">
        <f t="shared" si="358"/>
        <v>2026</v>
      </c>
      <c r="I208" s="90">
        <f t="shared" si="358"/>
        <v>2027</v>
      </c>
      <c r="J208" s="90">
        <f t="shared" si="358"/>
        <v>2028</v>
      </c>
      <c r="K208" s="90">
        <f t="shared" si="358"/>
        <v>2029</v>
      </c>
      <c r="L208" s="90">
        <f t="shared" si="358"/>
        <v>2030</v>
      </c>
      <c r="M208" s="90">
        <f t="shared" si="358"/>
        <v>2031</v>
      </c>
    </row>
    <row r="209" spans="1:13" ht="17.45" customHeight="1">
      <c r="A209" s="327"/>
      <c r="B209" s="125" t="s">
        <v>193</v>
      </c>
      <c r="C209" s="144"/>
      <c r="D209" s="145">
        <f>D202/D198</f>
        <v>0.89671125770127791</v>
      </c>
      <c r="E209" s="145">
        <f>E202/E198</f>
        <v>0.87000228095200927</v>
      </c>
      <c r="F209" s="145">
        <f t="shared" ref="F209:H209" si="359">F202/F198</f>
        <v>0.84971282752701982</v>
      </c>
      <c r="G209" s="145">
        <f t="shared" si="359"/>
        <v>0.82829471904286534</v>
      </c>
      <c r="H209" s="145">
        <f t="shared" si="359"/>
        <v>0.80928786831036792</v>
      </c>
      <c r="I209" s="145">
        <f t="shared" ref="I209:K209" si="360">I202/I198</f>
        <v>0.78958561263279425</v>
      </c>
      <c r="J209" s="145">
        <f t="shared" si="360"/>
        <v>0.77032353846593327</v>
      </c>
      <c r="K209" s="145">
        <f t="shared" si="360"/>
        <v>0.75812693856450641</v>
      </c>
      <c r="L209" s="145">
        <f t="shared" ref="L209:M209" si="361">L202/L198</f>
        <v>0.75698248244829647</v>
      </c>
      <c r="M209" s="145">
        <f t="shared" si="361"/>
        <v>0.74917300811780252</v>
      </c>
    </row>
    <row r="210" spans="1:13" ht="17.45" customHeight="1">
      <c r="A210" s="327"/>
      <c r="B210" s="125" t="s">
        <v>194</v>
      </c>
      <c r="C210" s="144"/>
      <c r="D210" s="145">
        <f>D204/D198</f>
        <v>0.10328874229872209</v>
      </c>
      <c r="E210" s="145">
        <f t="shared" ref="E210:H210" si="362">E204/E198</f>
        <v>0.12999771904799073</v>
      </c>
      <c r="F210" s="145">
        <f t="shared" si="362"/>
        <v>0.15028717247298012</v>
      </c>
      <c r="G210" s="145">
        <f t="shared" si="362"/>
        <v>0.17170528095713469</v>
      </c>
      <c r="H210" s="145">
        <f t="shared" si="362"/>
        <v>0.19071213168963208</v>
      </c>
      <c r="I210" s="145">
        <f t="shared" ref="I210:K210" si="363">I204/I198</f>
        <v>0.2104143873672058</v>
      </c>
      <c r="J210" s="145">
        <f t="shared" si="363"/>
        <v>0.22967646153406676</v>
      </c>
      <c r="K210" s="145">
        <f t="shared" si="363"/>
        <v>0.24187306143549361</v>
      </c>
      <c r="L210" s="145">
        <f t="shared" ref="L210:M210" si="364">L204/L198</f>
        <v>0.24301751755170359</v>
      </c>
      <c r="M210" s="145">
        <f t="shared" si="364"/>
        <v>0.25082699188219748</v>
      </c>
    </row>
    <row r="211" spans="1:13">
      <c r="A211" s="327"/>
    </row>
    <row r="231" spans="1:30" ht="15">
      <c r="B231" s="146" t="s">
        <v>173</v>
      </c>
      <c r="C231" s="146"/>
      <c r="D231" s="147"/>
      <c r="E231" s="147"/>
      <c r="F231" s="148"/>
      <c r="G231" s="148"/>
      <c r="H231" s="148"/>
      <c r="I231" s="149"/>
      <c r="J231" s="150">
        <v>2031</v>
      </c>
    </row>
    <row r="232" spans="1:30" ht="15">
      <c r="B232" s="151" t="s">
        <v>317</v>
      </c>
      <c r="C232" s="152" t="s">
        <v>318</v>
      </c>
      <c r="D232" s="153"/>
      <c r="E232" s="153"/>
      <c r="F232" s="153"/>
      <c r="G232" s="153"/>
      <c r="H232" s="153"/>
      <c r="I232" s="153"/>
      <c r="J232" s="154">
        <f>+M136</f>
        <v>91306774.640864402</v>
      </c>
    </row>
    <row r="233" spans="1:30" ht="16.5">
      <c r="B233" s="155" t="s">
        <v>319</v>
      </c>
      <c r="C233" s="156" t="s">
        <v>378</v>
      </c>
      <c r="D233" s="153"/>
      <c r="E233" s="153"/>
      <c r="F233" s="153"/>
      <c r="G233" s="153"/>
      <c r="H233" s="153"/>
      <c r="I233" s="153"/>
      <c r="J233" s="157">
        <f>+M163</f>
        <v>0.13806295440777031</v>
      </c>
    </row>
    <row r="234" spans="1:30" ht="15">
      <c r="B234" s="158" t="s">
        <v>320</v>
      </c>
      <c r="C234" s="159" t="s">
        <v>321</v>
      </c>
      <c r="D234" s="51" t="s">
        <v>322</v>
      </c>
      <c r="E234" s="160"/>
      <c r="F234" s="160"/>
      <c r="G234" s="160"/>
      <c r="H234" s="161">
        <f>AVERAGE(D3:M3)</f>
        <v>3.4920000000000007E-2</v>
      </c>
      <c r="I234" s="162"/>
      <c r="J234" s="163">
        <f>(1+H234)*(1+I234)-1</f>
        <v>3.4920000000000062E-2</v>
      </c>
    </row>
    <row r="235" spans="1:30">
      <c r="B235" s="160"/>
      <c r="C235" s="160"/>
      <c r="D235" s="160"/>
      <c r="E235" s="160"/>
      <c r="F235" s="160"/>
      <c r="G235" s="160"/>
      <c r="H235" s="160"/>
      <c r="I235" s="160"/>
      <c r="J235" s="160"/>
    </row>
    <row r="236" spans="1:30" ht="15">
      <c r="B236" s="160"/>
      <c r="C236" s="160"/>
      <c r="D236" s="160"/>
      <c r="E236" s="164">
        <v>1</v>
      </c>
      <c r="F236" s="165" t="s">
        <v>323</v>
      </c>
      <c r="G236" s="60"/>
      <c r="H236" s="166"/>
      <c r="I236" s="167"/>
      <c r="J236" s="168">
        <f>J232/J233</f>
        <v>661341596.1764003</v>
      </c>
    </row>
    <row r="237" spans="1:30" ht="15">
      <c r="B237" s="169"/>
      <c r="C237" s="52"/>
      <c r="D237" s="160"/>
      <c r="E237" s="164">
        <v>2</v>
      </c>
      <c r="F237" s="165" t="s">
        <v>324</v>
      </c>
      <c r="G237" s="60"/>
      <c r="H237" s="166"/>
      <c r="I237" s="167"/>
      <c r="J237" s="168">
        <f>J232*(1+J234)/(J233-J234)</f>
        <v>916157654.72202361</v>
      </c>
    </row>
    <row r="239" spans="1:30" s="160" customFormat="1" ht="15">
      <c r="A239" s="327"/>
      <c r="B239" s="170" t="s">
        <v>325</v>
      </c>
      <c r="C239" s="170"/>
      <c r="D239" s="170"/>
      <c r="E239" s="170"/>
      <c r="F239" s="170"/>
      <c r="G239" s="170"/>
      <c r="H239" s="170"/>
      <c r="I239" s="170"/>
      <c r="J239" s="170"/>
      <c r="K239" s="52"/>
    </row>
    <row r="240" spans="1:30" s="160" customFormat="1" ht="15">
      <c r="A240" s="327"/>
      <c r="B240" s="51" t="s">
        <v>326</v>
      </c>
      <c r="Y240" s="61"/>
      <c r="AD240" s="52"/>
    </row>
    <row r="241" spans="1:28" s="52" customFormat="1" ht="15">
      <c r="A241" s="327"/>
      <c r="B241" s="171"/>
      <c r="C241" s="172">
        <v>2021</v>
      </c>
      <c r="D241" s="172">
        <v>2022</v>
      </c>
      <c r="E241" s="172">
        <v>2023</v>
      </c>
      <c r="F241" s="172">
        <v>2024</v>
      </c>
      <c r="G241" s="172">
        <v>2025</v>
      </c>
      <c r="H241" s="172">
        <v>2026</v>
      </c>
      <c r="I241" s="172">
        <v>2027</v>
      </c>
      <c r="J241" s="172">
        <v>2028</v>
      </c>
      <c r="K241" s="172">
        <v>2029</v>
      </c>
      <c r="L241" s="172">
        <v>2030</v>
      </c>
      <c r="M241" s="172">
        <v>2031</v>
      </c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160"/>
      <c r="Y241" s="160"/>
      <c r="Z241" s="160"/>
      <c r="AA241" s="160"/>
      <c r="AB241" s="160"/>
    </row>
    <row r="242" spans="1:28" s="160" customFormat="1" ht="9.75" customHeight="1">
      <c r="A242" s="327"/>
      <c r="N242" s="61"/>
      <c r="O242" s="61"/>
      <c r="P242" s="61"/>
      <c r="Q242" s="61"/>
      <c r="R242" s="61"/>
      <c r="S242" s="61"/>
      <c r="T242" s="61"/>
      <c r="U242" s="61"/>
      <c r="V242" s="61"/>
      <c r="W242" s="61"/>
    </row>
    <row r="243" spans="1:28" s="160" customFormat="1" ht="20.25" customHeight="1">
      <c r="A243" s="327"/>
      <c r="B243" s="173" t="s">
        <v>327</v>
      </c>
      <c r="C243" s="174">
        <f t="shared" ref="C243:H243" si="365">+C163</f>
        <v>0</v>
      </c>
      <c r="D243" s="174">
        <f t="shared" si="365"/>
        <v>0.16260398774144494</v>
      </c>
      <c r="E243" s="174">
        <f t="shared" si="365"/>
        <v>0.1616357044080832</v>
      </c>
      <c r="F243" s="174">
        <f t="shared" si="365"/>
        <v>0.16109590440804553</v>
      </c>
      <c r="G243" s="174">
        <f t="shared" si="365"/>
        <v>0.15958782107469277</v>
      </c>
      <c r="H243" s="174">
        <f t="shared" si="365"/>
        <v>0.1579447877413436</v>
      </c>
      <c r="I243" s="174">
        <f t="shared" ref="I243:M243" si="366">+I163</f>
        <v>0.14130175440808707</v>
      </c>
      <c r="J243" s="174">
        <f t="shared" si="366"/>
        <v>0.14049205440808285</v>
      </c>
      <c r="K243" s="174">
        <f t="shared" si="366"/>
        <v>0.13968235440808752</v>
      </c>
      <c r="L243" s="174">
        <f t="shared" si="366"/>
        <v>0.13887265440813243</v>
      </c>
      <c r="M243" s="174">
        <f t="shared" si="366"/>
        <v>0.13806295440777031</v>
      </c>
    </row>
    <row r="244" spans="1:28" s="160" customFormat="1" ht="20.25" customHeight="1">
      <c r="A244" s="327"/>
      <c r="B244" s="175" t="s">
        <v>328</v>
      </c>
      <c r="C244" s="176">
        <f t="shared" ref="C244:H244" si="367">+C136</f>
        <v>-198728692.19941473</v>
      </c>
      <c r="D244" s="176">
        <f t="shared" si="367"/>
        <v>3.1961500644683838E-4</v>
      </c>
      <c r="E244" s="176">
        <f t="shared" si="367"/>
        <v>3.2494217157363892E-4</v>
      </c>
      <c r="F244" s="176">
        <f t="shared" si="367"/>
        <v>3.3130496740341187E-4</v>
      </c>
      <c r="G244" s="176">
        <f t="shared" si="367"/>
        <v>3.3873319625854492E-4</v>
      </c>
      <c r="H244" s="176">
        <f t="shared" si="367"/>
        <v>32435803.689040788</v>
      </c>
      <c r="I244" s="176">
        <f t="shared" ref="I244:M244" si="368">+I136</f>
        <v>58377335.351271987</v>
      </c>
      <c r="J244" s="176">
        <f t="shared" si="368"/>
        <v>68485066.715541542</v>
      </c>
      <c r="K244" s="176">
        <f t="shared" si="368"/>
        <v>79462813.499186501</v>
      </c>
      <c r="L244" s="176">
        <f t="shared" si="368"/>
        <v>87953064.377016321</v>
      </c>
      <c r="M244" s="176">
        <f t="shared" si="368"/>
        <v>91306774.640864402</v>
      </c>
      <c r="N244" s="61"/>
      <c r="O244" s="61"/>
      <c r="P244" s="61"/>
      <c r="Q244" s="61"/>
      <c r="R244" s="61"/>
      <c r="S244" s="61"/>
      <c r="T244" s="61"/>
      <c r="U244" s="61"/>
      <c r="V244" s="61"/>
      <c r="W244" s="61"/>
    </row>
    <row r="245" spans="1:28" s="160" customFormat="1" ht="41.25" customHeight="1">
      <c r="A245" s="327"/>
    </row>
    <row r="246" spans="1:28" s="160" customFormat="1" ht="22.7" customHeight="1">
      <c r="A246" s="327"/>
      <c r="B246" s="175" t="s">
        <v>329</v>
      </c>
      <c r="C246" s="176">
        <f>(D244+D246)/(1+D243)</f>
        <v>300766612.96287787</v>
      </c>
      <c r="D246" s="176">
        <f>(E244+E246)/(1+E243)</f>
        <v>349672463.60980994</v>
      </c>
      <c r="E246" s="176">
        <f t="shared" ref="E246:F246" si="369">(F244+F246)/(1+F243)</f>
        <v>406192018.57716644</v>
      </c>
      <c r="F246" s="176">
        <f t="shared" si="369"/>
        <v>471627889.17285341</v>
      </c>
      <c r="G246" s="176">
        <f>(H244+H246)/(1+H243)</f>
        <v>546893956.36366701</v>
      </c>
      <c r="H246" s="176">
        <f t="shared" ref="H246:L246" si="370">(I244+I246)/(1+I243)</f>
        <v>600837202.52950919</v>
      </c>
      <c r="I246" s="176">
        <f t="shared" si="370"/>
        <v>627359218.00930393</v>
      </c>
      <c r="J246" s="176">
        <f t="shared" si="370"/>
        <v>647013136.68373775</v>
      </c>
      <c r="K246" s="176">
        <f t="shared" si="370"/>
        <v>657926641.44949734</v>
      </c>
      <c r="L246" s="176">
        <f t="shared" si="370"/>
        <v>661341596.1764003</v>
      </c>
      <c r="M246" s="176">
        <f>+J236</f>
        <v>661341596.1764003</v>
      </c>
    </row>
    <row r="247" spans="1:28" s="160" customFormat="1" ht="22.7" customHeight="1">
      <c r="A247" s="327"/>
      <c r="B247" s="175" t="s">
        <v>330</v>
      </c>
      <c r="C247" s="176">
        <v>0</v>
      </c>
      <c r="D247" s="176">
        <v>0</v>
      </c>
      <c r="E247" s="176">
        <v>0</v>
      </c>
      <c r="F247" s="176">
        <v>0</v>
      </c>
      <c r="G247" s="176">
        <v>0</v>
      </c>
      <c r="H247" s="176">
        <v>0</v>
      </c>
      <c r="I247" s="176">
        <v>0</v>
      </c>
      <c r="J247" s="176">
        <v>0</v>
      </c>
      <c r="K247" s="176">
        <v>0</v>
      </c>
      <c r="L247" s="176">
        <v>0</v>
      </c>
      <c r="M247" s="176">
        <v>0</v>
      </c>
    </row>
    <row r="248" spans="1:28" s="160" customFormat="1" ht="22.7" customHeight="1">
      <c r="A248" s="327"/>
      <c r="B248" s="175" t="s">
        <v>331</v>
      </c>
      <c r="C248" s="176">
        <f t="shared" ref="C248:G248" si="371">C246+C247</f>
        <v>300766612.96287787</v>
      </c>
      <c r="D248" s="176">
        <f t="shared" si="371"/>
        <v>349672463.60980994</v>
      </c>
      <c r="E248" s="176">
        <f t="shared" si="371"/>
        <v>406192018.57716644</v>
      </c>
      <c r="F248" s="176">
        <f t="shared" si="371"/>
        <v>471627889.17285341</v>
      </c>
      <c r="G248" s="176">
        <f t="shared" si="371"/>
        <v>546893956.36366701</v>
      </c>
      <c r="H248" s="176">
        <f>H246+H247</f>
        <v>600837202.52950919</v>
      </c>
      <c r="I248" s="176">
        <f t="shared" ref="I248:M248" si="372">I246+I247</f>
        <v>627359218.00930393</v>
      </c>
      <c r="J248" s="176">
        <f t="shared" si="372"/>
        <v>647013136.68373775</v>
      </c>
      <c r="K248" s="176">
        <f t="shared" si="372"/>
        <v>657926641.44949734</v>
      </c>
      <c r="L248" s="176">
        <f t="shared" si="372"/>
        <v>661341596.1764003</v>
      </c>
      <c r="M248" s="176">
        <f t="shared" si="372"/>
        <v>661341596.1764003</v>
      </c>
    </row>
    <row r="249" spans="1:28" s="160" customFormat="1" ht="12" customHeight="1">
      <c r="A249" s="327"/>
      <c r="C249" s="177"/>
      <c r="D249" s="177"/>
      <c r="E249" s="177"/>
      <c r="F249" s="177"/>
      <c r="G249" s="177"/>
      <c r="H249" s="177"/>
      <c r="I249" s="177"/>
      <c r="J249" s="177"/>
      <c r="K249" s="177"/>
      <c r="L249" s="177"/>
      <c r="M249" s="177"/>
    </row>
    <row r="250" spans="1:28" s="160" customFormat="1" ht="21" customHeight="1">
      <c r="A250" s="327"/>
      <c r="B250" s="178" t="s">
        <v>332</v>
      </c>
      <c r="C250" s="179">
        <f t="shared" ref="C250:H250" si="373">+C143</f>
        <v>0</v>
      </c>
      <c r="D250" s="179">
        <f t="shared" si="373"/>
        <v>94487993.697302639</v>
      </c>
      <c r="E250" s="179">
        <f t="shared" si="373"/>
        <v>67658456.360564709</v>
      </c>
      <c r="F250" s="179">
        <f t="shared" si="373"/>
        <v>30395423.039153203</v>
      </c>
      <c r="G250" s="179">
        <f t="shared" si="373"/>
        <v>24727938.541637693</v>
      </c>
      <c r="H250" s="179">
        <f t="shared" si="373"/>
        <v>26782709.652761854</v>
      </c>
      <c r="I250" s="179">
        <f t="shared" ref="I250:M250" si="374">+I143</f>
        <v>29072040.238183901</v>
      </c>
      <c r="J250" s="179">
        <f t="shared" si="374"/>
        <v>31526684.708702244</v>
      </c>
      <c r="K250" s="179">
        <f t="shared" si="374"/>
        <v>33551166.678937711</v>
      </c>
      <c r="L250" s="179">
        <f t="shared" si="374"/>
        <v>34702380.771654204</v>
      </c>
      <c r="M250" s="179">
        <f t="shared" si="374"/>
        <v>36182647.162304893</v>
      </c>
    </row>
    <row r="251" spans="1:28" s="160" customFormat="1" ht="21" customHeight="1">
      <c r="A251" s="327"/>
      <c r="B251" s="180" t="s">
        <v>333</v>
      </c>
      <c r="C251" s="179">
        <f t="shared" ref="C251:H251" si="375">+C82+C84</f>
        <v>1.9872869219956625E-3</v>
      </c>
      <c r="D251" s="179">
        <f t="shared" si="375"/>
        <v>1.904036566451764E-3</v>
      </c>
      <c r="E251" s="179">
        <f t="shared" si="375"/>
        <v>1.8055513958433319E-3</v>
      </c>
      <c r="F251" s="179">
        <f t="shared" si="375"/>
        <v>1.6890434390135569E-3</v>
      </c>
      <c r="G251" s="179">
        <f t="shared" si="375"/>
        <v>1.5512145260839329E-3</v>
      </c>
      <c r="H251" s="179">
        <f t="shared" si="375"/>
        <v>1.388162922088188E-3</v>
      </c>
      <c r="I251" s="179">
        <f t="shared" ref="I251:M251" si="376">+I82+I84</f>
        <v>1.1952728745612217E-3</v>
      </c>
      <c r="J251" s="179">
        <f t="shared" si="376"/>
        <v>9.6708394833682041E-4</v>
      </c>
      <c r="K251" s="179">
        <f t="shared" si="376"/>
        <v>6.9713644861335382E-4</v>
      </c>
      <c r="L251" s="179">
        <f t="shared" si="376"/>
        <v>3.7778855644049285E-4</v>
      </c>
      <c r="M251" s="179">
        <f t="shared" si="376"/>
        <v>0</v>
      </c>
    </row>
    <row r="252" spans="1:28" s="160" customFormat="1" ht="21" customHeight="1">
      <c r="A252" s="327"/>
      <c r="B252" s="180" t="s">
        <v>334</v>
      </c>
      <c r="C252" s="179">
        <f t="shared" ref="C252:H252" si="377">+C145</f>
        <v>74073782.799848512</v>
      </c>
      <c r="D252" s="179">
        <f t="shared" si="377"/>
        <v>101848707.38769874</v>
      </c>
      <c r="E252" s="179">
        <f t="shared" si="377"/>
        <v>139628423.49305448</v>
      </c>
      <c r="F252" s="179">
        <f t="shared" si="377"/>
        <v>185875026.12006199</v>
      </c>
      <c r="G252" s="179">
        <f t="shared" si="377"/>
        <v>241897741.78653556</v>
      </c>
      <c r="H252" s="179">
        <f t="shared" si="377"/>
        <v>275336644.04313934</v>
      </c>
      <c r="I252" s="179">
        <f t="shared" ref="I252:M252" si="378">+I145</f>
        <v>294064827.26444495</v>
      </c>
      <c r="J252" s="179">
        <f t="shared" si="378"/>
        <v>314882775.54771417</v>
      </c>
      <c r="K252" s="179">
        <f t="shared" si="378"/>
        <v>334156589.13376921</v>
      </c>
      <c r="L252" s="179">
        <f t="shared" si="378"/>
        <v>348666496.57954895</v>
      </c>
      <c r="M252" s="179">
        <f t="shared" si="378"/>
        <v>366426150.11074018</v>
      </c>
    </row>
    <row r="253" spans="1:28" s="160" customFormat="1" ht="21" customHeight="1">
      <c r="A253" s="327"/>
      <c r="B253" s="181" t="s">
        <v>335</v>
      </c>
      <c r="C253" s="176">
        <f>C248-C250-C251+C252</f>
        <v>374840395.76073909</v>
      </c>
      <c r="D253" s="176">
        <f>D248-D250-D251+D252</f>
        <v>357033177.29830199</v>
      </c>
      <c r="E253" s="176">
        <f>E248-E250-E251+E252</f>
        <v>478161985.70785069</v>
      </c>
      <c r="F253" s="176">
        <f t="shared" ref="F253:H253" si="379">F248-F250-F251+F252</f>
        <v>627107492.25207317</v>
      </c>
      <c r="G253" s="176">
        <f t="shared" si="379"/>
        <v>764063759.6070137</v>
      </c>
      <c r="H253" s="176">
        <f t="shared" si="379"/>
        <v>849391136.91849852</v>
      </c>
      <c r="I253" s="176">
        <f t="shared" ref="I253:M253" si="380">I248-I250-I251+I252</f>
        <v>892352005.03436971</v>
      </c>
      <c r="J253" s="176">
        <f t="shared" si="380"/>
        <v>930369227.52178264</v>
      </c>
      <c r="K253" s="176">
        <f t="shared" si="380"/>
        <v>958532063.90363169</v>
      </c>
      <c r="L253" s="176">
        <f t="shared" si="380"/>
        <v>975305711.98391724</v>
      </c>
      <c r="M253" s="176">
        <f t="shared" si="380"/>
        <v>991585099.12483561</v>
      </c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</row>
    <row r="254" spans="1:28" s="160" customFormat="1" ht="18.75" customHeight="1">
      <c r="A254" s="327"/>
      <c r="I254" s="52"/>
    </row>
    <row r="256" spans="1:28" s="160" customFormat="1" ht="15">
      <c r="A256" s="327"/>
      <c r="B256" s="185" t="s">
        <v>337</v>
      </c>
      <c r="C256" s="170"/>
      <c r="D256" s="170"/>
      <c r="E256" s="170"/>
      <c r="F256" s="170"/>
      <c r="G256" s="170"/>
      <c r="H256" s="170"/>
      <c r="I256" s="170"/>
      <c r="J256" s="170"/>
    </row>
    <row r="257" spans="1:16" s="160" customFormat="1" ht="13.5" customHeight="1">
      <c r="A257" s="327"/>
      <c r="B257" s="186"/>
      <c r="C257" s="186"/>
      <c r="D257" s="187"/>
      <c r="E257" s="187"/>
      <c r="F257" s="187"/>
      <c r="G257" s="187"/>
      <c r="H257" s="187"/>
      <c r="I257" s="187"/>
      <c r="J257" s="187"/>
    </row>
    <row r="258" spans="1:16" s="160" customFormat="1" ht="15">
      <c r="A258" s="327"/>
      <c r="B258" s="51" t="s">
        <v>175</v>
      </c>
      <c r="D258" s="172">
        <v>2021</v>
      </c>
      <c r="E258" s="172">
        <v>2022</v>
      </c>
      <c r="F258" s="172">
        <v>2023</v>
      </c>
      <c r="G258" s="172">
        <v>2024</v>
      </c>
      <c r="H258" s="172">
        <v>2025</v>
      </c>
      <c r="I258" s="172">
        <v>2026</v>
      </c>
      <c r="J258" s="172">
        <v>2027</v>
      </c>
      <c r="K258" s="172">
        <v>2028</v>
      </c>
      <c r="L258" s="172">
        <v>2029</v>
      </c>
      <c r="M258" s="172">
        <v>2030</v>
      </c>
      <c r="N258" s="172">
        <v>2031</v>
      </c>
    </row>
    <row r="259" spans="1:16" s="160" customFormat="1" ht="22.5" customHeight="1">
      <c r="A259" s="327"/>
      <c r="B259" s="371" t="s">
        <v>316</v>
      </c>
      <c r="C259" s="372"/>
      <c r="D259" s="188"/>
      <c r="E259" s="188">
        <f>+D174</f>
        <v>0.24214948366877259</v>
      </c>
      <c r="F259" s="188">
        <f>+E174</f>
        <v>0.24962607554425043</v>
      </c>
      <c r="G259" s="188">
        <f>+F174</f>
        <v>0.23495258025205251</v>
      </c>
      <c r="H259" s="188">
        <f>+G174</f>
        <v>0.222231404676377</v>
      </c>
      <c r="I259" s="188">
        <f>+H174</f>
        <v>0.23168058953994247</v>
      </c>
      <c r="J259" s="188">
        <f t="shared" ref="J259:N259" si="381">+I174</f>
        <v>0.25561872373659889</v>
      </c>
      <c r="K259" s="188">
        <f t="shared" si="381"/>
        <v>0.27808988153889269</v>
      </c>
      <c r="L259" s="188">
        <f t="shared" si="381"/>
        <v>0.29106028579261134</v>
      </c>
      <c r="M259" s="188">
        <f t="shared" si="381"/>
        <v>0.29048004958069856</v>
      </c>
      <c r="N259" s="188">
        <f t="shared" si="381"/>
        <v>0.29603967440443912</v>
      </c>
    </row>
    <row r="260" spans="1:16" s="160" customFormat="1" ht="22.5" customHeight="1">
      <c r="A260" s="327"/>
      <c r="B260" s="371" t="s">
        <v>327</v>
      </c>
      <c r="C260" s="372"/>
      <c r="D260" s="188"/>
      <c r="E260" s="188">
        <f>+D243</f>
        <v>0.16260398774144494</v>
      </c>
      <c r="F260" s="188">
        <f>+E243</f>
        <v>0.1616357044080832</v>
      </c>
      <c r="G260" s="188">
        <f>+F243</f>
        <v>0.16109590440804553</v>
      </c>
      <c r="H260" s="188">
        <f>+G243</f>
        <v>0.15958782107469277</v>
      </c>
      <c r="I260" s="188">
        <f>+H243</f>
        <v>0.1579447877413436</v>
      </c>
      <c r="J260" s="188">
        <f t="shared" ref="J260:N260" si="382">+I243</f>
        <v>0.14130175440808707</v>
      </c>
      <c r="K260" s="188">
        <f t="shared" si="382"/>
        <v>0.14049205440808285</v>
      </c>
      <c r="L260" s="188">
        <f t="shared" si="382"/>
        <v>0.13968235440808752</v>
      </c>
      <c r="M260" s="188">
        <f t="shared" si="382"/>
        <v>0.13887265440813243</v>
      </c>
      <c r="N260" s="188">
        <f t="shared" si="382"/>
        <v>0.13806295440777031</v>
      </c>
    </row>
    <row r="261" spans="1:16" s="160" customFormat="1" ht="22.5" customHeight="1">
      <c r="A261" s="327"/>
      <c r="B261" s="373" t="s">
        <v>338</v>
      </c>
      <c r="C261" s="374"/>
      <c r="D261" s="189"/>
      <c r="E261" s="289">
        <f>E259/E260</f>
        <v>1.4891976945473944</v>
      </c>
      <c r="F261" s="289">
        <f>F259/F260</f>
        <v>1.5443745950710068</v>
      </c>
      <c r="G261" s="289">
        <f>G259/G260</f>
        <v>1.4584640194013425</v>
      </c>
      <c r="H261" s="289">
        <f t="shared" ref="H261:I261" si="383">H259/H260</f>
        <v>1.3925336105213493</v>
      </c>
      <c r="I261" s="289">
        <f t="shared" si="383"/>
        <v>1.4668454265129118</v>
      </c>
      <c r="J261" s="289">
        <f t="shared" ref="J261:M261" si="384">J259/J260</f>
        <v>1.8090272467414541</v>
      </c>
      <c r="K261" s="289">
        <f t="shared" si="384"/>
        <v>1.9793993525864015</v>
      </c>
      <c r="L261" s="289">
        <f t="shared" si="384"/>
        <v>2.083729809867517</v>
      </c>
      <c r="M261" s="289">
        <f t="shared" si="384"/>
        <v>2.0917008522571163</v>
      </c>
      <c r="N261" s="289">
        <f t="shared" ref="N261" si="385">N259/N260</f>
        <v>2.1442368495902455</v>
      </c>
    </row>
    <row r="262" spans="1:16" s="160" customFormat="1" ht="22.5" customHeight="1">
      <c r="A262" s="327"/>
      <c r="B262" s="190" t="str">
        <f>"INDICE "&amp;TEXT(E258,0)&amp;" = 100"</f>
        <v>INDICE 2022 = 100</v>
      </c>
      <c r="C262" s="191"/>
      <c r="D262" s="192"/>
      <c r="E262" s="192">
        <f>+E261/$E$261*100</f>
        <v>100</v>
      </c>
      <c r="F262" s="192">
        <f>+F261/$E$261*100</f>
        <v>103.70514275744847</v>
      </c>
      <c r="G262" s="192">
        <f t="shared" ref="G262:I262" si="386">+G261/$E$261*100</f>
        <v>97.936225978687631</v>
      </c>
      <c r="H262" s="192">
        <f t="shared" si="386"/>
        <v>93.508982428593953</v>
      </c>
      <c r="I262" s="192">
        <f t="shared" si="386"/>
        <v>98.499039575717589</v>
      </c>
      <c r="J262" s="192">
        <f t="shared" ref="J262:M262" si="387">+J261/$E$261*100</f>
        <v>121.47663492665184</v>
      </c>
      <c r="K262" s="192">
        <f t="shared" si="387"/>
        <v>132.91716471452045</v>
      </c>
      <c r="L262" s="192">
        <f t="shared" si="387"/>
        <v>139.92298117952811</v>
      </c>
      <c r="M262" s="192">
        <f t="shared" si="387"/>
        <v>140.45823868219443</v>
      </c>
      <c r="N262" s="192">
        <f t="shared" ref="N262" si="388">+N261/$E$261*100</f>
        <v>143.98604412572197</v>
      </c>
      <c r="P262" s="62"/>
    </row>
    <row r="263" spans="1:16" s="160" customFormat="1" ht="13.5" customHeight="1">
      <c r="A263" s="327"/>
      <c r="B263" s="186"/>
      <c r="C263" s="186"/>
      <c r="D263" s="187"/>
      <c r="E263" s="187"/>
      <c r="F263" s="187"/>
      <c r="G263" s="187"/>
      <c r="H263" s="187"/>
      <c r="I263" s="187"/>
      <c r="J263" s="187"/>
      <c r="K263" s="187"/>
      <c r="L263" s="187"/>
      <c r="M263" s="187"/>
      <c r="N263" s="187"/>
    </row>
    <row r="264" spans="1:16" s="160" customFormat="1" ht="15">
      <c r="A264" s="327"/>
      <c r="B264" s="51" t="s">
        <v>339</v>
      </c>
      <c r="D264" s="172">
        <v>2021</v>
      </c>
      <c r="E264" s="172">
        <v>2022</v>
      </c>
      <c r="F264" s="172">
        <v>2023</v>
      </c>
      <c r="G264" s="172">
        <v>2024</v>
      </c>
      <c r="H264" s="172">
        <v>2025</v>
      </c>
      <c r="I264" s="172">
        <v>2026</v>
      </c>
      <c r="J264" s="172">
        <v>2027</v>
      </c>
      <c r="K264" s="172">
        <v>2028</v>
      </c>
      <c r="L264" s="172">
        <v>2029</v>
      </c>
      <c r="M264" s="172">
        <v>2030</v>
      </c>
      <c r="N264" s="172">
        <v>2031</v>
      </c>
    </row>
    <row r="265" spans="1:16" s="160" customFormat="1" ht="22.5" customHeight="1">
      <c r="A265" s="327"/>
      <c r="B265" s="371" t="s">
        <v>340</v>
      </c>
      <c r="C265" s="372"/>
      <c r="D265" s="179"/>
      <c r="E265" s="179">
        <f>+D244</f>
        <v>3.1961500644683838E-4</v>
      </c>
      <c r="F265" s="179">
        <f>+E244</f>
        <v>3.2494217157363892E-4</v>
      </c>
      <c r="G265" s="179">
        <f>+F244</f>
        <v>3.3130496740341187E-4</v>
      </c>
      <c r="H265" s="179">
        <f>+G244</f>
        <v>3.3873319625854492E-4</v>
      </c>
      <c r="I265" s="179">
        <f>+H244</f>
        <v>32435803.689040788</v>
      </c>
      <c r="J265" s="179">
        <f t="shared" ref="J265:N265" si="389">+I244</f>
        <v>58377335.351271987</v>
      </c>
      <c r="K265" s="179">
        <f t="shared" si="389"/>
        <v>68485066.715541542</v>
      </c>
      <c r="L265" s="179">
        <f t="shared" si="389"/>
        <v>79462813.499186501</v>
      </c>
      <c r="M265" s="179">
        <f t="shared" si="389"/>
        <v>87953064.377016321</v>
      </c>
      <c r="N265" s="179">
        <f t="shared" si="389"/>
        <v>91306774.640864402</v>
      </c>
    </row>
    <row r="266" spans="1:16" s="160" customFormat="1" ht="22.5" customHeight="1">
      <c r="A266" s="327"/>
      <c r="B266" s="371" t="s">
        <v>341</v>
      </c>
      <c r="C266" s="372"/>
      <c r="D266" s="193"/>
      <c r="E266" s="193">
        <f>+D198</f>
        <v>408430460.65153122</v>
      </c>
      <c r="F266" s="193">
        <f>+E198</f>
        <v>442917429.38924259</v>
      </c>
      <c r="G266" s="193">
        <f>+F198</f>
        <v>469795483.20389295</v>
      </c>
      <c r="H266" s="193">
        <f>+G198</f>
        <v>498787272.24210066</v>
      </c>
      <c r="I266" s="193">
        <f>+H198</f>
        <v>528552200.35765111</v>
      </c>
      <c r="J266" s="193">
        <f t="shared" ref="J266:N266" si="390">+I198</f>
        <v>561175932.83006263</v>
      </c>
      <c r="K266" s="193">
        <f t="shared" si="390"/>
        <v>595815819.84901047</v>
      </c>
      <c r="L266" s="193">
        <f t="shared" si="390"/>
        <v>625775014.77172923</v>
      </c>
      <c r="M266" s="193">
        <f t="shared" si="390"/>
        <v>646418242.73854363</v>
      </c>
      <c r="N266" s="193">
        <f t="shared" si="390"/>
        <v>667699061.93522656</v>
      </c>
    </row>
    <row r="267" spans="1:16" s="160" customFormat="1" ht="22.5" customHeight="1">
      <c r="A267" s="327"/>
      <c r="B267" s="373" t="s">
        <v>342</v>
      </c>
      <c r="C267" s="374"/>
      <c r="D267" s="194"/>
      <c r="E267" s="194">
        <f t="shared" ref="E267:H267" si="391">E265/E266</f>
        <v>7.8254448979389592E-13</v>
      </c>
      <c r="F267" s="194">
        <f t="shared" si="391"/>
        <v>7.3364051629604036E-13</v>
      </c>
      <c r="G267" s="194">
        <f t="shared" si="391"/>
        <v>7.0521105299691502E-13</v>
      </c>
      <c r="H267" s="194">
        <f t="shared" si="391"/>
        <v>6.7911355222819541E-13</v>
      </c>
      <c r="I267" s="194">
        <f>I265/I266</f>
        <v>6.1367266406407384E-2</v>
      </c>
      <c r="J267" s="194">
        <f t="shared" ref="J267:M267" si="392">J265/J266</f>
        <v>0.10402679790073967</v>
      </c>
      <c r="K267" s="194">
        <f t="shared" si="392"/>
        <v>0.1149433506698375</v>
      </c>
      <c r="L267" s="194">
        <f t="shared" si="392"/>
        <v>0.12698303962834473</v>
      </c>
      <c r="M267" s="194">
        <f t="shared" si="392"/>
        <v>0.13606216310419111</v>
      </c>
      <c r="N267" s="194">
        <f t="shared" ref="N267" si="393">N265/N266</f>
        <v>0.13674839436830311</v>
      </c>
    </row>
    <row r="268" spans="1:16" s="160" customFormat="1" ht="22.5" customHeight="1">
      <c r="A268" s="327"/>
      <c r="B268" s="190" t="str">
        <f>"INDICE "&amp;TEXT(E264,0)&amp;" = 100"</f>
        <v>INDICE 2022 = 100</v>
      </c>
      <c r="C268" s="191"/>
      <c r="D268" s="192"/>
      <c r="E268" s="192">
        <f>E267/$E$267*100</f>
        <v>100</v>
      </c>
      <c r="F268" s="192">
        <f>F267/$E$267*100</f>
        <v>93.750646239840535</v>
      </c>
      <c r="G268" s="192">
        <f t="shared" ref="G268:H268" si="394">G267/$E$267*100</f>
        <v>90.117694545731354</v>
      </c>
      <c r="H268" s="192">
        <f t="shared" si="394"/>
        <v>86.782740289572317</v>
      </c>
      <c r="I268" s="192">
        <f>I267/$E$267*100</f>
        <v>7842016295146.376</v>
      </c>
      <c r="J268" s="192">
        <f t="shared" ref="J268:M268" si="395">J267/$E$267*100</f>
        <v>13293403666817.449</v>
      </c>
      <c r="K268" s="192">
        <f t="shared" si="395"/>
        <v>14688410968188.01</v>
      </c>
      <c r="L268" s="192">
        <f t="shared" si="395"/>
        <v>16226941890778.52</v>
      </c>
      <c r="M268" s="192">
        <f t="shared" si="395"/>
        <v>17387147296893.848</v>
      </c>
      <c r="N268" s="192">
        <f t="shared" ref="N268" si="396">N267/$E$267*100</f>
        <v>17474839597211.84</v>
      </c>
      <c r="P268" s="62"/>
    </row>
    <row r="269" spans="1:16" s="160" customFormat="1" ht="16.5" customHeight="1">
      <c r="A269" s="327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</row>
    <row r="270" spans="1:16" s="160" customFormat="1" ht="16.5" customHeight="1">
      <c r="A270" s="327"/>
      <c r="B270" s="173" t="s">
        <v>343</v>
      </c>
      <c r="C270" s="195"/>
      <c r="D270" s="196"/>
      <c r="E270" s="290">
        <f>E261*E267</f>
        <v>1.1653634500818367E-12</v>
      </c>
      <c r="F270" s="290">
        <f t="shared" ref="F270:I270" si="397">F261*F267</f>
        <v>1.1330157752823817E-12</v>
      </c>
      <c r="G270" s="290">
        <f t="shared" si="397"/>
        <v>1.0285249468801338E-12</v>
      </c>
      <c r="H270" s="290">
        <f t="shared" si="397"/>
        <v>9.4568844683830779E-13</v>
      </c>
      <c r="I270" s="290">
        <f t="shared" si="397"/>
        <v>9.0016294065838123E-2</v>
      </c>
      <c r="J270" s="290">
        <f t="shared" ref="J270:M270" si="398">J261*J267</f>
        <v>0.18818731179370476</v>
      </c>
      <c r="K270" s="290">
        <f t="shared" si="398"/>
        <v>0.22751879389998808</v>
      </c>
      <c r="L270" s="290">
        <f t="shared" si="398"/>
        <v>0.26459834502117013</v>
      </c>
      <c r="M270" s="290">
        <f t="shared" si="398"/>
        <v>0.28460134252498331</v>
      </c>
      <c r="N270" s="290">
        <f t="shared" ref="N270" si="399">N261*N267</f>
        <v>0.29322094632681472</v>
      </c>
    </row>
    <row r="271" spans="1:16" s="160" customFormat="1" ht="16.5" customHeight="1">
      <c r="A271" s="327"/>
      <c r="D271" s="183"/>
      <c r="E271" s="183"/>
      <c r="F271" s="183"/>
      <c r="G271" s="183"/>
      <c r="H271" s="183"/>
      <c r="I271" s="183"/>
    </row>
    <row r="272" spans="1:16" s="160" customFormat="1" ht="15">
      <c r="A272" s="327"/>
      <c r="B272" s="185" t="s">
        <v>337</v>
      </c>
      <c r="C272" s="170"/>
      <c r="D272" s="170"/>
      <c r="E272" s="170"/>
      <c r="F272" s="170"/>
      <c r="G272" s="170"/>
      <c r="H272" s="170"/>
      <c r="I272" s="170"/>
    </row>
    <row r="273" spans="1:30" s="160" customFormat="1" ht="20.25" customHeight="1">
      <c r="A273" s="327"/>
      <c r="E273" s="183"/>
      <c r="F273" s="183"/>
      <c r="G273" s="183"/>
      <c r="H273" s="183"/>
    </row>
    <row r="274" spans="1:30" s="160" customFormat="1" ht="20.25" customHeight="1">
      <c r="A274" s="327"/>
      <c r="E274" s="183"/>
      <c r="F274" s="183"/>
      <c r="G274" s="183"/>
      <c r="H274" s="183"/>
    </row>
    <row r="275" spans="1:30" s="160" customFormat="1" ht="20.25" customHeight="1">
      <c r="A275" s="327"/>
      <c r="E275" s="183"/>
      <c r="F275" s="183"/>
      <c r="G275" s="183"/>
      <c r="H275" s="183"/>
      <c r="J275" s="52"/>
    </row>
    <row r="276" spans="1:30" s="160" customFormat="1" ht="20.25" customHeight="1">
      <c r="A276" s="327"/>
      <c r="E276" s="183"/>
      <c r="F276" s="183"/>
      <c r="G276" s="183"/>
      <c r="H276" s="183"/>
    </row>
    <row r="277" spans="1:30" s="160" customFormat="1" ht="20.25" customHeight="1">
      <c r="A277" s="327"/>
      <c r="E277" s="183"/>
      <c r="F277" s="183"/>
      <c r="G277" s="183"/>
      <c r="H277" s="183"/>
    </row>
    <row r="278" spans="1:30" s="160" customFormat="1" ht="20.25" customHeight="1">
      <c r="A278" s="327"/>
      <c r="E278" s="183"/>
      <c r="F278" s="183"/>
      <c r="G278" s="183"/>
      <c r="H278" s="183"/>
    </row>
    <row r="279" spans="1:30" s="160" customFormat="1" ht="24.75" customHeight="1">
      <c r="A279" s="327"/>
      <c r="E279" s="183"/>
      <c r="F279" s="183"/>
      <c r="G279" s="183"/>
      <c r="H279" s="183"/>
    </row>
    <row r="280" spans="1:30" s="160" customFormat="1" ht="21" customHeight="1">
      <c r="A280" s="327"/>
    </row>
    <row r="281" spans="1:30" s="160" customFormat="1" ht="21" customHeight="1">
      <c r="A281" s="327"/>
    </row>
    <row r="282" spans="1:30" s="160" customFormat="1" ht="20.25" customHeight="1">
      <c r="A282" s="327"/>
      <c r="B282" s="51"/>
      <c r="C282" s="183"/>
      <c r="I282" s="52"/>
      <c r="J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</row>
    <row r="283" spans="1:30" s="160" customFormat="1" ht="20.25" customHeight="1">
      <c r="A283" s="327"/>
      <c r="B283" s="51"/>
      <c r="C283" s="183"/>
      <c r="I283" s="52"/>
      <c r="J283" s="52"/>
      <c r="K283" s="52"/>
    </row>
    <row r="284" spans="1:30" s="160" customFormat="1" ht="20.25" customHeight="1">
      <c r="A284" s="327"/>
      <c r="B284" s="51"/>
      <c r="C284" s="183"/>
      <c r="I284" s="52"/>
      <c r="J284" s="52"/>
      <c r="AD284" s="52"/>
    </row>
    <row r="285" spans="1:30" s="160" customFormat="1">
      <c r="A285" s="327"/>
    </row>
    <row r="294" spans="2:10">
      <c r="G294" s="294"/>
      <c r="H294" s="294"/>
      <c r="I294" s="294"/>
      <c r="J294" s="294"/>
    </row>
    <row r="295" spans="2:10" ht="15">
      <c r="B295" s="64"/>
      <c r="G295" s="294"/>
      <c r="H295" s="294"/>
      <c r="I295" s="294"/>
      <c r="J295" s="294"/>
    </row>
    <row r="296" spans="2:10">
      <c r="G296" s="294"/>
      <c r="H296" s="294"/>
      <c r="I296" s="294"/>
      <c r="J296" s="294"/>
    </row>
    <row r="297" spans="2:10" ht="15">
      <c r="B297" s="343" t="s">
        <v>279</v>
      </c>
      <c r="C297" s="343" t="s">
        <v>400</v>
      </c>
      <c r="D297" s="343" t="s">
        <v>407</v>
      </c>
      <c r="E297" s="343" t="s">
        <v>408</v>
      </c>
      <c r="G297" s="294"/>
      <c r="H297" s="308"/>
      <c r="I297" s="309"/>
      <c r="J297" s="294"/>
    </row>
    <row r="298" spans="2:10" ht="15">
      <c r="B298" s="297">
        <v>0</v>
      </c>
      <c r="C298" s="298">
        <f>+C136</f>
        <v>-198728692.19941473</v>
      </c>
      <c r="D298" s="67"/>
      <c r="E298" s="319">
        <f>+C298</f>
        <v>-198728692.19941473</v>
      </c>
      <c r="G298" s="294"/>
      <c r="H298" s="308"/>
      <c r="I298" s="310"/>
      <c r="J298" s="294"/>
    </row>
    <row r="299" spans="2:10" ht="15">
      <c r="B299" s="297">
        <v>1</v>
      </c>
      <c r="C299" s="298">
        <f>+D$136</f>
        <v>3.1961500644683838E-4</v>
      </c>
      <c r="D299" s="306">
        <f>+D243</f>
        <v>0.16260398774144494</v>
      </c>
      <c r="E299" s="320">
        <f>+C299/((1+D299)^B299)</f>
        <v>2.7491304848157683E-4</v>
      </c>
      <c r="G299" s="294"/>
      <c r="H299" s="308"/>
      <c r="I299" s="310"/>
      <c r="J299" s="294"/>
    </row>
    <row r="300" spans="2:10" ht="15">
      <c r="B300" s="297">
        <v>2</v>
      </c>
      <c r="C300" s="298">
        <f>+E$136</f>
        <v>3.2494217157363892E-4</v>
      </c>
      <c r="D300" s="306">
        <f>+E243</f>
        <v>0.1616357044080832</v>
      </c>
      <c r="E300" s="320">
        <f t="shared" ref="E300:E308" si="400">+C300/((1+D300)^B300)</f>
        <v>2.4080537367560166E-4</v>
      </c>
      <c r="G300" s="294"/>
      <c r="H300" s="308"/>
      <c r="I300" s="294"/>
      <c r="J300" s="294"/>
    </row>
    <row r="301" spans="2:10" ht="15">
      <c r="B301" s="297">
        <v>3</v>
      </c>
      <c r="C301" s="298">
        <f>+F$136</f>
        <v>3.3130496740341187E-4</v>
      </c>
      <c r="D301" s="306">
        <f>+F243</f>
        <v>0.16109590440804553</v>
      </c>
      <c r="E301" s="320">
        <f t="shared" si="400"/>
        <v>2.1165262933958964E-4</v>
      </c>
      <c r="G301" s="294"/>
      <c r="H301" s="308"/>
      <c r="I301" s="294"/>
      <c r="J301" s="294"/>
    </row>
    <row r="302" spans="2:10" ht="15">
      <c r="B302" s="297">
        <v>4</v>
      </c>
      <c r="C302" s="298">
        <f>+G$136</f>
        <v>3.3873319625854492E-4</v>
      </c>
      <c r="D302" s="306">
        <f>+G243</f>
        <v>0.15958782107469277</v>
      </c>
      <c r="E302" s="320">
        <f t="shared" si="400"/>
        <v>1.8734546231108197E-4</v>
      </c>
      <c r="G302" s="294"/>
      <c r="H302" s="308"/>
      <c r="I302" s="311"/>
      <c r="J302" s="294"/>
    </row>
    <row r="303" spans="2:10" ht="15">
      <c r="B303" s="297">
        <v>5</v>
      </c>
      <c r="C303" s="298">
        <f>+H$136</f>
        <v>32435803.689040788</v>
      </c>
      <c r="D303" s="315">
        <f>+H243</f>
        <v>0.1579447877413436</v>
      </c>
      <c r="E303" s="320">
        <f t="shared" si="400"/>
        <v>15580643.922156341</v>
      </c>
      <c r="G303" s="294"/>
      <c r="H303" s="294"/>
      <c r="I303" s="294"/>
      <c r="J303" s="294"/>
    </row>
    <row r="304" spans="2:10" ht="15">
      <c r="B304" s="297">
        <v>6</v>
      </c>
      <c r="C304" s="298">
        <f>+I$136</f>
        <v>58377335.351271987</v>
      </c>
      <c r="D304" s="315">
        <f>+I243</f>
        <v>0.14130175440808707</v>
      </c>
      <c r="E304" s="320">
        <f t="shared" si="400"/>
        <v>26414436.994671255</v>
      </c>
      <c r="G304" s="294"/>
      <c r="H304" s="294"/>
      <c r="I304" s="294"/>
      <c r="J304" s="294"/>
    </row>
    <row r="305" spans="2:10" ht="15">
      <c r="B305" s="297">
        <v>7</v>
      </c>
      <c r="C305" s="298">
        <f>+J$136</f>
        <v>68485066.715541542</v>
      </c>
      <c r="D305" s="315">
        <f>+J243</f>
        <v>0.14049205440808285</v>
      </c>
      <c r="E305" s="320">
        <f t="shared" si="400"/>
        <v>27286638.377498407</v>
      </c>
      <c r="G305" s="294"/>
      <c r="H305" s="294"/>
      <c r="I305" s="294"/>
      <c r="J305" s="294"/>
    </row>
    <row r="306" spans="2:10" ht="15">
      <c r="B306" s="297">
        <v>8</v>
      </c>
      <c r="C306" s="298">
        <f>+K$136</f>
        <v>79462813.499186501</v>
      </c>
      <c r="D306" s="315">
        <f>+K243</f>
        <v>0.13968235440808752</v>
      </c>
      <c r="E306" s="320">
        <f t="shared" si="400"/>
        <v>27918581.220948726</v>
      </c>
      <c r="G306" s="294"/>
      <c r="H306" s="294"/>
      <c r="I306" s="294"/>
      <c r="J306" s="294"/>
    </row>
    <row r="307" spans="2:10" ht="15">
      <c r="B307" s="297">
        <v>9</v>
      </c>
      <c r="C307" s="298">
        <f>+L$136</f>
        <v>87953064.377016321</v>
      </c>
      <c r="D307" s="315">
        <f>+L243</f>
        <v>0.13887265440813243</v>
      </c>
      <c r="E307" s="320">
        <f t="shared" si="400"/>
        <v>27288174.818347473</v>
      </c>
      <c r="G307" s="294"/>
      <c r="H307" s="294"/>
      <c r="I307" s="294"/>
      <c r="J307" s="294"/>
    </row>
    <row r="308" spans="2:10" ht="15.75" thickBot="1">
      <c r="B308" s="297">
        <v>10</v>
      </c>
      <c r="C308" s="298">
        <f>+M$136+D326</f>
        <v>762758370.81726468</v>
      </c>
      <c r="D308" s="315">
        <f>+M243</f>
        <v>0.13806295440777031</v>
      </c>
      <c r="E308" s="320">
        <f t="shared" si="400"/>
        <v>209278260.02672574</v>
      </c>
      <c r="G308" s="294"/>
      <c r="H308" s="294"/>
      <c r="I308" s="294"/>
      <c r="J308" s="294"/>
    </row>
    <row r="309" spans="2:10" ht="15.75" thickBot="1">
      <c r="D309" s="316" t="s">
        <v>408</v>
      </c>
      <c r="E309" s="321">
        <f>SUM(E298:E308)</f>
        <v>135038043.16184792</v>
      </c>
    </row>
    <row r="310" spans="2:10">
      <c r="D310" s="307"/>
      <c r="E310" s="94"/>
    </row>
    <row r="311" spans="2:10" ht="15" thickBot="1">
      <c r="D311" s="307"/>
      <c r="E311" s="94"/>
    </row>
    <row r="312" spans="2:10" ht="15">
      <c r="D312" s="304" t="s">
        <v>409</v>
      </c>
      <c r="E312" s="313">
        <f>+(E309-C298)/-C298</f>
        <v>1.6795095447331971</v>
      </c>
    </row>
    <row r="313" spans="2:10" ht="15.75" thickBot="1">
      <c r="D313" s="305" t="s">
        <v>399</v>
      </c>
      <c r="E313" s="314">
        <f>IRR(C298:C308)</f>
        <v>0.20783484341572445</v>
      </c>
    </row>
    <row r="314" spans="2:10" ht="15">
      <c r="D314" s="308"/>
      <c r="E314" s="312"/>
    </row>
    <row r="315" spans="2:10" ht="15">
      <c r="D315" s="308"/>
      <c r="E315" s="312"/>
    </row>
    <row r="316" spans="2:10" ht="21">
      <c r="B316" s="299" t="s">
        <v>401</v>
      </c>
      <c r="C316"/>
      <c r="D316" s="294"/>
      <c r="E316" s="294"/>
    </row>
    <row r="317" spans="2:10" ht="15.75" thickBot="1">
      <c r="B317"/>
      <c r="C317"/>
      <c r="D317" s="300" t="s">
        <v>340</v>
      </c>
    </row>
    <row r="318" spans="2:10" ht="15.75" thickBot="1">
      <c r="B318" s="301" t="s">
        <v>402</v>
      </c>
      <c r="C318" s="350"/>
      <c r="D318" s="345"/>
      <c r="E318"/>
    </row>
    <row r="319" spans="2:10" ht="15">
      <c r="B319" s="317"/>
      <c r="C319" s="293"/>
      <c r="D319" s="346"/>
    </row>
    <row r="320" spans="2:10" ht="15">
      <c r="B320" s="317" t="s">
        <v>403</v>
      </c>
      <c r="C320" s="293"/>
      <c r="D320" s="347">
        <f>+J236</f>
        <v>661341596.1764003</v>
      </c>
    </row>
    <row r="321" spans="2:4" ht="15">
      <c r="B321" s="317"/>
      <c r="C321" s="293"/>
      <c r="D321" s="346"/>
    </row>
    <row r="322" spans="2:4" ht="15">
      <c r="B322" s="317" t="s">
        <v>404</v>
      </c>
      <c r="C322" s="293"/>
      <c r="D322" s="348">
        <f>+C8</f>
        <v>10110000</v>
      </c>
    </row>
    <row r="323" spans="2:4" ht="15">
      <c r="B323" s="317"/>
      <c r="C323" s="293"/>
      <c r="D323" s="346"/>
    </row>
    <row r="324" spans="2:4" ht="15.75" thickBot="1">
      <c r="B324" s="318" t="s">
        <v>405</v>
      </c>
      <c r="C324" s="344"/>
      <c r="D324" s="349">
        <f>+M82+M84+M79</f>
        <v>0</v>
      </c>
    </row>
    <row r="325" spans="2:4" ht="15.75" thickBot="1">
      <c r="B325"/>
      <c r="C325"/>
      <c r="D325"/>
    </row>
    <row r="326" spans="2:4" ht="15.75" thickBot="1">
      <c r="B326" s="301" t="s">
        <v>406</v>
      </c>
      <c r="C326" s="302"/>
      <c r="D326" s="303">
        <f>+D320+D322-D324</f>
        <v>671451596.1764003</v>
      </c>
    </row>
  </sheetData>
  <scenarios current="0" show="0" sqref="C68:H68">
    <scenario name="Crédito 99%" locked="1" count="1" user="Personal" comment="Creado por Personal el 06/02/2022_x000a_Modificado por Personal el 06/02/2022_x000a_Modificado por Personal el 14/02/2022">
      <inputCells r="C9" val="0,99" numFmtId="165"/>
    </scenario>
    <scenario name="Crédito 50%" locked="1" count="1" user="Personal" comment="Creado por Personal el 06/02/2022_x000a_Modificado por Personal el 14/02/2022">
      <inputCells r="C9" val="0,5" numFmtId="165"/>
    </scenario>
    <scenario name="Crédito 1%" locked="1" count="1" user="Personal" comment="Creado por Personal el 06/02/2022_x000a_Modificado por Personal el 06/02/2022_x000a_Modificado por Personal el 14/02/2022">
      <inputCells r="C9" val="0,01" numFmtId="165"/>
    </scenario>
    <scenario name="Precio Bajo" locked="1" count="1" user="Personal" comment="Creado por Personal el 06/02/2022_x000a_Modificado por Personal el 14/02/2022">
      <inputCells r="D10" val="2650" numFmtId="3"/>
    </scenario>
    <scenario name="Precio Alto" locked="1" count="1" user="Personal" comment="Creado por Personal el 06/02/2022_x000a_Modificado por Personal el 14/02/2022">
      <inputCells r="D10" val="3000" numFmtId="3"/>
    </scenario>
    <scenario name="Arrendamiento Activos" locked="1" count="5" user="Personal" comment="Creado por Personal el 14/02/2022">
      <inputCells r="AA14" val="0" numFmtId="42"/>
      <inputCells r="AA15" val="0" numFmtId="42"/>
      <inputCells r="AA16" val="0" numFmtId="42"/>
      <inputCells r="Z66" val="8000000" numFmtId="42"/>
      <inputCells r="Z67" val="0" numFmtId="42"/>
    </scenario>
    <scenario name="Compra Activos" locked="1" count="5" user="Personal" comment="Creado por Personal el 14/02/2022">
      <inputCells r="AA14" val="68000000" numFmtId="42"/>
      <inputCells r="AA15" val="390000000" numFmtId="42"/>
      <inputCells r="AA16" val="120000000" numFmtId="42"/>
      <inputCells r="Z66" val="0" numFmtId="42"/>
      <inputCells r="Z67" val="66666,6666667" numFmtId="42"/>
    </scenario>
  </scenarios>
  <dataConsolidate/>
  <mergeCells count="16">
    <mergeCell ref="Y30:AB30"/>
    <mergeCell ref="Y19:AB19"/>
    <mergeCell ref="Y6:AB6"/>
    <mergeCell ref="B266:C266"/>
    <mergeCell ref="B267:C267"/>
    <mergeCell ref="D7:E7"/>
    <mergeCell ref="D8:E8"/>
    <mergeCell ref="E11:H11"/>
    <mergeCell ref="D22:E22"/>
    <mergeCell ref="B170:C170"/>
    <mergeCell ref="B171:C171"/>
    <mergeCell ref="B259:C259"/>
    <mergeCell ref="B260:C260"/>
    <mergeCell ref="B261:C261"/>
    <mergeCell ref="B265:C265"/>
    <mergeCell ref="P52:S52"/>
  </mergeCells>
  <phoneticPr fontId="42" type="noConversion"/>
  <conditionalFormatting sqref="C95:M95">
    <cfRule type="expression" dxfId="29" priority="56">
      <formula>C95&lt;&gt;0</formula>
    </cfRule>
  </conditionalFormatting>
  <conditionalFormatting sqref="B95">
    <cfRule type="expression" dxfId="28" priority="55">
      <formula>SUM($C$95:$H$95)&lt;&gt;0</formula>
    </cfRule>
  </conditionalFormatting>
  <conditionalFormatting sqref="B1">
    <cfRule type="expression" dxfId="27" priority="54">
      <formula>$B$1&lt;0</formula>
    </cfRule>
  </conditionalFormatting>
  <conditionalFormatting sqref="A1">
    <cfRule type="expression" dxfId="26" priority="53">
      <formula>$B$1&lt;0</formula>
    </cfRule>
  </conditionalFormatting>
  <conditionalFormatting sqref="G1">
    <cfRule type="expression" dxfId="25" priority="20">
      <formula>$G$1=0</formula>
    </cfRule>
  </conditionalFormatting>
  <conditionalFormatting sqref="A166:A211 A256:A285 A239:A254">
    <cfRule type="expression" dxfId="24" priority="16">
      <formula>$A$1="C"</formula>
    </cfRule>
  </conditionalFormatting>
  <conditionalFormatting sqref="D177:M177">
    <cfRule type="expression" dxfId="23" priority="12">
      <formula>D177&gt;D168</formula>
    </cfRule>
  </conditionalFormatting>
  <conditionalFormatting sqref="D210:M210">
    <cfRule type="expression" dxfId="22" priority="11">
      <formula>D210&gt;C210</formula>
    </cfRule>
  </conditionalFormatting>
  <conditionalFormatting sqref="D209:M209">
    <cfRule type="expression" dxfId="21" priority="10">
      <formula>D209&lt;C209</formula>
    </cfRule>
  </conditionalFormatting>
  <conditionalFormatting sqref="D163:M163">
    <cfRule type="expression" dxfId="20" priority="9">
      <formula>D163&gt;C163</formula>
    </cfRule>
  </conditionalFormatting>
  <dataValidations disablePrompts="1" count="1">
    <dataValidation type="list" allowBlank="1" showInputMessage="1" showErrorMessage="1" sqref="J1 H1" xr:uid="{00000000-0002-0000-0100-000000000000}">
      <formula1>$I$166:$I$167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1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Proyecciones!C268:I268</xm:f>
              <xm:sqref>P268</xm:sqref>
            </x14:sparkline>
          </x14:sparklines>
        </x14:sparklineGroup>
        <x14:sparklineGroup displayEmptyCellsAs="gap" xr2:uid="{00000000-0003-0000-0100-00000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Proyecciones!C262:I262</xm:f>
              <xm:sqref>P262</xm:sqref>
            </x14:sparkline>
          </x14:sparklines>
        </x14:sparklineGroup>
        <x14:sparklineGroup displayEmptyCellsAs="gap" xr2:uid="{00000000-0003-0000-01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Proyecciones!C280:I280</xm:f>
              <xm:sqref>J280</xm:sqref>
            </x14:sparkline>
            <x14:sparkline>
              <xm:f>Proyecciones!C281:I281</xm:f>
              <xm:sqref>J281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25"/>
  <sheetViews>
    <sheetView showGridLines="0" topLeftCell="E1" zoomScale="70" zoomScaleNormal="70" workbookViewId="0">
      <selection activeCell="X15" sqref="X15"/>
    </sheetView>
  </sheetViews>
  <sheetFormatPr baseColWidth="10" defaultRowHeight="14.25"/>
  <cols>
    <col min="1" max="1" width="5.7109375" style="52" customWidth="1"/>
    <col min="2" max="2" width="12.7109375" style="52" bestFit="1" customWidth="1"/>
    <col min="3" max="5" width="11.42578125" style="52"/>
    <col min="6" max="6" width="17.7109375" style="52" customWidth="1"/>
    <col min="7" max="7" width="11.42578125" style="52"/>
    <col min="8" max="8" width="4" style="52" customWidth="1"/>
    <col min="9" max="14" width="11.42578125" style="52"/>
    <col min="15" max="15" width="4.5703125" style="52" customWidth="1"/>
    <col min="16" max="20" width="11.42578125" style="52"/>
    <col min="21" max="21" width="17.85546875" style="52" bestFit="1" customWidth="1"/>
    <col min="22" max="28" width="11.42578125" style="52"/>
    <col min="29" max="29" width="20.140625" style="52" customWidth="1"/>
    <col min="30" max="16384" width="11.42578125" style="52"/>
  </cols>
  <sheetData>
    <row r="1" spans="2:27">
      <c r="AA1" s="160"/>
    </row>
    <row r="2" spans="2:27" ht="15" thickBot="1">
      <c r="AA2" s="160"/>
    </row>
    <row r="3" spans="2:27" ht="27" thickBot="1">
      <c r="B3" s="362" t="s">
        <v>426</v>
      </c>
      <c r="C3" s="363"/>
      <c r="D3" s="364"/>
      <c r="AA3" s="160"/>
    </row>
    <row r="4" spans="2:27">
      <c r="T4" s="352" t="s">
        <v>399</v>
      </c>
      <c r="U4" s="353">
        <f>+Proyecciones!E313</f>
        <v>0.20783484341572445</v>
      </c>
    </row>
    <row r="5" spans="2:27">
      <c r="T5" s="355"/>
      <c r="U5" s="356"/>
    </row>
    <row r="6" spans="2:27">
      <c r="B6" s="354"/>
      <c r="C6" s="294"/>
      <c r="T6" s="355" t="s">
        <v>408</v>
      </c>
      <c r="U6" s="357">
        <f>+Proyecciones!E309</f>
        <v>135038043.16184792</v>
      </c>
    </row>
    <row r="7" spans="2:27" ht="26.25" customHeight="1">
      <c r="T7" s="355"/>
      <c r="U7" s="356"/>
    </row>
    <row r="8" spans="2:27" ht="15" thickBot="1">
      <c r="T8" s="358" t="s">
        <v>409</v>
      </c>
      <c r="U8" s="359">
        <f>+Proyecciones!E312</f>
        <v>1.6795095447331971</v>
      </c>
    </row>
    <row r="13" spans="2:27">
      <c r="B13" s="354"/>
      <c r="C13" s="294"/>
    </row>
    <row r="14" spans="2:27">
      <c r="B14" s="354"/>
      <c r="C14" s="294"/>
    </row>
    <row r="15" spans="2:27">
      <c r="C15" s="63"/>
    </row>
    <row r="16" spans="2:27" ht="35.25">
      <c r="B16" s="360"/>
      <c r="C16" s="64"/>
      <c r="D16" s="361"/>
      <c r="E16" s="361"/>
      <c r="F16" s="361"/>
    </row>
    <row r="17" spans="3:3">
      <c r="C17" s="63"/>
    </row>
    <row r="18" spans="3:3">
      <c r="C18" s="63"/>
    </row>
    <row r="19" spans="3:3">
      <c r="C19" s="63"/>
    </row>
    <row r="20" spans="3:3">
      <c r="C20" s="63"/>
    </row>
    <row r="21" spans="3:3">
      <c r="C21" s="63"/>
    </row>
    <row r="22" spans="3:3">
      <c r="C22" s="63"/>
    </row>
    <row r="23" spans="3:3">
      <c r="C23" s="63"/>
    </row>
    <row r="24" spans="3:3">
      <c r="C24" s="63"/>
    </row>
    <row r="25" spans="3:3">
      <c r="C25" s="63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Proyecciones!$J$2:$J$13</xm:f>
          </x14:formula1>
          <xm:sqref>C13:C14 C6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29"/>
  <sheetViews>
    <sheetView topLeftCell="C6" workbookViewId="0">
      <selection activeCell="E16" sqref="E16"/>
    </sheetView>
  </sheetViews>
  <sheetFormatPr baseColWidth="10" defaultColWidth="11.42578125" defaultRowHeight="14.25"/>
  <cols>
    <col min="1" max="1" width="11.42578125" style="198"/>
    <col min="2" max="2" width="38.85546875" style="198" bestFit="1" customWidth="1"/>
    <col min="3" max="3" width="16.85546875" style="198" customWidth="1"/>
    <col min="4" max="8" width="15.28515625" style="198" bestFit="1" customWidth="1"/>
    <col min="9" max="13" width="14.42578125" style="198" bestFit="1" customWidth="1"/>
    <col min="14" max="14" width="11.5703125" style="198" bestFit="1" customWidth="1"/>
    <col min="15" max="15" width="12" style="198" bestFit="1" customWidth="1"/>
    <col min="16" max="16" width="14.7109375" style="198" bestFit="1" customWidth="1"/>
    <col min="17" max="17" width="12.140625" style="198" bestFit="1" customWidth="1"/>
    <col min="18" max="16384" width="11.42578125" style="198"/>
  </cols>
  <sheetData>
    <row r="1" spans="2:22" ht="15">
      <c r="C1" s="286" t="s">
        <v>57</v>
      </c>
      <c r="D1" s="287">
        <v>2021</v>
      </c>
      <c r="E1" s="287">
        <f>+D1+1</f>
        <v>2022</v>
      </c>
      <c r="F1" s="287">
        <f t="shared" ref="F1:I1" si="0">+E1+1</f>
        <v>2023</v>
      </c>
      <c r="G1" s="287">
        <f t="shared" si="0"/>
        <v>2024</v>
      </c>
      <c r="H1" s="287">
        <f t="shared" si="0"/>
        <v>2025</v>
      </c>
      <c r="I1" s="287">
        <f t="shared" si="0"/>
        <v>2026</v>
      </c>
      <c r="J1" s="287">
        <f t="shared" ref="J1" si="1">+I1+1</f>
        <v>2027</v>
      </c>
      <c r="K1" s="287">
        <f t="shared" ref="K1" si="2">+J1+1</f>
        <v>2028</v>
      </c>
      <c r="L1" s="287">
        <f t="shared" ref="L1" si="3">+K1+1</f>
        <v>2029</v>
      </c>
      <c r="M1" s="287">
        <f t="shared" ref="M1" si="4">+L1+1</f>
        <v>2030</v>
      </c>
    </row>
    <row r="2" spans="2:22">
      <c r="B2" s="197"/>
      <c r="C2" s="222" t="s">
        <v>58</v>
      </c>
      <c r="D2" s="223"/>
      <c r="E2" s="288">
        <f>+Proyecciones!D3</f>
        <v>5.62E-2</v>
      </c>
      <c r="F2" s="288">
        <f>+Proyecciones!E3</f>
        <v>3.3000000000000002E-2</v>
      </c>
      <c r="G2" s="288">
        <f>+Proyecciones!F3</f>
        <v>3.1E-2</v>
      </c>
      <c r="H2" s="288">
        <f>+Proyecciones!G3</f>
        <v>3.1E-2</v>
      </c>
      <c r="I2" s="288">
        <f>+Proyecciones!H3</f>
        <v>3.3000000000000002E-2</v>
      </c>
      <c r="J2" s="288">
        <f>+Proyecciones!I3</f>
        <v>3.3000000000000002E-2</v>
      </c>
      <c r="K2" s="288">
        <f>+Proyecciones!J3</f>
        <v>3.3000000000000002E-2</v>
      </c>
      <c r="L2" s="288">
        <f>+Proyecciones!K3</f>
        <v>3.3000000000000002E-2</v>
      </c>
      <c r="M2" s="288">
        <f>+Proyecciones!L3</f>
        <v>3.3000000000000002E-2</v>
      </c>
      <c r="R2" s="198" t="s">
        <v>259</v>
      </c>
      <c r="S2" s="198" t="s">
        <v>265</v>
      </c>
    </row>
    <row r="3" spans="2:22">
      <c r="Q3" s="198" t="s">
        <v>258</v>
      </c>
      <c r="R3" s="198" t="s">
        <v>262</v>
      </c>
      <c r="S3" s="274">
        <f>2434+70</f>
        <v>2504</v>
      </c>
      <c r="T3" s="275">
        <v>0.7</v>
      </c>
      <c r="U3" s="276">
        <f>+Proyecciones!D29</f>
        <v>134989.70663673605</v>
      </c>
      <c r="V3" s="277">
        <f>+U3*T3/50</f>
        <v>1889.8558929143046</v>
      </c>
    </row>
    <row r="4" spans="2:22" ht="15">
      <c r="B4" s="278" t="s">
        <v>249</v>
      </c>
      <c r="C4" s="279" t="s">
        <v>248</v>
      </c>
      <c r="D4" s="280" t="s">
        <v>28</v>
      </c>
      <c r="E4" s="280" t="s">
        <v>29</v>
      </c>
      <c r="F4" s="280" t="s">
        <v>30</v>
      </c>
      <c r="G4" s="280" t="s">
        <v>31</v>
      </c>
      <c r="H4" s="280" t="s">
        <v>32</v>
      </c>
      <c r="I4" s="280" t="s">
        <v>427</v>
      </c>
      <c r="J4" s="280" t="s">
        <v>428</v>
      </c>
      <c r="K4" s="280" t="s">
        <v>429</v>
      </c>
      <c r="L4" s="280" t="s">
        <v>430</v>
      </c>
      <c r="M4" s="280" t="s">
        <v>431</v>
      </c>
      <c r="Q4" s="198" t="s">
        <v>260</v>
      </c>
      <c r="R4" s="198" t="s">
        <v>263</v>
      </c>
      <c r="S4" s="274">
        <v>1230</v>
      </c>
      <c r="T4" s="275">
        <v>0.2</v>
      </c>
      <c r="U4" s="276">
        <f>+U3</f>
        <v>134989.70663673605</v>
      </c>
      <c r="V4" s="277">
        <f t="shared" ref="V4:V5" si="5">+U4*T4/50</f>
        <v>539.95882654694424</v>
      </c>
    </row>
    <row r="5" spans="2:22">
      <c r="B5" s="198" t="s">
        <v>267</v>
      </c>
      <c r="C5" s="281">
        <f>39008.07/1000</f>
        <v>39.008069999999996</v>
      </c>
      <c r="D5" s="282">
        <f>+C5*(1+E2)</f>
        <v>41.200323533999999</v>
      </c>
      <c r="E5" s="282">
        <f>+D5*(1+F2)</f>
        <v>42.559934210621996</v>
      </c>
      <c r="F5" s="282">
        <f>+E5*(1+G2)</f>
        <v>43.879292171151278</v>
      </c>
      <c r="G5" s="282">
        <f>+F5*(1+H2)</f>
        <v>45.239550228456963</v>
      </c>
      <c r="H5" s="282">
        <f>+G5*(1+I2)</f>
        <v>46.73245538599604</v>
      </c>
      <c r="I5" s="282">
        <f t="shared" ref="I5:L5" si="6">+H5*(1+J2)</f>
        <v>48.274626413733905</v>
      </c>
      <c r="J5" s="282">
        <f t="shared" si="6"/>
        <v>49.86768908538712</v>
      </c>
      <c r="K5" s="282">
        <f t="shared" si="6"/>
        <v>51.513322825204888</v>
      </c>
      <c r="L5" s="282">
        <f t="shared" si="6"/>
        <v>53.213262478436647</v>
      </c>
      <c r="M5" s="282">
        <f>+L5*(1+N2)</f>
        <v>53.213262478436647</v>
      </c>
      <c r="Q5" s="198" t="s">
        <v>261</v>
      </c>
      <c r="R5" s="198" t="s">
        <v>264</v>
      </c>
      <c r="S5" s="274">
        <v>1100</v>
      </c>
      <c r="T5" s="275">
        <v>0.1</v>
      </c>
      <c r="U5" s="276">
        <f>+U4</f>
        <v>134989.70663673605</v>
      </c>
      <c r="V5" s="277">
        <f t="shared" si="5"/>
        <v>269.97941327347212</v>
      </c>
    </row>
    <row r="6" spans="2:22">
      <c r="B6" s="198" t="s">
        <v>59</v>
      </c>
      <c r="C6" s="281">
        <f>+Proyecciones!D29*(1+70%)</f>
        <v>229482.5012824513</v>
      </c>
      <c r="D6" s="281">
        <f>+Proyecciones!E29*(1+70%)</f>
        <v>235678.52881707743</v>
      </c>
      <c r="E6" s="281">
        <f>+Proyecciones!F29*(1+70%)</f>
        <v>242041.84909513849</v>
      </c>
      <c r="F6" s="281">
        <f>+Proyecciones!G29*(1+70%)</f>
        <v>249303.10456799265</v>
      </c>
      <c r="G6" s="281">
        <f>+Proyecciones!H29*(1+70%)</f>
        <v>256283.59149589649</v>
      </c>
      <c r="H6" s="281">
        <f>+Proyecciones!I29*(1+70%)</f>
        <v>263459.53205778159</v>
      </c>
      <c r="I6" s="281">
        <f>+Proyecciones!J29*(1+70%)</f>
        <v>270836.39895539946</v>
      </c>
      <c r="J6" s="281">
        <f>+Proyecciones!K29*(1+70%)</f>
        <v>275400</v>
      </c>
      <c r="K6" s="281">
        <f>+Proyecciones!L29*(1+70%)</f>
        <v>275400</v>
      </c>
      <c r="L6" s="281">
        <f>+Proyecciones!M29*(1+70%)</f>
        <v>275400</v>
      </c>
      <c r="M6" s="281">
        <f>+Proyecciones!N29*(1+70%)</f>
        <v>275400</v>
      </c>
    </row>
    <row r="7" spans="2:22">
      <c r="B7" s="198" t="s">
        <v>250</v>
      </c>
      <c r="C7" s="282">
        <f>+C5*C6</f>
        <v>8951669.4738009498</v>
      </c>
      <c r="D7" s="282">
        <f t="shared" ref="D7:H7" si="7">+D5*D6</f>
        <v>9710031.6372807324</v>
      </c>
      <c r="E7" s="282">
        <f t="shared" si="7"/>
        <v>10301285.173706392</v>
      </c>
      <c r="F7" s="282">
        <f t="shared" si="7"/>
        <v>10939243.764514027</v>
      </c>
      <c r="G7" s="282">
        <f t="shared" si="7"/>
        <v>11594154.410207955</v>
      </c>
      <c r="H7" s="282">
        <f t="shared" si="7"/>
        <v>12312110.827905672</v>
      </c>
      <c r="I7" s="282">
        <f t="shared" ref="I7:M7" si="8">+I5*I6</f>
        <v>13074525.978812901</v>
      </c>
      <c r="J7" s="282">
        <f t="shared" si="8"/>
        <v>13733561.574115613</v>
      </c>
      <c r="K7" s="282">
        <f t="shared" si="8"/>
        <v>14186769.106061427</v>
      </c>
      <c r="L7" s="282">
        <f t="shared" si="8"/>
        <v>14654932.486561453</v>
      </c>
      <c r="M7" s="282">
        <f t="shared" si="8"/>
        <v>14654932.486561453</v>
      </c>
    </row>
    <row r="9" spans="2:22">
      <c r="B9" s="198" t="s">
        <v>254</v>
      </c>
      <c r="C9" s="283">
        <f>+SUM(Proyecciones!AB50:AB51,Proyecciones!AB53)</f>
        <v>40727552</v>
      </c>
      <c r="D9" s="283">
        <f>+SUM(Proyecciones!AC50:AC51,Proyecciones!AC53)</f>
        <v>126351721.26719999</v>
      </c>
      <c r="E9" s="283">
        <f>+SUM(Proyecciones!AD50:AD51,Proyecciones!AD53)</f>
        <v>131634928.0690176</v>
      </c>
      <c r="F9" s="283">
        <f>+SUM(Proyecciones!AE50:AE51,Proyecciones!AE53)</f>
        <v>135817006.03915715</v>
      </c>
      <c r="G9" s="283">
        <f>+SUM(Proyecciones!AF50:AF51,Proyecciones!AF53)</f>
        <v>140027333.22637099</v>
      </c>
      <c r="H9" s="283">
        <f>+SUM(Proyecciones!AG50:AG51,Proyecciones!AG53)</f>
        <v>144540247.00275162</v>
      </c>
      <c r="I9" s="283">
        <f>+SUM(Proyecciones!AH50:AH51,Proyecciones!AH53)</f>
        <v>149310075.15384239</v>
      </c>
      <c r="J9" s="283">
        <f>+SUM(Proyecciones!AI50:AI51,Proyecciones!AI53)</f>
        <v>154237307.63391921</v>
      </c>
      <c r="K9" s="283">
        <f>+SUM(Proyecciones!AJ50:AJ51,Proyecciones!AJ53)</f>
        <v>159327138.78583851</v>
      </c>
      <c r="L9" s="283">
        <f>+SUM(Proyecciones!AK50:AK51,Proyecciones!AK53)</f>
        <v>164584934.36577117</v>
      </c>
      <c r="M9" s="283">
        <f>+SUM(Proyecciones!AL50:AL51,Proyecciones!AL53)</f>
        <v>166676734.94332153</v>
      </c>
    </row>
    <row r="11" spans="2:22">
      <c r="B11" s="198" t="s">
        <v>359</v>
      </c>
      <c r="C11" s="284">
        <f>39008.07/1000*Proyecciones!D29</f>
        <v>5265687.9257652638</v>
      </c>
      <c r="D11" s="284">
        <f>39.00807*(1+E2)*Proyecciones!E29</f>
        <v>5711783.3160474896</v>
      </c>
      <c r="E11" s="284">
        <f>39.00807*(1+F2)*(1+E2)*Proyecciones!F29</f>
        <v>6059579.513944936</v>
      </c>
      <c r="F11" s="284">
        <f>39.00807*(1+G2)*(1+F2)*(1+E2)*Proyecciones!G29</f>
        <v>6434849.2732435456</v>
      </c>
      <c r="G11" s="284">
        <f>39.00807*(1+H2)*(1+F2)*(1+E2)*(1+G2)*Proyecciones!H29</f>
        <v>6820090.8295340901</v>
      </c>
      <c r="H11" s="284">
        <f>39.00807*(1+I2)*(1+H2)*(1+F2)*(1+E2)*(1+G2)*Proyecciones!I29</f>
        <v>7242418.1340621598</v>
      </c>
      <c r="I11" s="284">
        <f>39.00807*(1+J2)*(1+I2)*(1+G2)*(1+F2)*(1+H2)*Proyecciones!J29</f>
        <v>7281667.898689474</v>
      </c>
      <c r="J11" s="284">
        <f>39.00807*(1+K2)*(1+J2)*(1+H2)*(1+G2)*(1+I2)*Proyecciones!K29</f>
        <v>7404364.2104003895</v>
      </c>
      <c r="K11" s="284">
        <f>39.00807*(1+L2)*(1+K2)*(1+I2)*(1+H2)*(1+J2)*Proyecciones!L29</f>
        <v>7418727.6715262886</v>
      </c>
      <c r="L11" s="284">
        <f>39.00807*(1+M2)*(1+L2)*(1+J2)*(1+I2)*(1+K2)*Proyecciones!M29</f>
        <v>7433118.9958163491</v>
      </c>
      <c r="M11" s="284">
        <f>39.00807*(1+N2)*(1+M2)*(1+K2)*(1+J2)*(1+L2)*Proyecciones!N29</f>
        <v>7195662.1450303476</v>
      </c>
    </row>
    <row r="13" spans="2:22">
      <c r="B13" s="198" t="s">
        <v>257</v>
      </c>
      <c r="D13" s="219">
        <f>(+Proyecciones!D29*'Costo De Ventas '!$T$3)/50*'Costo De Ventas '!$S$3+(Proyecciones!D29*'Costo De Ventas '!$T$4)/10*$S$4+(Proyecciones!D29*'Costo De Ventas '!$T$5)/3*$S$5</f>
        <v>13002568.515801448</v>
      </c>
      <c r="E13" s="219">
        <f>(+Proyecciones!E29*'Costo De Ventas '!$T$3)/50*'Costo De Ventas '!$S$3+(Proyecciones!E29*'Costo De Ventas '!$T$4)/10*$S$4+(Proyecciones!E29*'Costo De Ventas '!$T$5)/3*$S$5</f>
        <v>13353637.865728086</v>
      </c>
      <c r="F13" s="219">
        <f>(+Proyecciones!F29*'Costo De Ventas '!$T$3)/50*'Costo De Ventas '!$S$3+(Proyecciones!F29*'Costo De Ventas '!$T$4)/10*$S$4+(Proyecciones!F29*'Costo De Ventas '!$T$5)/3*$S$5</f>
        <v>13714186.088102741</v>
      </c>
      <c r="G13" s="219">
        <f>(+Proyecciones!G29*'Costo De Ventas '!$T$3)/50*'Costo De Ventas '!$S$3+(Proyecciones!G29*'Costo De Ventas '!$T$4)/10*$S$4+(Proyecciones!G29*'Costo De Ventas '!$T$5)/3*$S$5</f>
        <v>14125611.670745825</v>
      </c>
      <c r="H13" s="219">
        <f>(+Proyecciones!H29*'Costo De Ventas '!$T$3)/50*'Costo De Ventas '!$S$3+(Proyecciones!H29*'Costo De Ventas '!$T$4)/10*$S$4+(Proyecciones!H29*'Costo De Ventas '!$T$5)/3*$S$5</f>
        <v>14521128.797526706</v>
      </c>
      <c r="I13" s="219">
        <f>(+Proyecciones!I29*'Costo De Ventas '!$T$3)/50*'Costo De Ventas '!$S$3+(Proyecciones!I29*'Costo De Ventas '!$T$4)/10*$S$4+(Proyecciones!I29*'Costo De Ventas '!$T$5)/3*$S$5</f>
        <v>14927720.403857457</v>
      </c>
      <c r="J13" s="219">
        <f>(+Proyecciones!J29*'Costo De Ventas '!$T$3)/50*'Costo De Ventas '!$S$3+(Proyecciones!J29*'Costo De Ventas '!$T$4)/10*$S$4+(Proyecciones!J29*'Costo De Ventas '!$T$5)/3*$S$5</f>
        <v>15345696.575165465</v>
      </c>
      <c r="K13" s="219">
        <f>(+Proyecciones!K29*'Costo De Ventas '!$T$3)/50*'Costo De Ventas '!$S$3+(Proyecciones!K29*'Costo De Ventas '!$T$4)/10*$S$4+(Proyecciones!K29*'Costo De Ventas '!$T$5)/3*$S$5</f>
        <v>15604272</v>
      </c>
      <c r="L13" s="219">
        <f>(+Proyecciones!L29*'Costo De Ventas '!$T$3)/50*'Costo De Ventas '!$S$3+(Proyecciones!L29*'Costo De Ventas '!$T$4)/10*$S$4+(Proyecciones!L29*'Costo De Ventas '!$T$5)/3*$S$5</f>
        <v>15604272</v>
      </c>
      <c r="M13" s="219">
        <f>(+Proyecciones!M29*'Costo De Ventas '!$T$3)/50*'Costo De Ventas '!$S$3+(Proyecciones!M29*'Costo De Ventas '!$T$4)/10*$S$4+(Proyecciones!M29*'Costo De Ventas '!$T$5)/3*$S$5</f>
        <v>15604272</v>
      </c>
    </row>
    <row r="15" spans="2:22">
      <c r="B15" s="198" t="s">
        <v>266</v>
      </c>
      <c r="D15" s="283">
        <f>+Proyecciones!D54*6.45%</f>
        <v>26120508.234208427</v>
      </c>
      <c r="E15" s="283">
        <f>+Proyecciones!E54*6.45%</f>
        <v>28333369.77848915</v>
      </c>
      <c r="F15" s="283">
        <f>+Proyecciones!F54*6.45%</f>
        <v>30058616.997671131</v>
      </c>
      <c r="G15" s="283">
        <f>+Proyecciones!G54*6.45%</f>
        <v>31920147.148336899</v>
      </c>
      <c r="H15" s="283">
        <f>+Proyecciones!H54*6.45%</f>
        <v>33831142.517813534</v>
      </c>
      <c r="I15" s="283">
        <f>+Proyecciones!I54*6.45%</f>
        <v>35926102.187086619</v>
      </c>
      <c r="J15" s="283">
        <f>+Proyecciones!J54*6.45%</f>
        <v>38150790.138919763</v>
      </c>
      <c r="K15" s="283">
        <f>+Proyecciones!K54*6.45%</f>
        <v>40073821.897869594</v>
      </c>
      <c r="L15" s="283">
        <f>+Proyecciones!L54*6.45%</f>
        <v>41396258.020499282</v>
      </c>
      <c r="M15" s="283">
        <f>+Proyecciones!M54*6.45%</f>
        <v>42762334.535175756</v>
      </c>
    </row>
    <row r="17" spans="2:13">
      <c r="B17" s="198" t="s">
        <v>255</v>
      </c>
      <c r="C17" s="283">
        <f>+SUM(Proyecciones!AB56,Proyecciones!AB58,Proyecciones!AB62,Proyecciones!AB65,Proyecciones!AB64:AB66)</f>
        <v>56200000</v>
      </c>
      <c r="D17" s="283">
        <f>+SUM(Proyecciones!AC56,Proyecciones!AC58,Proyecciones!AC62,Proyecciones!AC65,Proyecciones!AC64:AC66)</f>
        <v>170238360</v>
      </c>
      <c r="E17" s="283">
        <f>+SUM(Proyecciones!AD56,Proyecciones!AD58,Proyecciones!AD62,Proyecciones!AD65,Proyecciones!AD64:AD66)</f>
        <v>179614625.88</v>
      </c>
      <c r="F17" s="283">
        <f>+SUM(Proyecciones!AE56,Proyecciones!AE58,Proyecciones!AE62,Proyecciones!AE65,Proyecciones!AE64:AE66)</f>
        <v>185524888.08227998</v>
      </c>
      <c r="G17" s="283">
        <f>+SUM(Proyecciones!AF56,Proyecciones!AF58,Proyecciones!AF62,Proyecciones!AF65,Proyecciones!AF64:AF66)</f>
        <v>191276159.61283064</v>
      </c>
      <c r="H17" s="283">
        <f>+SUM(Proyecciones!AG56,Proyecciones!AG58,Proyecciones!AG62,Proyecciones!AG65,Proyecciones!AG64:AG66)</f>
        <v>197223812.63725165</v>
      </c>
      <c r="I17" s="283">
        <f>+SUM(Proyecciones!AH56,Proyecciones!AH58,Proyecciones!AH62,Proyecciones!AH65,Proyecciones!AH64:AH66)</f>
        <v>203732198.45428091</v>
      </c>
      <c r="J17" s="283">
        <f>+SUM(Proyecciones!AI56,Proyecciones!AI58,Proyecciones!AI62,Proyecciones!AI65,Proyecciones!AI64:AI66)</f>
        <v>210455361.00327218</v>
      </c>
      <c r="K17" s="283">
        <f>+SUM(Proyecciones!AJ56,Proyecciones!AJ58,Proyecciones!AJ62,Proyecciones!AJ65,Proyecciones!AJ64:AJ66)</f>
        <v>217400387.91638011</v>
      </c>
      <c r="L17" s="283">
        <f>+SUM(Proyecciones!AK56,Proyecciones!AK58,Proyecciones!AK62,Proyecciones!AK65,Proyecciones!AK64:AK66)</f>
        <v>224574600.71762067</v>
      </c>
      <c r="M17" s="283">
        <f>+SUM(Proyecciones!AL56,Proyecciones!AL58,Proyecciones!AL62,Proyecciones!AL65,Proyecciones!AL64:AL66)</f>
        <v>231634427.66685307</v>
      </c>
    </row>
    <row r="19" spans="2:13">
      <c r="B19" s="198" t="s">
        <v>256</v>
      </c>
      <c r="C19" s="284">
        <f t="shared" ref="C19:H19" si="9">+SUM(C7:C17)</f>
        <v>111144909.3995662</v>
      </c>
      <c r="D19" s="284">
        <f t="shared" si="9"/>
        <v>351134972.97053814</v>
      </c>
      <c r="E19" s="284">
        <f t="shared" si="9"/>
        <v>369297426.28088617</v>
      </c>
      <c r="F19" s="284">
        <f t="shared" si="9"/>
        <v>382488790.24496853</v>
      </c>
      <c r="G19" s="284">
        <f t="shared" si="9"/>
        <v>395763496.89802635</v>
      </c>
      <c r="H19" s="284">
        <f t="shared" si="9"/>
        <v>409670859.91731137</v>
      </c>
      <c r="I19" s="284">
        <f t="shared" ref="I19:K19" si="10">+SUM(I7:I17)</f>
        <v>424252290.0765698</v>
      </c>
      <c r="J19" s="284">
        <f t="shared" si="10"/>
        <v>439327081.13579261</v>
      </c>
      <c r="K19" s="284">
        <f t="shared" si="10"/>
        <v>454011117.37767589</v>
      </c>
      <c r="L19" s="284">
        <f t="shared" ref="L19:M19" si="11">+SUM(L7:L17)</f>
        <v>468248116.5862689</v>
      </c>
      <c r="M19" s="284">
        <f t="shared" si="11"/>
        <v>478528363.77694213</v>
      </c>
    </row>
    <row r="21" spans="2:13">
      <c r="B21" s="198" t="s">
        <v>353</v>
      </c>
      <c r="D21" s="285">
        <f>+D19/U3</f>
        <v>2601.1981336877757</v>
      </c>
      <c r="E21" s="277">
        <f>+E19/Proyecciones!E29</f>
        <v>2663.8218925949745</v>
      </c>
      <c r="F21" s="277">
        <f>+F19/Proyecciones!F29</f>
        <v>2686.4401583746894</v>
      </c>
      <c r="G21" s="277">
        <f>+G19/Proyecciones!G29</f>
        <v>2698.7146666003591</v>
      </c>
      <c r="H21" s="277">
        <f>+H19/Proyecciones!H29</f>
        <v>2717.4602080234249</v>
      </c>
      <c r="I21" s="277">
        <f>+I19/Proyecciones!I29</f>
        <v>2737.5319750131102</v>
      </c>
      <c r="J21" s="277">
        <f>+J19/Proyecciones!J29</f>
        <v>2757.5910801185828</v>
      </c>
      <c r="K21" s="277">
        <f>+K19/Proyecciones!K29</f>
        <v>2802.5377615905918</v>
      </c>
      <c r="L21" s="277">
        <f>+L19/Proyecciones!L29</f>
        <v>2890.4204727547462</v>
      </c>
      <c r="M21" s="277">
        <f>+M19/Proyecciones!M29</f>
        <v>2953.8787887465564</v>
      </c>
    </row>
    <row r="25" spans="2:13">
      <c r="C25" s="277"/>
    </row>
    <row r="26" spans="2:13">
      <c r="C26" s="277"/>
    </row>
    <row r="27" spans="2:13">
      <c r="C27" s="277"/>
    </row>
    <row r="28" spans="2:13">
      <c r="C28" s="277"/>
    </row>
    <row r="29" spans="2:13">
      <c r="C29" s="277"/>
    </row>
  </sheetData>
  <phoneticPr fontId="42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7"/>
  <sheetViews>
    <sheetView showGridLines="0" zoomScale="80" zoomScaleNormal="80" workbookViewId="0">
      <selection activeCell="D13" sqref="D13"/>
    </sheetView>
  </sheetViews>
  <sheetFormatPr baseColWidth="10" defaultColWidth="11.42578125" defaultRowHeight="14.25"/>
  <cols>
    <col min="1" max="1" width="19.28515625" style="52" customWidth="1"/>
    <col min="2" max="2" width="11.42578125" style="52"/>
    <col min="3" max="3" width="16.140625" style="52" customWidth="1"/>
    <col min="4" max="4" width="19.85546875" style="52" bestFit="1" customWidth="1"/>
    <col min="5" max="5" width="21" style="52" customWidth="1"/>
    <col min="6" max="6" width="21" style="52" bestFit="1" customWidth="1"/>
    <col min="7" max="7" width="22.85546875" style="52" customWidth="1"/>
    <col min="8" max="8" width="21.28515625" style="52" customWidth="1"/>
    <col min="9" max="9" width="14" style="52" customWidth="1"/>
    <col min="10" max="10" width="11.42578125" style="52"/>
    <col min="11" max="11" width="14" style="52" customWidth="1"/>
    <col min="12" max="13" width="11.42578125" style="52"/>
    <col min="14" max="14" width="14" style="52" customWidth="1"/>
    <col min="15" max="15" width="11.42578125" style="52"/>
    <col min="16" max="16" width="14.7109375" style="52" customWidth="1"/>
    <col min="17" max="16384" width="11.42578125" style="52"/>
  </cols>
  <sheetData>
    <row r="1" spans="1:13" ht="15">
      <c r="A1" s="51" t="s">
        <v>268</v>
      </c>
      <c r="B1" s="160"/>
      <c r="C1" s="160"/>
      <c r="D1" s="160"/>
      <c r="E1" s="160"/>
      <c r="F1" s="160"/>
      <c r="G1" s="160"/>
      <c r="H1" s="160"/>
      <c r="I1" s="160"/>
    </row>
    <row r="2" spans="1:13" ht="33.75" customHeight="1">
      <c r="A2" s="224" t="s">
        <v>269</v>
      </c>
      <c r="B2" s="225"/>
      <c r="C2" s="160"/>
      <c r="D2" s="390" t="s">
        <v>270</v>
      </c>
      <c r="E2" s="391"/>
      <c r="F2" s="391"/>
      <c r="G2" s="391"/>
      <c r="H2" s="392"/>
    </row>
    <row r="3" spans="1:13" ht="15">
      <c r="A3" s="226"/>
      <c r="B3" s="227"/>
      <c r="C3" s="227"/>
      <c r="D3" s="228">
        <v>2022</v>
      </c>
      <c r="E3" s="228">
        <v>2023</v>
      </c>
      <c r="F3" s="228">
        <v>2024</v>
      </c>
      <c r="G3" s="228">
        <v>2025</v>
      </c>
      <c r="H3" s="228">
        <v>2026</v>
      </c>
      <c r="I3" s="228">
        <f>+H3+1</f>
        <v>2027</v>
      </c>
      <c r="J3" s="228">
        <f t="shared" ref="J3:M3" si="0">+I3+1</f>
        <v>2028</v>
      </c>
      <c r="K3" s="228">
        <f t="shared" si="0"/>
        <v>2029</v>
      </c>
      <c r="L3" s="228">
        <f t="shared" si="0"/>
        <v>2030</v>
      </c>
      <c r="M3" s="228">
        <f t="shared" si="0"/>
        <v>2031</v>
      </c>
    </row>
    <row r="4" spans="1:13">
      <c r="A4" s="229" t="s">
        <v>271</v>
      </c>
      <c r="B4" s="221"/>
      <c r="C4" s="221"/>
      <c r="D4" s="230">
        <v>-1</v>
      </c>
      <c r="E4" s="230">
        <v>-1</v>
      </c>
      <c r="F4" s="230">
        <v>1</v>
      </c>
      <c r="G4" s="230">
        <v>1</v>
      </c>
      <c r="H4" s="230">
        <v>1</v>
      </c>
      <c r="I4" s="230">
        <v>1</v>
      </c>
      <c r="J4" s="230">
        <v>1</v>
      </c>
      <c r="K4" s="230">
        <v>1</v>
      </c>
      <c r="L4" s="230">
        <v>1</v>
      </c>
      <c r="M4" s="230">
        <v>1</v>
      </c>
    </row>
    <row r="5" spans="1:13">
      <c r="A5" s="229" t="s">
        <v>272</v>
      </c>
      <c r="B5" s="221"/>
      <c r="C5" s="221"/>
      <c r="D5" s="230">
        <v>1</v>
      </c>
      <c r="E5" s="230">
        <v>1</v>
      </c>
      <c r="F5" s="230">
        <v>2</v>
      </c>
      <c r="G5" s="230">
        <v>2</v>
      </c>
      <c r="H5" s="230">
        <v>2</v>
      </c>
      <c r="I5" s="230">
        <v>2</v>
      </c>
      <c r="J5" s="230">
        <v>2</v>
      </c>
      <c r="K5" s="230">
        <v>2</v>
      </c>
      <c r="L5" s="230">
        <v>2</v>
      </c>
      <c r="M5" s="230">
        <v>2</v>
      </c>
    </row>
    <row r="6" spans="1:13">
      <c r="A6" s="229" t="s">
        <v>273</v>
      </c>
      <c r="B6" s="221"/>
      <c r="C6" s="221"/>
      <c r="D6" s="230">
        <v>-1</v>
      </c>
      <c r="E6" s="230">
        <v>-1</v>
      </c>
      <c r="F6" s="230">
        <v>-1</v>
      </c>
      <c r="G6" s="230">
        <v>-1</v>
      </c>
      <c r="H6" s="230">
        <v>-2</v>
      </c>
      <c r="I6" s="230">
        <v>-2</v>
      </c>
      <c r="J6" s="230">
        <v>-2</v>
      </c>
      <c r="K6" s="230">
        <v>-2</v>
      </c>
      <c r="L6" s="230">
        <v>-2</v>
      </c>
      <c r="M6" s="230">
        <v>-2</v>
      </c>
    </row>
    <row r="7" spans="1:13">
      <c r="A7" s="231" t="s">
        <v>274</v>
      </c>
      <c r="B7" s="221"/>
      <c r="C7" s="221"/>
      <c r="D7" s="230">
        <v>1</v>
      </c>
      <c r="E7" s="230">
        <v>1</v>
      </c>
      <c r="F7" s="230">
        <v>1</v>
      </c>
      <c r="G7" s="230">
        <v>1</v>
      </c>
      <c r="H7" s="230">
        <v>2</v>
      </c>
      <c r="I7" s="230">
        <v>2</v>
      </c>
      <c r="J7" s="230">
        <v>2</v>
      </c>
      <c r="K7" s="230">
        <v>2</v>
      </c>
      <c r="L7" s="230">
        <v>2</v>
      </c>
      <c r="M7" s="230">
        <v>2</v>
      </c>
    </row>
    <row r="8" spans="1:13">
      <c r="A8" s="229" t="s">
        <v>275</v>
      </c>
      <c r="B8" s="221"/>
      <c r="C8" s="221"/>
      <c r="D8" s="230">
        <v>1</v>
      </c>
      <c r="E8" s="230">
        <v>1</v>
      </c>
      <c r="F8" s="230">
        <v>1</v>
      </c>
      <c r="G8" s="230">
        <v>2</v>
      </c>
      <c r="H8" s="230">
        <v>2</v>
      </c>
      <c r="I8" s="230">
        <v>2</v>
      </c>
      <c r="J8" s="230">
        <v>2</v>
      </c>
      <c r="K8" s="230">
        <v>2</v>
      </c>
      <c r="L8" s="230">
        <v>2</v>
      </c>
      <c r="M8" s="230">
        <v>2</v>
      </c>
    </row>
    <row r="9" spans="1:13">
      <c r="A9" s="229" t="s">
        <v>276</v>
      </c>
      <c r="B9" s="221"/>
      <c r="C9" s="221"/>
      <c r="D9" s="230">
        <v>0</v>
      </c>
      <c r="E9" s="230">
        <v>0</v>
      </c>
      <c r="F9" s="230">
        <v>0</v>
      </c>
      <c r="G9" s="230">
        <v>0</v>
      </c>
      <c r="H9" s="230">
        <v>1</v>
      </c>
      <c r="I9" s="230">
        <v>1</v>
      </c>
      <c r="J9" s="230">
        <v>1</v>
      </c>
      <c r="K9" s="230">
        <v>1</v>
      </c>
      <c r="L9" s="230">
        <v>1</v>
      </c>
      <c r="M9" s="230">
        <v>1</v>
      </c>
    </row>
    <row r="10" spans="1:13" ht="15">
      <c r="A10" s="232" t="s">
        <v>277</v>
      </c>
      <c r="B10" s="233"/>
      <c r="C10" s="233"/>
      <c r="D10" s="234">
        <f>AVERAGE(D4:D9)/100</f>
        <v>1.6666666666666666E-3</v>
      </c>
      <c r="E10" s="234">
        <f t="shared" ref="E10:G10" si="1">AVERAGE(E4:E9)/100</f>
        <v>1.6666666666666666E-3</v>
      </c>
      <c r="F10" s="234">
        <f t="shared" si="1"/>
        <v>6.6666666666666662E-3</v>
      </c>
      <c r="G10" s="234">
        <f t="shared" si="1"/>
        <v>8.3333333333333332E-3</v>
      </c>
      <c r="H10" s="234">
        <f>AVERAGE(H4:H9)/100</f>
        <v>0.01</v>
      </c>
      <c r="I10" s="234">
        <f>AVERAGE(I4:I9)/100</f>
        <v>0.01</v>
      </c>
      <c r="J10" s="234">
        <f t="shared" ref="J10:M10" si="2">AVERAGE(J4:J9)/100</f>
        <v>0.01</v>
      </c>
      <c r="K10" s="234">
        <f t="shared" si="2"/>
        <v>0.01</v>
      </c>
      <c r="L10" s="234">
        <f t="shared" si="2"/>
        <v>0.01</v>
      </c>
      <c r="M10" s="234">
        <f t="shared" si="2"/>
        <v>0.01</v>
      </c>
    </row>
    <row r="11" spans="1:13" ht="16.5">
      <c r="A11" s="175" t="s">
        <v>379</v>
      </c>
      <c r="B11" s="212"/>
      <c r="C11" s="212"/>
      <c r="D11" s="235">
        <f>+Proyecciones!C22</f>
        <v>0.92292862494381589</v>
      </c>
      <c r="E11" s="235">
        <f>+D11-E10</f>
        <v>0.92126195827714918</v>
      </c>
      <c r="F11" s="235">
        <f t="shared" ref="F11:H11" si="3">+E11-F10</f>
        <v>0.91459529161048247</v>
      </c>
      <c r="G11" s="235">
        <f t="shared" si="3"/>
        <v>0.90626195827714917</v>
      </c>
      <c r="H11" s="235">
        <f t="shared" si="3"/>
        <v>0.89626195827714916</v>
      </c>
      <c r="I11" s="235">
        <f t="shared" ref="I11" si="4">+H11-I10</f>
        <v>0.88626195827714915</v>
      </c>
      <c r="J11" s="235">
        <f t="shared" ref="J11" si="5">+I11-J10</f>
        <v>0.87626195827714914</v>
      </c>
      <c r="K11" s="235">
        <f t="shared" ref="K11" si="6">+J11-K10</f>
        <v>0.86626195827714914</v>
      </c>
      <c r="L11" s="235">
        <f t="shared" ref="L11" si="7">+K11-L10</f>
        <v>0.85626195827714913</v>
      </c>
      <c r="M11" s="235">
        <f t="shared" ref="M11" si="8">+L11-M10</f>
        <v>0.84626195827714912</v>
      </c>
    </row>
    <row r="12" spans="1:13">
      <c r="A12" s="184" t="s">
        <v>278</v>
      </c>
      <c r="B12" s="221"/>
      <c r="C12" s="221"/>
      <c r="D12" s="236">
        <f>+Proyecciones!D149/Proyecciones!D150</f>
        <v>2.3725248695517065E-11</v>
      </c>
      <c r="E12" s="236">
        <f>+Proyecciones!E149/Proyecciones!E150</f>
        <v>1.722697543634904E-11</v>
      </c>
      <c r="F12" s="236">
        <f>+Proyecciones!F149/Proyecciones!F150</f>
        <v>1.2258048604359757E-11</v>
      </c>
      <c r="G12" s="236">
        <f>+Proyecciones!G149/Proyecciones!G150</f>
        <v>8.7728490637522226E-12</v>
      </c>
      <c r="H12" s="236">
        <f>+Proyecciones!H149/Proyecciones!H150</f>
        <v>6.2664575883453565E-12</v>
      </c>
      <c r="I12" s="236">
        <f>+Proyecciones!I149/Proyecciones!I150</f>
        <v>4.9582489850022304E-12</v>
      </c>
      <c r="J12" s="236">
        <f>+Proyecciones!J149/Proyecciones!J150</f>
        <v>4.0151923219295885E-12</v>
      </c>
      <c r="K12" s="236">
        <f>+Proyecciones!K149/Proyecciones!K150</f>
        <v>3.0459862155778476E-12</v>
      </c>
      <c r="L12" s="236">
        <f>+Proyecciones!L149/Proyecciones!L150</f>
        <v>2.0763103806259771E-12</v>
      </c>
      <c r="M12" s="236">
        <f>+Proyecciones!M149/Proyecciones!M150</f>
        <v>1.0816944869011923E-12</v>
      </c>
    </row>
    <row r="13" spans="1:13" ht="16.5">
      <c r="A13" s="175" t="s">
        <v>380</v>
      </c>
      <c r="B13" s="212"/>
      <c r="C13" s="212"/>
      <c r="D13" s="235">
        <f>+D11*(1+D12*(1-Proyecciones!D5))</f>
        <v>0.92292862495804873</v>
      </c>
      <c r="E13" s="235">
        <f>+E11*(1+E12*(1-Proyecciones!E5))</f>
        <v>0.92126195828746504</v>
      </c>
      <c r="F13" s="235">
        <f>+F11*(1+F12*(1-Proyecciones!F5))</f>
        <v>0.91459529161776965</v>
      </c>
      <c r="G13" s="235">
        <f>+G11*(1+G12*(1-Proyecciones!G5))</f>
        <v>0.90626195828231693</v>
      </c>
      <c r="H13" s="235">
        <f>+H11*(1+H12*(1-Proyecciones!H5))</f>
        <v>0.8962619582807998</v>
      </c>
      <c r="I13" s="235">
        <f>+I11*(1+I12*(1-Proyecciones!I5))</f>
        <v>0.88626195828000531</v>
      </c>
      <c r="J13" s="235">
        <f>+J11*(1+J12*(1-Proyecciones!J5))</f>
        <v>0.87626195827943609</v>
      </c>
      <c r="K13" s="235">
        <f>+K11*(1+K12*(1-Proyecciones!K5))</f>
        <v>0.86626195827886432</v>
      </c>
      <c r="L13" s="235">
        <f>+L11*(1+L12*(1-Proyecciones!L5))</f>
        <v>0.85626195827830476</v>
      </c>
      <c r="M13" s="235">
        <f>+M11*(1+M12*(1-Proyecciones!M5))</f>
        <v>0.84626195827774409</v>
      </c>
    </row>
    <row r="16" spans="1:13">
      <c r="A16" s="393" t="s">
        <v>279</v>
      </c>
      <c r="B16" s="393" t="s">
        <v>280</v>
      </c>
      <c r="C16" s="393" t="s">
        <v>281</v>
      </c>
      <c r="D16" s="393" t="s">
        <v>282</v>
      </c>
      <c r="E16" s="393" t="s">
        <v>283</v>
      </c>
      <c r="F16" s="393" t="s">
        <v>284</v>
      </c>
      <c r="G16" s="394" t="s">
        <v>285</v>
      </c>
    </row>
    <row r="17" spans="1:8">
      <c r="A17" s="393"/>
      <c r="B17" s="393"/>
      <c r="C17" s="393"/>
      <c r="D17" s="393"/>
      <c r="E17" s="393"/>
      <c r="F17" s="393"/>
      <c r="G17" s="394"/>
    </row>
    <row r="18" spans="1:8">
      <c r="A18" s="237">
        <v>2012</v>
      </c>
      <c r="B18" s="69">
        <v>2.971571978018946E-2</v>
      </c>
      <c r="C18" s="69">
        <v>1.7399999999999999E-2</v>
      </c>
      <c r="D18" s="69">
        <v>2.4399999999999998E-2</v>
      </c>
      <c r="E18" s="69">
        <v>0.03</v>
      </c>
      <c r="F18" s="69">
        <v>0.09</v>
      </c>
      <c r="G18" s="238">
        <v>3.9126357671612898E-2</v>
      </c>
    </row>
    <row r="19" spans="1:8">
      <c r="A19" s="239">
        <v>2013</v>
      </c>
      <c r="B19" s="240">
        <v>-9.104568794347262E-2</v>
      </c>
      <c r="C19" s="240">
        <v>1.4999999999999999E-2</v>
      </c>
      <c r="D19" s="240">
        <v>1.9400000000000001E-2</v>
      </c>
      <c r="E19" s="240">
        <v>3.3000000000000002E-2</v>
      </c>
      <c r="F19" s="240">
        <v>8.7999999999999995E-2</v>
      </c>
      <c r="G19" s="241">
        <v>5.1339935199564202E-2</v>
      </c>
    </row>
    <row r="20" spans="1:8">
      <c r="A20" s="237">
        <v>2014</v>
      </c>
      <c r="B20" s="69">
        <v>0.10746180452004755</v>
      </c>
      <c r="C20" s="69">
        <v>7.3000000000000001E-3</v>
      </c>
      <c r="D20" s="69">
        <v>3.6600000000000001E-2</v>
      </c>
      <c r="E20" s="69">
        <v>3.3000000000000002E-2</v>
      </c>
      <c r="F20" s="69">
        <v>8.3000000000000004E-2</v>
      </c>
      <c r="G20" s="238">
        <v>4.4990300011098598E-2</v>
      </c>
    </row>
    <row r="21" spans="1:8">
      <c r="A21" s="239">
        <v>2015</v>
      </c>
      <c r="B21" s="240">
        <v>1.2842996709792224E-2</v>
      </c>
      <c r="C21" s="240">
        <v>7.3000000000000001E-3</v>
      </c>
      <c r="D21" s="240">
        <v>6.7699999999999996E-2</v>
      </c>
      <c r="E21" s="240">
        <v>2.8500000000000001E-2</v>
      </c>
      <c r="F21" s="240">
        <v>8.5999999999999993E-2</v>
      </c>
      <c r="G21" s="241">
        <v>2.9559013752753698E-2</v>
      </c>
    </row>
    <row r="22" spans="1:8">
      <c r="A22" s="237">
        <v>2016</v>
      </c>
      <c r="B22" s="69">
        <v>6.9055046987477921E-3</v>
      </c>
      <c r="C22" s="69">
        <v>2.07E-2</v>
      </c>
      <c r="D22" s="69">
        <v>5.7500000000000002E-2</v>
      </c>
      <c r="E22" s="69">
        <v>2.98E-2</v>
      </c>
      <c r="F22" s="69">
        <v>9.5100000000000004E-2</v>
      </c>
      <c r="G22" s="238">
        <v>2.0873825016278297E-2</v>
      </c>
    </row>
    <row r="23" spans="1:8">
      <c r="A23" s="239">
        <v>2017</v>
      </c>
      <c r="B23" s="240">
        <v>2.8017162707789457E-2</v>
      </c>
      <c r="C23" s="240">
        <v>2.1100000000000001E-2</v>
      </c>
      <c r="D23" s="240">
        <v>4.0899999999999999E-2</v>
      </c>
      <c r="E23" s="240">
        <v>2.7099999999999999E-2</v>
      </c>
      <c r="F23" s="240">
        <v>8.4000000000000005E-2</v>
      </c>
      <c r="G23" s="241">
        <v>1.3593608678875799E-2</v>
      </c>
    </row>
    <row r="24" spans="1:8">
      <c r="A24" s="237">
        <v>2018</v>
      </c>
      <c r="B24" s="69">
        <v>-1.6692385713402633E-4</v>
      </c>
      <c r="C24" s="69">
        <v>1.9099999999999999E-2</v>
      </c>
      <c r="D24" s="69">
        <v>3.1800000000000002E-2</v>
      </c>
      <c r="E24" s="69">
        <v>2.1899999999999999E-2</v>
      </c>
      <c r="F24" s="69">
        <v>8.5999999999999993E-2</v>
      </c>
      <c r="G24" s="238">
        <v>2.5643242827770401E-2</v>
      </c>
    </row>
    <row r="25" spans="1:8">
      <c r="A25" s="239">
        <v>2019</v>
      </c>
      <c r="B25" s="240">
        <v>9.6356307415483927E-2</v>
      </c>
      <c r="C25" s="240">
        <v>2.29E-2</v>
      </c>
      <c r="D25" s="240">
        <v>3.7999999999999999E-2</v>
      </c>
      <c r="E25" s="240">
        <v>1.8800000000000001E-2</v>
      </c>
      <c r="F25" s="240">
        <v>7.0800000000000002E-2</v>
      </c>
      <c r="G25" s="241">
        <v>3.2811168045263003E-2</v>
      </c>
    </row>
    <row r="26" spans="1:8">
      <c r="A26" s="237">
        <v>2020</v>
      </c>
      <c r="B26" s="69">
        <v>0.1133189764661412</v>
      </c>
      <c r="C26" s="69">
        <v>1.3599999999999999E-2</v>
      </c>
      <c r="D26" s="69">
        <v>1.61E-2</v>
      </c>
      <c r="E26" s="69">
        <v>1.84E-2</v>
      </c>
      <c r="F26" s="69">
        <v>6.5600000000000006E-2</v>
      </c>
      <c r="G26" s="238">
        <v>-6.79575810693651E-2</v>
      </c>
    </row>
    <row r="27" spans="1:8">
      <c r="A27" s="242">
        <v>2021</v>
      </c>
      <c r="B27" s="243">
        <v>-4.4200000000000003E-2</v>
      </c>
      <c r="C27" s="243">
        <v>6.8099999999999994E-2</v>
      </c>
      <c r="D27" s="243">
        <v>5.62E-2</v>
      </c>
      <c r="E27" s="243">
        <v>1.8800000000000001E-2</v>
      </c>
      <c r="F27" s="243">
        <v>6.1199999999999997E-2</v>
      </c>
      <c r="G27" s="244">
        <v>9.8599999999999993E-2</v>
      </c>
      <c r="H27" s="52" t="s">
        <v>357</v>
      </c>
    </row>
    <row r="28" spans="1:8" ht="15">
      <c r="A28" s="245" t="s">
        <v>286</v>
      </c>
      <c r="B28" s="246" t="s">
        <v>287</v>
      </c>
    </row>
    <row r="29" spans="1:8" ht="15">
      <c r="A29" s="160"/>
      <c r="B29" s="182" t="s">
        <v>288</v>
      </c>
    </row>
    <row r="30" spans="1:8" ht="15">
      <c r="A30" s="247"/>
      <c r="B30" s="182" t="s">
        <v>358</v>
      </c>
    </row>
    <row r="31" spans="1:8" ht="15">
      <c r="A31" s="247"/>
      <c r="B31" s="51" t="s">
        <v>289</v>
      </c>
    </row>
    <row r="32" spans="1:8">
      <c r="A32" s="160"/>
    </row>
    <row r="35" spans="1:4" ht="16.5">
      <c r="A35" s="248" t="s">
        <v>381</v>
      </c>
      <c r="B35" s="328"/>
      <c r="C35" s="328"/>
      <c r="D35" s="249">
        <f>+C$11</f>
        <v>0</v>
      </c>
    </row>
    <row r="36" spans="1:4" ht="16.5">
      <c r="A36" s="180" t="s">
        <v>382</v>
      </c>
      <c r="B36" s="250"/>
      <c r="C36" s="250"/>
      <c r="D36" s="251">
        <f>AVERAGE(B18:B27)</f>
        <v>2.5920586049758491E-2</v>
      </c>
    </row>
    <row r="37" spans="1:4">
      <c r="A37" s="252" t="s">
        <v>290</v>
      </c>
      <c r="B37" s="253"/>
      <c r="C37" s="253"/>
      <c r="D37" s="251">
        <f>AVERAGE(C18:C27)</f>
        <v>2.1249999999999998E-2</v>
      </c>
    </row>
    <row r="38" spans="1:4" ht="15">
      <c r="A38" s="180" t="s">
        <v>383</v>
      </c>
      <c r="B38" s="250"/>
      <c r="C38" s="250"/>
      <c r="D38" s="251">
        <f>+(1+D36)/(1+D37)-1</f>
        <v>4.5734012727132178E-3</v>
      </c>
    </row>
    <row r="39" spans="1:4">
      <c r="A39" s="160"/>
      <c r="B39" s="160"/>
      <c r="C39" s="160"/>
      <c r="D39" s="254"/>
    </row>
    <row r="40" spans="1:4">
      <c r="A40" s="252" t="s">
        <v>291</v>
      </c>
      <c r="B40" s="253"/>
      <c r="C40" s="253"/>
      <c r="D40" s="251">
        <f>AVERAGE(D18:D27)</f>
        <v>3.8859999999999992E-2</v>
      </c>
    </row>
    <row r="41" spans="1:4" ht="15">
      <c r="A41" s="180" t="s">
        <v>384</v>
      </c>
      <c r="B41" s="250"/>
      <c r="C41" s="250"/>
      <c r="D41" s="251">
        <f>+(1+D38)*(1+D40)-1</f>
        <v>4.3611123646170702E-2</v>
      </c>
    </row>
    <row r="42" spans="1:4">
      <c r="A42" s="160"/>
      <c r="B42" s="160"/>
      <c r="C42" s="160"/>
      <c r="D42" s="160"/>
    </row>
    <row r="43" spans="1:4">
      <c r="A43" s="252" t="s">
        <v>292</v>
      </c>
      <c r="B43" s="253"/>
      <c r="C43" s="253"/>
      <c r="D43" s="251">
        <f>AVERAGE(E18:E27)</f>
        <v>2.5930000000000002E-2</v>
      </c>
    </row>
    <row r="44" spans="1:4">
      <c r="A44" s="160"/>
      <c r="B44" s="160"/>
      <c r="C44" s="160"/>
      <c r="D44" s="160"/>
    </row>
    <row r="45" spans="1:4" ht="16.5">
      <c r="A45" s="181" t="s">
        <v>385</v>
      </c>
      <c r="B45" s="165"/>
      <c r="C45" s="165"/>
      <c r="D45" s="255">
        <f>+D41+D43</f>
        <v>6.9541123646170711E-2</v>
      </c>
    </row>
    <row r="48" spans="1:4" ht="16.5">
      <c r="A48" s="248" t="s">
        <v>386</v>
      </c>
      <c r="B48" s="248"/>
      <c r="C48" s="248"/>
      <c r="D48" s="249">
        <f>+C$11</f>
        <v>0</v>
      </c>
    </row>
    <row r="49" spans="1:10" ht="28.5">
      <c r="A49" s="256" t="s">
        <v>80</v>
      </c>
      <c r="B49" s="221"/>
      <c r="C49" s="221"/>
      <c r="D49" s="255">
        <f>AVERAGE(F18:F27)</f>
        <v>8.097E-2</v>
      </c>
    </row>
    <row r="52" spans="1:10" ht="16.5">
      <c r="A52" s="248" t="s">
        <v>387</v>
      </c>
      <c r="B52" s="248"/>
      <c r="C52" s="248"/>
      <c r="D52" s="249">
        <f>+C$11</f>
        <v>0</v>
      </c>
    </row>
    <row r="53" spans="1:10">
      <c r="A53" s="184" t="s">
        <v>293</v>
      </c>
      <c r="B53" s="221"/>
      <c r="C53" s="221"/>
      <c r="D53" s="255">
        <v>0.04</v>
      </c>
    </row>
    <row r="57" spans="1:10" ht="15">
      <c r="A57" s="51" t="s">
        <v>295</v>
      </c>
      <c r="B57" s="160"/>
      <c r="C57" s="160"/>
      <c r="D57" s="160"/>
      <c r="E57" s="160"/>
      <c r="F57" s="160"/>
      <c r="G57" s="160"/>
      <c r="H57" s="160"/>
      <c r="I57" s="160"/>
      <c r="J57" s="160"/>
    </row>
    <row r="58" spans="1:10" ht="15">
      <c r="A58" s="224" t="s">
        <v>269</v>
      </c>
      <c r="B58" s="225"/>
      <c r="C58" s="160"/>
      <c r="D58" s="395" t="s">
        <v>296</v>
      </c>
      <c r="E58" s="396"/>
      <c r="F58" s="396"/>
      <c r="G58" s="396"/>
      <c r="H58" s="396"/>
    </row>
    <row r="59" spans="1:10" ht="15">
      <c r="A59" s="257" t="s">
        <v>174</v>
      </c>
      <c r="B59" s="227">
        <f t="shared" ref="B59:C59" si="9">+B$181</f>
        <v>0</v>
      </c>
      <c r="C59" s="227">
        <f t="shared" si="9"/>
        <v>0</v>
      </c>
      <c r="D59" s="228">
        <v>2022</v>
      </c>
      <c r="E59" s="228">
        <v>2023</v>
      </c>
      <c r="F59" s="228">
        <v>2024</v>
      </c>
      <c r="G59" s="228">
        <v>2025</v>
      </c>
      <c r="H59" s="228">
        <v>2026</v>
      </c>
    </row>
    <row r="60" spans="1:10">
      <c r="A60" s="229" t="s">
        <v>297</v>
      </c>
      <c r="B60" s="331"/>
      <c r="C60" s="331"/>
      <c r="D60" s="258">
        <v>3</v>
      </c>
      <c r="E60" s="258">
        <v>3</v>
      </c>
      <c r="F60" s="259">
        <v>3</v>
      </c>
      <c r="G60" s="259">
        <v>3</v>
      </c>
      <c r="H60" s="258">
        <v>3</v>
      </c>
      <c r="I60" s="260"/>
    </row>
    <row r="61" spans="1:10">
      <c r="A61" s="231" t="s">
        <v>298</v>
      </c>
      <c r="B61" s="331"/>
      <c r="C61" s="331"/>
      <c r="D61" s="258">
        <v>2</v>
      </c>
      <c r="E61" s="258">
        <v>2</v>
      </c>
      <c r="F61" s="258">
        <v>2</v>
      </c>
      <c r="G61" s="258">
        <v>2</v>
      </c>
      <c r="H61" s="258">
        <v>2</v>
      </c>
      <c r="I61" s="260"/>
    </row>
    <row r="62" spans="1:10">
      <c r="A62" s="231" t="s">
        <v>299</v>
      </c>
      <c r="B62" s="331"/>
      <c r="C62" s="331"/>
      <c r="D62" s="258">
        <v>1</v>
      </c>
      <c r="E62" s="258">
        <v>1</v>
      </c>
      <c r="F62" s="259">
        <v>1</v>
      </c>
      <c r="G62" s="259">
        <v>1</v>
      </c>
      <c r="H62" s="258">
        <v>1</v>
      </c>
      <c r="I62" s="260"/>
    </row>
    <row r="63" spans="1:10">
      <c r="A63" s="330" t="s">
        <v>300</v>
      </c>
      <c r="B63" s="332"/>
      <c r="C63" s="329"/>
      <c r="D63" s="258">
        <v>2</v>
      </c>
      <c r="E63" s="258">
        <v>2</v>
      </c>
      <c r="F63" s="259">
        <v>2</v>
      </c>
      <c r="G63" s="259">
        <v>2</v>
      </c>
      <c r="H63" s="258">
        <v>1</v>
      </c>
      <c r="I63" s="260"/>
    </row>
    <row r="64" spans="1:10">
      <c r="A64" s="231" t="s">
        <v>301</v>
      </c>
      <c r="B64" s="331"/>
      <c r="C64" s="331"/>
      <c r="D64" s="258">
        <v>2</v>
      </c>
      <c r="E64" s="258">
        <v>2</v>
      </c>
      <c r="F64" s="258">
        <v>2</v>
      </c>
      <c r="G64" s="258">
        <v>2</v>
      </c>
      <c r="H64" s="258">
        <v>2</v>
      </c>
      <c r="I64" s="260"/>
    </row>
    <row r="65" spans="1:16">
      <c r="A65" s="231" t="s">
        <v>302</v>
      </c>
      <c r="B65" s="331"/>
      <c r="C65" s="331"/>
      <c r="D65" s="258">
        <v>1</v>
      </c>
      <c r="E65" s="258">
        <v>1</v>
      </c>
      <c r="F65" s="258">
        <v>1</v>
      </c>
      <c r="G65" s="258">
        <v>1</v>
      </c>
      <c r="H65" s="258">
        <v>1</v>
      </c>
      <c r="I65" s="260"/>
    </row>
    <row r="66" spans="1:16">
      <c r="A66" s="231" t="s">
        <v>303</v>
      </c>
      <c r="B66" s="331"/>
      <c r="C66" s="331"/>
      <c r="D66" s="258">
        <f>VLOOKUP(D80,$K$78:$M$82,3)</f>
        <v>3</v>
      </c>
      <c r="E66" s="258">
        <f t="shared" ref="E66:H66" si="10">VLOOKUP(E80,$K$78:$M$82,3)</f>
        <v>2</v>
      </c>
      <c r="F66" s="258">
        <f t="shared" si="10"/>
        <v>2</v>
      </c>
      <c r="G66" s="258">
        <f t="shared" si="10"/>
        <v>2</v>
      </c>
      <c r="H66" s="258">
        <f t="shared" si="10"/>
        <v>2</v>
      </c>
      <c r="I66" s="260"/>
    </row>
    <row r="67" spans="1:16">
      <c r="A67" s="231" t="s">
        <v>304</v>
      </c>
      <c r="B67" s="331"/>
      <c r="C67" s="331"/>
      <c r="D67" s="258">
        <f>VLOOKUP(D81,$N$78:$P$82,3)</f>
        <v>0</v>
      </c>
      <c r="E67" s="258">
        <f t="shared" ref="E67:H67" si="11">VLOOKUP(E81,$N$78:$P$82,3)</f>
        <v>0</v>
      </c>
      <c r="F67" s="258">
        <f t="shared" si="11"/>
        <v>0</v>
      </c>
      <c r="G67" s="258">
        <f t="shared" si="11"/>
        <v>0</v>
      </c>
      <c r="H67" s="258">
        <f t="shared" si="11"/>
        <v>0</v>
      </c>
      <c r="I67" s="260"/>
    </row>
    <row r="68" spans="1:16">
      <c r="A68" s="231" t="s">
        <v>305</v>
      </c>
      <c r="B68" s="331"/>
      <c r="C68" s="331"/>
      <c r="D68" s="258">
        <v>1</v>
      </c>
      <c r="E68" s="258">
        <v>1</v>
      </c>
      <c r="F68" s="258">
        <v>1</v>
      </c>
      <c r="G68" s="258">
        <v>1</v>
      </c>
      <c r="H68" s="258">
        <v>1</v>
      </c>
      <c r="I68" s="260"/>
    </row>
    <row r="69" spans="1:16">
      <c r="A69" s="231" t="s">
        <v>306</v>
      </c>
      <c r="B69" s="331"/>
      <c r="C69" s="331"/>
      <c r="D69" s="258">
        <v>1</v>
      </c>
      <c r="E69" s="259">
        <v>1</v>
      </c>
      <c r="F69" s="259">
        <v>1</v>
      </c>
      <c r="G69" s="259">
        <v>1</v>
      </c>
      <c r="H69" s="259">
        <v>1</v>
      </c>
    </row>
    <row r="70" spans="1:16">
      <c r="A70" s="231" t="s">
        <v>307</v>
      </c>
      <c r="B70" s="331"/>
      <c r="C70" s="331"/>
      <c r="D70" s="259">
        <v>3</v>
      </c>
      <c r="E70" s="259">
        <v>3</v>
      </c>
      <c r="F70" s="258">
        <v>3</v>
      </c>
      <c r="G70" s="258">
        <v>2</v>
      </c>
      <c r="H70" s="258">
        <v>2</v>
      </c>
      <c r="I70" s="260"/>
    </row>
    <row r="71" spans="1:16">
      <c r="A71" s="231" t="s">
        <v>308</v>
      </c>
      <c r="B71" s="331"/>
      <c r="C71" s="331"/>
      <c r="D71" s="258">
        <v>3</v>
      </c>
      <c r="E71" s="258">
        <v>3</v>
      </c>
      <c r="F71" s="258">
        <v>3</v>
      </c>
      <c r="G71" s="258">
        <v>3</v>
      </c>
      <c r="H71" s="258">
        <v>3</v>
      </c>
      <c r="I71" s="260"/>
    </row>
    <row r="72" spans="1:16" ht="15">
      <c r="A72" s="224" t="s">
        <v>309</v>
      </c>
      <c r="B72" s="329"/>
      <c r="C72" s="331"/>
      <c r="D72" s="261">
        <f>SUM(D60:D71)</f>
        <v>22</v>
      </c>
      <c r="E72" s="261">
        <f>SUM(E60:E71)</f>
        <v>21</v>
      </c>
      <c r="F72" s="261">
        <f>SUM(F60:F71)</f>
        <v>21</v>
      </c>
      <c r="G72" s="261">
        <f>SUM(G60:G71)</f>
        <v>20</v>
      </c>
      <c r="H72" s="261">
        <f>SUM(H60:H71)</f>
        <v>19</v>
      </c>
      <c r="I72" s="262"/>
    </row>
    <row r="73" spans="1:16" ht="15">
      <c r="A73" s="263"/>
      <c r="B73" s="264"/>
      <c r="C73" s="160"/>
      <c r="D73" s="265"/>
      <c r="E73" s="266"/>
      <c r="F73" s="266"/>
      <c r="G73" s="266"/>
      <c r="H73" s="266"/>
      <c r="I73" s="267"/>
    </row>
    <row r="74" spans="1:16" ht="15">
      <c r="A74" s="175" t="s">
        <v>310</v>
      </c>
      <c r="B74" s="268"/>
      <c r="C74" s="268"/>
      <c r="D74" s="269">
        <f>D72/(4*COUNTA($A$60:$A$71))*$D$53-$D$53</f>
        <v>-2.1666666666666667E-2</v>
      </c>
      <c r="E74" s="269">
        <f>E72/(4*COUNTA($A$60:$A$71))*$D$53-$D$53</f>
        <v>-2.2499999999999999E-2</v>
      </c>
      <c r="F74" s="269">
        <f>F72/(4*COUNTA($A$60:$A$71))*$D$53-$D$53</f>
        <v>-2.2499999999999999E-2</v>
      </c>
      <c r="G74" s="269">
        <f>G72/(4*COUNTA($A$60:$A$71))*$D$53-$D$53</f>
        <v>-2.3333333333333334E-2</v>
      </c>
      <c r="H74" s="269">
        <f>H72/(4*COUNTA($A$60:$A$71))*$D$53-$D$53</f>
        <v>-2.416666666666667E-2</v>
      </c>
    </row>
    <row r="76" spans="1:16" ht="15">
      <c r="B76" s="217"/>
      <c r="C76" s="227">
        <v>2021</v>
      </c>
      <c r="D76" s="227">
        <v>2022</v>
      </c>
      <c r="E76" s="228">
        <v>2023</v>
      </c>
      <c r="F76" s="228">
        <v>2024</v>
      </c>
      <c r="G76" s="228">
        <v>2025</v>
      </c>
      <c r="H76" s="228">
        <v>2026</v>
      </c>
    </row>
    <row r="77" spans="1:16" ht="15">
      <c r="A77" s="184" t="s">
        <v>105</v>
      </c>
      <c r="B77" s="333"/>
      <c r="C77" s="270">
        <v>0</v>
      </c>
      <c r="D77" s="270">
        <f>+Proyecciones!D54</f>
        <v>404969119.91020817</v>
      </c>
      <c r="E77" s="270">
        <f>+Proyecciones!E54</f>
        <v>439277050.82928914</v>
      </c>
      <c r="F77" s="270">
        <f>+Proyecciones!F54</f>
        <v>466025069.73133534</v>
      </c>
      <c r="G77" s="270">
        <f>+Proyecciones!G54</f>
        <v>494886002.29979688</v>
      </c>
      <c r="H77" s="270">
        <f>+Proyecciones!H54</f>
        <v>524513837.48548114</v>
      </c>
      <c r="K77" s="388" t="s">
        <v>312</v>
      </c>
      <c r="L77" s="389"/>
      <c r="M77" s="389"/>
      <c r="N77" s="388" t="s">
        <v>313</v>
      </c>
      <c r="O77" s="389"/>
      <c r="P77" s="389"/>
    </row>
    <row r="78" spans="1:16">
      <c r="A78" s="184" t="s">
        <v>311</v>
      </c>
      <c r="B78" s="333"/>
      <c r="C78" s="270">
        <f>+Proyecciones!C65+Proyecciones!C64</f>
        <v>-114966159.3995662</v>
      </c>
      <c r="D78" s="270">
        <f>+Proyecciones!D65+Proyecciones!D64</f>
        <v>41175268.597184375</v>
      </c>
      <c r="E78" s="270">
        <f>+Proyecciones!E65+Proyecciones!E64</f>
        <v>56567255.547201045</v>
      </c>
      <c r="F78" s="270">
        <f>+Proyecciones!F65+Proyecciones!F64</f>
        <v>69593234.811290488</v>
      </c>
      <c r="G78" s="270">
        <f>+Proyecciones!G65+Proyecciones!G64</f>
        <v>84633408.718172774</v>
      </c>
      <c r="H78" s="270">
        <f>+Proyecciones!H65+Proyecciones!H64</f>
        <v>99790316.839453176</v>
      </c>
      <c r="K78" s="48">
        <v>-100</v>
      </c>
      <c r="L78" s="48">
        <v>0</v>
      </c>
      <c r="M78" s="48">
        <v>4</v>
      </c>
      <c r="N78" s="48">
        <v>-100</v>
      </c>
      <c r="O78" s="48">
        <v>0</v>
      </c>
      <c r="P78" s="48">
        <v>4</v>
      </c>
    </row>
    <row r="79" spans="1:16">
      <c r="A79" s="184" t="s">
        <v>112</v>
      </c>
      <c r="B79" s="333"/>
      <c r="C79" s="270">
        <f>+Proyecciones!C64</f>
        <v>1.5153062780216928E-4</v>
      </c>
      <c r="D79" s="270">
        <f>+Proyecciones!D64</f>
        <v>3.6367350672520624E-4</v>
      </c>
      <c r="E79" s="270">
        <f>+Proyecciones!E64</f>
        <v>3.4843869166067281E-4</v>
      </c>
      <c r="F79" s="270">
        <f>+Proyecciones!F64</f>
        <v>3.3041590543932971E-4</v>
      </c>
      <c r="G79" s="270">
        <f>+Proyecciones!G64</f>
        <v>3.0909494933948093E-4</v>
      </c>
      <c r="H79" s="270">
        <f>+Proyecciones!H64</f>
        <v>2.8387225827335974E-4</v>
      </c>
      <c r="K79" s="49">
        <f>+L78</f>
        <v>0</v>
      </c>
      <c r="L79" s="50">
        <v>1</v>
      </c>
      <c r="M79" s="48">
        <v>3</v>
      </c>
      <c r="N79" s="49">
        <f>+O78</f>
        <v>0</v>
      </c>
      <c r="O79" s="50">
        <v>2</v>
      </c>
      <c r="P79" s="48">
        <v>3</v>
      </c>
    </row>
    <row r="80" spans="1:16">
      <c r="A80" s="184" t="s">
        <v>303</v>
      </c>
      <c r="B80" s="333"/>
      <c r="C80" s="222"/>
      <c r="D80" s="271">
        <v>0</v>
      </c>
      <c r="E80" s="271">
        <f>(E78/D78-1)/(E77/D77-1)</f>
        <v>4.4125092307885208</v>
      </c>
      <c r="F80" s="271">
        <f t="shared" ref="F80:H80" si="12">(F78/E78-1)/(F77/E77-1)</f>
        <v>3.7817443550482661</v>
      </c>
      <c r="G80" s="271">
        <f t="shared" si="12"/>
        <v>3.4896731684335123</v>
      </c>
      <c r="H80" s="271">
        <f t="shared" si="12"/>
        <v>2.99139687080952</v>
      </c>
      <c r="K80" s="49">
        <f>+L79</f>
        <v>1</v>
      </c>
      <c r="L80" s="50">
        <v>5</v>
      </c>
      <c r="M80" s="48">
        <v>2</v>
      </c>
      <c r="N80" s="49">
        <f t="shared" ref="N80:N82" si="13">+O79</f>
        <v>2</v>
      </c>
      <c r="O80" s="50">
        <v>5</v>
      </c>
      <c r="P80" s="48">
        <v>2</v>
      </c>
    </row>
    <row r="81" spans="1:16">
      <c r="A81" s="184" t="s">
        <v>304</v>
      </c>
      <c r="B81" s="333"/>
      <c r="C81" s="222"/>
      <c r="D81" s="271">
        <f>D78/D79</f>
        <v>113220423912.53053</v>
      </c>
      <c r="E81" s="271">
        <f>E78/E79</f>
        <v>162344931550.50958</v>
      </c>
      <c r="F81" s="271">
        <f t="shared" ref="F81:H81" si="14">F78/F79</f>
        <v>210623137886.65073</v>
      </c>
      <c r="G81" s="271">
        <f t="shared" si="14"/>
        <v>273810390299.25839</v>
      </c>
      <c r="H81" s="271">
        <f t="shared" si="14"/>
        <v>351532472550.94</v>
      </c>
      <c r="K81" s="49">
        <f t="shared" ref="K81:K82" si="15">+L80</f>
        <v>5</v>
      </c>
      <c r="L81" s="50">
        <v>10</v>
      </c>
      <c r="M81" s="48">
        <v>1</v>
      </c>
      <c r="N81" s="49">
        <f t="shared" si="13"/>
        <v>5</v>
      </c>
      <c r="O81" s="50">
        <v>10</v>
      </c>
      <c r="P81" s="48">
        <v>1</v>
      </c>
    </row>
    <row r="82" spans="1:16">
      <c r="K82" s="49">
        <f t="shared" si="15"/>
        <v>10</v>
      </c>
      <c r="L82" s="50">
        <v>100</v>
      </c>
      <c r="M82" s="48">
        <v>0</v>
      </c>
      <c r="N82" s="49">
        <f t="shared" si="13"/>
        <v>10</v>
      </c>
      <c r="O82" s="50">
        <v>100</v>
      </c>
      <c r="P82" s="48">
        <v>0</v>
      </c>
    </row>
    <row r="84" spans="1:16" ht="15">
      <c r="A84" s="226"/>
      <c r="B84" s="227"/>
      <c r="C84" s="227">
        <v>2021</v>
      </c>
      <c r="D84" s="227">
        <v>2022</v>
      </c>
      <c r="E84" s="228">
        <v>2023</v>
      </c>
      <c r="F84" s="228">
        <v>2024</v>
      </c>
      <c r="G84" s="228">
        <v>2025</v>
      </c>
      <c r="H84" s="228">
        <v>2026</v>
      </c>
    </row>
    <row r="85" spans="1:16">
      <c r="A85" s="184" t="s">
        <v>314</v>
      </c>
      <c r="B85" s="221"/>
      <c r="C85" s="221"/>
      <c r="D85" s="272">
        <f>+$D$53</f>
        <v>0.04</v>
      </c>
      <c r="E85" s="272">
        <f t="shared" ref="E85:H85" si="16">+$D$53</f>
        <v>0.04</v>
      </c>
      <c r="F85" s="272">
        <f t="shared" si="16"/>
        <v>0.04</v>
      </c>
      <c r="G85" s="272">
        <f t="shared" si="16"/>
        <v>0.04</v>
      </c>
      <c r="H85" s="272">
        <f t="shared" si="16"/>
        <v>0.04</v>
      </c>
    </row>
    <row r="86" spans="1:16">
      <c r="A86" s="184" t="s">
        <v>315</v>
      </c>
      <c r="B86" s="221"/>
      <c r="C86" s="221"/>
      <c r="D86" s="272">
        <f>+D74</f>
        <v>-2.1666666666666667E-2</v>
      </c>
      <c r="E86" s="272">
        <f t="shared" ref="E86:H86" si="17">+E74</f>
        <v>-2.2499999999999999E-2</v>
      </c>
      <c r="F86" s="272">
        <f t="shared" si="17"/>
        <v>-2.2499999999999999E-2</v>
      </c>
      <c r="G86" s="272">
        <f t="shared" si="17"/>
        <v>-2.3333333333333334E-2</v>
      </c>
      <c r="H86" s="272">
        <f t="shared" si="17"/>
        <v>-2.416666666666667E-2</v>
      </c>
    </row>
    <row r="87" spans="1:16" ht="15">
      <c r="A87" s="175" t="s">
        <v>295</v>
      </c>
      <c r="B87" s="212"/>
      <c r="C87" s="212"/>
      <c r="D87" s="273">
        <f t="shared" ref="D87:H87" si="18">SUM(D85:D86)</f>
        <v>1.8333333333333333E-2</v>
      </c>
      <c r="E87" s="273">
        <f t="shared" si="18"/>
        <v>1.7500000000000002E-2</v>
      </c>
      <c r="F87" s="273">
        <f t="shared" si="18"/>
        <v>1.7500000000000002E-2</v>
      </c>
      <c r="G87" s="273">
        <f t="shared" si="18"/>
        <v>1.6666666666666666E-2</v>
      </c>
      <c r="H87" s="273">
        <f t="shared" si="18"/>
        <v>1.5833333333333331E-2</v>
      </c>
    </row>
  </sheetData>
  <mergeCells count="11">
    <mergeCell ref="K77:M77"/>
    <mergeCell ref="N77:P77"/>
    <mergeCell ref="D2:H2"/>
    <mergeCell ref="A16:A17"/>
    <mergeCell ref="B16:B17"/>
    <mergeCell ref="C16:C17"/>
    <mergeCell ref="D16:D17"/>
    <mergeCell ref="E16:E17"/>
    <mergeCell ref="F16:F17"/>
    <mergeCell ref="G16:G17"/>
    <mergeCell ref="D58:H58"/>
  </mergeCells>
  <conditionalFormatting sqref="D74:H74">
    <cfRule type="expression" dxfId="19" priority="1">
      <formula>D74&gt;$D$575</formula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5"/>
  <sheetViews>
    <sheetView showGridLines="0" topLeftCell="A33" zoomScale="70" zoomScaleNormal="70" workbookViewId="0">
      <selection activeCell="I46" sqref="I46:K47"/>
    </sheetView>
  </sheetViews>
  <sheetFormatPr baseColWidth="10" defaultColWidth="11.42578125" defaultRowHeight="14.25"/>
  <cols>
    <col min="1" max="1" width="24.42578125" style="52" bestFit="1" customWidth="1"/>
    <col min="2" max="2" width="25.7109375" style="52" bestFit="1" customWidth="1"/>
    <col min="3" max="3" width="17.28515625" style="52" bestFit="1" customWidth="1"/>
    <col min="4" max="4" width="3.28515625" style="52" customWidth="1"/>
    <col min="5" max="5" width="24.42578125" style="52" bestFit="1" customWidth="1"/>
    <col min="6" max="6" width="25.7109375" style="52" bestFit="1" customWidth="1"/>
    <col min="7" max="7" width="17.28515625" style="52" bestFit="1" customWidth="1"/>
    <col min="8" max="8" width="3.28515625" style="52" customWidth="1"/>
    <col min="9" max="9" width="24.42578125" style="52" bestFit="1" customWidth="1"/>
    <col min="10" max="10" width="25.7109375" style="52" bestFit="1" customWidth="1"/>
    <col min="11" max="11" width="17.28515625" style="52" bestFit="1" customWidth="1"/>
    <col min="12" max="16384" width="11.42578125" style="52"/>
  </cols>
  <sheetData>
    <row r="1" spans="1:11">
      <c r="A1" s="397" t="s">
        <v>421</v>
      </c>
      <c r="B1" s="397"/>
      <c r="C1" s="397"/>
      <c r="E1" s="397" t="s">
        <v>390</v>
      </c>
      <c r="F1" s="397"/>
      <c r="G1" s="397"/>
      <c r="I1" s="397" t="s">
        <v>411</v>
      </c>
      <c r="J1" s="397"/>
      <c r="K1" s="397"/>
    </row>
    <row r="2" spans="1:11">
      <c r="A2" s="397"/>
      <c r="B2" s="397"/>
      <c r="C2" s="397"/>
      <c r="E2" s="397"/>
      <c r="F2" s="397"/>
      <c r="G2" s="397"/>
      <c r="I2" s="397"/>
      <c r="J2" s="397"/>
      <c r="K2" s="397"/>
    </row>
    <row r="3" spans="1:11" ht="15">
      <c r="A3" s="291" t="s">
        <v>391</v>
      </c>
      <c r="B3" s="291" t="s">
        <v>360</v>
      </c>
      <c r="C3" s="291" t="s">
        <v>363</v>
      </c>
      <c r="E3" s="291" t="s">
        <v>391</v>
      </c>
      <c r="F3" s="291" t="s">
        <v>360</v>
      </c>
      <c r="G3" s="291" t="s">
        <v>363</v>
      </c>
      <c r="I3" s="291" t="s">
        <v>391</v>
      </c>
      <c r="J3" s="291" t="s">
        <v>360</v>
      </c>
      <c r="K3" s="291" t="s">
        <v>363</v>
      </c>
    </row>
    <row r="4" spans="1:11">
      <c r="A4" s="201" t="s">
        <v>392</v>
      </c>
      <c r="B4" s="201" t="s">
        <v>345</v>
      </c>
      <c r="C4" s="203">
        <v>68000000</v>
      </c>
      <c r="E4" s="201" t="s">
        <v>392</v>
      </c>
      <c r="F4" s="201" t="s">
        <v>345</v>
      </c>
      <c r="G4" s="203">
        <v>68000000</v>
      </c>
      <c r="I4" s="201" t="s">
        <v>392</v>
      </c>
      <c r="J4" s="201" t="s">
        <v>345</v>
      </c>
      <c r="K4" s="203">
        <v>68000000</v>
      </c>
    </row>
    <row r="5" spans="1:11">
      <c r="A5" s="201" t="s">
        <v>392</v>
      </c>
      <c r="B5" s="201" t="s">
        <v>356</v>
      </c>
      <c r="C5" s="203">
        <v>390000000</v>
      </c>
      <c r="E5" s="201" t="s">
        <v>392</v>
      </c>
      <c r="F5" s="201" t="s">
        <v>356</v>
      </c>
      <c r="G5" s="203">
        <v>390000000</v>
      </c>
      <c r="I5" s="201" t="s">
        <v>392</v>
      </c>
      <c r="J5" s="201" t="s">
        <v>356</v>
      </c>
      <c r="K5" s="203">
        <v>390000000</v>
      </c>
    </row>
    <row r="6" spans="1:11">
      <c r="A6" s="201" t="s">
        <v>392</v>
      </c>
      <c r="B6" s="201" t="s">
        <v>344</v>
      </c>
      <c r="C6" s="203">
        <v>120000000</v>
      </c>
      <c r="E6" s="201" t="s">
        <v>392</v>
      </c>
      <c r="F6" s="201" t="s">
        <v>344</v>
      </c>
      <c r="G6" s="203">
        <v>120000000</v>
      </c>
      <c r="I6" s="201" t="s">
        <v>392</v>
      </c>
      <c r="J6" s="201" t="s">
        <v>344</v>
      </c>
      <c r="K6" s="203">
        <v>120000000</v>
      </c>
    </row>
    <row r="7" spans="1:11">
      <c r="A7" s="222" t="s">
        <v>393</v>
      </c>
      <c r="B7" s="201" t="s">
        <v>355</v>
      </c>
      <c r="C7" s="295">
        <v>0</v>
      </c>
      <c r="E7" s="222" t="s">
        <v>393</v>
      </c>
      <c r="F7" s="201" t="s">
        <v>355</v>
      </c>
      <c r="G7" s="295">
        <v>0</v>
      </c>
      <c r="I7" s="222" t="s">
        <v>393</v>
      </c>
      <c r="J7" s="201" t="s">
        <v>355</v>
      </c>
      <c r="K7" s="295">
        <v>0</v>
      </c>
    </row>
    <row r="8" spans="1:11">
      <c r="A8" s="222" t="s">
        <v>393</v>
      </c>
      <c r="B8" s="201" t="s">
        <v>53</v>
      </c>
      <c r="C8" s="295">
        <v>66666.666666666701</v>
      </c>
      <c r="E8" s="222" t="s">
        <v>393</v>
      </c>
      <c r="F8" s="201" t="s">
        <v>53</v>
      </c>
      <c r="G8" s="295">
        <v>66666.666666666701</v>
      </c>
      <c r="I8" s="222" t="s">
        <v>393</v>
      </c>
      <c r="J8" s="201" t="s">
        <v>53</v>
      </c>
      <c r="K8" s="295">
        <v>66666.666666666701</v>
      </c>
    </row>
    <row r="9" spans="1:11">
      <c r="A9" s="222" t="s">
        <v>394</v>
      </c>
      <c r="B9" s="201" t="s">
        <v>64</v>
      </c>
      <c r="C9" s="296">
        <v>0.01</v>
      </c>
      <c r="E9" s="222" t="s">
        <v>394</v>
      </c>
      <c r="F9" s="201" t="s">
        <v>64</v>
      </c>
      <c r="G9" s="296">
        <v>0.5</v>
      </c>
      <c r="I9" s="222" t="s">
        <v>394</v>
      </c>
      <c r="J9" s="201" t="s">
        <v>64</v>
      </c>
      <c r="K9" s="296">
        <v>0.99</v>
      </c>
    </row>
    <row r="10" spans="1:11">
      <c r="A10" s="222" t="s">
        <v>395</v>
      </c>
      <c r="B10" s="201" t="s">
        <v>388</v>
      </c>
      <c r="C10" s="71">
        <v>2650</v>
      </c>
      <c r="E10" s="222" t="s">
        <v>395</v>
      </c>
      <c r="F10" s="201" t="s">
        <v>388</v>
      </c>
      <c r="G10" s="71">
        <v>2650</v>
      </c>
      <c r="I10" s="222" t="s">
        <v>395</v>
      </c>
      <c r="J10" s="201" t="s">
        <v>388</v>
      </c>
      <c r="K10" s="71">
        <v>2650</v>
      </c>
    </row>
    <row r="12" spans="1:11" ht="14.25" customHeight="1">
      <c r="A12" s="397" t="s">
        <v>422</v>
      </c>
      <c r="B12" s="397"/>
      <c r="C12" s="397"/>
      <c r="E12" s="397" t="s">
        <v>396</v>
      </c>
      <c r="F12" s="397"/>
      <c r="G12" s="397"/>
      <c r="I12" s="397" t="s">
        <v>412</v>
      </c>
      <c r="J12" s="397"/>
      <c r="K12" s="397"/>
    </row>
    <row r="13" spans="1:11">
      <c r="A13" s="397"/>
      <c r="B13" s="397"/>
      <c r="C13" s="397"/>
      <c r="E13" s="397"/>
      <c r="F13" s="397"/>
      <c r="G13" s="397"/>
      <c r="I13" s="397"/>
      <c r="J13" s="397"/>
      <c r="K13" s="397"/>
    </row>
    <row r="14" spans="1:11" ht="15">
      <c r="A14" s="291" t="s">
        <v>391</v>
      </c>
      <c r="B14" s="291" t="s">
        <v>360</v>
      </c>
      <c r="C14" s="291" t="s">
        <v>363</v>
      </c>
      <c r="E14" s="291" t="s">
        <v>391</v>
      </c>
      <c r="F14" s="291" t="s">
        <v>360</v>
      </c>
      <c r="G14" s="291" t="s">
        <v>363</v>
      </c>
      <c r="I14" s="291" t="s">
        <v>391</v>
      </c>
      <c r="J14" s="291" t="s">
        <v>360</v>
      </c>
      <c r="K14" s="291" t="s">
        <v>363</v>
      </c>
    </row>
    <row r="15" spans="1:11">
      <c r="A15" s="201" t="s">
        <v>392</v>
      </c>
      <c r="B15" s="201" t="s">
        <v>345</v>
      </c>
      <c r="C15" s="203">
        <v>68000000</v>
      </c>
      <c r="E15" s="201" t="s">
        <v>392</v>
      </c>
      <c r="F15" s="201" t="s">
        <v>345</v>
      </c>
      <c r="G15" s="203">
        <v>68000000</v>
      </c>
      <c r="I15" s="201" t="s">
        <v>392</v>
      </c>
      <c r="J15" s="201" t="s">
        <v>345</v>
      </c>
      <c r="K15" s="203">
        <v>68000000</v>
      </c>
    </row>
    <row r="16" spans="1:11">
      <c r="A16" s="201" t="s">
        <v>392</v>
      </c>
      <c r="B16" s="201" t="s">
        <v>356</v>
      </c>
      <c r="C16" s="203">
        <v>390000000</v>
      </c>
      <c r="E16" s="201" t="s">
        <v>392</v>
      </c>
      <c r="F16" s="201" t="s">
        <v>356</v>
      </c>
      <c r="G16" s="203">
        <v>390000000</v>
      </c>
      <c r="I16" s="201" t="s">
        <v>392</v>
      </c>
      <c r="J16" s="201" t="s">
        <v>356</v>
      </c>
      <c r="K16" s="203">
        <v>390000000</v>
      </c>
    </row>
    <row r="17" spans="1:11">
      <c r="A17" s="201" t="s">
        <v>392</v>
      </c>
      <c r="B17" s="201" t="s">
        <v>344</v>
      </c>
      <c r="C17" s="203">
        <v>120000000</v>
      </c>
      <c r="E17" s="201" t="s">
        <v>392</v>
      </c>
      <c r="F17" s="201" t="s">
        <v>344</v>
      </c>
      <c r="G17" s="203">
        <v>120000000</v>
      </c>
      <c r="I17" s="201" t="s">
        <v>392</v>
      </c>
      <c r="J17" s="201" t="s">
        <v>344</v>
      </c>
      <c r="K17" s="203">
        <v>120000000</v>
      </c>
    </row>
    <row r="18" spans="1:11">
      <c r="A18" s="222" t="s">
        <v>393</v>
      </c>
      <c r="B18" s="201" t="s">
        <v>355</v>
      </c>
      <c r="C18" s="295">
        <v>0</v>
      </c>
      <c r="E18" s="222" t="s">
        <v>393</v>
      </c>
      <c r="F18" s="201" t="s">
        <v>355</v>
      </c>
      <c r="G18" s="295">
        <v>0</v>
      </c>
      <c r="I18" s="222" t="s">
        <v>393</v>
      </c>
      <c r="J18" s="201" t="s">
        <v>355</v>
      </c>
      <c r="K18" s="295">
        <v>0</v>
      </c>
    </row>
    <row r="19" spans="1:11">
      <c r="A19" s="222" t="s">
        <v>393</v>
      </c>
      <c r="B19" s="201" t="s">
        <v>53</v>
      </c>
      <c r="C19" s="295">
        <v>66666.666666666701</v>
      </c>
      <c r="E19" s="222" t="s">
        <v>393</v>
      </c>
      <c r="F19" s="201" t="s">
        <v>53</v>
      </c>
      <c r="G19" s="295">
        <v>66666.666666666701</v>
      </c>
      <c r="I19" s="222" t="s">
        <v>393</v>
      </c>
      <c r="J19" s="201" t="s">
        <v>53</v>
      </c>
      <c r="K19" s="295">
        <v>66666.666666666701</v>
      </c>
    </row>
    <row r="20" spans="1:11">
      <c r="A20" s="222" t="s">
        <v>394</v>
      </c>
      <c r="B20" s="201" t="s">
        <v>64</v>
      </c>
      <c r="C20" s="296">
        <v>0.01</v>
      </c>
      <c r="E20" s="222" t="s">
        <v>394</v>
      </c>
      <c r="F20" s="201" t="s">
        <v>64</v>
      </c>
      <c r="G20" s="296">
        <v>0.5</v>
      </c>
      <c r="I20" s="222" t="s">
        <v>394</v>
      </c>
      <c r="J20" s="201" t="s">
        <v>64</v>
      </c>
      <c r="K20" s="296">
        <v>0.99</v>
      </c>
    </row>
    <row r="21" spans="1:11">
      <c r="A21" s="222" t="s">
        <v>395</v>
      </c>
      <c r="B21" s="201" t="s">
        <v>415</v>
      </c>
      <c r="C21" s="71">
        <v>3000</v>
      </c>
      <c r="E21" s="222" t="s">
        <v>395</v>
      </c>
      <c r="F21" s="201" t="s">
        <v>388</v>
      </c>
      <c r="G21" s="71">
        <v>3000</v>
      </c>
      <c r="I21" s="222" t="s">
        <v>395</v>
      </c>
      <c r="J21" s="201" t="s">
        <v>388</v>
      </c>
      <c r="K21" s="71">
        <v>3000</v>
      </c>
    </row>
    <row r="23" spans="1:11">
      <c r="A23" s="397" t="s">
        <v>410</v>
      </c>
      <c r="B23" s="397"/>
      <c r="C23" s="397"/>
      <c r="E23" s="397" t="s">
        <v>397</v>
      </c>
      <c r="F23" s="397"/>
      <c r="G23" s="397"/>
      <c r="I23" s="397" t="s">
        <v>413</v>
      </c>
      <c r="J23" s="397"/>
      <c r="K23" s="397"/>
    </row>
    <row r="24" spans="1:11">
      <c r="A24" s="397"/>
      <c r="B24" s="397"/>
      <c r="C24" s="397"/>
      <c r="E24" s="397"/>
      <c r="F24" s="397"/>
      <c r="G24" s="397"/>
      <c r="I24" s="397"/>
      <c r="J24" s="397"/>
      <c r="K24" s="397"/>
    </row>
    <row r="25" spans="1:11" ht="15">
      <c r="A25" s="291" t="s">
        <v>391</v>
      </c>
      <c r="B25" s="291" t="s">
        <v>360</v>
      </c>
      <c r="C25" s="291" t="s">
        <v>363</v>
      </c>
      <c r="E25" s="291" t="s">
        <v>391</v>
      </c>
      <c r="F25" s="291" t="s">
        <v>360</v>
      </c>
      <c r="G25" s="291" t="s">
        <v>363</v>
      </c>
      <c r="I25" s="291" t="s">
        <v>391</v>
      </c>
      <c r="J25" s="291" t="s">
        <v>360</v>
      </c>
      <c r="K25" s="291" t="s">
        <v>363</v>
      </c>
    </row>
    <row r="26" spans="1:11">
      <c r="A26" s="201" t="s">
        <v>392</v>
      </c>
      <c r="B26" s="201" t="s">
        <v>345</v>
      </c>
      <c r="C26" s="203">
        <v>0</v>
      </c>
      <c r="E26" s="201" t="s">
        <v>392</v>
      </c>
      <c r="F26" s="201" t="s">
        <v>345</v>
      </c>
      <c r="G26" s="203">
        <v>0</v>
      </c>
      <c r="I26" s="201" t="s">
        <v>392</v>
      </c>
      <c r="J26" s="201" t="s">
        <v>345</v>
      </c>
      <c r="K26" s="203">
        <v>0</v>
      </c>
    </row>
    <row r="27" spans="1:11">
      <c r="A27" s="201" t="s">
        <v>392</v>
      </c>
      <c r="B27" s="201" t="s">
        <v>356</v>
      </c>
      <c r="C27" s="203">
        <v>0</v>
      </c>
      <c r="E27" s="201" t="s">
        <v>392</v>
      </c>
      <c r="F27" s="201" t="s">
        <v>356</v>
      </c>
      <c r="G27" s="203">
        <v>0</v>
      </c>
      <c r="I27" s="201" t="s">
        <v>392</v>
      </c>
      <c r="J27" s="201" t="s">
        <v>356</v>
      </c>
      <c r="K27" s="203">
        <v>0</v>
      </c>
    </row>
    <row r="28" spans="1:11">
      <c r="A28" s="201" t="s">
        <v>392</v>
      </c>
      <c r="B28" s="201" t="s">
        <v>344</v>
      </c>
      <c r="C28" s="203">
        <v>0</v>
      </c>
      <c r="E28" s="201" t="s">
        <v>392</v>
      </c>
      <c r="F28" s="201" t="s">
        <v>344</v>
      </c>
      <c r="G28" s="203">
        <v>0</v>
      </c>
      <c r="I28" s="201" t="s">
        <v>392</v>
      </c>
      <c r="J28" s="201" t="s">
        <v>344</v>
      </c>
      <c r="K28" s="203">
        <v>0</v>
      </c>
    </row>
    <row r="29" spans="1:11">
      <c r="A29" s="222" t="s">
        <v>393</v>
      </c>
      <c r="B29" s="201" t="s">
        <v>355</v>
      </c>
      <c r="C29" s="295">
        <v>8000000</v>
      </c>
      <c r="E29" s="222" t="s">
        <v>393</v>
      </c>
      <c r="F29" s="201" t="s">
        <v>355</v>
      </c>
      <c r="G29" s="295">
        <v>8000000</v>
      </c>
      <c r="I29" s="222" t="s">
        <v>393</v>
      </c>
      <c r="J29" s="201" t="s">
        <v>355</v>
      </c>
      <c r="K29" s="295">
        <v>8000000</v>
      </c>
    </row>
    <row r="30" spans="1:11">
      <c r="A30" s="222" t="s">
        <v>393</v>
      </c>
      <c r="B30" s="201" t="s">
        <v>53</v>
      </c>
      <c r="C30" s="295">
        <v>0</v>
      </c>
      <c r="E30" s="222" t="s">
        <v>393</v>
      </c>
      <c r="F30" s="201" t="s">
        <v>53</v>
      </c>
      <c r="G30" s="295">
        <v>0</v>
      </c>
      <c r="I30" s="222" t="s">
        <v>393</v>
      </c>
      <c r="J30" s="201" t="s">
        <v>53</v>
      </c>
      <c r="K30" s="295">
        <v>0</v>
      </c>
    </row>
    <row r="31" spans="1:11">
      <c r="A31" s="222" t="s">
        <v>394</v>
      </c>
      <c r="B31" s="201" t="s">
        <v>64</v>
      </c>
      <c r="C31" s="296">
        <v>0.01</v>
      </c>
      <c r="E31" s="222" t="s">
        <v>394</v>
      </c>
      <c r="F31" s="201" t="s">
        <v>64</v>
      </c>
      <c r="G31" s="296">
        <v>0.5</v>
      </c>
      <c r="I31" s="222" t="s">
        <v>394</v>
      </c>
      <c r="J31" s="201" t="s">
        <v>64</v>
      </c>
      <c r="K31" s="296">
        <v>0.99</v>
      </c>
    </row>
    <row r="32" spans="1:11">
      <c r="A32" s="222" t="s">
        <v>395</v>
      </c>
      <c r="B32" s="201" t="s">
        <v>388</v>
      </c>
      <c r="C32" s="71">
        <v>2650</v>
      </c>
      <c r="E32" s="222" t="s">
        <v>395</v>
      </c>
      <c r="F32" s="201" t="s">
        <v>388</v>
      </c>
      <c r="G32" s="71">
        <v>2650</v>
      </c>
      <c r="I32" s="222" t="s">
        <v>395</v>
      </c>
      <c r="J32" s="201" t="s">
        <v>388</v>
      </c>
      <c r="K32" s="71">
        <v>2650</v>
      </c>
    </row>
    <row r="34" spans="1:11">
      <c r="A34" s="397" t="s">
        <v>423</v>
      </c>
      <c r="B34" s="397"/>
      <c r="C34" s="397"/>
      <c r="E34" s="397" t="s">
        <v>398</v>
      </c>
      <c r="F34" s="397"/>
      <c r="G34" s="397"/>
      <c r="I34" s="397" t="s">
        <v>414</v>
      </c>
      <c r="J34" s="397"/>
      <c r="K34" s="397"/>
    </row>
    <row r="35" spans="1:11">
      <c r="A35" s="397"/>
      <c r="B35" s="397"/>
      <c r="C35" s="397"/>
      <c r="E35" s="397"/>
      <c r="F35" s="397"/>
      <c r="G35" s="397"/>
      <c r="I35" s="397"/>
      <c r="J35" s="397"/>
      <c r="K35" s="397"/>
    </row>
    <row r="36" spans="1:11" ht="15">
      <c r="A36" s="291" t="s">
        <v>391</v>
      </c>
      <c r="B36" s="291" t="s">
        <v>360</v>
      </c>
      <c r="C36" s="291" t="s">
        <v>363</v>
      </c>
      <c r="E36" s="291" t="s">
        <v>391</v>
      </c>
      <c r="F36" s="291" t="s">
        <v>360</v>
      </c>
      <c r="G36" s="291" t="s">
        <v>363</v>
      </c>
      <c r="I36" s="291" t="s">
        <v>391</v>
      </c>
      <c r="J36" s="291" t="s">
        <v>360</v>
      </c>
      <c r="K36" s="291" t="s">
        <v>363</v>
      </c>
    </row>
    <row r="37" spans="1:11">
      <c r="A37" s="201" t="s">
        <v>392</v>
      </c>
      <c r="B37" s="201" t="s">
        <v>345</v>
      </c>
      <c r="C37" s="203">
        <v>0</v>
      </c>
      <c r="E37" s="201" t="s">
        <v>392</v>
      </c>
      <c r="F37" s="201" t="s">
        <v>345</v>
      </c>
      <c r="G37" s="203">
        <v>0</v>
      </c>
      <c r="I37" s="201" t="s">
        <v>392</v>
      </c>
      <c r="J37" s="201" t="s">
        <v>345</v>
      </c>
      <c r="K37" s="203">
        <v>0</v>
      </c>
    </row>
    <row r="38" spans="1:11">
      <c r="A38" s="201" t="s">
        <v>392</v>
      </c>
      <c r="B38" s="201" t="s">
        <v>356</v>
      </c>
      <c r="C38" s="203">
        <v>0</v>
      </c>
      <c r="E38" s="201" t="s">
        <v>392</v>
      </c>
      <c r="F38" s="201" t="s">
        <v>356</v>
      </c>
      <c r="G38" s="203">
        <v>0</v>
      </c>
      <c r="I38" s="201" t="s">
        <v>392</v>
      </c>
      <c r="J38" s="201" t="s">
        <v>356</v>
      </c>
      <c r="K38" s="203">
        <v>0</v>
      </c>
    </row>
    <row r="39" spans="1:11">
      <c r="A39" s="201" t="s">
        <v>392</v>
      </c>
      <c r="B39" s="201" t="s">
        <v>344</v>
      </c>
      <c r="C39" s="203">
        <v>0</v>
      </c>
      <c r="E39" s="201" t="s">
        <v>392</v>
      </c>
      <c r="F39" s="201" t="s">
        <v>344</v>
      </c>
      <c r="G39" s="203">
        <v>0</v>
      </c>
      <c r="I39" s="201" t="s">
        <v>392</v>
      </c>
      <c r="J39" s="201" t="s">
        <v>344</v>
      </c>
      <c r="K39" s="203">
        <v>0</v>
      </c>
    </row>
    <row r="40" spans="1:11">
      <c r="A40" s="222" t="s">
        <v>393</v>
      </c>
      <c r="B40" s="201" t="s">
        <v>355</v>
      </c>
      <c r="C40" s="295">
        <v>8000000</v>
      </c>
      <c r="E40" s="222" t="s">
        <v>393</v>
      </c>
      <c r="F40" s="201" t="s">
        <v>355</v>
      </c>
      <c r="G40" s="295">
        <v>8000000</v>
      </c>
      <c r="I40" s="222" t="s">
        <v>393</v>
      </c>
      <c r="J40" s="201" t="s">
        <v>355</v>
      </c>
      <c r="K40" s="295">
        <v>8000000</v>
      </c>
    </row>
    <row r="41" spans="1:11">
      <c r="A41" s="222" t="s">
        <v>393</v>
      </c>
      <c r="B41" s="201" t="s">
        <v>53</v>
      </c>
      <c r="C41" s="295">
        <v>0</v>
      </c>
      <c r="E41" s="222" t="s">
        <v>393</v>
      </c>
      <c r="F41" s="201" t="s">
        <v>53</v>
      </c>
      <c r="G41" s="295">
        <v>0</v>
      </c>
      <c r="I41" s="222" t="s">
        <v>393</v>
      </c>
      <c r="J41" s="201" t="s">
        <v>53</v>
      </c>
      <c r="K41" s="295">
        <v>0</v>
      </c>
    </row>
    <row r="42" spans="1:11">
      <c r="A42" s="222" t="s">
        <v>394</v>
      </c>
      <c r="B42" s="201" t="s">
        <v>64</v>
      </c>
      <c r="C42" s="296">
        <v>0.01</v>
      </c>
      <c r="E42" s="222" t="s">
        <v>394</v>
      </c>
      <c r="F42" s="201" t="s">
        <v>64</v>
      </c>
      <c r="G42" s="296">
        <v>0.5</v>
      </c>
      <c r="I42" s="222" t="s">
        <v>394</v>
      </c>
      <c r="J42" s="201" t="s">
        <v>64</v>
      </c>
      <c r="K42" s="296">
        <v>0.99</v>
      </c>
    </row>
    <row r="43" spans="1:11">
      <c r="A43" s="222" t="s">
        <v>395</v>
      </c>
      <c r="B43" s="201" t="s">
        <v>415</v>
      </c>
      <c r="C43" s="71">
        <v>3000</v>
      </c>
      <c r="E43" s="222" t="s">
        <v>395</v>
      </c>
      <c r="F43" s="201" t="s">
        <v>388</v>
      </c>
      <c r="G43" s="71">
        <v>3000</v>
      </c>
      <c r="I43" s="222" t="s">
        <v>395</v>
      </c>
      <c r="J43" s="201" t="s">
        <v>388</v>
      </c>
      <c r="K43" s="71">
        <v>3000</v>
      </c>
    </row>
    <row r="45" spans="1:11">
      <c r="B45" s="52" t="s">
        <v>432</v>
      </c>
      <c r="F45" s="52" t="s">
        <v>434</v>
      </c>
      <c r="J45" s="52" t="s">
        <v>436</v>
      </c>
    </row>
    <row r="46" spans="1:11" ht="14.25" customHeight="1">
      <c r="A46" s="397" t="s">
        <v>437</v>
      </c>
      <c r="B46" s="397"/>
      <c r="C46" s="397"/>
      <c r="E46" s="397" t="s">
        <v>438</v>
      </c>
      <c r="F46" s="397"/>
      <c r="G46" s="397"/>
      <c r="I46" s="397" t="s">
        <v>439</v>
      </c>
      <c r="J46" s="397"/>
      <c r="K46" s="397"/>
    </row>
    <row r="47" spans="1:11">
      <c r="A47" s="397"/>
      <c r="B47" s="397"/>
      <c r="C47" s="397"/>
      <c r="E47" s="397"/>
      <c r="F47" s="397"/>
      <c r="G47" s="397"/>
      <c r="I47" s="397"/>
      <c r="J47" s="397"/>
      <c r="K47" s="397"/>
    </row>
    <row r="48" spans="1:11" ht="15">
      <c r="A48" s="322" t="s">
        <v>391</v>
      </c>
      <c r="B48" s="322" t="s">
        <v>360</v>
      </c>
      <c r="C48" s="322" t="s">
        <v>363</v>
      </c>
      <c r="E48" s="322" t="s">
        <v>391</v>
      </c>
      <c r="F48" s="322" t="s">
        <v>360</v>
      </c>
      <c r="G48" s="322" t="s">
        <v>363</v>
      </c>
      <c r="I48" s="322" t="s">
        <v>391</v>
      </c>
      <c r="J48" s="322" t="s">
        <v>360</v>
      </c>
      <c r="K48" s="322" t="s">
        <v>363</v>
      </c>
    </row>
    <row r="49" spans="1:11">
      <c r="A49" s="201" t="s">
        <v>392</v>
      </c>
      <c r="B49" s="201" t="s">
        <v>345</v>
      </c>
      <c r="C49" s="203">
        <v>0</v>
      </c>
      <c r="E49" s="201" t="s">
        <v>392</v>
      </c>
      <c r="F49" s="201" t="s">
        <v>345</v>
      </c>
      <c r="G49" s="203">
        <v>68000000</v>
      </c>
      <c r="I49" s="201" t="s">
        <v>392</v>
      </c>
      <c r="J49" s="201" t="s">
        <v>345</v>
      </c>
      <c r="K49" s="203">
        <v>0</v>
      </c>
    </row>
    <row r="50" spans="1:11">
      <c r="A50" s="201" t="s">
        <v>392</v>
      </c>
      <c r="B50" s="201" t="s">
        <v>356</v>
      </c>
      <c r="C50" s="203">
        <v>390000000</v>
      </c>
      <c r="E50" s="201" t="s">
        <v>392</v>
      </c>
      <c r="F50" s="201" t="s">
        <v>356</v>
      </c>
      <c r="G50" s="203">
        <v>0</v>
      </c>
      <c r="I50" s="201" t="s">
        <v>392</v>
      </c>
      <c r="J50" s="201" t="s">
        <v>356</v>
      </c>
      <c r="K50" s="203">
        <v>0</v>
      </c>
    </row>
    <row r="51" spans="1:11">
      <c r="A51" s="201" t="s">
        <v>392</v>
      </c>
      <c r="B51" s="201" t="s">
        <v>344</v>
      </c>
      <c r="C51" s="203">
        <v>0</v>
      </c>
      <c r="E51" s="201" t="s">
        <v>392</v>
      </c>
      <c r="F51" s="201" t="s">
        <v>344</v>
      </c>
      <c r="G51" s="203">
        <v>120000000</v>
      </c>
      <c r="I51" s="201" t="s">
        <v>392</v>
      </c>
      <c r="J51" s="201" t="s">
        <v>344</v>
      </c>
      <c r="K51" s="203">
        <v>0</v>
      </c>
    </row>
    <row r="52" spans="1:11">
      <c r="A52" s="222" t="s">
        <v>393</v>
      </c>
      <c r="B52" s="201" t="s">
        <v>433</v>
      </c>
      <c r="C52" s="295">
        <v>3000000</v>
      </c>
      <c r="E52" s="222" t="s">
        <v>393</v>
      </c>
      <c r="F52" s="201" t="s">
        <v>435</v>
      </c>
      <c r="G52" s="295">
        <v>5000000</v>
      </c>
      <c r="I52" s="222" t="s">
        <v>393</v>
      </c>
      <c r="J52" s="201" t="s">
        <v>355</v>
      </c>
      <c r="K52" s="295">
        <v>8000000</v>
      </c>
    </row>
    <row r="53" spans="1:11">
      <c r="A53" s="222" t="s">
        <v>393</v>
      </c>
      <c r="B53" s="201" t="s">
        <v>53</v>
      </c>
      <c r="C53" s="295">
        <v>66666.666666666701</v>
      </c>
      <c r="E53" s="222" t="s">
        <v>393</v>
      </c>
      <c r="F53" s="201" t="s">
        <v>53</v>
      </c>
      <c r="G53" s="295">
        <v>0</v>
      </c>
      <c r="I53" s="222" t="s">
        <v>393</v>
      </c>
      <c r="J53" s="201" t="s">
        <v>53</v>
      </c>
      <c r="K53" s="295">
        <v>0</v>
      </c>
    </row>
    <row r="54" spans="1:11">
      <c r="A54" s="222" t="s">
        <v>394</v>
      </c>
      <c r="B54" s="201" t="s">
        <v>64</v>
      </c>
      <c r="C54" s="296">
        <v>0</v>
      </c>
      <c r="E54" s="222" t="s">
        <v>394</v>
      </c>
      <c r="F54" s="201" t="s">
        <v>64</v>
      </c>
      <c r="G54" s="296">
        <v>0</v>
      </c>
      <c r="I54" s="222" t="s">
        <v>394</v>
      </c>
      <c r="J54" s="201" t="s">
        <v>64</v>
      </c>
      <c r="K54" s="296">
        <v>0</v>
      </c>
    </row>
    <row r="55" spans="1:11">
      <c r="A55" s="222" t="s">
        <v>395</v>
      </c>
      <c r="B55" s="201" t="s">
        <v>388</v>
      </c>
      <c r="C55" s="71">
        <v>2650</v>
      </c>
      <c r="E55" s="222" t="s">
        <v>395</v>
      </c>
      <c r="F55" s="201" t="s">
        <v>415</v>
      </c>
      <c r="G55" s="71">
        <v>3000</v>
      </c>
      <c r="I55" s="222" t="s">
        <v>395</v>
      </c>
      <c r="J55" s="201" t="s">
        <v>415</v>
      </c>
      <c r="K55" s="71">
        <v>3000</v>
      </c>
    </row>
  </sheetData>
  <mergeCells count="15">
    <mergeCell ref="A46:C47"/>
    <mergeCell ref="E46:G47"/>
    <mergeCell ref="I46:K47"/>
    <mergeCell ref="A1:C2"/>
    <mergeCell ref="E1:G2"/>
    <mergeCell ref="I1:K2"/>
    <mergeCell ref="A12:C13"/>
    <mergeCell ref="E12:G13"/>
    <mergeCell ref="I12:K13"/>
    <mergeCell ref="A23:C24"/>
    <mergeCell ref="E23:G24"/>
    <mergeCell ref="I23:K24"/>
    <mergeCell ref="A34:C35"/>
    <mergeCell ref="E34:G35"/>
    <mergeCell ref="I34:K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P4"/>
  <sheetViews>
    <sheetView topLeftCell="BB1" workbookViewId="0">
      <selection activeCell="BP4" sqref="BP4"/>
    </sheetView>
  </sheetViews>
  <sheetFormatPr baseColWidth="10" defaultRowHeight="15"/>
  <sheetData>
    <row r="1" spans="1:68" ht="48">
      <c r="A1" s="38" t="s">
        <v>251</v>
      </c>
      <c r="B1" s="39" t="s">
        <v>252</v>
      </c>
      <c r="C1" s="40">
        <v>237.25122333349299</v>
      </c>
      <c r="D1" s="40">
        <v>246.416361983885</v>
      </c>
      <c r="E1" s="40">
        <v>239.92571338542101</v>
      </c>
      <c r="F1" s="40">
        <v>249.406701307357</v>
      </c>
      <c r="G1" s="40">
        <v>250.25269896840999</v>
      </c>
      <c r="H1" s="40">
        <v>253.59900021988699</v>
      </c>
      <c r="I1" s="40">
        <v>255.58727399194399</v>
      </c>
      <c r="J1" s="40">
        <v>255.56102681975901</v>
      </c>
      <c r="K1" s="40">
        <v>274.904700215172</v>
      </c>
      <c r="L1" s="40">
        <v>268.63415511251901</v>
      </c>
      <c r="M1" s="40">
        <v>253.74925804309601</v>
      </c>
      <c r="N1" s="40">
        <v>255.71188662921199</v>
      </c>
      <c r="O1" s="40">
        <v>253.400378853642</v>
      </c>
      <c r="P1" s="40">
        <v>251.317475339982</v>
      </c>
      <c r="Q1" s="40">
        <v>267.09446657807098</v>
      </c>
      <c r="R1" s="40">
        <v>297.18767922830398</v>
      </c>
      <c r="S1" s="40">
        <v>260.86287761570298</v>
      </c>
      <c r="T1" s="40">
        <v>265.75221012975902</v>
      </c>
      <c r="U1" s="40">
        <v>271.26073781831099</v>
      </c>
      <c r="V1" s="40">
        <v>284.12417443622701</v>
      </c>
      <c r="W1" s="40">
        <v>279.85326777476001</v>
      </c>
      <c r="X1" s="40">
        <v>286.14075691351002</v>
      </c>
      <c r="Y1" s="40">
        <v>291.48868915632897</v>
      </c>
      <c r="Z1" s="40">
        <v>273.517286155401</v>
      </c>
      <c r="AA1" s="40">
        <v>284.37616641493702</v>
      </c>
      <c r="AB1" s="40">
        <v>286.56343598761703</v>
      </c>
      <c r="AC1" s="40">
        <v>307.45038759256602</v>
      </c>
      <c r="AD1" s="40">
        <v>283.61001000488</v>
      </c>
      <c r="AE1" s="40">
        <v>305.40305464692898</v>
      </c>
      <c r="AF1" s="40">
        <v>297.39272636828201</v>
      </c>
      <c r="AG1" s="40">
        <v>281.871028343121</v>
      </c>
      <c r="AH1" s="40">
        <v>300.33319064166898</v>
      </c>
      <c r="AI1" s="40">
        <v>305.49472152677902</v>
      </c>
      <c r="AJ1" s="40">
        <v>320.154285520001</v>
      </c>
      <c r="AK1" s="40">
        <v>302.02268816744902</v>
      </c>
      <c r="AL1" s="40">
        <v>293.32830478577199</v>
      </c>
      <c r="AM1" s="40">
        <v>303.947313593388</v>
      </c>
      <c r="AN1" s="40">
        <v>306.72505182733897</v>
      </c>
      <c r="AO1" s="40">
        <v>323.820612633569</v>
      </c>
      <c r="AP1" s="40">
        <v>326.50702194570403</v>
      </c>
      <c r="AQ1" s="40">
        <v>325.24504045226797</v>
      </c>
      <c r="AR1" s="40">
        <v>318.91738979081202</v>
      </c>
      <c r="AS1" s="40">
        <v>331.60067987027998</v>
      </c>
      <c r="AT1" s="40">
        <v>337.23688988663997</v>
      </c>
      <c r="AU1" s="40">
        <v>339.03503236983101</v>
      </c>
      <c r="AV1" s="40">
        <v>328.34619819348399</v>
      </c>
      <c r="AW1" s="40">
        <v>310.39482861162099</v>
      </c>
      <c r="AX1" s="40">
        <v>311.22394082506497</v>
      </c>
      <c r="AY1" s="40">
        <v>351.961021253306</v>
      </c>
      <c r="AZ1" s="40">
        <v>344.07823383597099</v>
      </c>
      <c r="BA1" s="40">
        <v>361.096978602268</v>
      </c>
      <c r="BB1" s="40">
        <v>368.86376630845501</v>
      </c>
      <c r="BC1" s="40">
        <v>357.70901090879698</v>
      </c>
      <c r="BD1" s="40">
        <v>370.42299189434198</v>
      </c>
      <c r="BE1" s="40">
        <v>371.00926479582398</v>
      </c>
      <c r="BF1" s="40">
        <v>362.85873240103803</v>
      </c>
      <c r="BG1" s="40">
        <v>349.68142062020502</v>
      </c>
      <c r="BH1" s="40">
        <v>346.558767501229</v>
      </c>
      <c r="BI1" s="40">
        <v>338.45829800700699</v>
      </c>
      <c r="BJ1" s="40">
        <v>331.301513871559</v>
      </c>
      <c r="BK1" s="40">
        <v>332.20813397209901</v>
      </c>
      <c r="BL1" s="40">
        <v>227.09955051666199</v>
      </c>
      <c r="BM1" s="40">
        <v>300.07591933351898</v>
      </c>
      <c r="BN1" s="40">
        <v>308.26316228773601</v>
      </c>
      <c r="BO1" s="41">
        <v>339.04424787226401</v>
      </c>
    </row>
    <row r="2" spans="1:68">
      <c r="A2" s="38"/>
      <c r="B2" s="39"/>
      <c r="D2" s="46">
        <f>+D1/C1-1</f>
        <v>3.8630522201813955E-2</v>
      </c>
      <c r="E2" s="46">
        <f t="shared" ref="E2:BO2" si="0">+E1/D1-1</f>
        <v>-2.6340168916577311E-2</v>
      </c>
      <c r="F2" s="46">
        <f t="shared" si="0"/>
        <v>3.9516347740125468E-2</v>
      </c>
      <c r="G2" s="46">
        <f t="shared" si="0"/>
        <v>3.3920406172665007E-3</v>
      </c>
      <c r="H2" s="46">
        <f t="shared" si="0"/>
        <v>1.3371688957885874E-2</v>
      </c>
      <c r="I2" s="46">
        <f t="shared" si="0"/>
        <v>7.8402271709787641E-3</v>
      </c>
      <c r="J2" s="46">
        <f t="shared" si="0"/>
        <v>-1.0269358006376184E-4</v>
      </c>
      <c r="K2" s="46">
        <f t="shared" si="0"/>
        <v>7.5691014534292167E-2</v>
      </c>
      <c r="L2" s="46">
        <f t="shared" si="0"/>
        <v>-2.2809886836219762E-2</v>
      </c>
      <c r="M2" s="46">
        <f t="shared" si="0"/>
        <v>-5.5409547840960083E-2</v>
      </c>
      <c r="N2" s="46">
        <f t="shared" si="0"/>
        <v>7.7345195065856576E-3</v>
      </c>
      <c r="O2" s="46">
        <f t="shared" si="0"/>
        <v>-9.0395006897810992E-3</v>
      </c>
      <c r="P2" s="46">
        <f t="shared" si="0"/>
        <v>-8.2198121529369894E-3</v>
      </c>
      <c r="Q2" s="46">
        <f t="shared" si="0"/>
        <v>6.277713563987497E-2</v>
      </c>
      <c r="R2" s="46">
        <f t="shared" si="0"/>
        <v>0.11266879855572309</v>
      </c>
      <c r="S2" s="46">
        <f t="shared" si="0"/>
        <v>-0.12222849112360323</v>
      </c>
      <c r="T2" s="46">
        <f t="shared" si="0"/>
        <v>1.8742921793797329E-2</v>
      </c>
      <c r="U2" s="46">
        <f t="shared" si="0"/>
        <v>2.072805974355707E-2</v>
      </c>
      <c r="V2" s="46">
        <f t="shared" si="0"/>
        <v>4.7420930582780851E-2</v>
      </c>
      <c r="W2" s="46">
        <f t="shared" si="0"/>
        <v>-1.5031831310875043E-2</v>
      </c>
      <c r="X2" s="46">
        <f t="shared" si="0"/>
        <v>2.2467092089882179E-2</v>
      </c>
      <c r="Y2" s="46">
        <f t="shared" si="0"/>
        <v>1.8689865437224062E-2</v>
      </c>
      <c r="Z2" s="46">
        <f t="shared" si="0"/>
        <v>-6.1653860576695307E-2</v>
      </c>
      <c r="AA2" s="46">
        <f t="shared" si="0"/>
        <v>3.9700892079509886E-2</v>
      </c>
      <c r="AB2" s="46">
        <f t="shared" si="0"/>
        <v>7.6914658505120581E-3</v>
      </c>
      <c r="AC2" s="46">
        <f t="shared" si="0"/>
        <v>7.2887706461795654E-2</v>
      </c>
      <c r="AD2" s="46">
        <f t="shared" si="0"/>
        <v>-7.7542193959694528E-2</v>
      </c>
      <c r="AE2" s="46">
        <f t="shared" si="0"/>
        <v>7.6841591880604021E-2</v>
      </c>
      <c r="AF2" s="46">
        <f t="shared" si="0"/>
        <v>-2.6228710409945233E-2</v>
      </c>
      <c r="AG2" s="46">
        <f t="shared" si="0"/>
        <v>-5.2192594670050663E-2</v>
      </c>
      <c r="AH2" s="46">
        <f t="shared" si="0"/>
        <v>6.549861618298003E-2</v>
      </c>
      <c r="AI2" s="46">
        <f t="shared" si="0"/>
        <v>1.7186015551868605E-2</v>
      </c>
      <c r="AJ2" s="46">
        <f t="shared" si="0"/>
        <v>4.7986308633934716E-2</v>
      </c>
      <c r="AK2" s="46">
        <f t="shared" si="0"/>
        <v>-5.6633936113340666E-2</v>
      </c>
      <c r="AL2" s="46">
        <f t="shared" si="0"/>
        <v>-2.8787186268789955E-2</v>
      </c>
      <c r="AM2" s="46">
        <f t="shared" si="0"/>
        <v>3.6201786988717233E-2</v>
      </c>
      <c r="AN2" s="46">
        <f t="shared" si="0"/>
        <v>9.138880686627715E-3</v>
      </c>
      <c r="AO2" s="46">
        <f t="shared" si="0"/>
        <v>5.5735782598721029E-2</v>
      </c>
      <c r="AP2" s="46">
        <f t="shared" si="0"/>
        <v>8.295979957195998E-3</v>
      </c>
      <c r="AQ2" s="46">
        <f t="shared" si="0"/>
        <v>-3.8650975587468661E-3</v>
      </c>
      <c r="AR2" s="46">
        <f t="shared" si="0"/>
        <v>-1.9455025825012018E-2</v>
      </c>
      <c r="AS2" s="46">
        <f t="shared" si="0"/>
        <v>3.9769829070115392E-2</v>
      </c>
      <c r="AT2" s="46">
        <f t="shared" si="0"/>
        <v>1.6996979676172197E-2</v>
      </c>
      <c r="AU2" s="46">
        <f t="shared" si="0"/>
        <v>5.3319863191583217E-3</v>
      </c>
      <c r="AV2" s="46">
        <f t="shared" si="0"/>
        <v>-3.1527226262232588E-2</v>
      </c>
      <c r="AW2" s="46">
        <f t="shared" si="0"/>
        <v>-5.4672079898073989E-2</v>
      </c>
      <c r="AX2" s="46">
        <f t="shared" si="0"/>
        <v>2.6711534375509771E-3</v>
      </c>
      <c r="AY2" s="46">
        <f t="shared" si="0"/>
        <v>0.13089314504612237</v>
      </c>
      <c r="AZ2" s="46">
        <f t="shared" si="0"/>
        <v>-2.2396762542809423E-2</v>
      </c>
      <c r="BA2" s="46">
        <f t="shared" si="0"/>
        <v>4.9461846442777846E-2</v>
      </c>
      <c r="BB2" s="46">
        <f t="shared" si="0"/>
        <v>2.1508869268999753E-2</v>
      </c>
      <c r="BC2" s="46">
        <f t="shared" si="0"/>
        <v>-3.0240854262519434E-2</v>
      </c>
      <c r="BD2" s="46">
        <f t="shared" si="0"/>
        <v>3.5542803222216257E-2</v>
      </c>
      <c r="BE2" s="46">
        <f t="shared" si="0"/>
        <v>1.5827119652691568E-3</v>
      </c>
      <c r="BF2" s="46">
        <f t="shared" si="0"/>
        <v>-2.1968541403599162E-2</v>
      </c>
      <c r="BG2" s="46">
        <f t="shared" si="0"/>
        <v>-3.6315267083800506E-2</v>
      </c>
      <c r="BH2" s="46">
        <f t="shared" si="0"/>
        <v>-8.9299943744154398E-3</v>
      </c>
      <c r="BI2" s="46">
        <f t="shared" si="0"/>
        <v>-2.3374014031237289E-2</v>
      </c>
      <c r="BJ2" s="46">
        <f t="shared" si="0"/>
        <v>-2.114524648262528E-2</v>
      </c>
      <c r="BK2" s="46">
        <f t="shared" si="0"/>
        <v>2.7365407720156831E-3</v>
      </c>
      <c r="BL2" s="46">
        <f t="shared" si="0"/>
        <v>-0.3163937685651752</v>
      </c>
      <c r="BM2" s="46">
        <f t="shared" si="0"/>
        <v>0.3213408773854125</v>
      </c>
      <c r="BN2" s="46">
        <f t="shared" si="0"/>
        <v>2.7283905261046071E-2</v>
      </c>
      <c r="BO2" s="46">
        <f t="shared" si="0"/>
        <v>9.9853272626187595E-2</v>
      </c>
      <c r="BP2" s="47">
        <f>+AVERAGE(D2:BO2)</f>
        <v>8.2704034249612216E-3</v>
      </c>
    </row>
    <row r="3" spans="1:68" ht="36">
      <c r="A3" s="44"/>
      <c r="B3" s="45" t="s">
        <v>253</v>
      </c>
      <c r="C3" s="42">
        <v>126478.273301277</v>
      </c>
      <c r="D3" s="42">
        <v>128606.18581300099</v>
      </c>
      <c r="E3" s="42">
        <v>128681.22254297401</v>
      </c>
      <c r="F3" s="42">
        <v>131087.31845299501</v>
      </c>
      <c r="G3" s="42">
        <v>133886.40646419299</v>
      </c>
      <c r="H3" s="42">
        <v>136231.659011223</v>
      </c>
      <c r="I3" s="42">
        <v>138560.55799539099</v>
      </c>
      <c r="J3" s="42">
        <v>140756.376529192</v>
      </c>
      <c r="K3" s="42">
        <v>143192.54857192599</v>
      </c>
      <c r="L3" s="42">
        <v>145337.66764162001</v>
      </c>
      <c r="M3" s="42">
        <v>148040.796288699</v>
      </c>
      <c r="N3" s="42">
        <v>149885.98749775501</v>
      </c>
      <c r="O3" s="42">
        <v>150535.87967627001</v>
      </c>
      <c r="P3" s="42">
        <v>151494.52458724301</v>
      </c>
      <c r="Q3" s="42">
        <v>153179.07373810199</v>
      </c>
      <c r="R3" s="42">
        <v>150503.521998385</v>
      </c>
      <c r="S3" s="42">
        <v>151092.290857602</v>
      </c>
      <c r="T3" s="42">
        <v>152688.53110436699</v>
      </c>
      <c r="U3" s="42">
        <v>153797.27553108201</v>
      </c>
      <c r="V3" s="42">
        <v>155037.902506949</v>
      </c>
      <c r="W3" s="42">
        <v>157020.89032277599</v>
      </c>
      <c r="X3" s="42">
        <v>158934.12652008299</v>
      </c>
      <c r="Y3" s="42">
        <v>160394.98653177699</v>
      </c>
      <c r="Z3" s="42">
        <v>163800.996625364</v>
      </c>
      <c r="AA3" s="42">
        <v>167032.01428220901</v>
      </c>
      <c r="AB3" s="42">
        <v>169774.87573068801</v>
      </c>
      <c r="AC3" s="42">
        <v>173123.474138591</v>
      </c>
      <c r="AD3" s="42">
        <v>174697.63584851101</v>
      </c>
      <c r="AE3" s="42">
        <v>175963.06475740901</v>
      </c>
      <c r="AF3" s="42">
        <v>178164.81974338999</v>
      </c>
      <c r="AG3" s="42">
        <v>177764.278681631</v>
      </c>
      <c r="AH3" s="42">
        <v>179522.83681756901</v>
      </c>
      <c r="AI3" s="42">
        <v>182590.76268173099</v>
      </c>
      <c r="AJ3" s="42">
        <v>186575.446318979</v>
      </c>
      <c r="AK3" s="42">
        <v>188248.91842098901</v>
      </c>
      <c r="AL3" s="42">
        <v>190523.87257830001</v>
      </c>
      <c r="AM3" s="42">
        <v>193171.893701761</v>
      </c>
      <c r="AN3" s="42">
        <v>194221.16954987001</v>
      </c>
      <c r="AO3" s="42">
        <v>196068.02960946099</v>
      </c>
      <c r="AP3" s="42">
        <v>198127.907138907</v>
      </c>
      <c r="AQ3" s="42">
        <v>199457.05649255301</v>
      </c>
      <c r="AR3" s="42">
        <v>200597.781238111</v>
      </c>
      <c r="AS3" s="42">
        <v>202994.892195764</v>
      </c>
      <c r="AT3" s="42">
        <v>201642.270073572</v>
      </c>
      <c r="AU3" s="42">
        <v>203859.605227755</v>
      </c>
      <c r="AV3" s="42">
        <v>204762.670335473</v>
      </c>
      <c r="AW3" s="42">
        <v>205982.96834549401</v>
      </c>
      <c r="AX3" s="42">
        <v>206883.75609127799</v>
      </c>
      <c r="AY3" s="42">
        <v>206486.87828924501</v>
      </c>
      <c r="AZ3" s="42">
        <v>207902.218680652</v>
      </c>
      <c r="BA3" s="42">
        <v>208672.08376419899</v>
      </c>
      <c r="BB3" s="42">
        <v>209594.81926590399</v>
      </c>
      <c r="BC3" s="42">
        <v>211065.40596793999</v>
      </c>
      <c r="BD3" s="42">
        <v>212430.539106465</v>
      </c>
      <c r="BE3" s="42">
        <v>214553.88532548401</v>
      </c>
      <c r="BF3" s="42">
        <v>215958.16960011201</v>
      </c>
      <c r="BG3" s="42">
        <v>217379.719655302</v>
      </c>
      <c r="BH3" s="42">
        <v>219835.75167833301</v>
      </c>
      <c r="BI3" s="42">
        <v>221415.772325597</v>
      </c>
      <c r="BJ3" s="42">
        <v>223397.75634076699</v>
      </c>
      <c r="BK3" s="42">
        <v>217418.016660628</v>
      </c>
      <c r="BL3" s="42">
        <v>185664.104420527</v>
      </c>
      <c r="BM3" s="42">
        <v>203305.27408372401</v>
      </c>
      <c r="BN3" s="42">
        <v>215701.04756209199</v>
      </c>
      <c r="BO3" s="43">
        <v>221866.70764490799</v>
      </c>
    </row>
    <row r="4" spans="1:68">
      <c r="D4" s="46">
        <f>+D3/C3-1</f>
        <v>1.682433240257164E-2</v>
      </c>
      <c r="E4" s="46">
        <f t="shared" ref="E4:BO4" si="1">+E3/D3-1</f>
        <v>5.8346128142017228E-4</v>
      </c>
      <c r="F4" s="46">
        <f t="shared" si="1"/>
        <v>1.8698111989241317E-2</v>
      </c>
      <c r="G4" s="46">
        <f t="shared" si="1"/>
        <v>2.1352851246260407E-2</v>
      </c>
      <c r="H4" s="46">
        <f t="shared" si="1"/>
        <v>1.7516733841513865E-2</v>
      </c>
      <c r="I4" s="46">
        <f t="shared" si="1"/>
        <v>1.7095137804760352E-2</v>
      </c>
      <c r="J4" s="46">
        <f t="shared" si="1"/>
        <v>1.584735631530898E-2</v>
      </c>
      <c r="K4" s="46">
        <f t="shared" si="1"/>
        <v>1.7307720636221102E-2</v>
      </c>
      <c r="L4" s="46">
        <f t="shared" si="1"/>
        <v>1.4980661291998265E-2</v>
      </c>
      <c r="M4" s="46">
        <f t="shared" si="1"/>
        <v>1.8598954358786557E-2</v>
      </c>
      <c r="N4" s="46">
        <f t="shared" si="1"/>
        <v>1.2464072440259155E-2</v>
      </c>
      <c r="O4" s="46">
        <f t="shared" si="1"/>
        <v>4.3359101765583219E-3</v>
      </c>
      <c r="P4" s="46">
        <f t="shared" si="1"/>
        <v>6.3682154250175316E-3</v>
      </c>
      <c r="Q4" s="46">
        <f t="shared" si="1"/>
        <v>1.1119538184291677E-2</v>
      </c>
      <c r="R4" s="46">
        <f t="shared" si="1"/>
        <v>-1.7466822813483773E-2</v>
      </c>
      <c r="S4" s="46">
        <f t="shared" si="1"/>
        <v>3.9119938948892763E-3</v>
      </c>
      <c r="T4" s="46">
        <f t="shared" si="1"/>
        <v>1.0564670359451966E-2</v>
      </c>
      <c r="U4" s="46">
        <f t="shared" si="1"/>
        <v>7.2614781129642925E-3</v>
      </c>
      <c r="V4" s="46">
        <f t="shared" si="1"/>
        <v>8.0666381870742043E-3</v>
      </c>
      <c r="W4" s="46">
        <f t="shared" si="1"/>
        <v>1.2790342127713572E-2</v>
      </c>
      <c r="X4" s="46">
        <f t="shared" si="1"/>
        <v>1.2184596542371695E-2</v>
      </c>
      <c r="Y4" s="46">
        <f t="shared" si="1"/>
        <v>9.1916068856954247E-3</v>
      </c>
      <c r="Z4" s="46">
        <f t="shared" si="1"/>
        <v>2.1235140619013215E-2</v>
      </c>
      <c r="AA4" s="46">
        <f t="shared" si="1"/>
        <v>1.9725262503956564E-2</v>
      </c>
      <c r="AB4" s="46">
        <f t="shared" si="1"/>
        <v>1.642117207450311E-2</v>
      </c>
      <c r="AC4" s="46">
        <f t="shared" si="1"/>
        <v>1.9723757084144866E-2</v>
      </c>
      <c r="AD4" s="46">
        <f t="shared" si="1"/>
        <v>9.0927109553025076E-3</v>
      </c>
      <c r="AE4" s="46">
        <f t="shared" si="1"/>
        <v>7.243537685852397E-3</v>
      </c>
      <c r="AF4" s="46">
        <f t="shared" si="1"/>
        <v>1.2512597396598046E-2</v>
      </c>
      <c r="AG4" s="46">
        <f t="shared" si="1"/>
        <v>-2.2481490023444906E-3</v>
      </c>
      <c r="AH4" s="46">
        <f t="shared" si="1"/>
        <v>9.8926406867576588E-3</v>
      </c>
      <c r="AI4" s="46">
        <f t="shared" si="1"/>
        <v>1.7089334808582546E-2</v>
      </c>
      <c r="AJ4" s="46">
        <f t="shared" si="1"/>
        <v>2.1823029701637298E-2</v>
      </c>
      <c r="AK4" s="46">
        <f t="shared" si="1"/>
        <v>8.9694122942038934E-3</v>
      </c>
      <c r="AL4" s="46">
        <f t="shared" si="1"/>
        <v>1.2084819272233149E-2</v>
      </c>
      <c r="AM4" s="46">
        <f t="shared" si="1"/>
        <v>1.3898631639311931E-2</v>
      </c>
      <c r="AN4" s="46">
        <f t="shared" si="1"/>
        <v>5.4318246200402154E-3</v>
      </c>
      <c r="AO4" s="46">
        <f t="shared" si="1"/>
        <v>9.509056421971307E-3</v>
      </c>
      <c r="AP4" s="46">
        <f t="shared" si="1"/>
        <v>1.0505932729313328E-2</v>
      </c>
      <c r="AQ4" s="46">
        <f t="shared" si="1"/>
        <v>6.7085418346146675E-3</v>
      </c>
      <c r="AR4" s="46">
        <f t="shared" si="1"/>
        <v>5.7191496035167155E-3</v>
      </c>
      <c r="AS4" s="46">
        <f t="shared" si="1"/>
        <v>1.194983784395709E-2</v>
      </c>
      <c r="AT4" s="46">
        <f t="shared" si="1"/>
        <v>-6.6633308235537481E-3</v>
      </c>
      <c r="AU4" s="46">
        <f t="shared" si="1"/>
        <v>1.0996380636728587E-2</v>
      </c>
      <c r="AV4" s="46">
        <f t="shared" si="1"/>
        <v>4.4298384013305991E-3</v>
      </c>
      <c r="AW4" s="46">
        <f t="shared" si="1"/>
        <v>5.9595726507264413E-3</v>
      </c>
      <c r="AX4" s="46">
        <f t="shared" si="1"/>
        <v>4.3731176078261047E-3</v>
      </c>
      <c r="AY4" s="46">
        <f t="shared" si="1"/>
        <v>-1.9183613519558884E-3</v>
      </c>
      <c r="AZ4" s="46">
        <f t="shared" si="1"/>
        <v>6.8543841774990621E-3</v>
      </c>
      <c r="BA4" s="46">
        <f t="shared" si="1"/>
        <v>3.7030152368384694E-3</v>
      </c>
      <c r="BB4" s="46">
        <f t="shared" si="1"/>
        <v>4.421940324071727E-3</v>
      </c>
      <c r="BC4" s="46">
        <f t="shared" si="1"/>
        <v>7.0163313539268746E-3</v>
      </c>
      <c r="BD4" s="46">
        <f t="shared" si="1"/>
        <v>6.4678204003376649E-3</v>
      </c>
      <c r="BE4" s="46">
        <f t="shared" si="1"/>
        <v>9.9954847732832697E-3</v>
      </c>
      <c r="BF4" s="46">
        <f t="shared" si="1"/>
        <v>6.5451356077643741E-3</v>
      </c>
      <c r="BG4" s="46">
        <f t="shared" si="1"/>
        <v>6.5825250224256227E-3</v>
      </c>
      <c r="BH4" s="46">
        <f t="shared" si="1"/>
        <v>1.1298349390299611E-2</v>
      </c>
      <c r="BI4" s="46">
        <f t="shared" si="1"/>
        <v>7.1872779345549809E-3</v>
      </c>
      <c r="BJ4" s="46">
        <f t="shared" si="1"/>
        <v>8.9514129655381414E-3</v>
      </c>
      <c r="BK4" s="46">
        <f t="shared" si="1"/>
        <v>-2.6767232482933334E-2</v>
      </c>
      <c r="BL4" s="46">
        <f t="shared" si="1"/>
        <v>-0.14605005016519079</v>
      </c>
      <c r="BM4" s="46">
        <f t="shared" si="1"/>
        <v>9.5016587714984224E-2</v>
      </c>
      <c r="BN4" s="46">
        <f t="shared" si="1"/>
        <v>6.0971234190723589E-2</v>
      </c>
      <c r="BO4" s="46">
        <f t="shared" si="1"/>
        <v>2.8584284371827806E-2</v>
      </c>
      <c r="BP4" s="47">
        <f>+AVERAGE(D4:BO4)</f>
        <v>9.1381487406422719E-3</v>
      </c>
    </row>
  </sheetData>
  <conditionalFormatting sqref="A1:BH1 A2:B2 D2">
    <cfRule type="expression" dxfId="18" priority="19" stopIfTrue="1">
      <formula>MOD(ROW(),2)=1</formula>
    </cfRule>
  </conditionalFormatting>
  <conditionalFormatting sqref="BI1">
    <cfRule type="expression" dxfId="17" priority="18" stopIfTrue="1">
      <formula>MOD(ROW(),2)=1</formula>
    </cfRule>
  </conditionalFormatting>
  <conditionalFormatting sqref="BJ1">
    <cfRule type="expression" dxfId="16" priority="17" stopIfTrue="1">
      <formula>MOD(ROW(),2)=1</formula>
    </cfRule>
  </conditionalFormatting>
  <conditionalFormatting sqref="BK1">
    <cfRule type="expression" dxfId="15" priority="16">
      <formula>MOD(ROW(),2)=1</formula>
    </cfRule>
  </conditionalFormatting>
  <conditionalFormatting sqref="BL1">
    <cfRule type="expression" dxfId="14" priority="15">
      <formula>MOD(ROW(),2)=1</formula>
    </cfRule>
  </conditionalFormatting>
  <conditionalFormatting sqref="BM1">
    <cfRule type="expression" dxfId="13" priority="14">
      <formula>MOD(ROW(),2)=1</formula>
    </cfRule>
  </conditionalFormatting>
  <conditionalFormatting sqref="BN1">
    <cfRule type="expression" dxfId="12" priority="13">
      <formula>MOD(ROW(),2)=1</formula>
    </cfRule>
  </conditionalFormatting>
  <conditionalFormatting sqref="BO1">
    <cfRule type="expression" dxfId="11" priority="12">
      <formula>MOD(ROW(),2)=1</formula>
    </cfRule>
  </conditionalFormatting>
  <conditionalFormatting sqref="BO3">
    <cfRule type="expression" dxfId="10" priority="4">
      <formula>MOD(ROW(),2)=1</formula>
    </cfRule>
  </conditionalFormatting>
  <conditionalFormatting sqref="A3:BH3">
    <cfRule type="expression" dxfId="9" priority="11" stopIfTrue="1">
      <formula>MOD(ROW(),2)=1</formula>
    </cfRule>
  </conditionalFormatting>
  <conditionalFormatting sqref="BI3">
    <cfRule type="expression" dxfId="8" priority="10" stopIfTrue="1">
      <formula>MOD(ROW(),2)=1</formula>
    </cfRule>
  </conditionalFormatting>
  <conditionalFormatting sqref="BJ3">
    <cfRule type="expression" dxfId="7" priority="9" stopIfTrue="1">
      <formula>MOD(ROW(),2)=1</formula>
    </cfRule>
  </conditionalFormatting>
  <conditionalFormatting sqref="BK3">
    <cfRule type="expression" dxfId="6" priority="8">
      <formula>MOD(ROW(),2)=1</formula>
    </cfRule>
  </conditionalFormatting>
  <conditionalFormatting sqref="BL3">
    <cfRule type="expression" dxfId="5" priority="7">
      <formula>MOD(ROW(),2)=1</formula>
    </cfRule>
  </conditionalFormatting>
  <conditionalFormatting sqref="BM3">
    <cfRule type="expression" dxfId="4" priority="6">
      <formula>MOD(ROW(),2)=1</formula>
    </cfRule>
  </conditionalFormatting>
  <conditionalFormatting sqref="BN3">
    <cfRule type="expression" dxfId="3" priority="5">
      <formula>MOD(ROW(),2)=1</formula>
    </cfRule>
  </conditionalFormatting>
  <conditionalFormatting sqref="D4">
    <cfRule type="expression" dxfId="2" priority="3" stopIfTrue="1">
      <formula>MOD(ROW(),2)=1</formula>
    </cfRule>
  </conditionalFormatting>
  <conditionalFormatting sqref="E2:BO2">
    <cfRule type="expression" dxfId="1" priority="2" stopIfTrue="1">
      <formula>MOD(ROW(),2)=1</formula>
    </cfRule>
  </conditionalFormatting>
  <conditionalFormatting sqref="E4:BO4">
    <cfRule type="expression" dxfId="0" priority="1" stopIfTrue="1">
      <formula>MOD(ROW(),2)=1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90"/>
  <sheetViews>
    <sheetView showGridLines="0" topLeftCell="A22" zoomScaleNormal="100" workbookViewId="0">
      <selection activeCell="B22" sqref="B22"/>
    </sheetView>
  </sheetViews>
  <sheetFormatPr baseColWidth="10" defaultColWidth="13.140625" defaultRowHeight="14.25"/>
  <cols>
    <col min="1" max="1" width="3.5703125" style="14" customWidth="1"/>
    <col min="2" max="2" width="34.7109375" style="14" customWidth="1"/>
    <col min="3" max="6" width="14.42578125" style="14" customWidth="1"/>
    <col min="7" max="7" width="17.42578125" style="14" customWidth="1"/>
    <col min="8" max="8" width="19.7109375" style="14" customWidth="1"/>
    <col min="9" max="16384" width="13.140625" style="14"/>
  </cols>
  <sheetData>
    <row r="1" spans="2:8" s="7" customFormat="1" ht="12.75"/>
    <row r="2" spans="2:8" s="7" customFormat="1" ht="20.25">
      <c r="B2" s="8" t="s">
        <v>195</v>
      </c>
      <c r="C2" s="9"/>
      <c r="D2" s="9"/>
      <c r="E2" s="9"/>
      <c r="F2" s="9"/>
      <c r="G2" s="9"/>
      <c r="H2" s="10"/>
    </row>
    <row r="4" spans="2:8" ht="18">
      <c r="B4" s="11" t="s">
        <v>81</v>
      </c>
      <c r="C4" s="12"/>
      <c r="D4" s="12"/>
      <c r="E4" s="12"/>
      <c r="F4" s="12"/>
      <c r="G4" s="12"/>
      <c r="H4" s="13"/>
    </row>
    <row r="5" spans="2:8" ht="18.75" customHeight="1">
      <c r="B5" s="15"/>
      <c r="C5" s="16"/>
      <c r="H5" s="17"/>
    </row>
    <row r="6" spans="2:8" ht="18.75" customHeight="1">
      <c r="B6" s="18" t="s">
        <v>82</v>
      </c>
      <c r="C6" s="16" t="s">
        <v>196</v>
      </c>
      <c r="H6" s="17"/>
    </row>
    <row r="7" spans="2:8" ht="18.75" customHeight="1">
      <c r="B7" s="15"/>
      <c r="C7" s="16"/>
      <c r="H7" s="17"/>
    </row>
    <row r="8" spans="2:8" ht="18.75" customHeight="1">
      <c r="B8" s="18" t="s">
        <v>83</v>
      </c>
      <c r="C8" s="16" t="s">
        <v>197</v>
      </c>
      <c r="H8" s="17"/>
    </row>
    <row r="9" spans="2:8" ht="18.75" customHeight="1">
      <c r="B9" s="15"/>
      <c r="C9" s="16"/>
      <c r="H9" s="17"/>
    </row>
    <row r="10" spans="2:8" ht="15">
      <c r="B10" s="19" t="s">
        <v>96</v>
      </c>
      <c r="C10" s="16" t="s">
        <v>198</v>
      </c>
      <c r="D10" s="10"/>
      <c r="E10" s="10"/>
      <c r="F10" s="10"/>
      <c r="G10" s="10"/>
      <c r="H10" s="20"/>
    </row>
    <row r="11" spans="2:8" ht="15">
      <c r="B11" s="21"/>
      <c r="C11" s="16"/>
      <c r="D11" s="10"/>
      <c r="E11" s="10"/>
      <c r="F11" s="10"/>
      <c r="G11" s="10"/>
      <c r="H11" s="20"/>
    </row>
    <row r="12" spans="2:8" ht="15">
      <c r="B12" s="21" t="s">
        <v>93</v>
      </c>
      <c r="C12" s="16" t="s">
        <v>199</v>
      </c>
      <c r="D12" s="10"/>
      <c r="E12" s="10"/>
      <c r="F12" s="10"/>
      <c r="G12" s="10"/>
      <c r="H12" s="20"/>
    </row>
    <row r="13" spans="2:8" ht="15">
      <c r="B13" s="21"/>
      <c r="C13" s="10"/>
      <c r="D13" s="10"/>
      <c r="E13" s="10"/>
      <c r="F13" s="10"/>
      <c r="G13" s="10"/>
      <c r="H13" s="20"/>
    </row>
    <row r="14" spans="2:8" ht="15" customHeight="1">
      <c r="B14" s="21" t="s">
        <v>200</v>
      </c>
      <c r="C14" s="16" t="s">
        <v>201</v>
      </c>
      <c r="D14" s="10"/>
      <c r="E14" s="10"/>
      <c r="F14" s="10"/>
      <c r="G14" s="10"/>
      <c r="H14" s="20"/>
    </row>
    <row r="15" spans="2:8" ht="15" customHeight="1">
      <c r="B15" s="21"/>
      <c r="C15" s="16" t="s">
        <v>202</v>
      </c>
      <c r="D15" s="10"/>
      <c r="E15" s="10"/>
      <c r="F15" s="10"/>
      <c r="G15" s="10"/>
      <c r="H15" s="20"/>
    </row>
    <row r="16" spans="2:8" ht="15">
      <c r="B16" s="21"/>
      <c r="C16" s="16" t="s">
        <v>203</v>
      </c>
      <c r="D16" s="10"/>
      <c r="E16" s="10"/>
      <c r="F16" s="10"/>
      <c r="G16" s="10"/>
      <c r="H16" s="20"/>
    </row>
    <row r="17" spans="2:8" ht="15">
      <c r="B17" s="21"/>
      <c r="C17" s="16"/>
      <c r="D17" s="10"/>
      <c r="E17" s="10"/>
      <c r="F17" s="10"/>
      <c r="G17" s="10"/>
      <c r="H17" s="20"/>
    </row>
    <row r="18" spans="2:8" ht="15" customHeight="1">
      <c r="B18" s="21" t="s">
        <v>204</v>
      </c>
      <c r="C18" s="16" t="s">
        <v>205</v>
      </c>
      <c r="D18" s="10"/>
      <c r="E18" s="10"/>
      <c r="F18" s="10"/>
      <c r="G18" s="10"/>
      <c r="H18" s="20"/>
    </row>
    <row r="19" spans="2:8" ht="15">
      <c r="B19" s="22"/>
      <c r="C19" s="23"/>
      <c r="D19" s="23"/>
      <c r="E19" s="23"/>
      <c r="F19" s="23"/>
      <c r="G19" s="23"/>
      <c r="H19" s="24"/>
    </row>
    <row r="21" spans="2:8" ht="18">
      <c r="B21" s="11" t="s">
        <v>104</v>
      </c>
      <c r="C21" s="12"/>
      <c r="D21" s="12"/>
      <c r="E21" s="12"/>
      <c r="F21" s="12"/>
      <c r="G21" s="12"/>
      <c r="H21" s="13"/>
    </row>
    <row r="22" spans="2:8">
      <c r="B22" s="25"/>
      <c r="H22" s="17"/>
    </row>
    <row r="23" spans="2:8" ht="15">
      <c r="B23" s="15" t="s">
        <v>105</v>
      </c>
      <c r="C23" s="16" t="s">
        <v>206</v>
      </c>
      <c r="H23" s="17"/>
    </row>
    <row r="24" spans="2:8" ht="11.25" customHeight="1">
      <c r="B24" s="15"/>
      <c r="H24" s="20"/>
    </row>
    <row r="25" spans="2:8" ht="15">
      <c r="B25" s="15" t="s">
        <v>106</v>
      </c>
      <c r="C25" s="16" t="s">
        <v>207</v>
      </c>
      <c r="H25" s="20"/>
    </row>
    <row r="26" spans="2:8" ht="11.25" customHeight="1">
      <c r="B26" s="19"/>
      <c r="C26" s="16"/>
      <c r="D26" s="10"/>
      <c r="E26" s="10"/>
      <c r="F26" s="10"/>
      <c r="G26" s="10"/>
      <c r="H26" s="20"/>
    </row>
    <row r="27" spans="2:8" ht="11.25" customHeight="1">
      <c r="B27" s="19"/>
      <c r="C27" s="16"/>
      <c r="D27" s="10"/>
      <c r="E27" s="10"/>
      <c r="F27" s="10"/>
      <c r="G27" s="10"/>
      <c r="H27" s="20"/>
    </row>
    <row r="28" spans="2:8" ht="15.75">
      <c r="B28" s="18" t="s">
        <v>208</v>
      </c>
      <c r="C28" s="16" t="s">
        <v>209</v>
      </c>
      <c r="H28" s="20"/>
    </row>
    <row r="29" spans="2:8" ht="15.75">
      <c r="B29" s="18"/>
      <c r="C29" s="16"/>
      <c r="H29" s="20"/>
    </row>
    <row r="30" spans="2:8" ht="15.75">
      <c r="B30" s="18" t="s">
        <v>210</v>
      </c>
      <c r="C30" s="16" t="s">
        <v>211</v>
      </c>
      <c r="H30" s="20"/>
    </row>
    <row r="31" spans="2:8">
      <c r="B31" s="26"/>
      <c r="C31" s="23"/>
      <c r="D31" s="23"/>
      <c r="E31" s="23"/>
      <c r="F31" s="23"/>
      <c r="G31" s="23"/>
      <c r="H31" s="24"/>
    </row>
    <row r="33" spans="2:8" ht="18">
      <c r="B33" s="11" t="s">
        <v>116</v>
      </c>
      <c r="C33" s="12"/>
      <c r="D33" s="12"/>
      <c r="E33" s="12"/>
      <c r="F33" s="12"/>
      <c r="G33" s="12"/>
      <c r="H33" s="13"/>
    </row>
    <row r="34" spans="2:8">
      <c r="B34" s="25"/>
      <c r="H34" s="17"/>
    </row>
    <row r="35" spans="2:8" ht="15">
      <c r="B35" s="21" t="s">
        <v>117</v>
      </c>
      <c r="C35" s="16" t="s">
        <v>212</v>
      </c>
      <c r="D35" s="10"/>
      <c r="E35" s="10"/>
      <c r="F35" s="10"/>
      <c r="H35" s="17"/>
    </row>
    <row r="36" spans="2:8" ht="11.25" customHeight="1">
      <c r="B36" s="15"/>
      <c r="H36" s="17"/>
    </row>
    <row r="37" spans="2:8" ht="15">
      <c r="B37" s="21" t="s">
        <v>118</v>
      </c>
      <c r="C37" s="16" t="s">
        <v>213</v>
      </c>
      <c r="D37" s="10"/>
      <c r="E37" s="10"/>
      <c r="F37" s="10"/>
      <c r="H37" s="17"/>
    </row>
    <row r="38" spans="2:8" ht="11.25" customHeight="1">
      <c r="B38" s="15"/>
      <c r="H38" s="17"/>
    </row>
    <row r="39" spans="2:8" ht="18.75" customHeight="1">
      <c r="B39" s="15" t="s">
        <v>214</v>
      </c>
      <c r="C39" s="16" t="s">
        <v>215</v>
      </c>
      <c r="H39" s="17"/>
    </row>
    <row r="40" spans="2:8" ht="15">
      <c r="B40" s="21"/>
      <c r="C40" s="16"/>
      <c r="D40" s="10"/>
      <c r="E40" s="10"/>
      <c r="F40" s="10"/>
      <c r="H40" s="17"/>
    </row>
    <row r="41" spans="2:8" ht="18.75" customHeight="1">
      <c r="B41" s="15" t="s">
        <v>14</v>
      </c>
      <c r="C41" s="16" t="s">
        <v>216</v>
      </c>
      <c r="H41" s="17"/>
    </row>
    <row r="42" spans="2:8" ht="15">
      <c r="B42" s="21"/>
      <c r="C42" s="10"/>
      <c r="D42" s="10"/>
      <c r="E42" s="10"/>
      <c r="F42" s="10"/>
      <c r="H42" s="17"/>
    </row>
    <row r="43" spans="2:8" ht="15">
      <c r="B43" s="21" t="s">
        <v>122</v>
      </c>
      <c r="C43" s="16" t="s">
        <v>217</v>
      </c>
      <c r="D43" s="10"/>
      <c r="E43" s="10"/>
      <c r="F43" s="10"/>
      <c r="H43" s="17"/>
    </row>
    <row r="44" spans="2:8" ht="15">
      <c r="B44" s="21"/>
      <c r="C44" s="10"/>
      <c r="D44" s="10"/>
      <c r="E44" s="10"/>
      <c r="F44" s="10"/>
      <c r="H44" s="17"/>
    </row>
    <row r="45" spans="2:8" ht="15">
      <c r="B45" s="21" t="s">
        <v>124</v>
      </c>
      <c r="C45" s="10" t="s">
        <v>218</v>
      </c>
      <c r="D45" s="10"/>
      <c r="E45" s="10"/>
      <c r="F45" s="10"/>
      <c r="H45" s="17"/>
    </row>
    <row r="46" spans="2:8" ht="18.75" customHeight="1">
      <c r="B46" s="15"/>
      <c r="H46" s="17"/>
    </row>
    <row r="47" spans="2:8" ht="18.75" customHeight="1">
      <c r="B47" s="15" t="s">
        <v>125</v>
      </c>
      <c r="C47" s="16" t="s">
        <v>219</v>
      </c>
      <c r="H47" s="17"/>
    </row>
    <row r="48" spans="2:8" ht="15">
      <c r="B48" s="21"/>
      <c r="C48" s="16"/>
      <c r="D48" s="10"/>
      <c r="E48" s="10"/>
      <c r="F48" s="10"/>
      <c r="H48" s="17"/>
    </row>
    <row r="49" spans="2:8" ht="15">
      <c r="B49" s="21" t="s">
        <v>126</v>
      </c>
      <c r="C49" s="16" t="s">
        <v>220</v>
      </c>
      <c r="D49" s="10"/>
      <c r="E49" s="10"/>
      <c r="F49" s="10"/>
      <c r="H49" s="17"/>
    </row>
    <row r="50" spans="2:8" ht="15">
      <c r="B50" s="21"/>
      <c r="C50" s="10"/>
      <c r="D50" s="10"/>
      <c r="E50" s="10"/>
      <c r="F50" s="10"/>
      <c r="H50" s="17"/>
    </row>
    <row r="51" spans="2:8" ht="15">
      <c r="B51" s="21" t="s">
        <v>221</v>
      </c>
      <c r="C51" s="16" t="s">
        <v>222</v>
      </c>
      <c r="D51" s="10"/>
      <c r="E51" s="10"/>
      <c r="F51" s="10"/>
      <c r="H51" s="17"/>
    </row>
    <row r="52" spans="2:8" ht="15">
      <c r="B52" s="21"/>
      <c r="C52" s="16"/>
      <c r="D52" s="10"/>
      <c r="E52" s="10"/>
      <c r="F52" s="10"/>
      <c r="H52" s="17"/>
    </row>
    <row r="53" spans="2:8" ht="15">
      <c r="B53" s="21" t="s">
        <v>223</v>
      </c>
      <c r="C53" s="16" t="s">
        <v>224</v>
      </c>
      <c r="D53" s="10"/>
      <c r="E53" s="10"/>
      <c r="F53" s="10"/>
      <c r="H53" s="17"/>
    </row>
    <row r="54" spans="2:8">
      <c r="B54" s="26"/>
      <c r="C54" s="23"/>
      <c r="D54" s="23"/>
      <c r="E54" s="23"/>
      <c r="F54" s="23"/>
      <c r="G54" s="23"/>
      <c r="H54" s="24"/>
    </row>
    <row r="56" spans="2:8" ht="18">
      <c r="B56" s="11" t="s">
        <v>225</v>
      </c>
      <c r="C56" s="12"/>
      <c r="D56" s="12"/>
      <c r="E56" s="12"/>
      <c r="F56" s="12"/>
      <c r="G56" s="12"/>
      <c r="H56" s="13"/>
    </row>
    <row r="57" spans="2:8">
      <c r="B57" s="25"/>
      <c r="H57" s="17"/>
    </row>
    <row r="58" spans="2:8" ht="15">
      <c r="B58" s="21" t="s">
        <v>86</v>
      </c>
      <c r="C58" s="16" t="s">
        <v>226</v>
      </c>
      <c r="H58" s="17"/>
    </row>
    <row r="59" spans="2:8">
      <c r="B59" s="25"/>
      <c r="H59" s="17"/>
    </row>
    <row r="60" spans="2:8" ht="15">
      <c r="B60" s="21" t="s">
        <v>137</v>
      </c>
      <c r="C60" s="16" t="s">
        <v>227</v>
      </c>
      <c r="D60" s="10"/>
      <c r="E60" s="10"/>
      <c r="F60" s="10"/>
      <c r="G60" s="10"/>
      <c r="H60" s="20"/>
    </row>
    <row r="61" spans="2:8" ht="15">
      <c r="B61" s="21"/>
      <c r="C61" s="10"/>
      <c r="D61" s="10"/>
      <c r="E61" s="10"/>
      <c r="F61" s="10"/>
      <c r="G61" s="10"/>
      <c r="H61" s="20"/>
    </row>
    <row r="62" spans="2:8" ht="15">
      <c r="B62" s="21" t="s">
        <v>142</v>
      </c>
      <c r="C62" s="10" t="s">
        <v>228</v>
      </c>
      <c r="D62" s="10"/>
      <c r="E62" s="10"/>
      <c r="F62" s="10"/>
      <c r="G62" s="10"/>
      <c r="H62" s="20"/>
    </row>
    <row r="63" spans="2:8" ht="15">
      <c r="B63" s="21"/>
      <c r="C63" s="10"/>
      <c r="D63" s="10"/>
      <c r="E63" s="10"/>
      <c r="F63" s="10"/>
      <c r="G63" s="10"/>
      <c r="H63" s="20"/>
    </row>
    <row r="64" spans="2:8" ht="15">
      <c r="B64" s="19" t="s">
        <v>143</v>
      </c>
      <c r="C64" s="16" t="s">
        <v>229</v>
      </c>
      <c r="D64" s="10"/>
      <c r="E64" s="10"/>
      <c r="F64" s="10"/>
      <c r="G64" s="10"/>
      <c r="H64" s="20"/>
    </row>
    <row r="65" spans="2:8" ht="15">
      <c r="B65" s="21"/>
      <c r="C65" s="16" t="s">
        <v>230</v>
      </c>
      <c r="D65" s="10"/>
      <c r="E65" s="10"/>
      <c r="F65" s="10"/>
      <c r="G65" s="10"/>
      <c r="H65" s="20"/>
    </row>
    <row r="66" spans="2:8" ht="15">
      <c r="B66" s="21"/>
      <c r="C66" s="16" t="s">
        <v>231</v>
      </c>
      <c r="D66" s="10"/>
      <c r="E66" s="10"/>
      <c r="F66" s="10"/>
      <c r="G66" s="10"/>
      <c r="H66" s="20"/>
    </row>
    <row r="67" spans="2:8" ht="15">
      <c r="B67" s="21"/>
      <c r="C67" s="16" t="s">
        <v>232</v>
      </c>
      <c r="D67" s="10"/>
      <c r="E67" s="10"/>
      <c r="F67" s="10"/>
      <c r="G67" s="10"/>
      <c r="H67" s="20"/>
    </row>
    <row r="68" spans="2:8" ht="15">
      <c r="B68" s="21"/>
      <c r="C68" s="10"/>
      <c r="D68" s="10"/>
      <c r="E68" s="10"/>
      <c r="F68" s="10"/>
      <c r="G68" s="10"/>
      <c r="H68" s="20"/>
    </row>
    <row r="69" spans="2:8" ht="15">
      <c r="B69" s="21" t="s">
        <v>77</v>
      </c>
      <c r="C69" s="16" t="s">
        <v>233</v>
      </c>
      <c r="D69" s="10"/>
      <c r="E69" s="10"/>
      <c r="F69" s="10"/>
      <c r="G69" s="10"/>
      <c r="H69" s="20"/>
    </row>
    <row r="70" spans="2:8" ht="15">
      <c r="B70" s="21"/>
      <c r="C70" s="16" t="s">
        <v>234</v>
      </c>
      <c r="D70" s="10"/>
      <c r="E70" s="10"/>
      <c r="F70" s="10"/>
      <c r="G70" s="10"/>
      <c r="H70" s="20"/>
    </row>
    <row r="71" spans="2:8" ht="15">
      <c r="B71" s="21"/>
      <c r="C71" s="16" t="s">
        <v>235</v>
      </c>
      <c r="D71" s="10"/>
      <c r="E71" s="10"/>
      <c r="F71" s="10"/>
      <c r="G71" s="10"/>
      <c r="H71" s="20"/>
    </row>
    <row r="72" spans="2:8" ht="15">
      <c r="B72" s="21"/>
      <c r="C72" s="10"/>
      <c r="D72" s="10"/>
      <c r="E72" s="10"/>
      <c r="F72" s="10"/>
      <c r="G72" s="10"/>
      <c r="H72" s="20"/>
    </row>
    <row r="73" spans="2:8" ht="15">
      <c r="B73" s="21" t="s">
        <v>236</v>
      </c>
      <c r="C73" s="16" t="s">
        <v>237</v>
      </c>
      <c r="D73" s="10"/>
      <c r="E73" s="10"/>
      <c r="F73" s="10"/>
      <c r="G73" s="10"/>
      <c r="H73" s="20"/>
    </row>
    <row r="74" spans="2:8" ht="15.75" thickBot="1">
      <c r="B74" s="21"/>
      <c r="C74" s="10"/>
      <c r="D74" s="10"/>
      <c r="E74" s="10"/>
      <c r="F74" s="10"/>
      <c r="G74" s="10"/>
      <c r="H74" s="20"/>
    </row>
    <row r="75" spans="2:8" ht="18">
      <c r="B75" s="27" t="s">
        <v>238</v>
      </c>
      <c r="C75" s="28"/>
      <c r="D75" s="28"/>
      <c r="E75" s="28"/>
      <c r="F75" s="28"/>
      <c r="G75" s="28"/>
      <c r="H75" s="29"/>
    </row>
    <row r="76" spans="2:8" ht="15">
      <c r="B76" s="30" t="s">
        <v>73</v>
      </c>
      <c r="C76" s="31" t="s">
        <v>239</v>
      </c>
      <c r="D76" s="32"/>
      <c r="E76" s="32"/>
      <c r="F76" s="32"/>
      <c r="G76" s="32"/>
      <c r="H76" s="33"/>
    </row>
    <row r="77" spans="2:8" ht="15">
      <c r="B77" s="30"/>
      <c r="C77" s="31" t="s">
        <v>240</v>
      </c>
      <c r="D77" s="32"/>
      <c r="E77" s="32"/>
      <c r="F77" s="32"/>
      <c r="G77" s="32"/>
      <c r="H77" s="33"/>
    </row>
    <row r="78" spans="2:8" ht="15">
      <c r="B78" s="30"/>
      <c r="C78" s="32"/>
      <c r="D78" s="32"/>
      <c r="E78" s="32"/>
      <c r="F78" s="32"/>
      <c r="G78" s="32"/>
      <c r="H78" s="33"/>
    </row>
    <row r="79" spans="2:8" ht="15.75" thickBot="1">
      <c r="B79" s="34" t="s">
        <v>152</v>
      </c>
      <c r="C79" s="35" t="s">
        <v>241</v>
      </c>
      <c r="D79" s="35"/>
      <c r="E79" s="35"/>
      <c r="F79" s="35"/>
      <c r="G79" s="35"/>
      <c r="H79" s="36"/>
    </row>
    <row r="80" spans="2:8" ht="15">
      <c r="B80" s="21"/>
      <c r="C80" s="10"/>
      <c r="D80" s="10"/>
      <c r="E80" s="10"/>
      <c r="F80" s="10"/>
      <c r="G80" s="10"/>
      <c r="H80" s="20"/>
    </row>
    <row r="81" spans="2:8" ht="15">
      <c r="B81" s="21" t="s">
        <v>124</v>
      </c>
      <c r="C81" s="16" t="s">
        <v>242</v>
      </c>
      <c r="D81" s="10"/>
      <c r="E81" s="10"/>
      <c r="F81" s="10"/>
      <c r="G81" s="10"/>
      <c r="H81" s="20"/>
    </row>
    <row r="82" spans="2:8" ht="15" customHeight="1">
      <c r="B82" s="21"/>
      <c r="C82" s="16" t="s">
        <v>243</v>
      </c>
      <c r="D82" s="10"/>
      <c r="E82" s="10"/>
      <c r="F82" s="10"/>
      <c r="G82" s="10"/>
      <c r="H82" s="20"/>
    </row>
    <row r="83" spans="2:8" ht="15">
      <c r="B83" s="21"/>
      <c r="C83" s="16" t="s">
        <v>203</v>
      </c>
      <c r="D83" s="10"/>
      <c r="E83" s="10"/>
      <c r="F83" s="10"/>
      <c r="G83" s="10"/>
      <c r="H83" s="20"/>
    </row>
    <row r="84" spans="2:8" ht="15">
      <c r="B84" s="21"/>
      <c r="C84" s="10"/>
      <c r="D84" s="10"/>
      <c r="E84" s="10"/>
      <c r="F84" s="10"/>
      <c r="G84" s="10"/>
      <c r="H84" s="20"/>
    </row>
    <row r="85" spans="2:8" ht="15">
      <c r="B85" s="21" t="s">
        <v>244</v>
      </c>
      <c r="C85" s="16" t="s">
        <v>245</v>
      </c>
      <c r="D85" s="10"/>
      <c r="E85" s="10"/>
      <c r="F85" s="10"/>
      <c r="G85" s="10"/>
      <c r="H85" s="20"/>
    </row>
    <row r="86" spans="2:8" ht="15" customHeight="1">
      <c r="B86" s="21"/>
      <c r="C86" s="16" t="s">
        <v>246</v>
      </c>
      <c r="D86" s="10"/>
      <c r="E86" s="10"/>
      <c r="F86" s="10"/>
      <c r="G86" s="10"/>
      <c r="H86" s="20"/>
    </row>
    <row r="87" spans="2:8" ht="15">
      <c r="B87" s="21"/>
      <c r="C87" s="16" t="s">
        <v>203</v>
      </c>
      <c r="D87" s="10"/>
      <c r="E87" s="10"/>
      <c r="F87" s="10"/>
      <c r="G87" s="10"/>
      <c r="H87" s="20"/>
    </row>
    <row r="88" spans="2:8" ht="15">
      <c r="B88" s="21"/>
      <c r="C88" s="16"/>
      <c r="D88" s="10"/>
      <c r="E88" s="10"/>
      <c r="F88" s="10"/>
      <c r="G88" s="10"/>
      <c r="H88" s="20"/>
    </row>
    <row r="89" spans="2:8" ht="15">
      <c r="B89" s="21" t="s">
        <v>90</v>
      </c>
      <c r="C89" s="16" t="s">
        <v>247</v>
      </c>
      <c r="D89" s="10"/>
      <c r="E89" s="10"/>
      <c r="F89" s="10"/>
      <c r="G89" s="10"/>
      <c r="H89" s="20"/>
    </row>
    <row r="90" spans="2:8">
      <c r="B90" s="26"/>
      <c r="C90" s="37"/>
      <c r="D90" s="23"/>
      <c r="E90" s="23"/>
      <c r="F90" s="23"/>
      <c r="G90" s="23"/>
      <c r="H90" s="24"/>
    </row>
  </sheetData>
  <printOptions horizontalCentered="1"/>
  <pageMargins left="0.9055118110236221" right="0.65" top="0.25" bottom="0.23622047244094491" header="0" footer="0"/>
  <pageSetup scale="57" orientation="landscape" horizontalDpi="300" verticalDpi="300" r:id="rId1"/>
  <headerFooter alignWithMargins="0"/>
  <rowBreaks count="1" manualBreakCount="1">
    <brk id="32" min="1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C18"/>
  <sheetViews>
    <sheetView workbookViewId="0">
      <selection activeCell="C16" sqref="C16"/>
    </sheetView>
  </sheetViews>
  <sheetFormatPr baseColWidth="10" defaultColWidth="11.42578125" defaultRowHeight="15"/>
  <cols>
    <col min="1" max="1" width="11.42578125" style="2"/>
    <col min="2" max="2" width="19.85546875" style="2" bestFit="1" customWidth="1"/>
    <col min="3" max="3" width="11.42578125" style="3"/>
    <col min="4" max="16384" width="11.42578125" style="2"/>
  </cols>
  <sheetData>
    <row r="2" spans="2:3">
      <c r="B2" s="1" t="s">
        <v>0</v>
      </c>
    </row>
    <row r="5" spans="2:3">
      <c r="B5" s="2" t="s">
        <v>52</v>
      </c>
      <c r="C5" s="4">
        <v>8.3299999999999999E-2</v>
      </c>
    </row>
    <row r="6" spans="2:3">
      <c r="B6" s="2" t="s">
        <v>51</v>
      </c>
      <c r="C6" s="4">
        <v>8.3299999999999999E-2</v>
      </c>
    </row>
    <row r="7" spans="2:3">
      <c r="B7" s="2" t="s">
        <v>50</v>
      </c>
      <c r="C7" s="4">
        <v>4.1700000000000001E-2</v>
      </c>
    </row>
    <row r="8" spans="2:3">
      <c r="B8" s="2" t="s">
        <v>49</v>
      </c>
      <c r="C8" s="3">
        <v>0</v>
      </c>
    </row>
    <row r="9" spans="2:3">
      <c r="B9" s="2" t="s">
        <v>48</v>
      </c>
      <c r="C9" s="3">
        <v>0.12</v>
      </c>
    </row>
    <row r="10" spans="2:3">
      <c r="B10" s="2" t="s">
        <v>47</v>
      </c>
      <c r="C10" s="3">
        <v>0</v>
      </c>
    </row>
    <row r="11" spans="2:3">
      <c r="B11" s="2" t="s">
        <v>46</v>
      </c>
      <c r="C11" s="3">
        <v>0</v>
      </c>
    </row>
    <row r="12" spans="2:3">
      <c r="B12" s="2" t="s">
        <v>45</v>
      </c>
      <c r="C12" s="3">
        <v>0.01</v>
      </c>
    </row>
    <row r="13" spans="2:3">
      <c r="B13" s="2" t="s">
        <v>44</v>
      </c>
      <c r="C13" s="3">
        <v>0.05</v>
      </c>
    </row>
    <row r="14" spans="2:3">
      <c r="B14" s="2" t="s">
        <v>43</v>
      </c>
      <c r="C14" s="3">
        <v>0.04</v>
      </c>
    </row>
    <row r="15" spans="2:3">
      <c r="B15" s="2" t="s">
        <v>346</v>
      </c>
      <c r="C15" s="3">
        <f>117172/1000000</f>
        <v>0.117172</v>
      </c>
    </row>
    <row r="16" spans="2:3">
      <c r="B16" s="2" t="s">
        <v>42</v>
      </c>
      <c r="C16" s="4">
        <f>SUM(C5:C15)</f>
        <v>0.54547199999999996</v>
      </c>
    </row>
    <row r="18" spans="3:3">
      <c r="C18" s="2"/>
    </row>
  </sheetData>
  <hyperlinks>
    <hyperlink ref="B2" location="MENÚ!A1" display="MENÚ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13</vt:i4>
      </vt:variant>
    </vt:vector>
  </HeadingPairs>
  <TitlesOfParts>
    <vt:vector size="22" baseType="lpstr">
      <vt:lpstr>Menú de Navegación</vt:lpstr>
      <vt:lpstr>Proyecciones</vt:lpstr>
      <vt:lpstr>Indicadores </vt:lpstr>
      <vt:lpstr>Costo De Ventas </vt:lpstr>
      <vt:lpstr>Riesgo Sector</vt:lpstr>
      <vt:lpstr>Escenarios</vt:lpstr>
      <vt:lpstr>PIB</vt:lpstr>
      <vt:lpstr>GUIA</vt:lpstr>
      <vt:lpstr>Nomina</vt:lpstr>
      <vt:lpstr>EBITDA</vt:lpstr>
      <vt:lpstr>ENTRADA</vt:lpstr>
      <vt:lpstr>ER</vt:lpstr>
      <vt:lpstr>ESF</vt:lpstr>
      <vt:lpstr>EVA</vt:lpstr>
      <vt:lpstr>FCL</vt:lpstr>
      <vt:lpstr>MRE</vt:lpstr>
      <vt:lpstr>PROCESO</vt:lpstr>
      <vt:lpstr>PT</vt:lpstr>
      <vt:lpstr>utilidad</vt:lpstr>
      <vt:lpstr>VC</vt:lpstr>
      <vt:lpstr>VP</vt:lpstr>
      <vt:lpstr>WACC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Yadira Gomez</dc:creator>
  <cp:lastModifiedBy>Aida Yadira Gomez</cp:lastModifiedBy>
  <dcterms:created xsi:type="dcterms:W3CDTF">2021-09-23T02:05:51Z</dcterms:created>
  <dcterms:modified xsi:type="dcterms:W3CDTF">2022-03-21T00:37:36Z</dcterms:modified>
</cp:coreProperties>
</file>