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https://constructorameco-my.sharepoint.com/personal/anderson_soto_constructorameco_com/Documents/ADMON/PERSONAL/UPILOTO/FINANZAS/UNIDAD 3/"/>
    </mc:Choice>
  </mc:AlternateContent>
  <xr:revisionPtr revIDLastSave="89" documentId="8_{D8844165-0001-4BE0-BEFE-3B2EDA3F2924}" xr6:coauthVersionLast="46" xr6:coauthVersionMax="46" xr10:uidLastSave="{727AA6A4-B986-467E-8849-BDE4B67297F2}"/>
  <bookViews>
    <workbookView xWindow="-108" yWindow="-108" windowWidth="23256" windowHeight="12576" activeTab="1" xr2:uid="{00000000-000D-0000-FFFF-FFFF00000000}"/>
  </bookViews>
  <sheets>
    <sheet name="Generalidades" sheetId="10" r:id="rId1"/>
    <sheet name="FCL" sheetId="8" r:id="rId2"/>
    <sheet name="Insumos" sheetId="11" r:id="rId3"/>
    <sheet name="Maquinaria" sheetId="12" r:id="rId4"/>
    <sheet name="Recursos Tecnologicos" sheetId="13" r:id="rId5"/>
    <sheet name="Recurso Humano" sheetId="14" r:id="rId6"/>
    <sheet name="Hoja6" sheetId="15" r:id="rId7"/>
    <sheet name="PAQUETE DE TRABAJO" sheetId="16" r:id="rId8"/>
    <sheet name="RiskSim" sheetId="4" state="veryHidden" r:id="rId9"/>
  </sheets>
  <externalReferences>
    <externalReference r:id="rId10"/>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CumulativeOverlay01" hidden="1">0</definedName>
    <definedName name="_AtRisk_SimSetting_ReportOptionCustomItemCumulativeOverlay02" hidden="1">0</definedName>
    <definedName name="_AtRisk_SimSetting_ReportOptionCustomItemCumulativeOverlay03" hidden="1">0</definedName>
    <definedName name="_AtRisk_SimSetting_ReportOptionCustomItemCumulativeOverlay04" hidden="1">0</definedName>
    <definedName name="_AtRisk_SimSetting_ReportOptionCustomItemCumulativeOverlay05" hidden="1">0</definedName>
    <definedName name="_AtRisk_SimSetting_ReportOptionCustomItemCumulativeOverlay06" hidden="1">0</definedName>
    <definedName name="_AtRisk_SimSetting_ReportOptionCustomItemDistributionFormat01" hidden="1">1</definedName>
    <definedName name="_AtRisk_SimSetting_ReportOptionCustomItemDistributionFormat02" hidden="1">1</definedName>
    <definedName name="_AtRisk_SimSetting_ReportOptionCustomItemDistributionFormat03" hidden="1">4</definedName>
    <definedName name="_AtRisk_SimSetting_ReportOptionCustomItemDistributionFormat04" hidden="1">1</definedName>
    <definedName name="_AtRisk_SimSetting_ReportOptionCustomItemDistributionFormat05" hidden="1">1</definedName>
    <definedName name="_AtRisk_SimSetting_ReportOptionCustomItemDistributionFormat06" hidden="1">1</definedName>
    <definedName name="_AtRisk_SimSetting_ReportOptionCustomItemGraphFormat01" hidden="1">1</definedName>
    <definedName name="_AtRisk_SimSetting_ReportOptionCustomItemGraphFormat02" hidden="1">1</definedName>
    <definedName name="_AtRisk_SimSetting_ReportOptionCustomItemGraphFormat03" hidden="1">1</definedName>
    <definedName name="_AtRisk_SimSetting_ReportOptionCustomItemGraphFormat04" hidden="1">1</definedName>
    <definedName name="_AtRisk_SimSetting_ReportOptionCustomItemGraphFormat05" hidden="1">1</definedName>
    <definedName name="_AtRisk_SimSetting_ReportOptionCustomItemGraphFormat06" hidden="1">1</definedName>
    <definedName name="_AtRisk_SimSetting_ReportOptionCustomItemItemSize01" hidden="1">0</definedName>
    <definedName name="_AtRisk_SimSetting_ReportOptionCustomItemItemSize02" hidden="1">0</definedName>
    <definedName name="_AtRisk_SimSetting_ReportOptionCustomItemItemSize03" hidden="1">0</definedName>
    <definedName name="_AtRisk_SimSetting_ReportOptionCustomItemItemSize04" hidden="1">0</definedName>
    <definedName name="_AtRisk_SimSetting_ReportOptionCustomItemItemSize05" hidden="1">0</definedName>
    <definedName name="_AtRisk_SimSetting_ReportOptionCustomItemItemSize06" hidden="1">0</definedName>
    <definedName name="_AtRisk_SimSetting_ReportOptionCustomItemItemType01" hidden="1">1</definedName>
    <definedName name="_AtRisk_SimSetting_ReportOptionCustomItemItemType02" hidden="1">5</definedName>
    <definedName name="_AtRisk_SimSetting_ReportOptionCustomItemItemType03" hidden="1">1</definedName>
    <definedName name="_AtRisk_SimSetting_ReportOptionCustomItemItemType04" hidden="1">3</definedName>
    <definedName name="_AtRisk_SimSetting_ReportOptionCustomItemItemType05" hidden="1">2</definedName>
    <definedName name="_AtRisk_SimSetting_ReportOptionCustomItemItemType06" hidden="1">4</definedName>
    <definedName name="_AtRisk_SimSetting_ReportOptionCustomItemLegendType01" hidden="1">0</definedName>
    <definedName name="_AtRisk_SimSetting_ReportOptionCustomItemLegendType02" hidden="1">0</definedName>
    <definedName name="_AtRisk_SimSetting_ReportOptionCustomItemLegendType03" hidden="1">0</definedName>
    <definedName name="_AtRisk_SimSetting_ReportOptionCustomItemLegendType04" hidden="1">0</definedName>
    <definedName name="_AtRisk_SimSetting_ReportOptionCustomItemLegendType05" hidden="1">0</definedName>
    <definedName name="_AtRisk_SimSetting_ReportOptionCustomItemLegendType06" hidden="1">0</definedName>
    <definedName name="_AtRisk_SimSetting_ReportOptionCustomItemsCount" hidden="1">6</definedName>
    <definedName name="_AtRisk_SimSetting_ReportOptionCustomItemSensitivityFormat01" hidden="1">1</definedName>
    <definedName name="_AtRisk_SimSetting_ReportOptionCustomItemSensitivityFormat02" hidden="1">1</definedName>
    <definedName name="_AtRisk_SimSetting_ReportOptionCustomItemSensitivityFormat03" hidden="1">1</definedName>
    <definedName name="_AtRisk_SimSetting_ReportOptionCustomItemSensitivityFormat04" hidden="1">1</definedName>
    <definedName name="_AtRisk_SimSetting_ReportOptionCustomItemSensitivityFormat05" hidden="1">1</definedName>
    <definedName name="_AtRisk_SimSetting_ReportOptionCustomItemSensitivityFormat06" hidden="1">1</definedName>
    <definedName name="_AtRisk_SimSetting_ReportOptionCustomItemSummaryGraphType01" hidden="1">0</definedName>
    <definedName name="_AtRisk_SimSetting_ReportOptionCustomItemSummaryGraphType02" hidden="1">0</definedName>
    <definedName name="_AtRisk_SimSetting_ReportOptionCustomItemSummaryGraphType03" hidden="1">0</definedName>
    <definedName name="_AtRisk_SimSetting_ReportOptionCustomItemSummaryGraphType04" hidden="1">0</definedName>
    <definedName name="_AtRisk_SimSetting_ReportOptionCustomItemSummaryGraphType05" hidden="1">0</definedName>
    <definedName name="_AtRisk_SimSetting_ReportOptionCustomItemSummaryGraphType06" hidden="1">0</definedName>
    <definedName name="_AtRisk_SimSetting_ReportOptionDataMode" hidden="1">1</definedName>
    <definedName name="_AtRisk_SimSetting_ReportOptionReportMultiSimType" hidden="1">0</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BaseYear">#REF!</definedName>
    <definedName name="CBWorkbookPriority" hidden="1">-1935235038</definedName>
    <definedName name="DiscountRate">#REF!</definedName>
    <definedName name="Erosion">#REF!</definedName>
    <definedName name="GrowthRate">#REF!</definedName>
    <definedName name="Pal_Workbook_GUID" hidden="1">"5P61NNUQI9ZDLQJUKTFUHNLJ"</definedName>
    <definedName name="PrivateRate">#REF!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StartYear">#REF!</definedName>
    <definedName name="TaxR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 i="8" l="1"/>
  <c r="K6" i="8" s="1"/>
  <c r="L6" i="8" s="1"/>
  <c r="M6" i="8" s="1"/>
  <c r="N6" i="8" s="1"/>
  <c r="O6" i="8" s="1"/>
  <c r="P6" i="8" s="1"/>
  <c r="Q6" i="8" s="1"/>
  <c r="R6" i="8" s="1"/>
  <c r="E30" i="16"/>
  <c r="G30" i="16" s="1"/>
  <c r="E29" i="16"/>
  <c r="G29" i="16" s="1"/>
  <c r="E28" i="16"/>
  <c r="G28" i="16" s="1"/>
  <c r="E27" i="16"/>
  <c r="G27" i="16" s="1"/>
  <c r="E26" i="16"/>
  <c r="G26" i="16" s="1"/>
  <c r="E25" i="16"/>
  <c r="F25" i="16" s="1"/>
  <c r="E24" i="16"/>
  <c r="F24" i="16" s="1"/>
  <c r="E23" i="16"/>
  <c r="E22" i="16"/>
  <c r="G22" i="16" s="1"/>
  <c r="G21" i="16"/>
  <c r="F21" i="16"/>
  <c r="E21" i="16"/>
  <c r="E20" i="16"/>
  <c r="G20" i="16" s="1"/>
  <c r="E19" i="16"/>
  <c r="G19" i="16" s="1"/>
  <c r="E18" i="16"/>
  <c r="G18" i="16" s="1"/>
  <c r="E17" i="16"/>
  <c r="G17" i="16" s="1"/>
  <c r="G16" i="16"/>
  <c r="E16" i="16"/>
  <c r="E15" i="16"/>
  <c r="G15" i="16" s="1"/>
  <c r="E14" i="16"/>
  <c r="G14" i="16" s="1"/>
  <c r="E13" i="16"/>
  <c r="G13" i="16" s="1"/>
  <c r="E12" i="16"/>
  <c r="G12" i="16" s="1"/>
  <c r="E11" i="16"/>
  <c r="G11" i="16" s="1"/>
  <c r="E10" i="16"/>
  <c r="G10" i="16" s="1"/>
  <c r="E9" i="16"/>
  <c r="G9" i="16" s="1"/>
  <c r="E8" i="16"/>
  <c r="G7" i="16"/>
  <c r="F7" i="16"/>
  <c r="E7" i="16"/>
  <c r="E6" i="16"/>
  <c r="E5" i="16"/>
  <c r="G5" i="16" s="1"/>
  <c r="E4" i="16"/>
  <c r="G4" i="16" s="1"/>
  <c r="L20" i="8"/>
  <c r="K20" i="8"/>
  <c r="J20" i="8"/>
  <c r="G25" i="16" l="1"/>
  <c r="H12" i="16"/>
  <c r="F14" i="16"/>
  <c r="H4" i="16"/>
  <c r="F20" i="16"/>
  <c r="H17" i="16"/>
  <c r="G23" i="16"/>
  <c r="H23" i="16" s="1"/>
  <c r="H20" i="16"/>
  <c r="H31" i="16" s="1"/>
  <c r="H26" i="16"/>
  <c r="F19" i="16"/>
  <c r="F23" i="16"/>
  <c r="F30" i="16"/>
  <c r="F17" i="16"/>
  <c r="F18" i="16"/>
  <c r="F26" i="16"/>
  <c r="F29" i="16"/>
  <c r="H32" i="16" l="1"/>
  <c r="H33" i="16"/>
  <c r="H34" i="16" l="1"/>
  <c r="H35" i="16" s="1"/>
  <c r="C112" i="8" l="1"/>
  <c r="C95" i="8"/>
  <c r="I12" i="8"/>
  <c r="J12" i="8" s="1"/>
  <c r="K12" i="8" s="1"/>
  <c r="L12" i="8" s="1"/>
  <c r="M12" i="8" s="1"/>
  <c r="N12" i="8" s="1"/>
  <c r="O12" i="8" s="1"/>
  <c r="P12" i="8" s="1"/>
  <c r="Q12" i="8" s="1"/>
  <c r="R12" i="8" s="1"/>
  <c r="I11" i="8"/>
  <c r="I9" i="8"/>
  <c r="J9" i="8" s="1"/>
  <c r="K9" i="8" s="1"/>
  <c r="L9" i="8" s="1"/>
  <c r="M9" i="8" s="1"/>
  <c r="N9" i="8" s="1"/>
  <c r="O9" i="8" s="1"/>
  <c r="P9" i="8" s="1"/>
  <c r="Q9" i="8" s="1"/>
  <c r="R9" i="8" s="1"/>
  <c r="I8" i="8"/>
  <c r="J8" i="8" s="1"/>
  <c r="K8" i="8" s="1"/>
  <c r="L8" i="8" s="1"/>
  <c r="M8" i="8" s="1"/>
  <c r="N8" i="8" s="1"/>
  <c r="O8" i="8" s="1"/>
  <c r="P8" i="8" s="1"/>
  <c r="Q8" i="8" s="1"/>
  <c r="R8" i="8" s="1"/>
  <c r="J27" i="15"/>
  <c r="G26" i="15"/>
  <c r="I26" i="15" s="1"/>
  <c r="J26" i="15" s="1"/>
  <c r="J23" i="15"/>
  <c r="G22" i="15"/>
  <c r="I22" i="15" s="1"/>
  <c r="J22" i="15" s="1"/>
  <c r="J20" i="15"/>
  <c r="G19" i="15"/>
  <c r="I19" i="15" s="1"/>
  <c r="J19" i="15" s="1"/>
  <c r="C8" i="8"/>
  <c r="J16" i="15"/>
  <c r="G15" i="15"/>
  <c r="I15" i="15" s="1"/>
  <c r="J15" i="15" s="1"/>
  <c r="J12" i="15"/>
  <c r="G11" i="15"/>
  <c r="I11" i="15" s="1"/>
  <c r="J11" i="15" s="1"/>
  <c r="J8" i="15"/>
  <c r="G7" i="15"/>
  <c r="I7" i="15" s="1"/>
  <c r="J7" i="15" s="1"/>
  <c r="I7" i="8"/>
  <c r="I66" i="8" s="1"/>
  <c r="I71" i="8" s="1"/>
  <c r="H72" i="8" s="1"/>
  <c r="H18" i="8" s="1"/>
  <c r="J4" i="15"/>
  <c r="I3" i="15"/>
  <c r="J3" i="15" s="1"/>
  <c r="G3" i="15"/>
  <c r="H57" i="8"/>
  <c r="P58" i="8" s="1"/>
  <c r="P60" i="8" s="1"/>
  <c r="O34" i="8"/>
  <c r="P34" i="8"/>
  <c r="Q34" i="8"/>
  <c r="R34" i="8"/>
  <c r="I34" i="8"/>
  <c r="H28" i="8"/>
  <c r="V59" i="14"/>
  <c r="U59" i="14"/>
  <c r="T59" i="14"/>
  <c r="S59" i="14"/>
  <c r="W59" i="14" s="1"/>
  <c r="Q59" i="14"/>
  <c r="P59" i="14"/>
  <c r="R59" i="14" s="1"/>
  <c r="O59" i="14"/>
  <c r="N59" i="14"/>
  <c r="M59" i="14"/>
  <c r="L59" i="14"/>
  <c r="J59" i="14"/>
  <c r="I59" i="14"/>
  <c r="H59" i="14"/>
  <c r="K59" i="14" s="1"/>
  <c r="V58" i="14"/>
  <c r="U58" i="14"/>
  <c r="T58" i="14"/>
  <c r="S58" i="14"/>
  <c r="W58" i="14" s="1"/>
  <c r="Q58" i="14"/>
  <c r="P58" i="14"/>
  <c r="R58" i="14" s="1"/>
  <c r="O58" i="14"/>
  <c r="N58" i="14"/>
  <c r="M58" i="14"/>
  <c r="L58" i="14"/>
  <c r="J58" i="14"/>
  <c r="I58" i="14"/>
  <c r="H58" i="14"/>
  <c r="K58" i="14" s="1"/>
  <c r="V57" i="14"/>
  <c r="U57" i="14"/>
  <c r="T57" i="14"/>
  <c r="S57" i="14"/>
  <c r="Q57" i="14"/>
  <c r="P57" i="14"/>
  <c r="O57" i="14"/>
  <c r="N57" i="14"/>
  <c r="M57" i="14"/>
  <c r="L57" i="14"/>
  <c r="J57" i="14"/>
  <c r="I57" i="14"/>
  <c r="H57" i="14"/>
  <c r="K57" i="14" s="1"/>
  <c r="V56" i="14"/>
  <c r="W56" i="14" s="1"/>
  <c r="U56" i="14"/>
  <c r="T56" i="14"/>
  <c r="S56" i="14"/>
  <c r="Q56" i="14"/>
  <c r="P56" i="14"/>
  <c r="O56" i="14"/>
  <c r="N56" i="14"/>
  <c r="M56" i="14"/>
  <c r="L56" i="14"/>
  <c r="K56" i="14"/>
  <c r="J56" i="14"/>
  <c r="I56" i="14"/>
  <c r="H56" i="14"/>
  <c r="V55" i="14"/>
  <c r="U55" i="14"/>
  <c r="T55" i="14"/>
  <c r="S55" i="14"/>
  <c r="Q55" i="14"/>
  <c r="P55" i="14"/>
  <c r="O55" i="14"/>
  <c r="N55" i="14"/>
  <c r="M55" i="14"/>
  <c r="L55" i="14"/>
  <c r="K55" i="14"/>
  <c r="J55" i="14"/>
  <c r="I55" i="14"/>
  <c r="H55" i="14"/>
  <c r="V54" i="14"/>
  <c r="U54" i="14"/>
  <c r="T54" i="14"/>
  <c r="S54" i="14"/>
  <c r="W54" i="14" s="1"/>
  <c r="Q54" i="14"/>
  <c r="P54" i="14"/>
  <c r="O54" i="14"/>
  <c r="N54" i="14"/>
  <c r="M54" i="14"/>
  <c r="L54" i="14"/>
  <c r="J54" i="14"/>
  <c r="I54" i="14"/>
  <c r="K54" i="14" s="1"/>
  <c r="H54" i="14"/>
  <c r="V53" i="14"/>
  <c r="U53" i="14"/>
  <c r="T53" i="14"/>
  <c r="S53" i="14"/>
  <c r="Q53" i="14"/>
  <c r="P53" i="14"/>
  <c r="R53" i="14" s="1"/>
  <c r="O53" i="14"/>
  <c r="N53" i="14"/>
  <c r="M53" i="14"/>
  <c r="L53" i="14"/>
  <c r="J53" i="14"/>
  <c r="I53" i="14"/>
  <c r="H53" i="14"/>
  <c r="K53" i="14" s="1"/>
  <c r="V52" i="14"/>
  <c r="U52" i="14"/>
  <c r="T52" i="14"/>
  <c r="S52" i="14"/>
  <c r="Q52" i="14"/>
  <c r="P52" i="14"/>
  <c r="O52" i="14"/>
  <c r="N52" i="14"/>
  <c r="M52" i="14"/>
  <c r="L52" i="14"/>
  <c r="K52" i="14"/>
  <c r="J52" i="14"/>
  <c r="I52" i="14"/>
  <c r="H52" i="14"/>
  <c r="V51" i="14"/>
  <c r="U51" i="14"/>
  <c r="T51" i="14"/>
  <c r="S51" i="14"/>
  <c r="Q51" i="14"/>
  <c r="P51" i="14"/>
  <c r="O51" i="14"/>
  <c r="N51" i="14"/>
  <c r="M51" i="14"/>
  <c r="L51" i="14"/>
  <c r="K51" i="14"/>
  <c r="J51" i="14"/>
  <c r="I51" i="14"/>
  <c r="H51" i="14"/>
  <c r="V50" i="14"/>
  <c r="U50" i="14"/>
  <c r="T50" i="14"/>
  <c r="S50" i="14"/>
  <c r="W50" i="14" s="1"/>
  <c r="Q50" i="14"/>
  <c r="P50" i="14"/>
  <c r="O50" i="14"/>
  <c r="N50" i="14"/>
  <c r="M50" i="14"/>
  <c r="L50" i="14"/>
  <c r="J50" i="14"/>
  <c r="I50" i="14"/>
  <c r="H50" i="14"/>
  <c r="K50" i="14" s="1"/>
  <c r="V49" i="14"/>
  <c r="U49" i="14"/>
  <c r="T49" i="14"/>
  <c r="S49" i="14"/>
  <c r="W49" i="14" s="1"/>
  <c r="Q49" i="14"/>
  <c r="P49" i="14"/>
  <c r="R49" i="14" s="1"/>
  <c r="O49" i="14"/>
  <c r="N49" i="14"/>
  <c r="M49" i="14"/>
  <c r="L49" i="14"/>
  <c r="J49" i="14"/>
  <c r="I49" i="14"/>
  <c r="H49" i="14"/>
  <c r="K49" i="14" s="1"/>
  <c r="V48" i="14"/>
  <c r="U48" i="14"/>
  <c r="T48" i="14"/>
  <c r="S48" i="14"/>
  <c r="Q48" i="14"/>
  <c r="P48" i="14"/>
  <c r="O48" i="14"/>
  <c r="N48" i="14"/>
  <c r="M48" i="14"/>
  <c r="L48" i="14"/>
  <c r="J48" i="14"/>
  <c r="I48" i="14"/>
  <c r="H48" i="14"/>
  <c r="K48" i="14" s="1"/>
  <c r="V47" i="14"/>
  <c r="U47" i="14"/>
  <c r="T47" i="14"/>
  <c r="S47" i="14"/>
  <c r="Q47" i="14"/>
  <c r="P47" i="14"/>
  <c r="R47" i="14" s="1"/>
  <c r="O47" i="14"/>
  <c r="N47" i="14"/>
  <c r="M47" i="14"/>
  <c r="L47" i="14"/>
  <c r="K47" i="14"/>
  <c r="J47" i="14"/>
  <c r="I47" i="14"/>
  <c r="H47" i="14"/>
  <c r="V46" i="14"/>
  <c r="U46" i="14"/>
  <c r="T46" i="14"/>
  <c r="S46" i="14"/>
  <c r="W46" i="14" s="1"/>
  <c r="Q46" i="14"/>
  <c r="P46" i="14"/>
  <c r="O46" i="14"/>
  <c r="N46" i="14"/>
  <c r="M46" i="14"/>
  <c r="L46" i="14"/>
  <c r="J46" i="14"/>
  <c r="I46" i="14"/>
  <c r="H46" i="14"/>
  <c r="K46" i="14" s="1"/>
  <c r="V45" i="14"/>
  <c r="U45" i="14"/>
  <c r="T45" i="14"/>
  <c r="S45" i="14"/>
  <c r="W45" i="14" s="1"/>
  <c r="Q45" i="14"/>
  <c r="P45" i="14"/>
  <c r="O45" i="14"/>
  <c r="N45" i="14"/>
  <c r="R45" i="14" s="1"/>
  <c r="M45" i="14"/>
  <c r="L45" i="14"/>
  <c r="J45" i="14"/>
  <c r="I45" i="14"/>
  <c r="H45" i="14"/>
  <c r="K45" i="14" s="1"/>
  <c r="V44" i="14"/>
  <c r="U44" i="14"/>
  <c r="T44" i="14"/>
  <c r="S44" i="14"/>
  <c r="Q44" i="14"/>
  <c r="P44" i="14"/>
  <c r="O44" i="14"/>
  <c r="N44" i="14"/>
  <c r="M44" i="14"/>
  <c r="L44" i="14"/>
  <c r="J44" i="14"/>
  <c r="I44" i="14"/>
  <c r="H44" i="14"/>
  <c r="K44" i="14" s="1"/>
  <c r="V43" i="14"/>
  <c r="U43" i="14"/>
  <c r="T43" i="14"/>
  <c r="S43" i="14"/>
  <c r="Q43" i="14"/>
  <c r="P43" i="14"/>
  <c r="O43" i="14"/>
  <c r="N43" i="14"/>
  <c r="R43" i="14" s="1"/>
  <c r="M43" i="14"/>
  <c r="L43" i="14"/>
  <c r="K43" i="14"/>
  <c r="J43" i="14"/>
  <c r="I43" i="14"/>
  <c r="H43" i="14"/>
  <c r="V42" i="14"/>
  <c r="U42" i="14"/>
  <c r="T42" i="14"/>
  <c r="S42" i="14"/>
  <c r="Q42" i="14"/>
  <c r="P42" i="14"/>
  <c r="O42" i="14"/>
  <c r="N42" i="14"/>
  <c r="M42" i="14"/>
  <c r="L42" i="14"/>
  <c r="J42" i="14"/>
  <c r="I42" i="14"/>
  <c r="H42" i="14"/>
  <c r="K42" i="14" s="1"/>
  <c r="V41" i="14"/>
  <c r="U41" i="14"/>
  <c r="T41" i="14"/>
  <c r="S41" i="14"/>
  <c r="W41" i="14" s="1"/>
  <c r="Q41" i="14"/>
  <c r="P41" i="14"/>
  <c r="O41" i="14"/>
  <c r="N41" i="14"/>
  <c r="R41" i="14" s="1"/>
  <c r="M41" i="14"/>
  <c r="L41" i="14"/>
  <c r="J41" i="14"/>
  <c r="I41" i="14"/>
  <c r="H41" i="14"/>
  <c r="K41" i="14" s="1"/>
  <c r="V40" i="14"/>
  <c r="U40" i="14"/>
  <c r="T40" i="14"/>
  <c r="S40" i="14"/>
  <c r="Q40" i="14"/>
  <c r="P40" i="14"/>
  <c r="O40" i="14"/>
  <c r="N40" i="14"/>
  <c r="M40" i="14"/>
  <c r="L40" i="14"/>
  <c r="J40" i="14"/>
  <c r="I40" i="14"/>
  <c r="H40" i="14"/>
  <c r="K40" i="14" s="1"/>
  <c r="V39" i="14"/>
  <c r="U39" i="14"/>
  <c r="T39" i="14"/>
  <c r="S39" i="14"/>
  <c r="Q39" i="14"/>
  <c r="P39" i="14"/>
  <c r="O39" i="14"/>
  <c r="N39" i="14"/>
  <c r="M39" i="14"/>
  <c r="L39" i="14"/>
  <c r="K39" i="14"/>
  <c r="J39" i="14"/>
  <c r="I39" i="14"/>
  <c r="H39" i="14"/>
  <c r="V38" i="14"/>
  <c r="U38" i="14"/>
  <c r="T38" i="14"/>
  <c r="S38" i="14"/>
  <c r="W38" i="14" s="1"/>
  <c r="Q38" i="14"/>
  <c r="P38" i="14"/>
  <c r="O38" i="14"/>
  <c r="N38" i="14"/>
  <c r="M38" i="14"/>
  <c r="L38" i="14"/>
  <c r="J38" i="14"/>
  <c r="I38" i="14"/>
  <c r="H38" i="14"/>
  <c r="K38" i="14" s="1"/>
  <c r="V37" i="14"/>
  <c r="U37" i="14"/>
  <c r="T37" i="14"/>
  <c r="S37" i="14"/>
  <c r="W37" i="14" s="1"/>
  <c r="Q37" i="14"/>
  <c r="P37" i="14"/>
  <c r="O37" i="14"/>
  <c r="N37" i="14"/>
  <c r="M37" i="14"/>
  <c r="L37" i="14"/>
  <c r="J37" i="14"/>
  <c r="I37" i="14"/>
  <c r="H37" i="14"/>
  <c r="K37" i="14" s="1"/>
  <c r="V36" i="14"/>
  <c r="U36" i="14"/>
  <c r="T36" i="14"/>
  <c r="S36" i="14"/>
  <c r="Q36" i="14"/>
  <c r="P36" i="14"/>
  <c r="O36" i="14"/>
  <c r="N36" i="14"/>
  <c r="M36" i="14"/>
  <c r="L36" i="14"/>
  <c r="J36" i="14"/>
  <c r="I36" i="14"/>
  <c r="H36" i="14"/>
  <c r="K36" i="14" s="1"/>
  <c r="V35" i="14"/>
  <c r="U35" i="14"/>
  <c r="T35" i="14"/>
  <c r="S35" i="14"/>
  <c r="Q35" i="14"/>
  <c r="P35" i="14"/>
  <c r="O35" i="14"/>
  <c r="N35" i="14"/>
  <c r="M35" i="14"/>
  <c r="L35" i="14"/>
  <c r="K35" i="14"/>
  <c r="J35" i="14"/>
  <c r="I35" i="14"/>
  <c r="H35" i="14"/>
  <c r="V34" i="14"/>
  <c r="U34" i="14"/>
  <c r="T34" i="14"/>
  <c r="S34" i="14"/>
  <c r="W34" i="14" s="1"/>
  <c r="Q34" i="14"/>
  <c r="P34" i="14"/>
  <c r="O34" i="14"/>
  <c r="N34" i="14"/>
  <c r="R34" i="14" s="1"/>
  <c r="M34" i="14"/>
  <c r="L34" i="14"/>
  <c r="J34" i="14"/>
  <c r="K34" i="14" s="1"/>
  <c r="I34" i="14"/>
  <c r="H34" i="14"/>
  <c r="AB28" i="14"/>
  <c r="AB27" i="14"/>
  <c r="AB26" i="14"/>
  <c r="AB25" i="14"/>
  <c r="AB24" i="14"/>
  <c r="AB23" i="14"/>
  <c r="AB22" i="14"/>
  <c r="AB21" i="14"/>
  <c r="AB20" i="14"/>
  <c r="AB19" i="14"/>
  <c r="AB18" i="14"/>
  <c r="AB17" i="14"/>
  <c r="AB16" i="14"/>
  <c r="AB15" i="14"/>
  <c r="AB14" i="14"/>
  <c r="AB13" i="14"/>
  <c r="AB12" i="14"/>
  <c r="AB11" i="14"/>
  <c r="AB10" i="14"/>
  <c r="AB9" i="14"/>
  <c r="AB8" i="14"/>
  <c r="AB7" i="14"/>
  <c r="AB6" i="14"/>
  <c r="AB5" i="14"/>
  <c r="AB4" i="14"/>
  <c r="AB3" i="14"/>
  <c r="E15" i="13"/>
  <c r="F9" i="13"/>
  <c r="F8" i="13"/>
  <c r="F7" i="13"/>
  <c r="F6" i="13"/>
  <c r="F5" i="13"/>
  <c r="F4" i="13"/>
  <c r="F3" i="13"/>
  <c r="H20" i="8"/>
  <c r="D26" i="12"/>
  <c r="C16" i="8" s="1"/>
  <c r="H19" i="8" s="1"/>
  <c r="F17" i="11"/>
  <c r="F16" i="11"/>
  <c r="F15" i="11"/>
  <c r="F14" i="11"/>
  <c r="F13" i="11"/>
  <c r="F12" i="11"/>
  <c r="F11" i="11"/>
  <c r="F10" i="11"/>
  <c r="F9" i="11"/>
  <c r="F8" i="11"/>
  <c r="F7" i="11"/>
  <c r="F6" i="11"/>
  <c r="F5" i="11"/>
  <c r="F4" i="11"/>
  <c r="F3" i="11"/>
  <c r="W35" i="14" l="1"/>
  <c r="R37" i="14"/>
  <c r="W39" i="14"/>
  <c r="W43" i="14"/>
  <c r="W47" i="14"/>
  <c r="R50" i="14"/>
  <c r="W51" i="14"/>
  <c r="R54" i="14"/>
  <c r="X54" i="14" s="1"/>
  <c r="W55" i="14"/>
  <c r="X55" i="14" s="1"/>
  <c r="R36" i="14"/>
  <c r="R40" i="14"/>
  <c r="W42" i="14"/>
  <c r="X42" i="14" s="1"/>
  <c r="R44" i="14"/>
  <c r="X50" i="14"/>
  <c r="X59" i="14"/>
  <c r="Y59" i="14" s="1"/>
  <c r="R57" i="14"/>
  <c r="F18" i="11"/>
  <c r="R35" i="14"/>
  <c r="R39" i="14"/>
  <c r="X39" i="14" s="1"/>
  <c r="R48" i="14"/>
  <c r="R52" i="14"/>
  <c r="W53" i="14"/>
  <c r="X53" i="14" s="1"/>
  <c r="R56" i="14"/>
  <c r="X56" i="14" s="1"/>
  <c r="F10" i="13"/>
  <c r="W57" i="14"/>
  <c r="W36" i="14"/>
  <c r="R38" i="14"/>
  <c r="W40" i="14"/>
  <c r="R42" i="14"/>
  <c r="W44" i="14"/>
  <c r="X44" i="14" s="1"/>
  <c r="R46" i="14"/>
  <c r="X46" i="14" s="1"/>
  <c r="W48" i="14"/>
  <c r="X48" i="14" s="1"/>
  <c r="Y48" i="14" s="1"/>
  <c r="R51" i="14"/>
  <c r="W52" i="14"/>
  <c r="R55" i="14"/>
  <c r="C54" i="8"/>
  <c r="H48" i="8"/>
  <c r="J7" i="8"/>
  <c r="J66" i="8" s="1"/>
  <c r="J71" i="8" s="1"/>
  <c r="J11" i="8"/>
  <c r="O58" i="8"/>
  <c r="O60" i="8" s="1"/>
  <c r="R58" i="8"/>
  <c r="R60" i="8" s="1"/>
  <c r="Q58" i="8"/>
  <c r="Q60" i="8" s="1"/>
  <c r="K7" i="8"/>
  <c r="K66" i="8" s="1"/>
  <c r="I58" i="8"/>
  <c r="I60" i="8" s="1"/>
  <c r="L7" i="8"/>
  <c r="L66" i="8" s="1"/>
  <c r="X34" i="14"/>
  <c r="X36" i="14"/>
  <c r="X38" i="14"/>
  <c r="X40" i="14"/>
  <c r="F50" i="14"/>
  <c r="G50" i="14" s="1"/>
  <c r="Y50" i="14"/>
  <c r="X58" i="14"/>
  <c r="X35" i="14"/>
  <c r="X37" i="14"/>
  <c r="X41" i="14"/>
  <c r="X43" i="14"/>
  <c r="X45" i="14"/>
  <c r="X47" i="14"/>
  <c r="X49" i="14"/>
  <c r="X51" i="14"/>
  <c r="K11" i="8" l="1"/>
  <c r="I72" i="8"/>
  <c r="I18" i="8" s="1"/>
  <c r="F54" i="14"/>
  <c r="G54" i="14" s="1"/>
  <c r="Y54" i="14"/>
  <c r="Y56" i="14"/>
  <c r="F56" i="14"/>
  <c r="G56" i="14" s="1"/>
  <c r="F48" i="14"/>
  <c r="G48" i="14" s="1"/>
  <c r="F59" i="14"/>
  <c r="G59" i="14" s="1"/>
  <c r="O10" i="8"/>
  <c r="X52" i="14"/>
  <c r="X57" i="14"/>
  <c r="P10" i="8"/>
  <c r="M7" i="8"/>
  <c r="M66" i="8" s="1"/>
  <c r="F37" i="14"/>
  <c r="G37" i="14" s="1"/>
  <c r="Y37" i="14"/>
  <c r="F43" i="14"/>
  <c r="G43" i="14" s="1"/>
  <c r="Y43" i="14"/>
  <c r="F49" i="14"/>
  <c r="G49" i="14" s="1"/>
  <c r="Y49" i="14"/>
  <c r="F58" i="14"/>
  <c r="G58" i="14" s="1"/>
  <c r="Y58" i="14"/>
  <c r="F44" i="14"/>
  <c r="G44" i="14" s="1"/>
  <c r="Y44" i="14"/>
  <c r="F36" i="14"/>
  <c r="G36" i="14" s="1"/>
  <c r="Y36" i="14"/>
  <c r="F53" i="14"/>
  <c r="G53" i="14" s="1"/>
  <c r="Y53" i="14"/>
  <c r="F45" i="14"/>
  <c r="G45" i="14" s="1"/>
  <c r="Y45" i="14"/>
  <c r="F40" i="14"/>
  <c r="G40" i="14" s="1"/>
  <c r="Y40" i="14"/>
  <c r="F51" i="14"/>
  <c r="G51" i="14" s="1"/>
  <c r="Y51" i="14"/>
  <c r="F35" i="14"/>
  <c r="G35" i="14" s="1"/>
  <c r="Y35" i="14"/>
  <c r="F46" i="14"/>
  <c r="G46" i="14" s="1"/>
  <c r="Y46" i="14"/>
  <c r="F38" i="14"/>
  <c r="G38" i="14" s="1"/>
  <c r="Y38" i="14"/>
  <c r="F41" i="14"/>
  <c r="G41" i="14" s="1"/>
  <c r="Y41" i="14"/>
  <c r="F55" i="14"/>
  <c r="G55" i="14" s="1"/>
  <c r="Y55" i="14"/>
  <c r="F47" i="14"/>
  <c r="G47" i="14" s="1"/>
  <c r="Y47" i="14"/>
  <c r="F39" i="14"/>
  <c r="G39" i="14" s="1"/>
  <c r="Y39" i="14"/>
  <c r="F42" i="14"/>
  <c r="G42" i="14" s="1"/>
  <c r="Y42" i="14"/>
  <c r="F34" i="14"/>
  <c r="G34" i="14" s="1"/>
  <c r="Y34" i="14"/>
  <c r="L11" i="8" l="1"/>
  <c r="F52" i="14"/>
  <c r="G52" i="14" s="1"/>
  <c r="Y52" i="14"/>
  <c r="F57" i="14"/>
  <c r="G57" i="14" s="1"/>
  <c r="Y57" i="14"/>
  <c r="Q10" i="8"/>
  <c r="R10" i="8"/>
  <c r="N7" i="8"/>
  <c r="N66" i="8" s="1"/>
  <c r="M11" i="8" l="1"/>
  <c r="O7" i="8"/>
  <c r="N11" i="8" l="1"/>
  <c r="O66" i="8"/>
  <c r="P7" i="8"/>
  <c r="O11" i="8" l="1"/>
  <c r="P66" i="8"/>
  <c r="Q7" i="8"/>
  <c r="R7" i="8"/>
  <c r="P11" i="8" l="1"/>
  <c r="R66" i="8"/>
  <c r="Q66" i="8"/>
  <c r="H17" i="8"/>
  <c r="C103" i="8" s="1"/>
  <c r="I20" i="8"/>
  <c r="J34" i="8"/>
  <c r="K34" i="8"/>
  <c r="L34" i="8"/>
  <c r="M34" i="8"/>
  <c r="N34" i="8"/>
  <c r="H49" i="8"/>
  <c r="I49" i="8" s="1"/>
  <c r="Q11" i="8" l="1"/>
  <c r="I51" i="8"/>
  <c r="I36" i="8" s="1"/>
  <c r="P49" i="8"/>
  <c r="P51" i="8" s="1"/>
  <c r="Q49" i="8"/>
  <c r="Q51" i="8" s="1"/>
  <c r="R49" i="8"/>
  <c r="R51" i="8" s="1"/>
  <c r="O49" i="8"/>
  <c r="O51" i="8" s="1"/>
  <c r="L58" i="8"/>
  <c r="L60" i="8" s="1"/>
  <c r="L49" i="8"/>
  <c r="L51" i="8" s="1"/>
  <c r="K49" i="8"/>
  <c r="K51" i="8" s="1"/>
  <c r="K58" i="8"/>
  <c r="K60" i="8" s="1"/>
  <c r="N49" i="8"/>
  <c r="N51" i="8" s="1"/>
  <c r="J49" i="8"/>
  <c r="J51" i="8" s="1"/>
  <c r="N58" i="8"/>
  <c r="N60" i="8" s="1"/>
  <c r="J58" i="8"/>
  <c r="J60" i="8" s="1"/>
  <c r="M49" i="8"/>
  <c r="M51" i="8" s="1"/>
  <c r="M58" i="8"/>
  <c r="M60" i="8" s="1"/>
  <c r="R11" i="8" l="1"/>
  <c r="R36" i="8"/>
  <c r="P36" i="8"/>
  <c r="O36" i="8"/>
  <c r="Q36" i="8"/>
  <c r="L36" i="8"/>
  <c r="N36" i="8" l="1"/>
  <c r="K36" i="8"/>
  <c r="J36" i="8"/>
  <c r="M36" i="8"/>
  <c r="I10" i="8" l="1"/>
  <c r="H76" i="8"/>
  <c r="C92" i="8" s="1"/>
  <c r="H75" i="8"/>
  <c r="G80" i="8" s="1"/>
  <c r="C11" i="8"/>
  <c r="C7" i="8" s="1"/>
  <c r="H83" i="8" l="1"/>
  <c r="H87" i="8"/>
  <c r="M93" i="8" s="1"/>
  <c r="O22" i="8" s="1"/>
  <c r="H85" i="8"/>
  <c r="K93" i="8" s="1"/>
  <c r="M22" i="8" s="1"/>
  <c r="H89" i="8"/>
  <c r="O93" i="8" s="1"/>
  <c r="Q22" i="8" s="1"/>
  <c r="H86" i="8"/>
  <c r="H90" i="8"/>
  <c r="P93" i="8" s="1"/>
  <c r="R22" i="8" s="1"/>
  <c r="H82" i="8"/>
  <c r="H84" i="8"/>
  <c r="H88" i="8"/>
  <c r="N93" i="8" s="1"/>
  <c r="P22" i="8" s="1"/>
  <c r="H81" i="8"/>
  <c r="I81" i="8"/>
  <c r="H22" i="8"/>
  <c r="C85" i="8" s="1"/>
  <c r="J10" i="8"/>
  <c r="L10" i="8"/>
  <c r="N10" i="8"/>
  <c r="M10" i="8"/>
  <c r="K10" i="8"/>
  <c r="J81" i="8" l="1"/>
  <c r="G81" i="8"/>
  <c r="I82" i="8" s="1"/>
  <c r="J82" i="8" s="1"/>
  <c r="G93" i="8"/>
  <c r="I22" i="8" s="1"/>
  <c r="L93" i="8"/>
  <c r="N22" i="8" s="1"/>
  <c r="H21" i="8"/>
  <c r="C87" i="8" s="1"/>
  <c r="C86" i="8" l="1"/>
  <c r="C90" i="8" s="1"/>
  <c r="C89" i="8"/>
  <c r="G82" i="8"/>
  <c r="I93" i="8"/>
  <c r="K22" i="8" s="1"/>
  <c r="H93" i="8"/>
  <c r="J22" i="8" s="1"/>
  <c r="C97" i="8" l="1"/>
  <c r="C104" i="8" s="1"/>
  <c r="I83" i="8"/>
  <c r="J83" i="8" s="1"/>
  <c r="G83" i="8"/>
  <c r="H25" i="8"/>
  <c r="C111" i="8" s="1"/>
  <c r="G94" i="8"/>
  <c r="I13" i="8" s="1"/>
  <c r="I14" i="8" s="1"/>
  <c r="I15" i="8" s="1"/>
  <c r="G84" i="8" l="1"/>
  <c r="I84" i="8"/>
  <c r="J84" i="8" s="1"/>
  <c r="G95" i="8"/>
  <c r="I24" i="8" s="1"/>
  <c r="G85" i="8" l="1"/>
  <c r="I85" i="8"/>
  <c r="J85" i="8" s="1"/>
  <c r="I35" i="8"/>
  <c r="I37" i="8" s="1"/>
  <c r="H94" i="8"/>
  <c r="H95" i="8" l="1"/>
  <c r="J13" i="8"/>
  <c r="J14" i="8" s="1"/>
  <c r="J15" i="8" s="1"/>
  <c r="J35" i="8" s="1"/>
  <c r="J37" i="8" s="1"/>
  <c r="J39" i="8" s="1"/>
  <c r="J16" i="8" s="1"/>
  <c r="J17" i="8" s="1"/>
  <c r="G86" i="8"/>
  <c r="I86" i="8"/>
  <c r="J86" i="8" s="1"/>
  <c r="J24" i="8"/>
  <c r="I39" i="8"/>
  <c r="I16" i="8" s="1"/>
  <c r="I17" i="8" s="1"/>
  <c r="E103" i="8" l="1"/>
  <c r="G87" i="8"/>
  <c r="I87" i="8"/>
  <c r="J87" i="8" s="1"/>
  <c r="I94" i="8"/>
  <c r="I95" i="8" l="1"/>
  <c r="K24" i="8" s="1"/>
  <c r="K13" i="8"/>
  <c r="K14" i="8" s="1"/>
  <c r="I21" i="8"/>
  <c r="D103" i="8"/>
  <c r="G88" i="8"/>
  <c r="I88" i="8"/>
  <c r="J88" i="8" s="1"/>
  <c r="J94" i="8"/>
  <c r="J95" i="8" l="1"/>
  <c r="L13" i="8"/>
  <c r="L14" i="8" s="1"/>
  <c r="K70" i="8"/>
  <c r="K71" i="8" s="1"/>
  <c r="J72" i="8" s="1"/>
  <c r="J18" i="8" s="1"/>
  <c r="J21" i="8" s="1"/>
  <c r="J25" i="8" s="1"/>
  <c r="E111" i="8" s="1"/>
  <c r="K15" i="8"/>
  <c r="K35" i="8" s="1"/>
  <c r="K37" i="8" s="1"/>
  <c r="K39" i="8" s="1"/>
  <c r="K16" i="8" s="1"/>
  <c r="K17" i="8" s="1"/>
  <c r="I25" i="8"/>
  <c r="D111" i="8" s="1"/>
  <c r="G89" i="8"/>
  <c r="I89" i="8"/>
  <c r="J89" i="8" s="1"/>
  <c r="L24" i="8"/>
  <c r="J93" i="8"/>
  <c r="L22" i="8" s="1"/>
  <c r="F103" i="8" l="1"/>
  <c r="L70" i="8"/>
  <c r="L71" i="8" s="1"/>
  <c r="K72" i="8" s="1"/>
  <c r="K18" i="8" s="1"/>
  <c r="K21" i="8" s="1"/>
  <c r="L15" i="8"/>
  <c r="L35" i="8" s="1"/>
  <c r="L37" i="8" s="1"/>
  <c r="L39" i="8" s="1"/>
  <c r="L16" i="8" s="1"/>
  <c r="L17" i="8" s="1"/>
  <c r="G90" i="8"/>
  <c r="I90" i="8"/>
  <c r="J90" i="8" s="1"/>
  <c r="K94" i="8"/>
  <c r="K25" i="8" l="1"/>
  <c r="F111" i="8" s="1"/>
  <c r="K95" i="8"/>
  <c r="M24" i="8" s="1"/>
  <c r="M13" i="8"/>
  <c r="M14" i="8" s="1"/>
  <c r="G103" i="8"/>
  <c r="M70" i="8" l="1"/>
  <c r="M71" i="8" s="1"/>
  <c r="L72" i="8" s="1"/>
  <c r="L18" i="8" s="1"/>
  <c r="L21" i="8" s="1"/>
  <c r="M15" i="8"/>
  <c r="M35" i="8" s="1"/>
  <c r="M37" i="8" s="1"/>
  <c r="M39" i="8" s="1"/>
  <c r="M16" i="8" s="1"/>
  <c r="M17" i="8" s="1"/>
  <c r="H103" i="8" l="1"/>
  <c r="L25" i="8"/>
  <c r="G111" i="8" s="1"/>
  <c r="L94" i="8"/>
  <c r="N13" i="8" s="1"/>
  <c r="N14" i="8" s="1"/>
  <c r="N70" i="8" l="1"/>
  <c r="N71" i="8" s="1"/>
  <c r="N15" i="8"/>
  <c r="N35" i="8" s="1"/>
  <c r="N37" i="8" s="1"/>
  <c r="N39" i="8" s="1"/>
  <c r="N16" i="8" s="1"/>
  <c r="N17" i="8" s="1"/>
  <c r="L95" i="8"/>
  <c r="N24" i="8" s="1"/>
  <c r="M94" i="8"/>
  <c r="O13" i="8" s="1"/>
  <c r="O14" i="8" s="1"/>
  <c r="O70" i="8" l="1"/>
  <c r="O71" i="8" s="1"/>
  <c r="N72" i="8" s="1"/>
  <c r="N18" i="8" s="1"/>
  <c r="N21" i="8" s="1"/>
  <c r="N25" i="8" s="1"/>
  <c r="I111" i="8" s="1"/>
  <c r="O15" i="8"/>
  <c r="O35" i="8" s="1"/>
  <c r="O37" i="8" s="1"/>
  <c r="O39" i="8" s="1"/>
  <c r="O16" i="8" s="1"/>
  <c r="O17" i="8" s="1"/>
  <c r="I103" i="8"/>
  <c r="M72" i="8"/>
  <c r="M18" i="8" s="1"/>
  <c r="M21" i="8" s="1"/>
  <c r="N94" i="8"/>
  <c r="P13" i="8" s="1"/>
  <c r="P14" i="8" s="1"/>
  <c r="M95" i="8"/>
  <c r="O24" i="8" s="1"/>
  <c r="M25" i="8" l="1"/>
  <c r="H111" i="8" s="1"/>
  <c r="P15" i="8"/>
  <c r="P35" i="8" s="1"/>
  <c r="P37" i="8" s="1"/>
  <c r="P39" i="8" s="1"/>
  <c r="P16" i="8" s="1"/>
  <c r="P17" i="8" s="1"/>
  <c r="P70" i="8"/>
  <c r="P71" i="8" s="1"/>
  <c r="O72" i="8" s="1"/>
  <c r="O18" i="8" s="1"/>
  <c r="O21" i="8" s="1"/>
  <c r="O25" i="8" s="1"/>
  <c r="J111" i="8" s="1"/>
  <c r="J103" i="8"/>
  <c r="N95" i="8"/>
  <c r="P24" i="8" s="1"/>
  <c r="O94" i="8"/>
  <c r="Q13" i="8" s="1"/>
  <c r="Q14" i="8" s="1"/>
  <c r="K103" i="8" l="1"/>
  <c r="Q70" i="8"/>
  <c r="Q71" i="8" s="1"/>
  <c r="P72" i="8" s="1"/>
  <c r="P18" i="8" s="1"/>
  <c r="P21" i="8" s="1"/>
  <c r="Q15" i="8"/>
  <c r="Q35" i="8" s="1"/>
  <c r="Q37" i="8" s="1"/>
  <c r="Q39" i="8" s="1"/>
  <c r="Q16" i="8" s="1"/>
  <c r="Q17" i="8" s="1"/>
  <c r="L103" i="8" s="1"/>
  <c r="O95" i="8"/>
  <c r="Q24" i="8" s="1"/>
  <c r="P94" i="8"/>
  <c r="R13" i="8" s="1"/>
  <c r="R14" i="8" s="1"/>
  <c r="P25" i="8" l="1"/>
  <c r="K111" i="8" s="1"/>
  <c r="R70" i="8"/>
  <c r="R71" i="8" s="1"/>
  <c r="R15" i="8"/>
  <c r="R35" i="8" s="1"/>
  <c r="R37" i="8" s="1"/>
  <c r="R39" i="8" s="1"/>
  <c r="R16" i="8" s="1"/>
  <c r="R17" i="8" s="1"/>
  <c r="M103" i="8" s="1"/>
  <c r="C105" i="8" s="1"/>
  <c r="P95" i="8"/>
  <c r="R24" i="8" s="1"/>
  <c r="Q72" i="8" l="1"/>
  <c r="Q18" i="8" s="1"/>
  <c r="Q21" i="8" s="1"/>
  <c r="Q25" i="8" s="1"/>
  <c r="L111" i="8" s="1"/>
  <c r="R72" i="8"/>
  <c r="R18" i="8" s="1"/>
  <c r="R21" i="8" s="1"/>
  <c r="R25" i="8" s="1"/>
  <c r="M111" i="8" s="1"/>
  <c r="C113" i="8" s="1"/>
  <c r="H30" i="8" l="1"/>
  <c r="H29"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CARLOS SUAREZ</author>
    <author>Monica Alejandra Espinosa Guzman</author>
  </authors>
  <commentList>
    <comment ref="J6" authorId="0" shapeId="0" xr:uid="{00000000-0006-0000-0100-000001000000}">
      <text>
        <r>
          <rPr>
            <b/>
            <sz val="9"/>
            <color indexed="81"/>
            <rFont val="Tahoma"/>
            <family val="2"/>
          </rPr>
          <t>Precio de venta con el incremento del IPC</t>
        </r>
        <r>
          <rPr>
            <sz val="9"/>
            <color indexed="81"/>
            <rFont val="Tahoma"/>
            <family val="2"/>
          </rPr>
          <t xml:space="preserve">
</t>
        </r>
      </text>
    </comment>
    <comment ref="C7" authorId="0" shapeId="0" xr:uid="{00000000-0006-0000-0100-000002000000}">
      <text>
        <r>
          <rPr>
            <sz val="9"/>
            <color indexed="81"/>
            <rFont val="Tahoma"/>
            <family val="2"/>
          </rPr>
          <t xml:space="preserve">Es el presupuesto establecido para todo el montaje por el periodo del montaje del proyecto(maquinaria+recurso humano+equipos y recursos tecnologicos)
</t>
        </r>
      </text>
    </comment>
    <comment ref="C16" authorId="0" shapeId="0" xr:uid="{00000000-0006-0000-0100-000003000000}">
      <text>
        <r>
          <rPr>
            <b/>
            <sz val="9"/>
            <color indexed="81"/>
            <rFont val="Tahoma"/>
            <family val="2"/>
          </rPr>
          <t>Compra de la maquinaria</t>
        </r>
      </text>
    </comment>
    <comment ref="G16" authorId="0" shapeId="0" xr:uid="{00000000-0006-0000-0100-000004000000}">
      <text>
        <r>
          <rPr>
            <sz val="9"/>
            <color indexed="81"/>
            <rFont val="Tahoma"/>
            <family val="2"/>
          </rPr>
          <t xml:space="preserve">UAII=Utilidad Antes de Interes e Impuestos
</t>
        </r>
      </text>
    </comment>
    <comment ref="H22" authorId="0" shapeId="0" xr:uid="{00000000-0006-0000-0100-000005000000}">
      <text>
        <r>
          <rPr>
            <b/>
            <sz val="9"/>
            <color indexed="81"/>
            <rFont val="Tahoma"/>
            <family val="2"/>
          </rPr>
          <t>CARLOS SUAREZ:</t>
        </r>
        <r>
          <rPr>
            <sz val="9"/>
            <color indexed="81"/>
            <rFont val="Tahoma"/>
            <family val="2"/>
          </rPr>
          <t xml:space="preserve">
Se asumió que se hizo un prestamo con el banco por 10 años para la compra de maquinaria y equipo.
Una tasa efectiva anual del 14% lo que corresponde al 1,1 Mensual.</t>
        </r>
      </text>
    </comment>
    <comment ref="C23" authorId="0" shapeId="0" xr:uid="{00000000-0006-0000-0100-000006000000}">
      <text>
        <r>
          <rPr>
            <b/>
            <sz val="9"/>
            <color indexed="81"/>
            <rFont val="Tahoma"/>
            <family val="2"/>
          </rPr>
          <t>Corresponde a los costos directos de fabricación</t>
        </r>
      </text>
    </comment>
    <comment ref="C24" authorId="0" shapeId="0" xr:uid="{00000000-0006-0000-0100-000007000000}">
      <text>
        <r>
          <rPr>
            <b/>
            <sz val="9"/>
            <color indexed="81"/>
            <rFont val="Tahoma"/>
            <family val="2"/>
          </rPr>
          <t>Costo de Recurso Humano del montaje</t>
        </r>
      </text>
    </comment>
    <comment ref="C26" authorId="0" shapeId="0" xr:uid="{00000000-0006-0000-0100-000008000000}">
      <text>
        <r>
          <rPr>
            <b/>
            <sz val="9"/>
            <color indexed="81"/>
            <rFont val="Tahoma"/>
            <family val="2"/>
          </rPr>
          <t xml:space="preserve">Corresponde a los gastos variables y administativa </t>
        </r>
        <r>
          <rPr>
            <sz val="9"/>
            <color indexed="81"/>
            <rFont val="Tahoma"/>
            <family val="2"/>
          </rPr>
          <t xml:space="preserve">
</t>
        </r>
      </text>
    </comment>
    <comment ref="C27" authorId="0" shapeId="0" xr:uid="{00000000-0006-0000-0100-000009000000}">
      <text>
        <r>
          <rPr>
            <b/>
            <sz val="9"/>
            <color indexed="81"/>
            <rFont val="Tahoma"/>
            <family val="2"/>
          </rPr>
          <t>Gastos de logistica y transporte</t>
        </r>
      </text>
    </comment>
    <comment ref="H28" authorId="0" shapeId="0" xr:uid="{00000000-0006-0000-0100-00000A000000}">
      <text>
        <r>
          <rPr>
            <b/>
            <sz val="9"/>
            <color indexed="81"/>
            <rFont val="Tahoma"/>
            <family val="2"/>
          </rPr>
          <t>CARLOS SUAREZ:</t>
        </r>
        <r>
          <rPr>
            <sz val="9"/>
            <color indexed="81"/>
            <rFont val="Tahoma"/>
            <family val="2"/>
          </rPr>
          <t xml:space="preserve">
Esta tasa la que definen los socios que quieren ganar del proyecto. </t>
        </r>
      </text>
    </comment>
    <comment ref="B44" authorId="1" shapeId="0" xr:uid="{00000000-0006-0000-0100-00000B000000}">
      <text>
        <r>
          <rPr>
            <sz val="9"/>
            <color indexed="81"/>
            <rFont val="Tahoma"/>
            <family val="2"/>
          </rPr>
          <t xml:space="preserve">
calcular el cargo de depreciación y amortización se utilizará el método de la línea recta</t>
        </r>
      </text>
    </comment>
    <comment ref="B62" authorId="1" shapeId="0" xr:uid="{00000000-0006-0000-0100-00000C000000}">
      <text>
        <r>
          <rPr>
            <sz val="9"/>
            <color indexed="81"/>
            <rFont val="Tahoma"/>
            <family val="2"/>
          </rPr>
          <t xml:space="preserve">Se entiende por Gastos Generales de Fabricación el conjunto de costes indirectos relacionados con la elaboración del producto, entendiendo por costes indirectos aquellos que se conocen de forma global, que no se pueden imputar por unidad producida. 
</t>
        </r>
      </text>
    </comment>
    <comment ref="G65" authorId="0" shapeId="0" xr:uid="{00000000-0006-0000-0100-00000D000000}">
      <text>
        <r>
          <rPr>
            <b/>
            <sz val="9"/>
            <color indexed="81"/>
            <rFont val="Tahoma"/>
            <family val="2"/>
          </rPr>
          <t>CARLOS SUAREZ:</t>
        </r>
        <r>
          <rPr>
            <sz val="9"/>
            <color indexed="81"/>
            <rFont val="Tahoma"/>
            <family val="2"/>
          </rPr>
          <t xml:space="preserve">
 Corresponde a las ventas a credito, se puede asumir que el 20% de los ingresos recibidos son a crédito.</t>
        </r>
      </text>
    </comment>
  </commentList>
</comments>
</file>

<file path=xl/sharedStrings.xml><?xml version="1.0" encoding="utf-8"?>
<sst xmlns="http://schemas.openxmlformats.org/spreadsheetml/2006/main" count="675" uniqueCount="561">
  <si>
    <t>años</t>
  </si>
  <si>
    <t>Ingresos</t>
  </si>
  <si>
    <t>Año</t>
  </si>
  <si>
    <t>VPN</t>
  </si>
  <si>
    <t>Ventas minima (ton)</t>
  </si>
  <si>
    <t xml:space="preserve">EA </t>
  </si>
  <si>
    <t xml:space="preserve">Depreciación </t>
  </si>
  <si>
    <t xml:space="preserve">monto </t>
  </si>
  <si>
    <t>Intereses</t>
  </si>
  <si>
    <t>Capital</t>
  </si>
  <si>
    <t>Monto:</t>
  </si>
  <si>
    <t>Tasa:</t>
  </si>
  <si>
    <t>EA</t>
  </si>
  <si>
    <t>Periodo:</t>
  </si>
  <si>
    <t>+ EBITDA</t>
  </si>
  <si>
    <t>- Depreciaciones y Amort.</t>
  </si>
  <si>
    <t>= UAII</t>
  </si>
  <si>
    <t>Tasa de impuestos</t>
  </si>
  <si>
    <t>EBITDA</t>
  </si>
  <si>
    <t>Costo Total</t>
  </si>
  <si>
    <t>Gasto Total</t>
  </si>
  <si>
    <t>- Imptos operacionales = T*UAII</t>
  </si>
  <si>
    <t>= FCB</t>
  </si>
  <si>
    <t>- Increm. A.fijo</t>
  </si>
  <si>
    <t>= FCL</t>
  </si>
  <si>
    <t>- Abono a capital</t>
  </si>
  <si>
    <t>+ Beneficio Tributario = T*intereses</t>
  </si>
  <si>
    <t>= FC disponible socios</t>
  </si>
  <si>
    <t>Impuestos = UAII * Impuestos</t>
  </si>
  <si>
    <t>Depreciaciones:</t>
  </si>
  <si>
    <t>Abono a capital</t>
  </si>
  <si>
    <t>Pago de interés</t>
  </si>
  <si>
    <t>Beneficio tributario = T * Interés</t>
  </si>
  <si>
    <t>Tasa de oportunidad</t>
  </si>
  <si>
    <t>Fase Operativa</t>
  </si>
  <si>
    <t>Fase Inversión</t>
  </si>
  <si>
    <t xml:space="preserve">Duración </t>
  </si>
  <si>
    <t>Inversión activos diferidos y activos fijos</t>
  </si>
  <si>
    <t>Activos diferidos:</t>
  </si>
  <si>
    <t>Activos fijos:</t>
  </si>
  <si>
    <t>Maquinaria y Equipo</t>
  </si>
  <si>
    <t>Costos</t>
  </si>
  <si>
    <t>Insumos y materiales</t>
  </si>
  <si>
    <t>Mano de obra</t>
  </si>
  <si>
    <t xml:space="preserve">Gastos </t>
  </si>
  <si>
    <t>anual</t>
  </si>
  <si>
    <t>Gastos generales de distribución</t>
  </si>
  <si>
    <t>capacidad</t>
  </si>
  <si>
    <t>Periodos de depreciación</t>
  </si>
  <si>
    <t>Edificios</t>
  </si>
  <si>
    <t>Muebles y Enseres</t>
  </si>
  <si>
    <t>Vehiculos</t>
  </si>
  <si>
    <t>Activos Fijos</t>
  </si>
  <si>
    <t>Amortizan</t>
  </si>
  <si>
    <t>Financiación</t>
  </si>
  <si>
    <t>Abono constante a capital</t>
  </si>
  <si>
    <t>Periodo</t>
  </si>
  <si>
    <t>Pago de la primer cuota en el primer año fase operacional</t>
  </si>
  <si>
    <t>Capital de trabajo</t>
  </si>
  <si>
    <t>Costo de oportunidad del inversionista</t>
  </si>
  <si>
    <t>Anual</t>
  </si>
  <si>
    <t>Periodos</t>
  </si>
  <si>
    <t>Amortizaciones</t>
  </si>
  <si>
    <t>Amortización</t>
  </si>
  <si>
    <t xml:space="preserve">Cuota </t>
  </si>
  <si>
    <t>Activos diferidos</t>
  </si>
  <si>
    <t>Prestamo</t>
  </si>
  <si>
    <t>SLoYkPQu0APGq0MGAJtL/Znx8FCpo3cRlNPQCK/SFyLT/B4QTyMLOyBSaZwWhemND+QaxRaqbaokYwzkNEKoudMcp2llkonQIJ8RUhZJLOcPf2KwlDB5vgyLtFsNjh9EnCdjI3bdFnNru3MQvVP68pLjTs1Ebhh5aWEnoJXwgMOw5JbeZDEVdhYD46hUVw72MNXCm4OHn5GAwmkFiPnSmQRIFa9UyswEqmL1E+hQpuUk313gDx173IKTgcE=</t>
  </si>
  <si>
    <t>P/tS/kZ1TDpK3+qwWzDxXaws6rwJfQXsEmS+NI+LNeG4I6u+eGhuNg2bqOe/8ajra6iM4kngSlXM3JS3umA6jsB4wgLxX1TvMf1F2LHfwaKI5WnIIzci0/p4u3E9C6hvD9uYY9ydSVlCiHvlg04t5wMYOEKhBQk4bHFd2vYgTpsqMqz3kbKeQscts9yAnkey/Qba4scz4jlrZ/mx+n6opEgne98ne7cgTqkdBZ/a54xv25GyOQvIPKPGSu8=</t>
  </si>
  <si>
    <t>xglTMd457vME22NZBR22P9562E6gCgplY5Ildjf+6u5etwrlqgNT9ss4+SXIJyF3kpxVgYTSAo+NA4sW1sIs8QWbraBV8znpsDtvWZxaJDnNOC+qWCmDYMyQCuenT1VCh4gveZq8KkshFVMFloF0g34RSC4P5P4PHTDh7lII4wXroC6mM59BOHES4CffiRorvh/95TOhE5ke6ZigZx5lD8iBvAzJdSDo2yNjrsYY6o1VCa0d9qSNnWQXSB4=</t>
  </si>
  <si>
    <t>0BV3qJL3wKhSEeLI5gSl5JcMEk5lvE+AidMTCvKE8kgSLmzK14I8pnZnUg4FuYOPAdZ3niv2LLbLQvosgM0ayk3QHJUYXoI9Bx6nNrcX1KWvegj57sElji+mhEEmLJAe/rIXwNgr4HISXL8qKnJ6oek2WEKzkRqzmpsfgGSQZWz7jP6i0OJncS6vopwjCk9IR0VQQ8eYrvsQbxrvB4Br1G2A2+q7XB3f+xXvjNjCG0ISfjbFryJO2HxYjIk=</t>
  </si>
  <si>
    <t>Wbpp1obYvhvSk9yVl3XiLkcEr4nWT1vXKh9ZEi41ffFwFTowAXWfwevgyGLOKmog0Rca8d2JyqPe6J/lu/coPQVbU1gQeic4xEHPc2xYlbk+md01V+cTy0jO84C/5gcjNSaM7sca9koV1VislJMTso7IEIlgjwp8KsVklLR58cI9uj8HAAOn/ORtEnkGgz3iG9Diap4TNzinqfH0zNp+5mZYYvdC/E6uYp0QPBuw1pseq0a7blbgFUNdByo=</t>
  </si>
  <si>
    <t>R4V27MpWEpOMhDUmG/mfTfdXHMXXF644qD/QhfnTmKNzjYFKk8TW0q6Y2aCA53qpfz9+CmMtpDrtk+1sDcO5Et3yNli926K4ajs3hmjmU3H4fxfuWrPDCdTWYo7rLkIKGvlgjtmZ8oUByvlOrqKGcwbJ4lX/6hIPK38cjwznjV7mznOW0FBULme81f78nitqtsnRTsqd4eYex66yScXvGXUsdPXoWtXjXa7AeiwG5MT302UQ7L5DqkPKGu0=</t>
  </si>
  <si>
    <t>wqOAWBXFuAYm90YSrs4OaVknJCCqaQDAS69heAILIM8RNAXZPjr74Ec6eJpkfMUpn8SxuOnBUnyK1/M48Lh0Fm5ZTPSySP70sJxKH3PKzGJ02efaUpyZoUMs+yZBD525eRdg+BvJxRepiLt9ryg8keR0MzhRv+7+RFmbZxfLMoAuHTeuEJH7JtMR5K8xEBtFZiydNyuTCVvdtnpi56PLhOkC6ZF9tIW8J1ZDJMwdKucMmU3ZsJgeOjuvKP0=</t>
  </si>
  <si>
    <t>znbacSPj7RuYqpyyW5M/EfJcv3dO3nOLM4zb6YU0uv1u9d9Hzqdt6FWKwqrzYp4oJyp6SdZjhVS0rmCWuoN0UAgllN6kdaoECpX75QnNssN7jY6HD29EEWbbfqYIVaA8fHQDEPoCwSaHgzPMAxwzBoI3oU7svMFV2jgHdRYTSg0Mfn2+sFp61nrT44D816/3aZb82mdiLiRRv0YpC+8YNe0VHJ7uQ4dc9ffUxB1K/uyc2pFJJ/1Jthqz5jc=</t>
  </si>
  <si>
    <t>vwuyFefEwOnZWiU81Et4vyn+sQbN83u7Pv51SRPSzI8DDwONwEgPuo2AViWmNF+9f4KEmsVkGOT9ZHCXQwmW4cigpp7TC9K8ep6xlYGQDt9T9oRe6vttKPyzyfcByMlw/h0sgzf/druvrF2SgzABVd45FQe60i2n1Ro3yKtA3JyEtK6KsAiGtQQhP8hP4W7SdbWY1vygJ99ThdlPq9zjD5PD6vy3JHdbA5PmvRa5yyIQeA5m/5Is/2AEVLU=</t>
  </si>
  <si>
    <t>+Ac4YwooQC5NqxyOZwoAhblV1mg9ylqwOmXLNqIDvHFMZfZGfHPooQWtZgPP5Z77vnIeYgqSxxRXxWNE32MXgt9zNVXnxz6oMNbz9duQGTF6ICtSzbHzTLPgE4eIJzdAi7rvi+GN+kVj0XnVsZdRL1g2zyhDgA7EdVZA5tXiQt8Tn7ppDIZdMq/ZsxCV4gwqdzT5FfWzzlJiXzGB2lyzelRZmtbBrQdCB+65uPD77/SmMj8fD42c5svFpZI=</t>
  </si>
  <si>
    <t>/MFtxbIykuW1rK314LZiuTJRolOs9ADsNSKnyiYrkLWStoLdXJHjrMcCPDRu7jAtv32tJ9wQDntG9eN0+HgerrZ9yhlm4Ifd7K3QdbR+XxdYPWS3U8BTTtparWjS/m1oXcaBnij72a9GHdPNUnllknIfQyHuY0zGwDRhee4jXrXysX71X8GqLIMiWjZ2/A76LgIKmLCx7hPlBZKcE10VenwWDygRAV4WUwcRELcddg6MR5Ls1SKlV/UKpyU=</t>
  </si>
  <si>
    <t>mHw4nNKoCOQTMDUcfM7Q/yhRfPaFGAfh9/z0BnVnskA+6RI8cqdbidhyD+YeibpeMdZ4QlPJ6UotBOiHLAYUsm88oPzolq8aAZH7EioIsdC/0tyG3acVCOD3BAwkNyWhOGQ7c44ehnoRSsc8OLtvrMTidYoS0XNaHH2HwtEW46w/UOl+NVEFUWQONEmDilmxhPqfSQpe9JJoi1HbuNrKQI3UW+9xuVJCXYx1O81F8QD/4isMSdIfHSsPj3s=</t>
  </si>
  <si>
    <t>JYGGvimKlUrHtmbShi6Lt7n63IwNToSPB7+pfFbhuMaxZSLjhbgu8mJnSW4yCaCiDSPwFE0JulKMF2Bb2pgs/2nHI7sGVGyqeZg+QfU19PN5wC/3ZhraAwTecNOmvSI5WFHHhhYYMqKJ/OtbTB9wWOUfPFZ0zO/8RSMCC5ZjPttGPsQ74Wv4jIbR6NbrPAa8oX98KHJBT1ECaaxq+9L57Bgfdc9cB8bPZ3BLPZqGvbJd1ahEbSET/Dqeggk=</t>
  </si>
  <si>
    <t>MTO7k/PDCeCBP9XEWQnGzyxIna0Rq1jAszze7oviGHTwNaF5xEscHwkYfYIU+4bnbcYb6COZ2bBsGA604dr3jxKreaB3sQ09SHY2/e9AtyTpIPDopX6unnvsHCH5p3Yb5TCRAiWkJdrQWi5Md2G6aeZMr0IfwVWPRpUivCA4BV+q3cjEkPZMOu1ZzDy4dn+kx8rPIxLVTRNAxsy58FLeDpvyI6nUeBuPNznPLohPa0l2nZ5IzzJApvyoFvA=</t>
  </si>
  <si>
    <t>qfdiVVAEKWdXfff22LUaN5iJTZ7SnnWBlh/cugNJuZG2VtW5tkjOkr3p+9bhMmmXlMqJqGXICyomBsWzW4J7pCsqjcyaSpqWQQxI2q1P8LeXU0FoWxBLklUo8SkiEeMKqZYd79LkVk6DkfGjLhWoXBsk6E5hbSQqGLce00RmCXEsqk/xB9HXzJdt02UbnbM+1E6QkkPCIh4nBUXS32eh3vbe6sXeGRAwZNHZy3mr+FRnorLvi20FLIXdv/o=</t>
  </si>
  <si>
    <t>4DcHgdD7LpWgZRDtBGenBfWdxIf558v3HPh6D5zTVxlrnmyAowzOqBrKFSamodQdJDXrWn9yAbubc040Dk6WW3q1SRPzPk7kLPNZz3EJeTqyb9skWKygCH0pUEqS8wn6EZjoV5lNJ7+Tyb21Jc602QvgxKPLnD3Hmz2KyvyD+XEr24EpeuX9u0eFsYGT+8mZZRZ9A8DBkRUZ3hz+icLV0M+JucMTUYzcceBzl0oa85LZjnuokrub2PoJISs=</t>
  </si>
  <si>
    <t>opW7Tm5XJ9xEpLKolHbWviDwXK9SZXTZkEwEUCEhLDuAPTY9F8+LrM/OwBU/iPc1aPEtiiUDY7U3LaplAYzxwR1w5QEjmOJv6Sn3FcEMOMfimxywIMlvXMKNXyDweTFsnrE8tArADM4DanCt1OCKFrg3+SFjtHO32s7hNKkIeIDoti6VP0VAszOqfNjY/nCCH/xfpCzv79NRCdey8ZtkYCduuRPIIc06gyPwvNMCId6YMMX6TWDlgD9b5oM=</t>
  </si>
  <si>
    <t>7iEVmzsggWI/13Lx9RElHxmomdVXeekESBenhw2fPbTQ4lEtbvcWxn00iWW6twgkStrW2LljUAKAGFQXVHgVYBSG0yir4gFpKwRz6RKZrigNl3qpvKnWLH1ox3gS/np2w5X1OIxRBwjBL6ToI3PP7OnxKFQhW4T4DAffEa2rA19Bm29E5xExgxckNfiHLcH1jpF377oJyuWmLPye9tehWwvCj55QE7Ld5oGHtUqBHqkag13l7+Ru4T8LWOM=</t>
  </si>
  <si>
    <t>xIOr0Wad9rQKRstq6R4urvLQDJvZADNZ4QHMyb3GI2m0RAe9KpFynTydOZIwF+zWkBm9tZMDQsG9nCtCUIeBnNNB3GUdGbQPnJsSyBNQmKjdXOrN+s+ODF6jBS60HaX6dz2UYLlmGiOK/Pn58QknQEeLuKuk82UEA3dtQcSqZnv5KHXiiu5EvGdPcKDPosUmVnmLIVE95Xdtb/3CnBrnEVem/gNAZQQGc3bOlJFjAqxEoCDD9fb4Cq4H8oo=</t>
  </si>
  <si>
    <t>4TR8YXaoXOEXTfG206iyMefMTAv5z65e0U7lW5uacMR9vig8+oc1FMcar/owOpdGSHh9Z49TwXn9ZD3xGm/zVDa712JTT4nKOvbSTWDci+ZZHZRbhihlDZKa+KmHPxxEB0d54kRTkrrtjerGLvDDztaxBUvJPwSrRdXdsd35iPe3CmiljRW4BYIVD/cVvaGe8pmtnxjc1dEkIYGI8bygYc5io7zrSmZ1xEi2T80gJZHmA981leHgvZhp2IA=</t>
  </si>
  <si>
    <t>llUk+yHpws31dxzgWUmGbrWP56TdTfWatvoXIyJM3aUq/O3qpAblXtUm/TPUqKCAMm+4imLDQaOE+erRIJkYwGvpVHPIyAYmoI/IJW4BHVCn9u5v4PPvwO6NCTzxQm+qLPnHqYCWypCQMtCU9ViI/EvVjsDbCl0iGn63tNjDII2gX+zJvoy5NJ5cC5Kzm4McTHprBTs6UvjglVfbrC6/5a2TyXdJGTIrOqmU3cka9VsLjq7upyrZdOhA1Zo=</t>
  </si>
  <si>
    <t>EwvFGNNcio8jmiexYpF0OxaslhaJnlGZq+rnPXA5WMrBSadW3dvbSlPXdxb+T61vFcrfnYKqu1YQb3A/WSK46nZBHXpl9sGiDae8WXDGaOfBL5bApvO51QfrycR6edgu1urLnZ1WiD5/96xdiOVO2yUxBFc1O+8YgNdWG6aQKmqSnyfIpv95bXGAPUqFWkklXxagZXwl6mM7czf/grjfMpdbwwcuxCUw2kB4U5G9UTIvxPYz8oxkTnlK7Qc=</t>
  </si>
  <si>
    <t>5rA9esQ+FahhjqStEvaQds4kPykjjqFarAt4V3hZR0R2ldSsgt3r+Y/2RZ2NMz85yCDWhUN1kKG5Uqz2QQxUMepa7Lj17X/zqJeJpUNFFok2VBJfWZby7xBfE5fQLMMf33J/rNDgMUUHKrL98z8KZnPxDQK27uLonspW4ohdsECbCTog1LNNNXAwThpXpW12iRjTK5YQbXkkAbGR/u48snNZTDp1V+QMuw6uKPt0P3nAwenkTh5FpvMKelc=</t>
  </si>
  <si>
    <t>787LXdRapJhMp52I9GWwRNIybhCDfw6emQcwmNjNl00aBztSJvzovWF6I+jFPpE9LsEUS62XMmhc9LwcFStXBSQiL/K3sMtEMwJK2WbTDPBcrrnCiJJsdaGR79Dn1C6HLSa50oJ23N2I+Lf8Y1Td44M2PqcDB4DiHnMpXb5xwnZj6YIWMuoD4vKjO62ToojSBsutwyokLUcLul1B1Pz1XSzVl8Q0/OdY9io+H0hvBw6KN6yJXRgq6YU85p0=</t>
  </si>
  <si>
    <t>3n8vGR9ZeDuxDtjhCTEoDAYVq60OemX4/mEBTFsjO6twoPe7NqHvGQzqJQmS0VM+3Y9fJzsGaS7z2I42IujPHLdQFMW0P5FgPnrnla/2RuUfrPwUvcX/A0Um1zZ/gdIzkDce5g/Syze9S6lYgUkcHw1EE85ACdE/g/HQD/UYyFdqp9C7G8hgHMtDWqt4eA9WHx/PUzfHCU17aegs5Ly6A9d1FJDIpFI3+H9oW1VMjNelQhX0FUIQ9f1QlwM=</t>
  </si>
  <si>
    <t>30oTwekcDIt9rRcTDGJAJR7Zke1tPsqQIEkNIMG9nI6WR3dg5luea65yYwfkNf7EqiQTl0RucLXGgJ4duXjaH54xtJK/IXDdh7zcoKj8veHBv+JI82DrrWvBpi+YFPgsf6AGhQMgwJB9BnIZLc9zi9yjIKBOvjdxOxpZH5mgPKy7CDzCO6oOTu6bZlBzU0f0nSW51wqAt5id3D7NTHLYB1tX4HEfkSBY2y+yblsE+ryoCLrFSzi/q+Xmbr8=</t>
  </si>
  <si>
    <t>IJoZ9c4DUHFLmT2+HFWE49Yd4ecS0z9OspHwN078Lpj3lTRG266sNbOoSW9yBKxthiDPV2QDDoMM6EpjL8bc/D3FpXBQnxBtl8VsqvT+r+qNmmJV2tDzz37mV4AxLeHz8L/FOtNaFPMikxCR/JbaObsbucxykO1LO/QYBCFPKHdMqfwZZbjwEy8crEdZ4Yc1S5OdbNvgP9W4GlLjZJhhFBA4eC6pyjI8B4NX7xVWZG5PE+rfp1jg7uhprl4=</t>
  </si>
  <si>
    <t>lMOjAiD0af72F3zVIXRmEY7hu4SboG5Mk0Gn3Dtzj56E7HVy1HV7PT1IttEYE8YR1909iNQ0de4Z/3uqOAPQY8WLwLLNAxekDRxbzmTnWHUr4osOtRMNtTx5KIo+m4V3R0N2OZuTTI/9XYpmIHGjemjUZzGqvWtbR8bcR6w8vHq+eDPKNiKWMd/QasuUE3E9pfxxWQM7PW01ptOrx9rUUZ6Mi3ycqeutld9y1nvnMAIPC7x77wXXEzOU7+Q=</t>
  </si>
  <si>
    <t>Q353B/o77Eec5dBr8ZbQPX1W6O91zI2rhV+18VywD1D9wlbXwbR87jMDs46XNCKwKSNomTFYePxL+DQk4pHdLxqbvURE9PxoLL+KuY6tLzdPFKQbTmS5OL7yFzUN99JEyAuwzcdDcMoNm2RtbboSBdDnvqYHIMtH2pm4fohWXK65VU7/sZjfOOopCV0dVcYNNPKwn7j77E348oZV9xYV62zysFefOzbMMWHfcpkEpjMaKWXXTSsDGlzljGE=</t>
  </si>
  <si>
    <t>8mictRYvxok7juPnxNljUPT0h/MG9vtdA8gyNFjEOsxziIgfDiOaQGcdPkVHNxCyT2XXje/xLJJnMFcLhM7kwTG90hcDByhIkOKP7ZvocDXQbllRjhBrz21crvSwV+jcyiYmePsbUK38H09s+3KGwofysTwM6lJr6pqK2fE7vvVeKsq4ajpxC1uG2RUX9vATJ1vj3gK+eLd1Svs+WxEkDUSW4bU1lztMlohwxpISactDv6BZleP1a8Jf64k=</t>
  </si>
  <si>
    <t>zPOdQR/okCvDd1eTD7K5INwpGJkXa2rEHIcrm+/oCEGH0S0PjbuBotuSi/gEkGpimklTKmZGtJq/pNVt141hy084R463w663juQiLMt9n4y9D+hpmznY5dfR9mXQVRkiFQlSp+6VMglJDCJ3cI0NybQe4MVw/mbe6YeLwrzTwVe4mciiukIxLJLX4Ljplpyi0rRItFtOWrDcMTjBu6zzTcmYimVr0VfvUE12h13XWCgdlQf4dnniDjUiOBU=</t>
  </si>
  <si>
    <t>x3SUp9t4Z9PynCE3TxgHbDbChL2A6Tui04x30xaZk5JSV1BErnYlJMmpl9RHncteqIGdFFs0N3QHvorhIOlMAhaAHQDagM8SM9CK6Yb0kYJbwdB8mdWFK6h/73lexouPZir+Z6xMmDympNzIj10SuZLrfYz24OjGyer6sInp0BvjtpAFOUjXRj/dw+vdYu79mKG7hWj2chLnVuUJlaL+6WJEqRYqQ+VKQKjX4Tay7RdDWylGu74FMnQJ8EU=</t>
  </si>
  <si>
    <t>pG8dHMYrylx7CyxVyGqTpxjXIHOr6QH/CUmYPbLzGq7vR6pRhP8AhALRKniGQFYNOWsQD7LWO643h4e+rNmEmRbw6T/Ib6pvv2vUVsb69y7FYaNK0uwWKCKu8VAFHn/d24QC772Ea5OoeN9dm74LNdO8M+83iXuaMLwZY8qAtkyk0wIimnsKvOWylwtLmb2M28F+uuOmzt/UgiSqvUBIGfi8yK1szqYEDg4IpfgPX9Ck9z0KFBrubMred7I=</t>
  </si>
  <si>
    <t>t1oEWnU9vI+YV+heCLOSSnkOnIyRFVyfPbVEzOz3bXTxY4YCXB5L+yElAgA133R0gLvnGd2UUPO5lY9m5SYyaWsENsI46PrIgWgJignWXMWZnqSqPMljptaw7XyjPKo+CyOxkOt5k1oOfIiBdbukJMK3zWCFpPgVz1NKHsqgEcvq5hcWGZvWl1ZO3akHDtTvIgrdkMt3C84AmKehheOMlvrBm/G5WdjPW1e+q4299/bkcfLbCiExyTXmyOU=</t>
  </si>
  <si>
    <t>nT5952K3p/MUcDc3XZ8VHIfTenzA2NovMteFInK/pT3TdseFQy3lIJKAKjqhG2IOC8OZKyLSN0E7E1iGT3585j7c+U5di3yjinoSPOMpDMTaSbbaFeqYjL0dSgk9BRG0nifkgeav3rB7MBvyj8Nb72TdBSAL1u5HUqtLLo73F+55r0oWhLC+7K1gHDQs6QF+KcmCe3dJrBk/KhAOw6PQi2rhdluTo5aVebem5FINe50c83OL7qjplTudOsU=</t>
  </si>
  <si>
    <t>ERILPgpDz2D9QIJ/uO71FAr51x6TBC2r+7pNzGCeKnHfbA4yd1FGpquWS6n1kyXL/lF4vYywcbe4OquCKZIrnjhOZDZBOrK4bulYVRAxmBXdQhc9BL8sZWhjRAymbELgE4By+MaRQ5muBiSHd3a40TFRyixpBtHNjHhCJ6OdF35WLFvyReakgwN6VFQ2Sa8Zs3JHGVP4/EjKYy4fe4YoE2jzvm3wgptIU4DOXZgeHB0KCHZ0MwOOKJi9rQY=</t>
  </si>
  <si>
    <t>/Zdzzjzpy+HvfIR56TLhiF6vBy2IjiE8HElJaTWH95e443urv7+qgNFwrIPSBxDkZzzya4DtJGjGYQXYlV46Jw5/Ink2NUuxW+BKs4bf9mKIMDscallBuJyGrw9Rm2YatkiMqGBcIT25hIYb6pqdzegLxXhyY6pcz9eobDSRx0EwAqKtUKyn1G9k5d2JxiSP45uIJ8yu/26ZVQ8/xXqof7ZPkwIRd/ggnIRP+z3M9rrIYKgG4qStcuVeRLw=</t>
  </si>
  <si>
    <t>hB+A2fHi20aAAmq2jZofgaWPXctCYj2vtC4oI+trzKm8ADRBDjpF7dcej2134UFX/OGRlgB3sXiM2SlCU04zFq7LbKiMLJxjb/IYbKSaUbRqkQeMGH6s/svVVRnRrCItGgs+YjWFFnSOINE3XPkA70MpqikRfzMQa4/cvYWLRp3SXquYYAWs54aQqAfoqXyo/ZG/CUkRjFXWB1yHmRCZMfLuHC3gcMcq0RMXsDgEQuSzZ3arinRwQJo+Yb8=</t>
  </si>
  <si>
    <t>Vqa63thaypItDUCR5gVcE5FEzL5gqy3P7J8q1siUidR7d09nQuy3o5+KPsCY0iT8twG77pi2f4bVSEZFNZxnsuJztbuwvUUqE78LJQZE4ha6cF7ewesTItiolIrEzwXAFSHTdTm5ozQt2wejp6OHok+ShTb/TDEDT90v5MTFlnh6Up2C8N4xMpdMbD47h+tHE4d2/1985cGRBzgQvwalWjlpeXW9tVBX9NHMztBxgM7RPiWyPkFl9gpaYf0=</t>
  </si>
  <si>
    <t>dAXbcE63jfMtBGgOuGJ3h1emeOEl1NRv7UBEvkS44+6Zc3Mgp6cn1hQ2NR/FG00EX3MOO174U+kfX9BEiAaL7eoxdqMk1yutBSwCvj/3yxEyz80ueOJIoU+BYLZAMOafLlvXubqN+BOEFudnkDdekHrEjFFwS56xW+AH/uqFB8ACGTqoWWrUgE3qg2oSXk/JFZ8tAP1JHWTnN9OHTPnIN0HJN3UtXzVuj7p1QAglPz50OAVc63STo/5k8jw=</t>
  </si>
  <si>
    <t>1uoc7wERRpKLmW0uWzzdRixlwioYtfl5ZSuh0qm8WZhJP5DiG15hmbAV4lcOipMARKGQTvSFDYwCTRo4TNxQl2Y8yPKhMZQeOi1rW/G5FhFIr4oE5d78Tz5Epn3u5fdHM30DX5VBkBEiGlGbNk8e34KIXTWlu5gKTnsyW/EZbw+b0beqvkPYB+Mj8M8Zr4CPJQi7sFp/fWmNyM4Ce/7i8q3TVt4pKcUZdVT5NhQs2d7BdbGhxMoegRyF6Vw=</t>
  </si>
  <si>
    <t>zs/KUgEs77KH+PRhZ5qTVtXsZR/4N/UR9k0RTfMwmz8BcE1SGnG726U6TJwekDSTeQD40wvHucl8gtBLsvxvMEeCpBmT5q8EQ0iycZYH2feX2/S9Pa+nbRSIEGRL2FLuG37YX7hbya2tcfFj20IO/r5XXBow7MnAHRR+ftd0yFMhq3M28tgfsSYHvy543uAyt5yGrz4idjT4oHqx2KKiu7DK8s3D8G6XrGWxbowcH/cwNKttJo+AX7ijLSc=</t>
  </si>
  <si>
    <t>aNJRsaQOssymVYq8vwvvzUu9wb/edFygLDVWfMfEps1Wenk34m20E+scEOGpnjemRImBGXQ+epZqqeBuGYQAs6OL8ghFRqpb8nQ+H0UeL+YobPU9jyjRgRn6aeR0Y2BzpPlbHdEoM4sMpdqUnUSx+uWTL0CwckiCVKKmGNCZuPLiNDgnL5pCppTkQvX0rgfxYEqPlygJ3fTzuspj0phQgJh+TlWqASmrKSW4sC5jE74edGOSUIfO3srM05U=</t>
  </si>
  <si>
    <t>Tee4OizTdExy4xgUtHtbdgSaAqAA/amZ78389WO5swL3WWg86d4ayDAZc9IS+0skQHly7/GablnOQ3R1OWKZmI64m+YLndCY6AhueMjOi6YNdyzqJFpd+0DMgro/S+qxmTSwihJ4V2EFDODXu08eEbMuFtF69+TomDCjsAgSb4fb5ROsHo83Ei/Cl9hB+EATugRCH5ZxAMVuf0KTJDA0AK/pjF7yoEh7JNsIwHf/bYnKauU/s0/rjOidsac=</t>
  </si>
  <si>
    <t>ZRSY6i71VMzDZ98LB6G2T9tYZ+J0gAXykcJr/JQsFmDpN1NWbDyxs4NWqaLWUveiuJmB8VMNxTLAXhhHNMWbF1oj8QCTLmLcD1KhxnpWaUKIpAJEWPCLIPM1VPUyRKePnJBGDh8SzfLSIGtHJa1oAYfXU5KyqVAnP4+iYgVwFBlIwbn/i18i9lyxqmkEfCslh40r+uCpZGpFKAKuZlZIHCjfz6NKntjgO746JRjBRJ/zKtKdBALJgXhxg+I=</t>
  </si>
  <si>
    <t>VozeLzx+CVe7JrJU3fAa+ajrPxh/7PIG0sVZAh4JQxmodwJ6dh+EBQ9RdT+0TcrRKQ6iW/qIA55BloB7qCP1drViZxEpY3s/Ajpvk4eamwvWgqyVy0rhksh8Nu1X3wJKMruEAFkKikhhoPuFY0ON36eSHTp6B54OEtP26k3/XJGXskLgaDP3s/Om3+lW8Yx5U7fux5DQ+TgAvQd78md/k4t+eiUUKxKy17Du5mlRmjjcqdhlUHjBseLCBig=</t>
  </si>
  <si>
    <t>/9dkew36aJgukeoS/gh1vxwDO7q+cUlcaw/5tUzjw2uVuIH/u6+8h5m+/v7gLsj5GNvYFJEjyT1N+kf5wddW/h60ZZD4YWfgsJErqzktgZrRzRmkPPdQCHpZmBjLPS7ebIwLBSXf92n7p6ZJv1VgJYifWPvJNzggxseRZK7O2ppKtceyckE3S6ln8TEAiihy487QqdAMmbqins27f8eg41yVsDfNA7B5BxFNLSyNmcBKTiHINfES1lOd2wg=</t>
  </si>
  <si>
    <t>xn/H8lee4o8tKTaqxR7kduqSu0JEZe0PLHXkzo/UT66VkCuCkLZigJDIKuT68yo5SxSAZUS3bkzUBRnpXZWNVjPaEYDO/+1/RrFKo5LaUR0YDafhplIhM0JogP7AAesLbC9DAktC5EoSt4ilPnXYznjyXcNbnl77UlUSt0bN5WfVhMg/9GP/mn4CHMlqcf2ccmUe7ELbi7u6PB++iOjJNp02UCGW8kgoUgMfaMUb1drwwlZWFs+nXD0M990=</t>
  </si>
  <si>
    <t>ROFnCl4tanKDeCMyRB+Rsng9JpDiToZRWPSG9fgkB40wPjiQk8yBilq9FLKJ/QVsvqji8v2FUWvfgbXRl6yRQYFavd90T4TNRkBo8w7Hk3/5Q9GKqDWiv5kISUYD8Ev2HHPYqrdguOuKxl2AwFiA8IZJBPKuthCaIWWdfFqLjH+aHDvCxcboeeV7mmHxLNEdDk9t7R3d9Zi38f/1ZlSrbc2b4amFW3Yy+T9OWZ6aybpM2OLQ5cbruiCQZE4=</t>
  </si>
  <si>
    <t>R6soTleJVeazuE7VBm6emqNQlFwHi7lHvGv8VXaXdEmDwCV7xOuOWbVFWhRbSP0KYGLnoZLHNkt68gluJZzR/1CcgOcHnytJejGNm9S5c+IIgwEmGkcQjBwkpNFeoE/SgKkZOx+mJhBt3cei/vlRMQgoZXDrdVHft/fNVH8bmQ5s6hiif7R37kK/yiqJGofcT7ERcejVHHUDbdq4QszaXBk4ENuwaC+Auq4tgxONEV86xNDRowUkkHQXMCc=</t>
  </si>
  <si>
    <t>tgA1Sn6yBugYAntmrWr5kGvC875Xqt3XWQWZu/z+9Ys3sYNR1s+tsP9CBJeLVZJrIDuAza05f3tzrzqrjyU2bE556qR0Qyff+vfU6Urf3wt+iUGh3MdTJmG9iGrFhD4h1tyRw3FWFCHatixcYfkltzOH6oypQDIWTFzN3oCc1X/Lu/1pVIikQvwGBYB6kbGMNKJ06KRbi3qnyg/6wW3rpABrt3oKdtURhBPJZ6BrI9IozCyaWUDfW3sXJSg=</t>
  </si>
  <si>
    <t>qYOqLfFSVz8cLxZybrPCdR1APpOIZmR1Qdsma9W+AQzffqIliLITctL6cniG/JKxp75Lzyz0qfHt4VMprWmfvQcOw/j8Dvq7bcPFgIioUWUm1aVbxhLRYqfTVnPMAG3UVRLicjaoZ9GgKI6gkDCAJ0bmpLNRGept4AP1/XDc0GWRunaVdcNwJxcVuMB6Otx7z5412Uj4txXDkP5/k7Rq3idhMTgu1U/wE9XYMn3NzP9IzSK5xNkagJOLHnQ=</t>
  </si>
  <si>
    <t>s/t8Mi5SaKpHtVwTynleqTrWeCd183thzocDqWm2Vd9acSRNB3w3OJJPNXBmzYwP3inZhQnedOWhz6I/LgAQ0+An33iVP2UH0H4NQqF/d1722UxdJf1UgR6z5TfO4n6RU7kg+XkbS6C8ihOtWGFihpenC+eWpdIVE7eMPAywfRsxFjp/k7bPIzqa46KyFME8qx/lMTPc1KbfrnTVKx4ofHDFnU2YpO0ho9a0I29z2qb6se+S6peqxg9Fuwk=</t>
  </si>
  <si>
    <t>NhoVBr0MABiNAC3nlo2L4u1OmWjOeWTB7b18eTUDn76TWwgsGPkW80eQJsT0AplD3k+5KNoYYE76wEkHEelWx+ADl4qhv/xKO4rxluyZdT6MRfLC6T7LC1zEzeG2TwXx8iVugKiHdBGPv5bvoS4cg+SaK28Tdxln0IuFoVxx5TF8PvycYtqSsnr/O6Jg0yvOoOP29Dw7zsZekNz69lfXed0HcVNj+X1k+zdK3ZgPaky/8AS/cnuQh/+7pRU=</t>
  </si>
  <si>
    <t>JNRRUsTffqptFrRwn65fQrSqOehVcrdb20YygwaVsPqHivRlgDOw7UpHbqisBkFafTfrMMaj+IVjMO3HFOjJnKPth39BLz6yTidUcXm6VMLPyRvvMq7AYypeWw47oqZKKkt+t7Z4/1oqqfq8GMpP4DY6FHPlLv+XeU0Wtzas/K7LRHZ+LZXeY+gsKgwMHojkJRjllBQrge/Uewi7bMEDhK/BqTq15DyQg7jtv2mhqkWee5lp0jzwwu0YthE=</t>
  </si>
  <si>
    <t>mh8tSOqAGNPXe3TLs+nDDMS5ws5zUpLImtEP173OtowdXr/OYCJ2w5d0XhpmteMLv+8d4iWSVAWXApi6hf4lbR2RzFfFo0K3Nbj/oVKTSDpuWHO47IuIP0LaseDdQ7egPSc83W90SAEHuHesLd2mXgb8NoRhMVITEIk4oUB0L2kuTMtXWWkQPsvxPHl1r2MpTpx/owsYyZiwfc8TGTBgpQ8NZDXtapdxPzvDDuQXH6lDQajXwVGsDdSkY1Q=</t>
  </si>
  <si>
    <t>ho+hRTBetOQh/WomjAuvHT4JCb5vYJZxQUrpTwiY6B6nJwNBBoGuXzLgViQ7fezwR9Qm3d2WxKyQJwWVs5OE59qip+sg2FeqH0bcYqBW9smWwtH3GcDlwey/KU/8+pYgJQ9j2SFhDcfWadHEohalUjIbNcAQBenNC7anaJpo0Sw4F2xKxSwz7xSIqkooEHb4ubkYKjN2ZeklENSXwhHe3giTYy7/rhSTLWJxOwbTtlv4HLcexNuyXzHGmTg=</t>
  </si>
  <si>
    <t>7MTiOg4eg4LClFYi5w25BEcNo2wPngk+hw92Pn8RMRmUuzP4aV/QLoObCxE2uC/8RW+grqkIhuAR1Oi6UYOAlJYfnm1akfKPmCFLTGjHxrYra0MwobNylwwo4t/YNE8N0n5umJ76yljQBiQTfLN/2FjbNX6+CrOqTKzIYBOD2qTT4sg2mFTvnEUGzxbahsXMX2AfyQrtr0HaZG8LLjKbpaTOqFsHm+DMxSaky4WSvJLaX7VxFFKoXPCxVgs=</t>
  </si>
  <si>
    <t>f5T6UdlCOXss51Az/JrtI1shDmCa2i+pmV/iTs+KJU+SF4yvzYzvXbUePjeJEZribBT9vt3gsokV9vf1JUelsG//Z47ilTUcHHVfUBKq4MSeVwNgaMTyirpSJ3pgSfQNVBn+R6X+1fdHerGZ5/WdYAJtuTGep6TrTcwTsrOmeuI40YuKxPX5ZP/k1vG3LELAxasdYO9rvJGuRg1rQO9vkgnNHKCm4diC/P6NBEcOPMcty5P37vd1k4CEAtI=</t>
  </si>
  <si>
    <t>IF26xc5CiNqWksZxVswGKwyI8cv3aMnJpueGvQjRKL0PnX9eaQqKrxyLoVxKMYVAi1xdUr55uczyW2VadcZ5/E7GsEe5k2IdKa3kg7u7rIzYBu2ki5gNfoNsevFfr2FI2tneW9M01otMyKV3agKL/BZFpUZvzVCzyNWO7n6fzTK8mbv7Uz+0LelsBX3h1RBrNiBhH6gjoGcNsVOz694wV9MLTlLhR5cu4p3PrbG3rvMkhfAFTI+mHO7WOSY=</t>
  </si>
  <si>
    <t>mPckJhozI7TPFU5jqLOGYSIX9nnv94xuibuT+7+BZw6fej+8UROzSCUMZ2tfUuhNkDol7gsb6fdrAqPwGNn9O2LntRJSPIBSSf0HJk2KsPT4U5hKTEhMELzsWf4mLuE2Qmj15XiOxcE76izxTAiG3kBdYpS3DkXjQDuWL66WcSGlGo6FwSThOArhiqedIOAYrwOogOLylL2NLkQAXhma8HLghhIFopMK8RAvLBcuMhqjPN4/dErG6c+ijgU=</t>
  </si>
  <si>
    <t>uSR7VP5+bxPpWiXrPNurjJDWa7qHPpLsVP7eGHYogr+zxpPll1lP78pDr+h1qL9jWrq/hGAmsRdXUMxlgPBQhhcdwo4/unA/0rvqy/RkLS8erYqNWXyVoT2k9YL4A0GbtAexYahtLfenMXxCMlCpivXFYfq42j/eR2eKe8BaQrDxuYVifOnNg7hDo9AnPGrZUH8gHZ6m10cWHZR9FHFcP/YHh+Kiex31AdGzhIIAeAo8hlPm7kwcfxIUFNo=</t>
  </si>
  <si>
    <t>81s+8gm0K7ULKZMJjViVENsBYIg5cgyE1074ofsU4pZ+cwuForcVIFSU2tgZRNXCT71ndjwV7VZfDvPZTylxkN4ZX7RO6D4cAdGrgA83pq7Tf/SBt7+vzXFbIrmsIhSmjg77Tpzv7MPYsnzzmmFcZxG54sp28A2JiTiQfPp8elmSHMAsEYe9dNap6NZDg6xvoFfNerQh41xqtoNDyxO4JvRR7i7EhlhrVJAL1QVf4i8imAgiVENFfVQ0ctA=</t>
  </si>
  <si>
    <t>RJ0U3fsPv5COWVD/RPbKrN7eCbKtjVyxNqWEkpAOprvUpOXCPevOXGmu5eTCOXDBdIpnCVcIi3dhmOVb6Ynk4deOZoWhFWW5d1C5+96GaePUQimbRgpb/9Thi6Ns8s66j3KFZsuRbu6Mx+Bzb8JO7QCKzZZyX2zz9hWc9vML3ZN5lN9r6bBJPdgj/qAuq+RC5xmm2VCHwoFT29zPfBsxoVMVqX/ADPqbSdksQe+OuVjKOz8E0xIBXQwil7Q=</t>
  </si>
  <si>
    <t>K5FrwBi6G2B+Icej6N/os4lfobhn5CirrYdtH5cHW3nn2pw8jsP6On64ZkdNuzzJ5AKMJtge15ZQBUgvlqWyysqdp+R/dI/vfSQeK3zKsSZva5+r7wFeRcm9iuyf02OddLaVFG4ILsovi/n7hphFJX4F28HNWdtqSQFhiQ3w1yj7zOZWFN/v+6OqontRwXWy6W3EQMrXm/a4BuHdeUDdxLdaj0PDSTPaY5alCRcHyWYYt++lr3dapallGio=</t>
  </si>
  <si>
    <t>yttW/Otz61il0Q5BGeLf3TsnyS/6P+LxeJ2jBYE72lpfotmHhnaGhyPJ6pGkMlVjBOJqhrPVCg0Eo5Mmc7GU8uTyc8mdqJt0JMBAbqEd3huEeOFo1EcEt4+zvdmS/O9JARGuqy7Rvwws/J7ij/0vw71eWUeWxHjbdr3qkrMDZ+EUtnU4xkU+KyM6wjjC688BF1mHWarqEdYEnTL/+6NrMLKMgeNTpNYT8wRl3oYU2eMyp9hOOepNEmimfNU=</t>
  </si>
  <si>
    <t>2AdX3mK4aInUItEL+LDitxmsqbaVc9JjKxP32d3wWq7G+nLhW4NYtXuKqyjz2h+lmfoOItDwqQqoIPA/FFUR4CRQeJSfnAM6/O+vEqIJZYfP/q2gq/+lyufSWEcmbrvWLmCxJja7ousi5CkPpBPLU7R4F9aS8UdMbo6lyuQtu3+6dug5JkAbqW845hztxhDEZM2rrRenVuViFI69Ro8W22HvNiKNKGl+WTDC+k/H/GuxPXR+h8V6vUwC5Io=</t>
  </si>
  <si>
    <t>XG3EZzIOz85Jk1W+2uPvcHzCy2v26MWR0jIQz9yFdPICz+c1OMdoMpy/p0BuQJv/kUuUU+TrCUZGsxVopETuo4hDM1OJgQlrFohJQhanlCQl1QP376KRL+1Ha2mFxjz078WyhytsVw14w0RNWdZJC21IY9h3r3eqhuYJq1HsQFaMHbi5DljZqrGmhgtqZN4iFh/syOVnWbeotImqBYWbjpip6c3w/ADuqryufZQiaChOibiyQgD3Sjrt7KI=</t>
  </si>
  <si>
    <t>WHDNSs6OWVYTYAdZDZJ9xrOEKTux7rQKCPIg5y+T8wzb4Ka0cmBhH9hjX7rXsy3C6liZCEmi2bgaLTE2QYUuISbM3V60CEqrD8Nzj/r5CYNwtuCKOI/mNVPaB6WR4dcdKBGTMOBDWwiwocWWoQ3yqZGgp0rbVMTuctelY3WEHmCwJOJ4VkmNBzxe+BGWBc1nJTx3IEq16WHDeksY3diUn6IBgydAn9rBkWMfQKPXMbLW44EDtcaL7DSQi+o=</t>
  </si>
  <si>
    <t>1QgEHx0GqL5kjFtYw32XA1uAlytWgiYAGCcqj/aZCdaHEkBO/itFZLu81EuYTGyRStjxmkZsuBQePyZnpimkBCR2mO/LI5kZ5WDgSHY76W2Wwd4PNvPbd0mgJM/G7MQFVGPQ3kKULBn/wzYWAmyt7baXM4iIsSHJ+t9Mhg5SZaWEVr9yUuvyLlE8F7rWkFAqk7VOJWPFVBdd/k3A0pxUcNN8SdfoZxCMhAKAJH7kIhqcZGEgHahrsGu7s8k=</t>
  </si>
  <si>
    <t>6MgYvIJ8qzBypjuM8McGW7fV1Q4bBXlFqzf6p9wlC0J1/dDX9G/RcqLMYAR12OoAa5J/TaWOoTFcr54IKZbzPnIxho7LxU2FNJNq44aHQrWNBgdIOCg2Bv7RJqLTsrRmyjCy/v8Yf19v6m5gKSq7ksDqZ8kif3ppjL/UNfjqgrreAYWmNTD9viK6RLZ/yuzsR3pGeYoLo/4LTpXU05h3YOGMAGDRABPmIAihW8SAJz1NoR4jre9uHh0cgeM=</t>
  </si>
  <si>
    <t>ybpdMke2Up9+nuEga5HGtm8GexpM1xK0z1wxRRfG0hu9O3yzzyNjkiAMoE/ue4sFM0Oz6SUfsmhHPvGcw+lPAPXu4gCNXHcTlJZBdgYhGgbzNBY9Mz4gT0J/4rvFSj3XEdRrcaEB5KJyO5JRsZEorv3WaXaupTn6IRtkWfgmHjq5I3BxfKcGG67TLDKKotLgCUGhUZFuIjukKIvYJzRyB9eKJ1qIfX5HjQklid4koXLZqCgK/2wXpy/erWE=</t>
  </si>
  <si>
    <t>d6NN1u7xtg+Mzjr6eBnVZth/tFwa7WfkWmjCRLxKdrP3m0BOtAIEzourVu0iBMm35vpTz+Akiq6veIBdhBoydvg7lcVWFu5hz4dz+om1ZfozXgwVkoRHndvxWxN+WkhIzF8cFCQhRhRhPhnUVrNlACTOek/7zQWBXs1B0mvWHiebkP3KluP/z1/AguFc3HkCfZulbYYJiY+hQFmuyly3rSpUwWOxdR9zJFrqAPBZucqBbJehGCxQiFhHgrI=</t>
  </si>
  <si>
    <t>9a/wIHtQ4RZVajHU1qatRoOGuBkfBfhVGMnuqd1xXuOOYDM0zUA1O/1xjFNXh0t6FO5J+E5Y7qmP+yaEbNi8EJYv89Nq+b0+J2uJ3QuLLelAfy9l7PpggxB15QRnUIndRsG0jwB6EHMPW5qKG2KjrfiNab4k7t2lVniOSiN26iYAYI2tkmsQKUIqgwUezh9EAwQnDEhEziViFZFkrS7+p1mCyYYfwael5onN/fkg36coNZgD0NK5CWtZRe4=</t>
  </si>
  <si>
    <t>+qA65eYxxkI1+DIWBzpZw21abRH7pKnx6hEw8WqM/OF9hBC7jgXrn7Uoe+InnEkvTv7FmJjvRruFLb/V+xYOrSATtsraNmuHdFmED6/8baySY15m3Aq7qFyuxkwcUCRSvOMULs3XO4WKvKYDuU5OgbptXfMfOecLKGMLdDi0JtIrO92UgMgBt5PEjgxzD84r+vx01DH1V3aaGl9NSOk28LW49tyGKz+hGCNiMkiImmIovmdhfW4u2puP+j0=</t>
  </si>
  <si>
    <t>LuJkyFImY3kCI/KURoC5rTjfA6IGd8LsTVH54ry7UEjrejfDKxKHkcYHaM3EWBUuJRUWm4XcdZg5sSeofx/HisVjN393GAL2bpWdwHJz/RFTcjNxy5rpQbUskTZe6/NOJ8MmHnm8Lh4TDIS9bziCWIRAFu5TqZJxFqQ/qn0au07hsiqYYxuD/GQ+P+1SYg262UpkECntfwAznt95dyxL6OWRhKAe64YZpTewOs8hNVuKnH5N1YuDasx87ak=</t>
  </si>
  <si>
    <t>LO7G/f7l4fn+U94sMYtHJ292G3PTArdJc6ny+slRRIvd9aaxlNEPcYj41vGf9weSEKce33JfVZMgZCLPdZLb34i0e9yFrTIuOz7Kwx/n1sWMZSsRqcpQ2xOwg7jwmVE/onZ/dRXCb1LlcdhkGp2u+4y/3n06vjia0hN9wFwfRg76vmvpJl10sUXNLgYuVn6LcY9akX7CHaYzs025mg3aj2ulGopAbc6WdWn9qfa5Y550mGZmS/zH4CX41RQ=</t>
  </si>
  <si>
    <t>rWT+6UnGu832mKkUZJ8PTUEZx+hyol7PI3M5CeZ3uLyoTB8vLPMnsyDctyIfF4AkD3Pnp4fggSMfuqY73ygNkNvJbk0npesslwLR1QExoXYdUnd9TFBXG1jOK2WH6pnwn6U4jqKC4n+Hiy44zlcqdxBvcUpNGqYpHPRA77bx7sikUjTo2fGN30mFx53ZV21NUcSe8EGIzlBzZZ/jDMWhGcHY6R4CE1dhJ0d1jL6ih1OSkV4QRWsCTiVOWZw=</t>
  </si>
  <si>
    <t>ViRtM/VLKluPMFqgbOGiJgb8HfuiQT2WoxU7PC57MVBIOaFqfVcGeBgwF2p5ChQ97KkcnNA6qRLvqUQfUQra+/Xhb5C38fHlt2+/29oWL6ZyHOdQz28NPuVacWaPRMcBuTsfUq6ZLwQUG6egrgeabI6EMp10f2UmtPdVE1Bga5bw3lEkBsU/g9eWVhvoCddzABhChPtXmWzmnLW0AYDWs4YwQORBXrwRBZpo7R7zD/86gCoXIjzhugRQfqU=</t>
  </si>
  <si>
    <t>o2eJc5KwZq62G8pb/Nq5NNMTQQFWAoJv97TVCHGwu4kSa8NPauUBGR7DSUwN4GkGlmoxOeYTeS9wuBGf2JR5LPukMAYkDi/N9XVniJYdIfPsMxjkK65iMEEnlD7zXqPhi3uUI77YixNnZ0aqBVV70V+tZRt46Cluxtds2MRez7msnOwn+mMMJ+JkfO7VO4rEwD9AgfxEWxIhOiFuT6/sGT8IGLsHyzNIUQRK5UgP+sgv+PnyehgZdJ/RQME=</t>
  </si>
  <si>
    <t>qbygImmkN//hKQY9xfCHIHKS7Z9XwOE1FtGSANo5qWMKTlmd3ZBQu7CFww/EjNyJXESBCz1u1vFfSdQ2dcGwYZT9X5P9rzku9c6BdO/DlssFYhH5MPEng0u4VJTsC8DCIWWdK577raE6NQrWbu+i50tDs5NbrztNhFweGmayLRDS3gP8Bwu6QzK6n6c9FML8UACyWPWaWmv+GvQJG5oXLx4F+VfjG4U4gv/AVrBULKHMsddlc/PEiAx7Kp0=</t>
  </si>
  <si>
    <t>c+KEXo8ZnBmzt4fGV7sHeHfUzHvC/3/zElULnINhXJ/4JDgVSTZ7/oAePO6+tR3QNffgQM6p5+wUt4wVV1IAf99mPOeM/w3rM1vL8/7en2pihIDpQXJeISnoqRlM0lILpudmV/c0U/zGJVSAsxBOJb20z3yZxFkLM2TBMy/m4xOnNBz8Fyp3TE9l+RluM9cpQbbNsQrLpqtpeK6iiF+EAyNHZohGZzWNzhqFhLVKy/sCvmxknq2U66fkb0g=</t>
  </si>
  <si>
    <t>jHrsTZ2Y8HYohInXQD1uSoPm3AoV+PNZAaDXCSOJ1I65tRafVJqJN/X/qaqvsaIB3cnk0BNy1ttZtISdWMgiplGQKsZJolrauGtoBoCHksw6mCfFCWG5ftLaFArH9XBliFviPdGtyFmXDobsZ+apuh7RdvrHOW/i1VTGQivD4f5AH2RpKezmrlO44+zrylb3OFFzOlV9X+SsYKK8sZ9cmI21G/M4c6z0PZs+5mTYTUHpYNaGYvADK6Uiwig=</t>
  </si>
  <si>
    <t>Jv1c3gRYJ9ePdjjW3eKx5X/DqzZnYSmNio5SxcvUhfOv5qCxbChlbWFGvpveXJZjyxe9drYdVPe/38z9LXrnxYbWZL17FD9u0+o9e/mVUOEyIAHiTAmZyLj9xBeLTBHH/1UmRcFifEBD9J5HPFXbBmbPw2oIIInnf4Ib+PbAyob2YRGMshpm8sOAY/w/QW7TQDahmX67OkjQUXZGNm1d2kf15Tx3ogaHy9/KYy6Zs+3tEZ5l1An4umBwbvY=</t>
  </si>
  <si>
    <t>PiMRyWjpktQC80vWJsN75ScYRaLzdduxEDyLl5tFbFSMYDHyKKIh/dO8+JjWMU33Nw3Z9EeADLwyUy4YthenhIfznDNH8UDWCt3/xqacqmlCzPHc6DlL2hTWQNgMozyXJrYRkjTjRch3HZ+8+tnhIYBZyQz35IGRwyA1k1AUPDBSHbNVodIHTKnmTsikjtT6YG5srn+HOxOtHWk2owLKPpwnDMTtM5XjqKfrfAJRFksG5e41D8VJZ5MLvQo=</t>
  </si>
  <si>
    <t>Omi6Fj2/uF/KiKyiz3/Pr1/2C2RHuM+V7cl5og5NrnuE7GQf6hiqXPMdI/lH+U9N+KnDMKzWWsnMmdTo+6F5ZVKVXb4BIGYEFBZjvBk2eDIWOWnyCPAzoEbug/olk8lo5c9FCn288mI7FFtjk2sfnFbej5XVAjSQbAoQPnEZCbgESDTAmo+mgHaS2y4GlGlKDg93zDEyXru+0Ud51K/rymUgFTqDin3xIx5PLiOcH7+Ocr3pbrprm4nvytU=</t>
  </si>
  <si>
    <t>7R2pdRhelzJORz1POxIUsh667VuIW8fX+VEot4xtsrrJ6KP2ArLokzGuQNzTcVnCzNYrV8+RpKUzcqiYcYoNUDeeg6jWQIalPQryaPcn105/HLqaPsKO7gL63LPUI1sBEh7IRF3DuVCPt2AKWbfa+5gM3ppt/UuFhOFlzNwZzdLSum4w5jygqKggq1/W9r2By9G9raxrsUAsV9GT5QF8RiiQGjL00eFunyAJwIas+molR8JKNlwCAaS0KlE=</t>
  </si>
  <si>
    <t>sOJvO7YBEk1VkpNyj49nGmi6vaPIYjoW3RO9LiM3J7HezadsGBaz7l5IuPTwJwrmRp6jll7jfjTZ4VJ1rAMrC8+0LZg8pw8oqlnEx4xiVNakoC/1DAV6eePljZBTa8PRJd8DkgKQjcNRqpeXY+7guMOfo1qa+eK+9UrPyiCWUstdkUqF1zVpbmPmHs5pFyOjKBcnRYugG9bdRTlKtztumdJ+xwsGMUS04AM80fW+sADAJD4WxCHZaIAhdYc=</t>
  </si>
  <si>
    <t>Du9jcAUIFYShyqgJqKx+cc/Q5QmNXQefRS1RrITKomlxPSh2oaoYWcRYxfqD1ksvLoYZOoMAQlhlIzwOV+Izyj148J9q3GmZBmJNnNWllYp+3Dlz0GRBjcih5/xNXf2rghsGq4DfR8JhvWVgdmwJI+IU2jSLH7jcWVcU17WDx3x/nMl9FFBnJjtAprFPxOxGAwSpA8S4+/9P0c3h9lrx+DbF5KoEaswDThSF/+GWKJrdSCjH+H6RDnIS3Q8=</t>
  </si>
  <si>
    <t>VpJ7hCVqRpT1arBL0RYOx7lG05aeoRVNN0ToSI5ow9HHcC0PJg4L+Df/GV8T+bhlDUOzGBexP1qWbK6oxtmbv72zoYi0SujzFiCuYwG7kJzy4P/CdLWUctZmww5CjCUcAErOsGedB5xJDE3TfpV95//ejJy6kYZokF7fmunkwq49HjTYAYk4mBGeghCmfwlsObxSgSAECyDVEmCJQFPwqaT4AiUji7NZ/+Muonn+jWxJ9Sg9bHz9fp2iel4=</t>
  </si>
  <si>
    <t>SXyxJexCSSIXWFyYQVANu8krgh9yjL5qCv339QUIVyVvtpBjO9O21JXvTCYgavIyge4zpjN7Gq4c8A2n5ZwJDitiE9hbfdPIM0IL6e0MLzzK4GOkwfReB4UjwdUdMVWoIcW3iZuKm4jvf6UQI5+s6qpMSXg0SB++gWWGcRFxZnRJy0zyUN84kzMwE6/lioqzBA0PBVBi8DJCYCM7Sfl37ltOiLm3d1rYW7dKIJgmVNe2ADxuT/jpWsqGStY=</t>
  </si>
  <si>
    <t>dnTQ2tlBkNdyCvXoJR2G/WYiaHu6vSqOJKaoOHsl0MP5vpEbRFvNniq9oy8Lnv+C0697xgMLQSzkuLXbfQ/DSTfqgLLy35MD3kERVNG5YEx5gTSOcElO88TOQWahIz5U2HbMX3Yv/OgZFCMiZS0K1wh9se0QFqWvFgGks7S0TResGrnXUe+nOpCA2Akd7QYeTE/OnjovkL2lkTkdZWP0WTvCkedlZ4PEG4RCwNxxCF/OqfZpjvnvYwIasKI=</t>
  </si>
  <si>
    <t>vLEXd0jqhm/Astx0LeKL4Cs8318smdkP3XNO2pZh+FO+qlbkgd3ClRAY62tNcJAgpoc/yGrntz2exUbmHoIyDzazX2xjCUjJorOHha1tQ4BkDsXBjj58rQgBX1cGh85hHeM3CuRttPbmyU6GHY2imMxfTlxv+GXRLPESHNBXRf/xVL/lkwxMErZnefObT5TvK3wJw+P8RH7Qy+T0iucNgNMuyzNzmvomdqdD66q0tgxJGAPEnQa27aRXk/U=</t>
  </si>
  <si>
    <t>4tVsTSc0PTy/CunWXH2oGLOThxoPkmgEK6LzfdD4a7uNQ/dlufMhWkBlUu/pk6ch2EZme/tyaKSD9kzwfHkyPKGOOikYIp+sLFm/xy+Sn4EKNjR6PO1f94WEM50vsbG+LxeOgePyGsvQocD6j4y51CJtcuoMAGmybmHuBq1iR2OBdzuuh13nw3aSAllIFWN7o4m/npCOw/GwTHw06dGlH6LG4l7EC9P6cLt9EwYyWtyKXNY02Us7J5QQxfc=</t>
  </si>
  <si>
    <t>3b4ZXX+GA8JhoIWusKUHJs7B2VeugpI8pb12G4gK0Qk8ypDKg8LlBYV42YyEWg/UFZouA9u5wzklq5JaU3GXXBijWjy2bIt5inbCiJPs1P9FzVthEOalXCarJlQevhZp/kJRhFkEuzNSls9lY6sEoxdqycRwyQfT6dFPuEahXz0KDO9RA7ymOCJOnktxnuLKQ8XfEzgS0YHSVAqTI/jO0RG6/nlDsfFwELrjhei9UyhVJ5NGOdL+QW4339A=</t>
  </si>
  <si>
    <t>Gfieh2zrmmJzh8m+ILuTOCcAcSLwTx3ywHmPM0WXZZlE1d8o6CSIIXGt+OD6jBlLqH9lYnxaFS9tUHfAEPlIX/HTpXMogWQUGF1FX48d1iYO7NQuFL1Qu5nMTHUZiHp0x8DYvzIpVWkNByKaOP+vukppvSdU3LSqtGxyISb8bnat6RqxLyPyyWaPIHThUS307vni9hr7VQlS+MwS4g9wI0cD4Rh3ORrW9ZpTYJ3GAqq9RUOoyyp+TYV1EgA=</t>
  </si>
  <si>
    <t>Qxgm2eN/OUtKMg4J5u2Wc2rSxdjlm2EOYTHA4tFDhtrnZZHGxzyCNVC0c3OnTXOIetPpiGeBvm2KWCVwCTnL+1tlPuntRPkyqtN3+jKJHZjcKlsTE9PFodQ0HFwto7hZIPZ9QjPDwkGAgx4SuFZwQIPzUt4OPufeVLbqvBoemz/XbCxMETIFbPO7AMztAEYAs2K845XCrEomgu0WGkwbPC9Ccs/4Jg7sNN2O6/SvELiVfugneOTnmnI8lAM=</t>
  </si>
  <si>
    <t>LmRBQb6lsS2AGuOsl0Yn77uQ3P7rt/3mU6qclj773hByOf7SBajz6q3rEEWJJBjFrYQS2MC+GGHPQJxBU09jjZqtGkytZ3P85RpNRBpvq7n5RDU0nKtcsZv7Z+lpnJVIg5/uBeSMAZuaNA8qV88bY18puDDR2/XAodnuriLMRy/VeFAmMlBc84x75rKyyxNL3bz1PmajduZUZApwpHdHcaLKNZmpSYR6xNa2G0Z3Q3e/1wkk9OprXho+1CA=</t>
  </si>
  <si>
    <t>OhYTVk1HMLCbkHe7rO41Ho8KiXFwhAW+Q7KVXxc0DT5Xm1uncfOeCr1I/yERGAN85TLlvNbkouIXxY58CsO0JYKkfxHQ5fGL9zCM/VU1HLUbTSVBlvks2sGAhd9aza55rylusDjkCr1B7q5fO1xhQEYNyT36CwQExRkjG5ZRndlzeWgofDkMERshxvfBAqs/E/XgqhTk1mQ3aKAPnxvo4CoXt3qhVZYHNOxT2/gwzc4ai4SrGei0pbTz/lY=</t>
  </si>
  <si>
    <t>O4OSx/WbRic2BL1CUSOLMNpCCFePmZly9+A4j+/irLh3jnBcEBQsmXgeoGUUrF24As1JZwrXZmEjxmuGSxtcCsdoWCg5/nabAY6qTXmoXbUL5DtW22eo7pHPm9xoUqR/pT7wylRBUlFy1YJlY6RMMneKEtmDyma912coz4MXsmtNcOyZTL578fatJdgCWrw1c4xGIZIY6Ogr4DSFiqaJGWOeNN1ibyzFdkNp5CKO914C2HvCfG5BcySwXag=</t>
  </si>
  <si>
    <t>ml2svLbvlEfgXT0Z2l/+b06QVq2WwpfIL9xWjyxh2OsplD7/EVssfL12DCx21dVuoCDUNmS4l84zXHKEO7e441xnPLlThZdPAJDGTY1nxxFby/p8lG+A/epLlUoCzWRlhTbvMr7yZJdhLKK9RKsD/JO4HFMKgjt2a2ToJ14n0p9w3ggvoRvqDikggQ6GFhQcPNLwjCh7egLeaeKo8gZXI/yZnJtvhOHaFGwdE3+beOYZBwAGbSzzrWCycd4=</t>
  </si>
  <si>
    <t>eSQlLX7VWX3SMs1/B7yzlosT6UIOYsBmPNxlajf7BdkuezYFmHgX2rxFDT95tj8Fy5fpgU8YpQ4P6blGMzY54Df+xTtdoxxGVt5rzih10Kx9nvDF3kAs6NnW06gA5NclP5kngF9dQZOd7Bp9mQJ4GVA5l7VeNGa93GekT3hvwmswzEjGr/ngGXwAPqU6TGptH77cuY1Cw7vtIZC8u1YhElF1qsUF/1ShTy+vxpPZeZUJw+kBCFMfv+0fvkE=</t>
  </si>
  <si>
    <t>Nq+4U5q6PZtVIuYwouTXLz3L1hqbQOjfkk/rlQaGbHEUiRd3KsSs7X6meE93HxLoDjz67vly1Fx2oJ1JQQY+sLOFIX6s8OUcOhHMWll5zCDDGybaRXmmMctqdvipAyIsc1/rrNPufYbOUGYb+V+6zp4PN5LBw+iwARD9f1cmjHhtcA/pl240QAMWHuFyJp5VgydEhq0wgtayrnTVGH80iXgLirDBg6OUfFnIQDApC+p0mwFWSd0JMf8MkP4=</t>
  </si>
  <si>
    <t>UuHqPLGHCFkxPqU7syuixRWngnyx3MQ/boqZgZd9lKRXnDE6m9jsSGeJdFst1KRsPgC96qYZn3zQgmW3DbabF0XbzMfw0hqlIRtY+jClot6sQCSKnUBDhCeIm5EQAJU3U7ELvnzrTZkrgu1nIHbVMNWROmN2LgEX8db+pt2VhKt3XG5NGvVX2GBcP7RiaclqUCjc0v4Oy8CjvXWmKr2lLQXQ+jXM9OVu3WowrKHffKYHrz3h+1TO4PkF5No=</t>
  </si>
  <si>
    <t>aZXyqNT/LJeDsXVrqnGYu2rpG8asuQIz1tSaLQkhpFEUA5FYWGdUrFCjRqczGL/IIaittQ3OHk7IoQL3WboQtNQ6OrOdEORGm6phOhG9UmhyfrJyRUkVvBS13CiFqK30ewngwm9oFUzJHmZEnuLDD64Bk8sTonuMC6fvyJg1aPImsCYnQKma2b/OwARdJZ1JPOT/dGEfDM1GVY1bG9XWjhNF8Awo0NxwhWVlgXuqgW11WjQAvI5vxqCKCwg=</t>
  </si>
  <si>
    <t>oHh72p4BsqTLbyW/KuenzgsTPLx7og7hsclABS39KVZaWKuBcn2EAKzDIZme5grbxWRWW3CxSlNCW4EcvvzMIqh9/Ioquq5s/0nivzdDqC50s0wFj3oZmU7BE3S272bN/2atoGp8wYiArr8MV8irlVQUhN3CQfsdzkNTLKdLN+EpeD+/AmOLNKhVzVx0Xc0bQ6khIkR7hluGUYTqYwP81oKneUT0uxt9jRxiBp/Kg2HKug7iSo7IycQilvU=</t>
  </si>
  <si>
    <t>SsD99r5ZKr2ThY/dusI8yAkOtZWViXqT6hmYZtx5ocO0c4msdfBHnaEKA+Z0F+JJlpOV5cv/H/m2d/DDrwNMKp0iNXqqDVNH8kS5Xsto0jnC30A15LYv6SlLYTOAO4ymSxUR1STtdQ6G4kPBzIk/R+YuPVEYRK6Uhivorz6Hm5cvdxW4DM6NJ04biX365txEB5MoaUGwVxxjXOUzb/cYY6vcIEn4aUULqtA/YWBmfUOV3I1xnPxuUJPMjig=</t>
  </si>
  <si>
    <t>AsVqxyHj/YGvBMJkgsDCr2fIx/HmvPZYXzU1Gwqy7RTFhBeYbfVedMtPx0zJsjGy/lyj1WCZhoaeo4qAg/naFrSZQwj2nprwCGOrxGE/S+5Sz+RntMVv5p4nmyDRHKyky5e+WOnK3HRNE2bO/UW2+Yi+gx2HIuSoDYWubTvEyCWtRy3AnpBAalBXEQg3MonUxPOoIqpOurQEeqbvVxDLRUc1/1fRCzmLHPGRKmJ4m+dNw1atH48Kh7byRC0=</t>
  </si>
  <si>
    <t>0OjDUJENEE2a36+EmLwp922HLKWtq6Cdy6UskdWIG/WdUMbJq3yAFi1DO171x8ZFAE+dk613X/ybday6E+k6tZdmdYbj6oaJ+57GaHX7HqbafChJVV+fa/3ZrYBzofQsQFVmoo71q3s/tRgqgF6cxz5MncKnsdnh9zPawYmofmXNYCbo5mP1tS38lKGfAIdu9T4cojfIoL0mff8YxrpKzHDLEr4NbYiifRoi/BTws2YvuLwiDY4KN6ew1ks=</t>
  </si>
  <si>
    <t>XEUdysdhFRFd8nGxZ3wct9ABbTy78vZZm7f7g7yKnYxOERolPrebaJ8Q0sAs/DhNEfIr8jY1k18tOtPJVMsTNtKWCsXRiz5G9ZSCrwSSUV+9ZHOJY0HQcCwdoxzrKm35oD0QMe0rL9NsERmlPmsNFUSOXwk0AxSyQOTByVle5pM5B0D6TATh8+BPMcSFdANKlFJn+yFT8KBEnYcQHUugiPmvPooO0kg2ea47+W2KiNsBRTyLmPZUxl0MNks=</t>
  </si>
  <si>
    <t>83bpmNu8z4QaFihOiJvn0DI+uaVJ85FBIEBupRZ7njGk1k20wquTgN0m8m3fMBZSyHmcLts8ibQjFCDwGHH2KUKFXzGMdPFzrQiFIBo/S39wPf/Vsc+Rp2M/ugpse616B5qAnNNteXTXQy+JdmMnrSvehRzCEqs68dhE9fF1RqzjEE7ShXVpj+j42nc8b/wvZ6QTwrXddYgc0TRp0Op3vi6aRIqO5Y3y3JGKWcCy1YGVp/JQLiAgFvtfEUM=</t>
  </si>
  <si>
    <t>6nGqQwyWHpxR7h1imjFElzHBO3XEF+Z+knE4FJqgGKr1cy7HTKQvUVZ/qjoLLO3webFVsHF1RILxczVMXZ5zBWWtCDrdtKoR5AbV0GM54jbUWxJtwCu+3JNXjENQS/9ciK/7XkWmsqtinyBfxhYY4XK6lbzWOozm09EtVe1WMrjppmSj1FGin5iBCP9QWs5ZNa02ZirRfPEOt9P4QkN5/d6h0SWn+U+y7If5KQJDRM0DEryMU81hRSchTi8=</t>
  </si>
  <si>
    <t>1GoKsqID52wtXrqU/YEwijeRZJMwTEk8aH8zVLKAGViS9MVWuzwjabgoLwEiQCHAmv2KHsLymXLq6tPk8L4CK0q0ndY+A+6LXq9xAGIHLy1Hf6eYFBF8qJzOMGJHoSB8XBShs/OVNbY+faUc0KXoV7FiKqBfjNg8L6/AQBRwN4U53E49aaL7ttBmcp/LQ0LduQNe/zhdYfEsI7NNzs0siOWlZJ1kGHT4sChX42UdkshSEjrKCv5dKbWRpYg=</t>
  </si>
  <si>
    <t>y0WGC90JskDRL7qTxWv7FCZ58AVKBz0OSsfkI6kSFXdz0fHz5+AZYU1GWZ7qvpxxmy3DtKMVtgR6P4Kw5kdDjzL4SIglyu2JwRLoLcxZPaANmrZegsL4YJ0FVlAIZpbQLQZghu2cWjb46sHpeHC7tSP8sc+ZQENdmzbzQxNgS6dopywzUJvIgPzAYGM0YXlTahjqJkKoT4z8V4M+YD/bWxxudOa8m6/bb6vVSb5JuAqf3Uq6yOpCOcafL9E=</t>
  </si>
  <si>
    <t>jlNf0A0to29dsl/jLQ8H5f01tDiril8kT6KX3hGkJqwmvr2UHpb9EbSggac7SWgTSYFRw7nuXO9Z9qBhSo6P7Y1ZsGoEBS36yuoWU94kOhLhKwHfx9lA3OEubIl9HHE5XVDA2aMhBXOIPrEtr/H9GwqZY2eetO31T7degBc3Jh42UPufvZBJeE5+fpUonpkd7J+4RFOlO/fQ6bFRIATdbKV1A8Hmiw5p47jMC7oZ//R6VcVKcv2gi1B9uMM=</t>
  </si>
  <si>
    <t>FaEVGUl0nO4/gOGGanY7ceSXtYCtViPc8g6Je7lpxMhwplf3opzQ76bpJ3rpLGHJzmwxGul84OkXNMziGAjHfmBottBk7Acu+bvpeSkDIFO459coGp4OkjvqNzMBlvHBAhkiG5au55fZQohyu81G88lsAdQedky4NPkIVtGbPA3510ZU9PkVQ6+nYw+4Zxo9k3xLXz/VEyMP4Q1Lo5yy94/R2ylDPzWgt7ViK4wBP5NIxEa5TbvCaalBEys=</t>
  </si>
  <si>
    <t>kK3ykjhDLuIv/Ad9jeQINz0jVTXmBno3ble5rSiWyGbTzhzCh8Mez6zRd9KTcampL2sIzG/69g3tZFmXtQQweCNZkQ6ReHNX4P+mGJdkfazMDpAsndg9wTt1avMm21r0vZNXMR9u0hMU2j2Dvd/Lazz7v/9KG/O9jGNbGMjd5sdmtgM4k+1ilXeG8hvd0U4IvCuTm4/e0RoO9J1lgcEzbSLDAVA3qGX2cBab7qHWrE6EH+ACMH/y5WQupac=</t>
  </si>
  <si>
    <t>tsSeTtW5H0/jp9XZIr2hqYrXwCoOBtseHnZsg1RiTESzQ4FRs4Oj+/3bv6tfrVG+np1tSurOPx/saoWkz2BL4UiqcQlDs75V3tHAawF2WIPPs4bgrRZ/UiPnwNCKPz0F5nByZK2qr2NSDoWbPvDnntPVL0PwWse2DMpRb8yi3l0MLVrC3Hm03HMS+9FOxq6qf/m2Co1aGCtLqFB3h9bOBhpWBPjat/5v6vtVs80vck/Oheves1r+wtkLd/E=</t>
  </si>
  <si>
    <t>5Eaj14+FMPJweN7qG/yY71yVbDqKAnVcu8aCSrtWiJyCulJl4zoDHTMeyDFsjmgU5WNs8TU4epIWjutSLw4l+m64Z+gHOkWuC325GZyijuRzq2B6jzvu/aN/J9w3psLBpDpkwr5yE2gMyb5SrIV6mvSAvNMXJ0grBnCsjyf6ciADyJil8uZSbq4+9WyH0Wv0j2hSEbCs7O9zKJpA2Zj5Plyez0xISyMjkZ5sR7+IXOpNZ7y2Mvgv6y7Xi14=</t>
  </si>
  <si>
    <t>P2sXPFz8D2lRMOc1s4neTo/Q1kNa2eZZhT1PKxNh7F/v/PpSZ4giq1C+ahp1DeUIPLPgO/MUm5IgI9ltoHehiR3ThjdKo0bPe8GJ5xmuA9bVIwYrch3wSaHM90gZch6e0pSJF5JmuyJEccODRLF266nkKtzOgSVtn667nSMMOZAArx7LIejtQFQeaumnfq/ryQLIzdC6hFkjMwplV0OWrXrue9KzB4ZXCJSZyvq7pHZQw4iUWvutnE9EEI0=</t>
  </si>
  <si>
    <t>LUXl0eCrXZePOx1gM1y4TgrvpKHLhlRV9KOi3EzxoUg/+JKB7VAQGmUsc1z4cgUspjgcZOCiPVM+GjCaOtxtkoBfFoPbwB05/IZ/P2Ad68ZX4e02HbJlan9smFNV7HtxMGdrRbDfvF7pLDfD/lBc0ddxd7Q/LYsySFs9S3F7dZyu4NX876YuzMAiZ+m1zOFcDJkoUJUgpUbGHd+b4YcF/eqz28MVmBWsccToAbUyDAKNfWZaxL7Bp5j7FK0=</t>
  </si>
  <si>
    <t>mL/ZZTysqNNY5EcBygZNZ/Gpg4GC33b0hFDGDg+9mdn1aF7xzIhtXXRhlBG2fWJHEy67Tc2pYrs+EjPK7fCmeOLMPX2OCFv2mYf9gUFbumrUfkJDO/lrHrF8iEtYNXHkn1in/ZgNJlhzFNEMZ7uX70AoiDYfgFbCEAabyJlelK173WbUhc7Ly3Y2HBLA2TL53/35Vr/r34TUz3sqXLHiGjzB+RHCj9/HVdBBCmY7S7YuMPPHqoFqCm35228=</t>
  </si>
  <si>
    <t>F6/5ryl1e1/xXhzD76BcvmzDrZrN0/XzpN387aIfaJT+882Ru8K73bHkZfq/UkHwcPaJX98tubMB5nmSJ4H+1jrIkmkT+6I8ggML2G8nqFC78hFZFD9YcOnQkOkdU1R23DJI11iLkUBNy1EkLYc2UPWeN0kuicDWlJ/N+zcfR8JY4uqrZ8EiSGmfW9bA9w20/o2pOJI5Zv5EpLs4DRKjdpsULt8+GvtoJfugkZjxoygVigzG+1cccMDLWjQ=</t>
  </si>
  <si>
    <t>rl9mK+cS3hlrroZv0b8d9fPIpBI1ytnlbN2+F/J8Zqe8IQJJh1ExLP2R7YkFvCwTKu/qItq6jSG++xnMchpwSwIJf6pjQEQkIb4eqZL+8iRwoTASids5S84HPzwrJD1sR7XTXspJhDA5t+BfqDUgZo44yy4U+GuZ40jDrciE9SGax86ldCKsdYiR2Gvi744YuL5knXpHQtwM8VHyBzSfCQCZ/7eOOGRbjvW2wm/tj7iilPZUHVplWDPlUV8=</t>
  </si>
  <si>
    <t>U/fcJZ186D3w4mCOJHnZu55VRL1bzEipazxXNLbYHzpwqahYpXlgcygEtohhw19WWg2kT/Sb1V5apdiQUyLeGW0BVDVQunpSlz2JxoYgtiRGfNIXjp1k+tcpkB9I5WpdpRy5dWrGi/KKKe3mN3gfwy0Y3Wdi3ywffwlne9AHy1oRLx3uLFVddMVp2HEHUeZ6My+efplx/RcilLpIW1Q1jYjJPfP8+Y8NOyoijFtEYbVqjjwMSd3FhS64XJQ=</t>
  </si>
  <si>
    <t>LhPByqc/0ptLCLv5L4aOUW3B3kB+B2l8/7fBXg1dpVib1XL92ETsKAIuGYtrVJf9ujd0joqErVFPln4XkoDzLtXAwcRAlXqGwm+fJ66FB3jt/drX5ha7peYnwkh6sG/VdpkbQL4f5+ZdTY9eXhyd4OiHDIqmpeb35u3MJqlDAvm40gO4LSvbacXaBImSZj8ekJqDIkDX96x876REmjzE84h2UPf3YRugvmS8wH4h2bZFnk2rA5ujYR+q1XM=</t>
  </si>
  <si>
    <t>hx8Musd1T6Bdjgn26MyzhUGl/iqCdy+uztRW1rmZ7pj0O5twDc81sPsLY6LMKVFhNB4NaawNXEa1ZuTdRNrKp/3WyNPE7W+APGC3mtuszNhDWQ2s4vgpC/17UBSSz17HxHb3Art8TRKKvSgW+/O/onaQnLYRU7v6CgZiBpgHlVKUevAcww19/jKT4vZs3ogEOePH5zIFMvWlVIMF3SxoJMwk/yJw+Totbx/8jiNmlvK9uKfcNxG2q1jqw8c=</t>
  </si>
  <si>
    <t>3cmjYFV8cvrKT9uTwP1l4K8Rqv+Clt2DmWHse3soHQrL7m1avcx2UpvYUzU9TjtXVYIiDfQRe2SWAYFXd8AUXpSoAYPnImXSANP2sNnXfnSbc9HSnQQkzyyAzvSevyXwHaUV9+c6axVr3HXjhWCGx1sXChnah9GN8wYp2RuO4S9hHdVld561SL/SxM8XkLsOTfckCUNitwdxfuR92A6ENhj99C5cD5fk7Zw3cm45jCJw0CwPIMnL5p2Ivuk=</t>
  </si>
  <si>
    <t>3tWVd34IQCzLERDDNnSlvjti33XyQwtmbcGl/tQNn1bh6EJ/hYKPTMjybA3LP+XrsEPyfwkURelbK9ctxhSxdFMPOvVqs4PRIKLtE7LeKBGuiP32HPBRWjFF1l9FucWyaEj5Zi3xrrSUX/DooYUPJYInZGmx6fAv2Y2EQwBZC8m4Gw7iY4uonEqZ4DVWG1h8bjBLbr7n+mslbZr7qwkGYY3PovzNZ57o4Wo3HDLeZwtkrYuY6NX6v1UPhVo=</t>
  </si>
  <si>
    <t>5v4PjTFjVeGy8SR3+TlfagsT4N6rsd8DTGdUTxLt88FW2+cpLtLCvL2g8iHSPsOqsDAoaCQ5dST4uF1iyxdVXA+ndYbThLLBDIz9F8SOFaH8zhnlYFGbW/KSGMxFVMWQiEEYM4uiDUlOOgUv6kFpnsv5eDLB6WACgsFavmdbUY4n22Ib9Z7BHuvAO7J6IsPBvNKK2/s0pQ12Gyof50nfNAYFR7iMezT3uyn4DRF8oxwjje9VoZ8Y2uPSZtc=</t>
  </si>
  <si>
    <t>fN62Xc5bzUMuicuSDuQilHn8HeRf1mXD+JFfKmJ+uRRNN2t/sZ0eRAt61x2ICFDjYI1Zvt7NVG2xHBQ//2hnchFN5B/6VES5tP9M0mPfAZUDRujn6Q4zmbNsw/1jUZeQ3FzblB5YizVhehpoH51qRJHSpIt3U8wr6y+J8kTKg/EjOSUppzdWg6fsIghnj0F0W0IoiT0MYq6bTn2jvHcbAjZ6WHOaKa25c3/38GinUuilYXoglnejM+94rgU=</t>
  </si>
  <si>
    <t>dvRzzjzTOYzcaMqOoXoof486M0anU9Qo4X6hOzMckp7xjw+JIWWJYVkilit1Am7QnIdCNN6ovhEMXPG2P04j1sZL4/u8uGZE69xRg0A5WJJ/fHOcDm3B5OMqc25gssUwzMJjnjqCdUh1oH6pJaARlErz8uqUQdF1Ia/Si08bZNApugoAXqHO5w/SblyoCkSuF4hKQjx/+xvDZHwq84iI0PYr/mfFC8PkRQqgnyyUAXWZnp4NtiNrq6R4d28=</t>
  </si>
  <si>
    <t>QRH7viMAQS94dhavGabwu7YC/OFKCYteubG1eSRtNsIYyjDTdvIeF5olE02ovfYywnL/zlY3qb5hMLWMYqkMHPJjVvqsMw5dGJyUlGNR1JKNa/1m6KmxSg9sIaa21/aI4+wEsePv1fyVxT795ljte5C7ZDoo7NFVoJa1X8TvI0P7BF3PV75M3hO/HySEErfCDsXPqVBRBWKs5pviivF2uPwT1SfH9Q9tCZhCMtEv3EkzppbJp4TK9ZfIJ7M=</t>
  </si>
  <si>
    <t>hSb0RGlbsCANiBVG57WPrp1IL5wgunZZyTXFaul8sXPPDo3A09UH4nkdVRQ7/McZ22q1Jdq8ay6ErcWY2m51mygWjq2MDMSw3c0Q+8+Y1IImWMo4UqISkpHnnGlRw4J4Igkw3vRrlYLLbfaYymfN52dELLsUpqePqOJCQzBpPbEfrG7FkC9WpDgUePXNmwp23hrHIxWtHHm4kSTTq+/+3u2+ZX1V4UMO3/b79yekptvEb1h8Mk1X9foAlxE=</t>
  </si>
  <si>
    <t>f5439nsnS4qh5Z1Qd7S4MugdCdGK6ljqexIMrvCODRecHXoW/ZPyxc1v5g0cZZmN3AyBk9jjsTh4P9s6ifrdqUzn5GVQW847jVwYd3eXZwS/r57LBq3u336Mg9g3I24Rq7W4Fax2qtCBXKx3xtoeRJ3Q2CN74n5S1VzNM81uknr17Hv4lYsD9Lm35mI0KKne7SUJ6Vyz09mtyWnW0NGQhlkfPEKub/voeXnf6azaF4kpuB+tknPt1MJzDh0=</t>
  </si>
  <si>
    <t>NY+Sc/SMmb7ZtiLy4/L0ffLt8IjvA+YhuSLtnrLtvOmqIPFxg5hSwA2+QsGBm3jiVl4x88gRFbIMh0cy/H+xEDzjQscmkz6Cy9tRwF2W598Itqk7OHrA2TiEodMpPmdyR6DFNsHJQC0DY23BsWvlY79TNMB90LFOaEgpS8Phs5YHRTmdeh+cSflYSL1thLD2Yn9PwqXBU98W8b/SODV5b2MDkvyrrzWaq1vUCZUN3zAdJYJ1Gmas1u2jjAs=</t>
  </si>
  <si>
    <t>Ow6IOQxYGV5rOqX8uiW/6nycl6cBOQbHG9eyuY/dKvaNk5SKOZBuqrKx89jbivkV32bJUe5JCgqecDdFCvtwCZ5jYK6USmdk82uhRSD7SiAZcEg3lb1aIlSbmyVEhH2uLbuxvysHcyN8X/On2P9Hiyp6ePu/fl6AcLxEF0BcSL1h6PKEIPZbJZd0HebpXJa5D+0CvL/Qb+7u1ry1nDPOR/uy94VrKOeJOoDkgCftbxGHiSlMJJpwnhcF3r8=</t>
  </si>
  <si>
    <t>MoYtHQN6DOoeacZv5a2ogo5JVLTD90/keycGaYuP+0q6H9YaHxUlLiclWWFJd1HUw9IBUIKO/XHSkgtSTSs62ovV4tNesjCPKaLGmZoCwF8wyJdyVQ6KtlA3AySBjjZ6Xu5MAHYxmJnKbF237NCujnXkLLqSsbf6Dp8S3nRNK1sAgdvvNDRP+hk8epESeUaanRknnym+McFIk9UEqF7nRIPuZobNekZZhCOHLe4aZTZrMlIruv1XlLBvFTo=</t>
  </si>
  <si>
    <t>c5ppMIzKDcoR/rnK098l2ruWII/aYTSUIxqIn84nxl/GRrm0riV8tVWM+/As6rD6HckAl/bXNw7fF0FnxTf9TDib99aC+XpQw6LV3pUK63ckQe067+mnUwyYlw6CT2GrAgna/M/0uHYJNnkrB1q4Xiid5hA1/xFqQ85w5MJ66GgavMeddzsMtGBvOueaGo5AKiIiC+GWIiZvVoxcUTOQtFK/mY7Cd3+OF0il5OmRcpLx5CjBC+rnf6Dl8Iw=</t>
  </si>
  <si>
    <t>5Z87xP5SyDcI3tRa6eg2aPYFWonpdHHgLRZRlEx2G2ceXRPR07nvQyayCf8thQ2/pKNI/fdwgPU4m1fFqz+QvaNNOjgbFR34kZ2c0zvvsxAbMgkS35akHWc4e9doahymU8OSWk0l6TldfottllcNDuZTbY6xNitDE9zXGSPJSanfgEcDRodByl2VLOaGb27lx4MN/fCAU8hC1HVwFgOabDFXQjc4APGXWLBibXrrQld3xmLmxl+e51bfREE=</t>
  </si>
  <si>
    <t>Ze5Wp5zbB6waiOKW7c3+5l+BO0KiCrzS/SE3YpYrqxraIxvmXUOL9UNWpeeIMK8AKZdsZIEnb0YtDJN4GVjcjZUSwdrPrGqaH26A+E8vv37ZUwe1/+70sMbfALB39T73YOBLpU4tZuD8Otkf6TDLlZEYQ3LJUdnnfD3aeLzqZcJ6fLaimt+toYw3J+VgN5kPxeATrtwG3Qquw8Fohd/qkJqwAqgK1TfOL6lSgp5EuTCyKMec3+jB/vViSyc=</t>
  </si>
  <si>
    <t>RBIuT9MAf6SW7JQJJyW4xYWoKBH5yveMbt0zcAa9rVxDxyt1guYNC/tG4qKi7XbX3dqfAPRovgkSuHSoZhyzagL5/vdKKs1+mKz6Mj6aiJau+YnroKFaS+epp8XurF2Vfwu1Igw+eofDB163uu/jots/mmu12r7cZMwu/ycXLupH7rrvBIZoYuIBN3woEjtzdGgEKDWVhFHUTWUSWUn6fdIJCWForhq+H0qKQroDRiW3lEQBLRV1tAk4YdM=</t>
  </si>
  <si>
    <t>+4N7nWmx0BWK9AE39wxGiUDHcYbQOMEfwQnbfAZjWLYJb5NYPypqzNm/g27QZ1AykbHPHNSqa4RCR+kXPHHLOpzU5wRfVhTaMctC6FLFZSvIMOWXUL+fuYj/RW6x9MHDtHLo0JHatee6klEVJ24abVu6IqRsM3m0gKOU+o/KoBoTUSN7a+jAtMMNqX8XxYLSoPp8lDkR3Y0ZjB0rn+4XoSP8GD/FQCdxzYLPN7fqjvfwDPeYDMyjfdJFMEI=</t>
  </si>
  <si>
    <t>Z4oi4vIt8f8TO4RBpVhLsbxBCagqs+S/Kc0nJ9PA1NdFcw1TfXOrefMRtW6i3/zUe2h56+8NO58Z2WB25Xj8mlKwWZiEWC5MoNnMqzebvgmsRLJQwep9rsWZdu2KphSwdyFB2l/hM0j0LSh7Oo/sHxYADoqMVSSzFLfx43k9Fyh6HSufG2UTzR90Ko6cRbAwfa0AXAwCVf3LAhsxAgpc/KJGgR/oMGdRI/0NC5KKCHiUiQC7miU0ftAycWk=</t>
  </si>
  <si>
    <t>WHVi646EtJEO4Zif5lwX5ZCSIasRSOzNFCt+fpoCZjn0AZlQnZX84gbv9yjsdw+jmhSs50Fh27WOreIyiyOeOg0p28bmfLLlAXFOesOZ9mY0Fg3DJ5lfBcgdlor0C5E/uTA8AuNayOre6AYLHnoFE9WExUrZ85PlD9O9fNsTQyjGSC3vSOZbCVV2FRakyYJuTnTe6LnTgt+0ZYeDdzlB8BXQVXG0xo/g5ETuf+nRCbgIY8kLhk47lnNwJKM=</t>
  </si>
  <si>
    <t>ukPJvAbhOWQ8RgLvzUPO54QMyJkO1nrxCJhqldpjmueYloPvx2mzp2ZbWOY2vxRV94ULFlungaIOI1XdKcnm9x4PCAI0pNSARW0QSzQ6QVEo47Kc0f1I/0q5G0sJytE1Ohvs+nMQPxHA8bbRQkyTN0ZkfTBXbY0mZWN0P9MYjInXn2vtTYzw5myZCk4M4D4K7FgXaBbXRt8Eov2/J6Kb9PsmmIfwC7rV5rHWC6e8HSIG/x0IllBiwBx19Dg=</t>
  </si>
  <si>
    <t>87Yp6sX4LnGOR7+psuSLAJrq00ackJmQ18ty70q98S7+AG0u65UURLZLad15s7JoiekNkJjTfObgC2juphTZN1YKPt2DXVbpQvphByymFx4fAt9Nmkc06gdZ/RM+4lr8+F8JzOcf9CHDGP1A7zDJY6N48OVa5iB6fWKQc8+Rt26m/n87NUCgzX2B5HzYBuFdPRf/XWVwI4VBnLPBP6SVNSoQOaT5DXsCnwDjhtFA2nW5tsNXRWM2MKuQGq0=</t>
  </si>
  <si>
    <t>8/KHgDgBA/H0V9xh6xNRuZJxap597kGoEQ2OnmlSuOUxIAIgfbB/3e4iXc7Ug3jRLi2705TOgy/QXt74ARzhw21hUFEGP3xNeQNdebej4L7/y+srtP8VNnhdjqrT6WSi3q81dy1lyNyETEp7qMdLaQ6/qc8u5uxG9CnA4Ju2T0cCf5CqXdWm/4x7EU2aQJ1HIwumwotYwspEy+NX19Bc3y4kPNopfyriIywPLvUjIHwKwdg6oTVkTVr88fQ=</t>
  </si>
  <si>
    <t>pucmH7mL6BUu2uTU/uoROSRPoC/dBmaVLMh54YBDfPbJeiuqo2GO39PGHAGuzyIh0yGi7NNqzQx4OzAmb5VuNL4V8toDOSkWA/tjvq9Nh6XAtFjymUQ9w1JiIb5tcau+lIDpS23jbOlCvSFvmX5mKOhdppM/TG5FYubCsK7oxawaa+VZtgTbxyykiPZfCFCjLEaFmn61iJQ2iDLATRpUFsKi/+DPlGj7FLgUbRdY7MRru6pNgTCG3M+P0Ac=</t>
  </si>
  <si>
    <t>ppTsYyPg/uTY85tdKQ/BbVSpawQQdh4fQ2aF5GQrypmbDhxT1c0WhysYtWbo5unCfkwPeNJjy+rmmbT33jOpUvKS3WVHEcwQnrw2ws7OlcJUd9fItjfK9e+caBf8tswVBQS0Q3I+jYpfnK/YNk04FrQ2lqvPeqQQWAooojiowbuPRp6jRQpzqAlv79cSVW4b2qdCbtGUIJn3DBJZliBeio8cIqjg3IpL28GS9EVTrSaIG+4/gkSoOXS1lYE=</t>
  </si>
  <si>
    <t>nMHBkueSTsQmWdrnP6d/x6QaRzYtoUU+pGTcOibdlaHwk39gqQB05kNn2AwsHMvGttI5+H3fUNiXJa9BSMEihYV8yVzoRBWvRDDNDHtgZXpsEpPThVPwrY8f7JgKACHgUYFQbIS3oaPw5emTjWMsHOImPk8vbZrJs3PU0vxCQqW4+Qdawo7hsJBjA2DNyxpRckQt2r+1mCYmfGVF3hsUVSfsjXbPGaRwCQxMZ2zrrK1kckHZPTMuU1TTuZY=</t>
  </si>
  <si>
    <t>bXnHadOO0EBbnM4p3tTPkaylerSz+bhBohkNk5lZAkZhACHdEDwdb6cBLAlCZ3NM8T920NjvLUySFGPYvmsnUdKLSPOy3jU3U91IAs0dZo8BREuAwaMAE6vU3xX3dswRgEx7WGQBnIknIfDJO8KtcQC8FROpTjOBQvaAXv+g9145SLaRiCBqBKBRztUSIcVCcKKHzhnyBQGhl2Fo8+5f95UGVnbE0CGmC4smAx91f3S4/1xMfejMyywaPPs=</t>
  </si>
  <si>
    <t>enRYWD7FTNlti+i6G8+OsH5n1G3ECMyorOrIFkOYkK607k4TYHhQX7q0BREyC7YDUtD7hd5aDLmBIaFcYyEi/0idUSQbzK27oR3KjklrzC7KX2c4yYYHaYhi1Sa3TEf24CPGSlZcYe+o0Dif8uaKCBib82bvDP/GdwelBqWaG5Yi1YQ/J63FFthGJoXQ34fkj/SOcXsXTwj5fNJizK/ZvX8WSYlBngLItu+QEOday8yMR1yExNBcrXVrDCI=</t>
  </si>
  <si>
    <t>PjWc8g5BIOVYFmZAtGMhiqjeB04F/+pjQ5kLNzK68jEKXKD7ySehDXtYklAZolDoaoWZQIq9h0GubJ9R/xZ5yiaDITjoNk+ZzOtfU2YAjKs3RO2L4JAKC0vlKjZebN1aW1PRA7tc1PuQKojAJ5WjOZwbNRoROWqUM+CRPcjZtmw8wnscj4C9QZ7FpW8JdU+h4YstUQQY5iON7nD+w1f5XP8McKOmw6T1ls/Kfc/8azQGjZ56Ms4iv9EiWk8=</t>
  </si>
  <si>
    <t>pTRsOz+1MUhbqyIGpjCJo0xnxSajD7QVOD+qr/gocbNcgEgOrlPc8x6pYaVr5NYWSYT3HZjfNGPGnYIz4i+ugDXhsWl8ii7/hJKXDhVnXMFqSse7LK9HACeyjDz8OXwI7663J7pEq58llN/J7HJA2L9ajOV7V8RGjM+coXbXco5RkmyB+UYVZ9BPyi8BvKAo8PGQbFJUa9Uq8RQEr/K1pmasvpn6HllLq/8r4IgJrpDBJiexyJpUlBIdc/I=</t>
  </si>
  <si>
    <t>AKve/rzdeam0cY1k1o2Au2FFuY08cwWhKba7jYrcxA3GRyt1o5ivyRsBW9oLqe6xR3c5fkyhVdC7mtHyahhzoux1TK9ZOpHWRiKJw85DjIT+7AV+nBNQrSYD63KcUqCI17nQ+CsvVbnFtk3PNXFl5hXPSaDfM7NlCYOl93nluD/FDHMtyu0dXc3utFDPqN0gSzFpS3e4BwJGGm6tGKjpozc6uvLXhIuUoEXG411lWuU+xHB/D1YKvWIMrys=</t>
  </si>
  <si>
    <t>Mzyfni2zECsgiS+WNWJj2WWIxwsLaVPuOMTxmbmbk45U5rI7YyFc6ph6ym641NUjBhx7qmZ6ji91m8+O5VSI9LC/N421hl/SwX5bQUyVUwPxoEas9u1cxECZn49TU0l4pjwZmMCN+6Vh8Z4WYt2uSTNMisGC3dwGLtBeXupQE1NboqXBAaxT/eUIeeFHcwdPYYTIz9r569yv4AYH8wqlP/PkUW8Qd6r0FTIE40yASR5Xseef+SX5Y0Yzkms=</t>
  </si>
  <si>
    <t>TDDkIf4kDAmPed3ndZFoqzMOsO+hUbiBYaYFL8XBmdgc8xsemxnhHGzvZlM0P9BsmJXw0c4p7xxp5guSYDOFzmpkZnW5H4axqLXuXl/4BndL2DwqPxHe7A1pN3M47IrmyJOrGPZHj4zQKylk4EijeVPzY1OmHHDWmiTmSp3W/p3rRJdsKpeoc8vHgVOeO/lDaGlVsbfYWCSw+CDP6UmfQUpcT+tGM0U/chW9h46S7a13t+BCezeGS1iJZFg=</t>
  </si>
  <si>
    <t>GaH5OLsKwI5DueqVkX5T/UJg/H5IUYFhpAoEeD7VDC0LrvsRF7Hcgelub3k7ShZax0SfJdzFT4MhHDvwIpBzaaWr2CKRC7Eg0qfckZ3xho7TlQXxx43FP+t/65j3TCYQhlxbrUuobanYFQ3yFJ+joRkSc/gmq43VwXKpJmSq3OCauUQ/GHqY6+pu2eFP4/JfI+W8pde7FIujvneJPm3ld/0zYoFKN8VzqFSmVfD+X5w3kz3pndJa2wjrQAk=</t>
  </si>
  <si>
    <t>9VVFV4OAJ568RPSRIwfP0iGP4pipfrLWcw1X93TmAOynNxUDdaXXVsAwoq8XGB01Utda2UyPGX7nWr9MdvGoSrb4RQKVJ6R5rmWWLYvyD+tOzvtZtssuTDvzRP0VslGVXjv8bP3R4CsJmL+qHbdw+OY4vIRZpHkaPSsUco+NuDs1Rpq6m3zgeexDcEyZQ1khJBWAKAAvS/D03QN93Nsg93rm45qcXAyhQHjZ2jinuqO587HeTTQZjHCwFg8=</t>
  </si>
  <si>
    <t>KsQXDiEvFUt6MqNhJ8wF9Zy0a/xtzk7VCwbHbQMroX8NSlxwVTuAeZrEwC/51gICvnwIQBoEU5PvRkRp3DymSncRJnNexVpHbr9EtCSbR0fPKtXfgrLDmM/OpVEMFgicK5msAz/pobpwCbD5+icXusow5wjBhPxiRX4FN3PKrKMG5TaXOep0VU4ja277wKI/622MSY2IsLiptkOhvSdvtgGFMcx+i7bdKzNhJawo/R9+Ye31xg1z/S89uEM=</t>
  </si>
  <si>
    <t>nhYqy/lLEoXuwbgmoN0ik9BssR+qW4S1DmNYZCLjvZHf5wJ6UwecyNc5KYd8sOeW4vepsRiUVFeu7OFAEohtRuyVYhGwdrZOMY/6jHXBwM3X4fqoBGKFo9j4zlvvefAom/ECXYa/08S+0YgqIKG7mMxzIksXQLBSQljud8e8gjHZImo/kuVmvHic/cxapK2AjaoLIcGM+3gZ783Ekq7MzzY9MR0yj67udYu0kMcr9yDk8I3y6qDH/zOBvtw=</t>
  </si>
  <si>
    <t>iieCJp7XqOpkhcU2be7A+jLj684xi+LtUiqfLGnBYdSEvTVVthL7YxRq4z5zSSTEixq7lrOoEo8DnAcz1oARRmKybA8OyxK89xz10tI2iybPt3KEes6uqB9GccfCiJ50hlr+6Qn62Dq1xPWCLVXi9nNj8rjpfLyDMIDVWqrlc789tYNDOdB3Hm/oKC9a3pFdhRKeXenkUlcxOlChjNhkaOkHyM5zXhtJ7mLpSIKire73ZbN1p3R0sy3Jneg=</t>
  </si>
  <si>
    <t>owoM4K6g7qLCAfi0N+slYQeuWpcHrqR0SdoviqHAUdnrYowZx/3JJM/+EraSB/j5fCHm94eHfPGZSbUpwCJP8O5liuVNmgYmtBSe0PIvJPLdEo+CTb8QEnKz1y2sftKa90pDJ0BS2YbSoYP+yytk2lkjTWpYR6FApZf8VA0vPWEInNE9KEHgbTy2OR4NpGMP39fmywD1OeYwWavbx1Etf3VmVPP4f3SxoOscQqz1OJ5BSmPdRWuNmIvuv8U=</t>
  </si>
  <si>
    <t>5/RJzPtjNsUwRYwoREkypTPxHWiuBCnceWRvu5vXk1sy2pT9otigXlQ8TGz1Wv5oAip38QG1ut3fd7eKExU1japI2fs3PzS/jvm63SIYcsoM1WQ0QqoTikbVB5nRek1JuRWb1McDIISUEpzSZXHRr+T1+ImpPlbGXTpPSNN0cHVltmibum+KbKB18TKQb5ra/iEdTLlmUxWrCjiRzEkyHNT149tTn9iv0ByokzHN1wRmUsHG+zqArK4EjPQ=</t>
  </si>
  <si>
    <t>HKE0b8MiczcYzK17pJqqXPpFwr2Zy6wdc5hYv+DKQF2NZXbeiGTEOoGhae6SkkGHJCiWsjy516sAgSmUPWb6i+DO0M2OTQRXCCecNSxEE8izyP6hylWSjvxUW1pLb0CmKsyyajRGdXCc4cmqUgadnbXgC9PfTMlsMcWM5tIDaksXlwhdZh2l2SNoHhcq84C+0kaFV1xMYL80HOy+4jh6B/1qKySMy9jWl0/NieZgN4Fx2CAFuTWDO5KVpl4=</t>
  </si>
  <si>
    <t>E24VsMbh39/vzm8AhSABLB6AclEMqpP1JBzFMpUZcW9NBIrb6f5sJiUw7h7FsoOZD/6tvswaWCOMgg6QhFdAVy+PNxKfdDI4uqxs6Hq5odcL4Hf1vnfqYeIHbB6L2o812oPHdILYQQm14/RMT5fneXLjTj0lHmdOTq/Pk0XdOZCjQKjlrez/ighe9DOtDjxee2FpNWZyQLj4If6xNZtpqaclAFwbYmm27ti+dUxOqWvQW2oTXB77DcdTeJA=</t>
  </si>
  <si>
    <t>yTXHpzmWueov++yShbquVBqv6TNKD/BPlLpog/4Cqu7Dx5HnvtDyb7rxLcvl6XeYtl6pGv0ClsoalG4sZfnutmujAECGMyTM9tGYGdAyyI739ce2koqBaXrS+1QOdqbGIa3h0A1yNCQUmFxRu8+shSwZPvj+SjoZZQI4z5HBri5kmsUAcmJRLcKgzdbmMcJowRVORFWg4vo4rLXFTPbZcwwyDCE+XIvs0ukY+v63k9juNMhym/Wbz4Zv33U=</t>
  </si>
  <si>
    <t>Qx0y3olw6O+YnJgi1XYaZjXtHxhC9q03AzXz/Ii3LixLHHEUXp6HsVqZfhAiWVswsRnl3l5Grg746wWlFTwpDuOBXQeWMXxaQ4bCrpDOFO3+EjrA1Op5O19MAnsauGatyz/srQTwH7NCCfSuZ960Wfbi2wnLVY+wVTcKy8yPYA1G4VcLrgRh2u2vSXADMIOyBaUTs2l2jep52PmhJtyU4BEKfc8Ys5VddgRCEbjw0OPbhCXJoT6x273s7p4=</t>
  </si>
  <si>
    <t>vGWDwESzyGZE+kpOttrdlKBleDa1xpR7Qtw2AuMebJpTk4NPnGtWmx7mWoxGPB8t34YtyEcU5XCWrqWA5C9FXKA2mge1AmvfC3T+2gIPZoiK2NlWtzNAW1ihWwudnhi/YFnDup0QShRy00tQxF5F5YhLt6gVn8Vtb9LNfncVpNzvw8hn4uE4HkFhI1+sIWoc0ZlMFFHPwMTDDxeazBN4LJ1u7pmcb5z/FjDyeyub8w3QFlgEyJHfuL2FkZ4=</t>
  </si>
  <si>
    <t>3LndNfwL0PLsejG8V1HJn7VkhyESc6gftr4eIcZFZkexHYQ+HYe1X78adMbqi5OxPDohJDKNlvgNj89V6FOUgvikxVg0wXLOW68FaK3shWuEaWB0dYT8ZJCvFPxvyXmlg2DDXHl9yMHyQp5rllJAFGaMJzzpCn/H9IAznoow9chQ8F7ZbwRzI7/0DBsy6CvfoHg574KF8zwgXD0gbOCZ7WG77c+ztKQicpJYjPNPXrXY4wsyLgNwJVZsdC0=</t>
  </si>
  <si>
    <t>b68RnrC6zZy60eQRP9RvmlCt8+BHYsV7L4XY0BTBRXVV0G9Jx822ZgPmjXUgR32WUq1W5KNJAvBJjrpjGLMskY43YG0+xbO2dyoelISiNeJmmGICNnOtJLrPRyyIIYM3MoEXyclD+A7QU9hFV2NfcQT7PQDQugvFIXzk4iZxMaGQmphJG9OBOe6vWHBJ0mtvg9N1zKvDWXJWpEIGdEWGm7ekzkxJdDD+rVcYJtZK+Cnpk94KpsadvP5Nxv0=</t>
  </si>
  <si>
    <t>wH80e7rtRobU/4DhdDU3/mA8jE311TE90Dk7YAYmuszoF8gJNRKLlCWLCRKTScw8idYYDz5cPDOp8J8MQCUpjUyzv/axZ0Nif6XRwjN9RNb3LH0RB/Wcf2H4XAOgGecXHY1lPSycxg88jsf5reuKyb7ayCPcOeRTBDdcpy5UTV/0SBrEhr8Xb+h08T/Yo1FWzs5IkEAkJ1iWRoqLuZM3dvzEWHIAzH/JqReZ9CmKix5CPLHkRxG5/789kbU=</t>
  </si>
  <si>
    <t>7hF0zM+K4cm+kyOOixKjkDSd44ek2QuQ6YEnMa6cnhYSrSYu8BEPHegjIX1DJJbKCpXm+zrIIMfmo0DefiHZ/S+L3bG41iDznj59lrVSJ37ZiBeLtdHiTxg4nuLaG/1rybq4hCc1TKn9XrDviK/PeQo+Fh0QpU7AuhGvg78TVB67HEPZyc6OONWF68aU2LwJ7vpY51WUQAJGz0UJaIGBN4jPvyHFcWRBun1VvqUfly4V/J+NSQlfMPstMAU=</t>
  </si>
  <si>
    <t>Aher6/lDxE3ZT4QoYncm9hFWuYMmukleRq0wKINKGCwrbJr0tA8EenPQb4v58dF3rVId4jqlY3ZVU54IPXXPOAbmfdHaggLnNj/sWzMlFahcQvHNlGtcQQFbZ087BLssQ1Kqr2DUIevXsam0Iex4oe+DQB2yX5HftQZc8luyMb3u3KXObkaidW1un9s/hgrqeqYz26f8zpxJvS+nBybISjF8zkQ0kUQk5JCtE6XtH20CqtjGKWuDlSaUk6E=</t>
  </si>
  <si>
    <t>QvRruEQf/Rb4XKAdOlFbuRI5ZvBt/BOC7nREzyde35Oy1CToQu98BNXOv9YPp5Z632lwH53NCgYlrCM2wH8Z1buJTFWMLftIqDn1uoEERO0yeCViSqQ9cdYAbfGdj8o9mbV1AJYbJsDItm3kcCo5BkBETGK6KkrWWNDde2T6tXUfg/322Lai6X7fYJsDZ2/YEGPEXT8LsWjvJ0RgP2mHkqPtmYWyiDi0gsLFnexTDFYTQjzCd3rdF51ZZvc=</t>
  </si>
  <si>
    <t>ubum7m2hCCT5tn7RAlOCIy//M9cYsA4PHQQgJn97xmySxyLapFTIgu/exi70WMgrIT28FsK0HgP+g48B2UbWSsVhpasUfInca7uXkpNRCPN1nLnkVsw643FLl8q2QoCsM96+os58csk04hWIP+J8m/yYleoJgSu2KQ4crDdrsK1CWV66NL7fPdkJwMP0ky5bDQrelhEFvwqwUyJe3aZTYtoi47HSABXw8rgU5Cj0Q7TIqgZZyNBAQRkC+UU=</t>
  </si>
  <si>
    <t>9QHJZKMCq7U010C5MUM1gXGPc/QE6rctJRvHLJwCyvbQfhKcAZgBzNFXuT5Oa6PAhOlKeOUdZSVwyLLi4OK9ursezeHjy7fsMKUTZBTbifSsglmox2wIeXfSd06imUpUJBMtXW3tw47BQz5/WFseZL07qR5ASm24wFXrkDmGKvSWmCIB3nVH0Qz3/WseEAdqy08jkQ7gbiLoy04x/+6/cBPV/T8sCDEusu0MHlmbNV+I5sXDNCaKiG9yMxI=</t>
  </si>
  <si>
    <t>NsKeavkYV8jPjy2sP+51fgNEEPapzCLABsKuAh8QSCTPrpXnVUltcJF+Fbl9fMK9ZqwI3whxrU9MZzAwVGHUhpiji/uq9TC1r7nAQG0mt5y6boMEpEz9oEiHYg1lDYdznRRRpcK/4dWxok0Iy5oJsf1dYsSL1Hx1yEcydn9bKj13cLebroF1Itam6skVXcrGJXQ7cx80yUkPwperx1OzSBdbad6Q16IQmwACXBIg8WkKCuKldg3aaJ0TlkQ=</t>
  </si>
  <si>
    <t>rGzqee0u3pFM5grxUfj+CL4qLl4oKqkzE+B+QGUOdGAXgKOrfRncvxYD0DrEOX98dOvknA/LGFHI/FodkOwLnH9hamnx0MqL2PjUoa1p1g27Z2drxNDcjkGELzNGuLvudk7SFyo+NSCa8blyI6qM1k78GcLX5kUSZYLDJKO5k2F0yoGS79PGWKu2FY5tiOvcUk7GauIiwYl1+jr4NE9mnjdYDKp2yYkBGkX4Pd2StunNwFiwllxMNYQc5zQ=</t>
  </si>
  <si>
    <t>fSgbWj1AIC4C6KCtzghfFk0gGUJXH0nS4f5rJFH/5n31Q1kJ0qiTJY1ig+WKu3NBML3t7VJKOYL/pnREK6dN0txCuIn32/liqWEwmtIjHVkMwRCoLqX7Coz4R2eG1exnVifBoW9tMl8fHIb+Vo6QVGBuxTStJCHUZMsfQaDZLlKY/mzHhHODPNE5rm8v3+8liiFVdz3Z1eowR0IqvBkw0TV8PMD75pQ7AEpPEcZqa0Upd4FjOPClxk9NtAI=</t>
  </si>
  <si>
    <t>glnp9NjsKzHf+q0QgnM08QV9RWbnH1CnQB1gBjrLuL8mehd9zfN9T5mo4YwU3+nNS3K7mpq5jiD2+9vesH5uhIzMSvto0Fx16fTiafyEl9XXEDVmq4WoPhTlW8svxmPu3zTuYI9P//PgX/mRMiAlKbJJx6dqk3JhZ1OuJOMSNXi01UifXmtbp3Y9xtJ+jgGszFKp2NM60rOghI7gYf49fbApwXCzAkPJfns8dGmccUGwZsLzSl8CNUEJu/o=</t>
  </si>
  <si>
    <t>ladE1Uy6KV+IVzZN+gZ9I4t5/lDR6njAwHgJE3rac4cvnH6XXFxRlsqXHDYQOI1dwpDm6TquqXEvMuUqjKbs4h1Ae/L8A8Od7G/eihJsMydTsYMzxi75wyES9+jEg6D4MHg/AUwSFouRrs6orAN4i6AEEqirxmCStLpsnSeQoQJU4lCPrDPOYb+Xm+RGcYnHJOxZxJydo2M0mKnr9URR9tXop+ASvoWITaISqKOh6QkupRKYVAaGqxkINJI=</t>
  </si>
  <si>
    <t>TCP/upKDmIrdT/EuYXftgsRcAar602WRaK5VwJBLKxpQB8/16GJY93gmmUNEo1AS7zJOzcxm7TdCx2t53lVsfNC7wX/U13TpsChVlmQ9AtcsFCJPUu1SUCeVaTnJw1EWTHgRYc5qczwjD1JgjvZQJpB8vex7gBqlFbhUeD/rAIb8zcZ4Y0KhenW/+ty0s+/pDp/fFV+DnjpF7h79hPAlwT046fwHXLKwOoTp/y2Uf2Ocp4IY6nuvLGqY7E0=</t>
  </si>
  <si>
    <t>MNKtJDn7YXUPAb4eg8DtsICuidHXeo8F42pzK0jJBXzUX8KWTVW3JwbLq1XuLirYLksapTdOIjdZEU/IGs7Q/ReQRjOTAAq3sHmPPGWEK9n5pl5XCWlqB1+jFUvsKzqHcAjF4LfZnRoUCGYpDFY0zCqs2R6ZEG+GlmGcQ34mF7WBSZQdRcouA68LFsSlrRfdTCgjAQrwVJ7yakX6hWrhp8zb7zErvghlNG/tv2xOG6rKLE082xrU0lyVfFQ=</t>
  </si>
  <si>
    <t>TDBLKcPnlCsrgYRTpE9DnzW4B5DH3Rs0yXv2HHExyK0fUETdB0x8dy4NkYyVgvDEl0FwWGCPA1cOwce89ktpKyQw2OKHGjvK2kKhuCCfBoG8FkHhKd2ErA2rrUa7HuD5ME/TR0XeQYW6vgKJ+PHe1gjVGqw2mhSx5Wa8A5vOeqVfOviaE0FGauw0zG/vdrphmIGfMBHQOxuSZh/3tKpu/In/avNARR74QU1vuUfC/CUm8quWzDHvXfVQiFk=</t>
  </si>
  <si>
    <t>CV5noR3vUJkVxHVTfqH5BeqjChmYNxz84JQNM2ccCA/WTrGeBIZaJQwLhhVGgIaKd1Q25DVAna1NjCEo19h8nZwHZfl4VwY84quTEbBvnV8KJjqprmHzNcZA6ksYUin12TrW9EbNURxHpSM2vnfvoJ+/Vg674WCL2CPypK9GxDL4aXMUt/MwDiywZhoMXgOWU3W3+VG0j7gONITHEXw3BBK3oa7eCq+QPpDaropQtwVkSgAxgirfRouuMrw=</t>
  </si>
  <si>
    <t>TXai806IPTdoYhQz9a5VOeIRPRw/61E3fDRD4NApmzOh10QevanKUdcfAPxWesbFbXLsTGcyFmkfs6g65Ke6TLIZnBQnSv2Pxvp6rrGWhIrp6Pu1BwbPg+tD/xT8E8x1EXrlGKMnYd9f2hCwWyTAnupBe5gui8SEhCv178Ek8hYcH0qr6ka8J5k3SRuIaq2++pKe2y9miYhpHIaVRlurts1tVU5PboieZUlQ98fkjGkWR+ED/MOMDDT3Rdg=</t>
  </si>
  <si>
    <t>KrzmtPjHQEumZsngNhgTTFWrbl00GfEPtleFMrzKDqS/CLPX4p3reFeLtqpwjfh5zrziEyTpLIy3lUBbIMfF/w5kJ7a6e47c4N+hPSOKcJ2v0jkn4oW021ClTTTbI7JN0fJAPJHlvaKJH44Q4LtaAG9aPS1oihTzO+PSmt45R2C2tl8NQ980Rk4oeEfoaUuzduM1yAlNGqTkBUrkJQNAUV0YPIZiEe4Rr5Vg1KqQ83O80XqdVvSykOrBeJY=</t>
  </si>
  <si>
    <t>KpO4OXHCP7mDB/C2v6coRApDbBJ1ZdEtqnDfg4EORcZVJ4q3yId8VUwH/+3s0vbzHXdyMeUu3OgiXheH5xIPgIMuY9OeaoOZCogkWlDrfTVqApPAbobfyyXqlhXliwUOChdUfOwIOjh7hG0E2Zvgf2kat5uBlfOu21iUaLBvNjmCeSXsi9Gnjyi4k+EXfboh6/PNPChxl6VsOpeTuJCrQlR9siF5XeLo+hqRE/vwjVvnvkTLF1C+rAGuM7I=</t>
  </si>
  <si>
    <t>84K2IwObiDcrnEPfY6DAkYs+nr1O3+hzb2cg5jyES/CI3FhO1rhhlK31SbNhV7RzKoAixP50sBK+w2HF516UDOr+Yhk18et6jsLUOo4nmK2NTldQxvZ9f4DnLFEkGx6BmzwjTqPF7DkQHftxkeCSjHOhxEfKSuWBLCaW64NxjpVVS/Vbis6fOmekV+kE+VFElLITRxOQe6fqACNAo3GPU7dulW/QQMxBRvwX9wagNQxVoULoWQk1qQ0aCas=</t>
  </si>
  <si>
    <t>vMs5RubMINmiLX3tEC7aSD2/kyhHqUdFpLABUrc1xHB9gohiemo6QHD3o02DHlr+2mtOmrYmJIMJngON8R36KiBgbT4GOUng39Y6UrBQsQx9E0QaZ/bYgYrG1YydLT099i4TxvLOuYjOWODxKyCfEgeGtfPgaFMly+5nHnQ7Nu7G9w1AmjiLdGejRe/cp7hym6LVrMbOXvMCkEG66Kd5fsniO6ch+OhtdkPT/45wMEwC1b/kaBBEwO9u8MM=</t>
  </si>
  <si>
    <t>e2HKlMD7AkyXq7ZVbaAxY9ctRypYCfRUksuwp7UdfsjWJdgqeA6KRBdeHHjCa4dTpSHaNAl8j0gfVjSxlMpWc9jV4ydhuviD91u5fK1TYJ6dkELjWiERpnpKFXftGlnxJbOTmAWt1EJIyp6U5Z7S9ohQr2uTCqMUMRSxlQQkEzkEisGmeeQcA3HgwxFLN+W/m08KQj1wVriaxg/BsSwfUw+x7yuaRAFbjDK6x0jMS9d4vKESGc2w24UorEA=</t>
  </si>
  <si>
    <t>oq/bvRX7rc276sAP9ruMvatd73uoWVmGLB6Yk8m7GfwkKcP2+JXpcmaRJst61+Oq8LPyMi9g2aVPKBXcM4l04u9b/C+lmZ8YkE3ViXjQBx1sVAU2P4/yygrvoAGzNosaUQe5lPENrfvQYYTfQN8m72rAjgB6DaHGfJgh2Jgn5rdETgTIFR/LACZwtVAEsnOyfKH2LHVWAc3IwK8iBoQBVe9DPQ00EX9a/4MYk6oxqfdPbuwey2VNZ2/VzVw=</t>
  </si>
  <si>
    <t>onwMEZ/OQQp8CXDOQGQ6EHFcc44gUxhIlS1kW0siJ/NshmHtUaENzKq8yGj43hxJ50v+nn+mojW92cH1nwbDtIhQkV5pJLfRcTK4ijM2eYzIWeKI+YPKM6o7wj6/A5MN73Penx3D4pqtKAvBZq353bBvVv0BPqKE9ooQ+yvPyvCOCCZGly5jkhoFYz3rWLE5ZF+0E4BEHdux75hwp149vL9DEE1GsmYAPVG97zDJsyuRxJKlJsM5FErXIqw=</t>
  </si>
  <si>
    <t>qy0EtoIMiJg0gtMCk+Y6on3p+Z64qZqpE8TvSny7QluItQ64SnCSU7BxSHRIFel1DjymPpwJYsoIxM13Wtl79Z9BQW4YM7FJ1Pqa1g8DixE36Xa1X9qrlzWfh4A75ifYVwUnjlarSuok30sTJF+ORG+Wgd8lYiWe8SiWfCSZttYooPF9aYfDFJvexNCOBQYlsLEy2qX2bNLu1skkH60mA07ZlwV8Zh/GAimb3JXD7stOCCEB6Caij+kxf+8=</t>
  </si>
  <si>
    <t>ws8VtpEtOUDa+dUyowKMn4YsUIZqmyTnPVco9g0qbjdWUnGES5q3uvlLy1ZhSruPAYsj/29rWhvGuEibp062mBkYNHUlHfF7V0V1OFUjpM2bxRGzoiioM6BK0k1puU//spKv5mLU1Y+BEa088+tu6PJkc2QoNO3qofxMwUVsPkwwAaBcH/80Fh33bINq+dwhvITXZIf0NwlJILk+35jQAAIimH6laXV4UgLm4c9n2gWlizcnZ3qOpi4BI2s=</t>
  </si>
  <si>
    <t>SHnQDCAFMa0ZsqnvbR0CepBqe4cuV10whMvuM9H4bil1THaDbePp753aRvtSGeW8a71lMccz2KtOXG8l7sdQBtSSwetgdyAXPDi576788XT2XD1izHcadRPsYxSne4eRUw+lynPENFxO1z2n+vD+8oDmk71yVWUvfYvmKcDICNwnJ2gt3O9bvG1LmNFAF5taqILtouQPgfbvQPyC2rT267xjCbDit5wz/LqtoAmqvEqDhja44lUHnFRMDeY=</t>
  </si>
  <si>
    <t>EA8/AQ2phZamFYp2AGW7fU6NN6yntZzHtCmvwqvhYyWGKWvq0U0PG68rwQc9Y1AOfgqYUZYFex6UAaC9ajmO/5phgOexFRKQoiYYVzI7R7yRkVb3/Rqy20j+ZBWprsd36HafbvZdCn19QcqNmAb0+U9dVr26cWC7wmgqVr87ZhbdvhklNMb3DrYdzge8RVaXcAcbfhQzTT8U7tC2eUJjCEgJXNZJOoKMLid+vEByPlIiG9IGOUQ4HXvPKWQ=</t>
  </si>
  <si>
    <t>ld0eM9Ee/1shuS3AvIGmaZ+SJZ1c2voRkpDESFiz3nV8LJjqxApLRlPxEMz7TuaZ6hH1NJK4Em1sUQ/mrSS6j2ZW1BTwO1Fd/wQI9uKhWBRPVKcxkeU2KTi8vyAjafDI0WYLf1pa/jnyQhViYH3Zzv0N5qG7HseoXqAWlTf9tRxkEr5k2IxYlnBUaNKv3/LlgRu1auQrGRYiPCjSWrcn5ch/Aej2IQ0e713U27exzO4KNByq26xwotn6hgs=</t>
  </si>
  <si>
    <t>S119mkNNy+S17A9B9C0hDffw9ibFLZfFKnpgQM8VhAYr9p/lhvRC3XGsKpSFqNoo+iFuZKXLmVIUlkz7HumAOP9HOF10DNcjt+ucAB5lS0tAv2tAQxfRir4lfYVmnY+Uk66mfre0Ui4BLpXYeV3hspd/95TvHX9kK4DuHLUTPDLGTrGmlZt3NxrXaQ/n4ASX0yNyznpgNIjsqeGvuIGzUo0THRGfRaePfopqeHi5+U+6IsVmqJ8+ZZeuc1w=</t>
  </si>
  <si>
    <t>Syxuic4RZ9Cvk3892aHUft0477Yl0HWtN0Omg4osJDw0zSKl/qR5lJWeM9Wi8O8YE/PoBIfGdoEvGI9ZBOcrSxAxWQhfffmL3Pc6dwuZ4DAoNHpapGYqJvs6so2oiuf8Tm5bayXqOBx7rGnZ81oVK5q0gA7naVoFwuYWgn3IJJ9VQmBT7M41AKUMKyHTqc9Nsl9zdikbetzsJ9tUsmLSw8kbdLIAitYxf3YotezgSY73FcIpBglRthoW5Aw=</t>
  </si>
  <si>
    <t>miUzUCvYSSY6v7+0Nq4RIts1XgSN/MEfjHB1A6MjZsfFGrFYzPkjl97bklExpg8WBIfLZ5BeE7JyGPx6bjVs1+yRBckdlu26PVMz5ag3x31Nggrag7aMunDe3t8za9XQjCfyiHHLhWUqBkqSTwRAEd7eapn6kzFuGxE4uplaPgiQYAL9+afo9TiJ1a4bV+IR/FQsMAp8oUhdpEkU5UHYPtFQpL9usL8oZtCXPq5JVHWhjsljmAurCGQgzJ0=</t>
  </si>
  <si>
    <t>Psl5WOU3HjqOkXN/IYQKDOgOo7UZDFTZx+WCyR+CwETgaHvsSltMlObr99ET6Sm6vPHzphVqI/L9sV6sDczYjh1utxDooWH/AqUrGakfrbZ5rmIqy631lUWC1GSX3Rx7SibcVU+o/ZNnvjuUqtorio9GBtSigQ6T+fpx28GgwsnuKffAcISkGy+ApWuamCM3WHwW8Z4JzReq27ZmF1o0I5ZI0QyhIFk1es67vklO0WrqCCZ5uQTjPIXmcDQ=</t>
  </si>
  <si>
    <t>EJ99oGN3JsejfHfXG4ptVC0eYrDAiOpSebYtyYxDZPOMz9hplMY6U1xPEN8OZn/9Px9dWKbLok0cq5WdgDHgtZt4xPRF7P4VvTlnWJSd4xDyZ+zNBdHtCw66cuXbYCRyOjCgh21qWJUUW95yqdxFv3OWNyxYhv1hiE1v7tSFA5IRfpcCQkoKp9a7jaHyC/V6sjfDRA/Sn8UDFKiT1K//saJiTf52FO3kTDRsdV4S2AyItfCLPVcu1Yn09JE=</t>
  </si>
  <si>
    <t>jebXQZBDcjymM/aBvxhb2ZzOqeVpYrWK4JQtSRU0M+a+5F/K4rO9RmFsiI2Sr8PNSrNvQh8OfspfUPzjFCEVBSXZCRZE+q04k23IOqRvv9hCbiyszDlr8/9TlJ0ygb0i8CC0gIZmTRm9bDzOhq6AhHjcEj2ulqLDUXNrWcJDv5W5mJB5YSjH3YhUIvbsA5QQ5lD0GMVU3Z7MVr0zwgdvwEJxPt5jUzZdjLM4XK+mkDHFJ5DwJZxzxg7dOrA=</t>
  </si>
  <si>
    <t>f5bqbEVU+8ruZjFnko6e17rT/v8KRZGIg5guiq+Vg37OS/rl6Ht1K8JRT+xriCm+20DPYco7FsE2P3prsGVmDs0NLUyYNRmr52B7kn49zLQlYJA8MIqdkwbMDz1B/TXJENb9/TiPMGI/Sv2GUmekMjhdFSlghpX65OSKd0d2e48wezgUGBXldpiaNCE6WOBI6u40zvVjO8Szs2FpfLaYmn3WSJjfziBTZR3uC4c9QSmih9vTsMiLYEUXPHg=</t>
  </si>
  <si>
    <t>7TVP0p6RI1ugj1cDy6VXmXi0o6kCfNen4xnYK8GDdAooPrWjg33Te0yuWVbIvrgyWpAPSZG5eTovSDtyP7yd2CBk3f0FHdD7zM8egvc8XEks8Knx9DR8y5RLcd6HSFEShHakQjhRw82Z6Ji2356/PbFLPeVawcsW1iTwvJ5xs4vaW4zdYcthCLHvgNRW/qFIBJqKtaVgso/I722jRt76VhygRyVGbLBHFrKyJFIt+8eLXqJnMdfCexPZCog=</t>
  </si>
  <si>
    <t>SBLJBYD2lxDPxQMHgHF5LPSNh/kHI+K7ZhKLYi7ZPLohVkcXUNUMVqlqSYyKYeXpwLsxui9UtQvlveSvQA7iuFDwYiqTxnHHhvc01aBoGe/26i5OLZccskXjtuf34zs7y/EPq9CUmo0ubaGERcIV1P8iBZd7f0TqKl0qR99nG3aP8a58Q2i/s2cVqcsP5d5QTTElY4Ni5RzdPDWpjaOiIBdOkXR42SPj+Hi1uYIaOhq8HoCHXCrPHRVsshc=</t>
  </si>
  <si>
    <t>Rg+sGhXRXy6J8K3B6gRV4XkiumcvcO5pr+318czmh34CSWA4I84J+QF0sa/N9gHFV+bdWxbIJ/U2jwJ6X6kaGCVoRKAPsw8nB2VA2eqVb3qSVxRbw/TWZ8LqHUTTsRI1iSR9vks5NEzWoF9QR4YqV9/6WpxPs1jxKxQKzHgqc6WjqcGscFfT21vya3sIgOkytIwHpZX8QulswjKhK7b2SLGj6PysTGAJLpNMZyP5cPj0SUDITiovm05xRzU=</t>
  </si>
  <si>
    <t>SIOziHhWWz5Xnkzs5+hnPPyuf7jLO9wQRuRV21BzMUwmsc2a2XDoK7SquJ40OFnj0WpUDuzTWBfwJnmZj3d2GvRUNr1uxLhmwOdeqtR9JGgoLrYs+nfdrUVzVs6whcsaQi8ejNmTeLwynqBMfxKpwrNEZSuxLj1SEKrM/7ofEZOsE/HZC2E8I8Bdigc9KVEnQ8pWDNON5PGrdF98U0tHZCJdGTR3F+sUyT2PEzxOm2Ym1rI7FJsnwxxpznw=</t>
  </si>
  <si>
    <t>c14AAq8lcsathRe7HrXUhiRF6jvDsMfzqPZeoA1egzZCto+4ZzCsU+JkaEfkZ8R0OAkHFv9kdds/BbQ4lm0Y5WxHk515icFgWJgSjhmrlhP0ibwRbksm7U7fOhIawnvT9jlWiY4WDjNGSxKV7ciASAk++5rglUZKo6P8HOLmWkCRhCaPqBExTZbKd2OhfrDwPiJRUEblVqCrbVF0EpoLQpT6svyaAl0ovrTS3PC5oMJRiVLhcDd8qwnPhvA=</t>
  </si>
  <si>
    <t>fY0jW3g/poZo081TjFCqAYIa02+O0FcTVBROLW2nHbX118+BH1x42NiOkcVYuRmNUDZ+kvjDSUmJQItEgKmsiL1iTL8j2t8wnxAEqqfGytJ2NtmPw/2F8aRm2boBoJnCwz9o6v11f9ULArf9K4MpKBM7ZQks9h9fuwzXaltZHuidf5hUDlM2R+lpptwwwBQvOmS+BuKq6GroOdp+V1T4Oi5g1qgidX7QM0UmIj6AtFi3hWayP0IpgvqXB9E=</t>
  </si>
  <si>
    <t>AHALLZEDJJ/rYmzS6xwekShNt8nXz2tW5YXNImmJ5/6GNthVHDMoRuKJfm6Lw4BGxrELgN8Rt6lejYkKK6RJeHEr1oDgoP9IytpACzhWDnXQBZEWcN7IZeEYZs0zjG0BrCkySR8BK3wOrU7sdRSP+0d7+zhxS/Ake8czdN32XUQWPYmtVx0+Qd/fOFJaKvVEvvc3jnZWLTXhYhsiRaIKnuUQG2PZpX0tu7uRhh0/yFyDTA+ZeTaC/LcP7r8=</t>
  </si>
  <si>
    <t>EB6iT0FSwMxbfD3QDa/8Ho/Rq/j2bxEq32a9o+/IPK1nTblIfvkonc+SE80tE8z99FZTBWdI57L/V9QBiKGSN4291mVv/g2xQ3rwUQNMEIP5YHVX4mj4cKNtxR099Q/sSUlq7F9a5IJatmN/EDCjX5Gl4YPgVIFysaTvrrwFSZmWocI+OxmWTsHvP4Qz4iRQbz7TvwA2izECu2TLwMAGFWJFG/isxRnrWurZTM4hzjsf9q99zeaJSY/2CJE=</t>
  </si>
  <si>
    <t>N+N8O1k+Sbu7yDdslRACsd7j2rcAFAXMSuHzmlynCkHcM7xof5Cjzwl3onYyoGZiSGz1VNH+5Srt3/4AVXAla5ebBiphOLaPboWFReqGZKfxPs45r5VERHICbqtvScZ6xKUJddtkV2deR4xnlKGnPi2zSQk6xgN+4qtnWSyVp/QBX9v/UNLa06kRM98V+haGYOhWnyo5Ek1EboSI2CSu9oAq6lJm554JhHGfeeGIzXO57rZTFnFILaKtEyc=</t>
  </si>
  <si>
    <t>bMDj+PvZPKTyNCf8VyNrpI87/QKyZ+Et0x0YYUb6ZueRQcnvouKUsVBW5e2IsI6Lc6PJ+h1b3AFKGTVwEI9r+uaqWvdg3cksF+gJgkDmPin9O3U4iLmdijJqB+5uu6JsfCH/8aAZGoaJUleZqgU1jKIJgsgMERbi//sP/YKGeDDUp3cFoF3hK+WfRdWewAnMUO4Y8wTorDepLwICTi1UJgko2teXExrkXa18gUD5jQ0OzYjWbceXFklDypU=</t>
  </si>
  <si>
    <t>aiju4dijLRFBFyYJ3AUrTMMazTZw4+ivoS4BqXT9vIdgw6NOj9vDzu5vSQyHT+68aXQggUpn2SsMwtUHaVQhHXaMDuC3yE/kVKBIAPURw2WwGng+pisinG0U/KiUU1F9q/oJmyLgMpBekM9fXkNNnXgcbuWZZ1wAa90OTnKApdptsT58lFPq2767spMN48PgZFsDAz/He5S8cZ6EFwopEiv0pGnKcYlEj9eHt7fikAM1zHpV68UYa0uzxXM=</t>
  </si>
  <si>
    <t>mh7vN/w4yB4hsa23H3w8zrMyuE1XJaWdedTUAl05PS55HOFdJHrCblSGgLwTLgzA37Io7+80DNKHb2X8i5FV3Y/Jo4td/ZwM3A6CfTI5i4DnFJycu0eJywgcMf5+W6VTgAcfy8KtUd9u8fyZLVjjstq7NxvLDlTcxtK97fM/nXWP7Z9BfTBzjoqkFRV9/rebBt3EtVluB2ZjMkGrsGz6vBYRIpuWNatN5kue+a2xuY18gkVssiFa3tTUgRQ=</t>
  </si>
  <si>
    <t>XezZTMIrPralXBbIwANXjY9uWGXvwa1xi7xDzjuh1+s0jpQ6ePlEK/ciItY/HiIUnOTXKaltQCm4H06Eo8pxKjs8Iq3UO87Csirit5/hxkqnAEacOFK2TBmSq3qkX85r+J2BlnmNZEklDj6CVJCNpgsfA4v/YKT4rwt2bMM7ZtMY8JOOf74y02kz67MFE+AQeljk6WFIx2IytKfHq+KCQuU8g7TG6sw4rkMggWcyBkcERR7L2R6CndK9EC4=</t>
  </si>
  <si>
    <t>cvf39/sImdQyUE9g+ABGRGDu8w9gA83Ak7UIs3UR+V/VYTHUnUhS7Gxrk1Al63IpViW2NWvAXTd194ONy04d+ZKBTYKTSCkOEI8UCXhVF1LBozD6k8Vh9kYMsJPuUKwEy75Tvms7/xp6peAPgp5aIaSvmlc4zivglIeglMmAGExSTKh6qoLMMWaXk4p/j+yxHui3z1wRBsaThtl7ZZfBiMZpT7MzsxW+6mX0AcXcaAm48xi1cJ8Y/yaw8j4=</t>
  </si>
  <si>
    <t>O7kH9HSF6EDF+n3XhpfgJk6+SD/P3Vbgcy/NPYe6hVMgLQmc8wONXLruqyfrB+jaHe5og7FP1beF/NSzffIs3wAht0QrK/sCOMnbzOxwYnHrARLGeRsiVDRlVzZ9tmyEpLVGq1ktVyOgPQ1o07Q0eVgeGZEFs0ZCygcJ6JNq1uaUjNHsZg3p4PBSRR4lQpnSUO8jk8t7+gA4T64LTZqqDSW7bkV0ghftl2AvuU5x8ypgUmvILh2W6gpFInI=</t>
  </si>
  <si>
    <t>4WD1a7X2ra3B7A8E+/piDSkdl1gB7HoYpC7VOs0bonFEATsVugIeYNPcIHs1Miuy9XFvsC6D/kDb+ilLfFGwz0LQhfTk774qz8YWo0UnpVyFczOcYl+2XFerGgQw9aUekVPhSKbbIC94RNmIBdr3K+ePUENhgMfTBcMfYyKb+k5T/UeagMUequCn8S+56QRru33WJtgjEeC6yCBmAoN6BeW8awKfqBEHvhb3vNrZUmoOMNj61repWlMuSas=</t>
  </si>
  <si>
    <t>n9IkMV4pcuPtV8t1wOy4ezmccwrEY5vHjpzSJq9iL0QnUwZ6m8lKN3DwnoUuzTzsoNcy1BTUpLQ3vXTxAPw1UyqNk7KKSupN2or060h6gTgQHHBoTaaS3PruVo/F/Q6ABliqRzCpgHM4DLbyyOa7gqXpgGqW/g0pqIzeOYm91D5q0a+qIjLe02j3Mzerwywwkkp6XvAwAVHpNXFK8XKyZ9WdfEYowqBoWY/sVOCAkuw+fLpQywrF8+Zs2Ms=</t>
  </si>
  <si>
    <t>NeI9b1Gym6x0OWb6iJbubZjVv9347zTGNQWRed3BGQTUZp/tyv96Cx6tNC5MJ+tQFs6lUjSVaEmxuu7rhnIup8AtDUV86B5ceutSxDRPs1+IGS9QbY3yfkuWOFkjlYq0F8MxTqr4jsDV2hMZBERNpy9djPPz4iZTGVe7Vve4QAjX2fulN4Lr8Op/fKOw/1VWAUZ4p1SlOnKdtYG0K7zACYmsqCWQlHH5Mhnu3orEhlvmTktgWpozvQ0Yoo8=</t>
  </si>
  <si>
    <t>iKXenO+XKoxIu55a+27nrHHAnfY=</t>
  </si>
  <si>
    <t>Personal</t>
  </si>
  <si>
    <t>Cantidad</t>
  </si>
  <si>
    <t>ENERO</t>
  </si>
  <si>
    <t>FEBRERO</t>
  </si>
  <si>
    <t>MARZO</t>
  </si>
  <si>
    <t>ABRIL</t>
  </si>
  <si>
    <t>MAYO</t>
  </si>
  <si>
    <t>JUNIO</t>
  </si>
  <si>
    <t>JULIO</t>
  </si>
  <si>
    <t>AGOSTO</t>
  </si>
  <si>
    <t>SEPTIEMBRE</t>
  </si>
  <si>
    <t>OCTUBRE</t>
  </si>
  <si>
    <t>NOVIEMBRE</t>
  </si>
  <si>
    <t>DICIEMBRE</t>
  </si>
  <si>
    <t xml:space="preserve">Tiempo Requerido </t>
  </si>
  <si>
    <t xml:space="preserve">Director de Proyecto </t>
  </si>
  <si>
    <t>Ingeniero /coordinador de montaje</t>
  </si>
  <si>
    <t>Coordinador de compra</t>
  </si>
  <si>
    <t>Almacenista</t>
  </si>
  <si>
    <t>Mecánico de montaje</t>
  </si>
  <si>
    <t>Auxiliares de montaje</t>
  </si>
  <si>
    <t>Soldadores</t>
  </si>
  <si>
    <t>Supervisor mecánico</t>
  </si>
  <si>
    <t>Tubero</t>
  </si>
  <si>
    <t>Ingeniero de instrumentación y control</t>
  </si>
  <si>
    <t>Ingeniero electricista</t>
  </si>
  <si>
    <t>Electricista</t>
  </si>
  <si>
    <t>Ayudante de electricista</t>
  </si>
  <si>
    <t>Operador de grúa</t>
  </si>
  <si>
    <t>Ayudante de operador de grúa</t>
  </si>
  <si>
    <t>Dibujante de ingeniería</t>
  </si>
  <si>
    <t>Operador de montacarga</t>
  </si>
  <si>
    <t>Ingeniero de alineación y medición de vibraciones</t>
  </si>
  <si>
    <t>Ingeniero civil</t>
  </si>
  <si>
    <t>Oficial</t>
  </si>
  <si>
    <t>Profesional de Seguridad y Salud en el Trabajo</t>
  </si>
  <si>
    <t xml:space="preserve">Jefe de producción </t>
  </si>
  <si>
    <t xml:space="preserve">Jefe de mantenimiento </t>
  </si>
  <si>
    <t xml:space="preserve">Coordinador de producción </t>
  </si>
  <si>
    <t xml:space="preserve">Auxiliar de produccion </t>
  </si>
  <si>
    <t xml:space="preserve">Operarios de produccion </t>
  </si>
  <si>
    <t>Aportes Parafiscales</t>
  </si>
  <si>
    <t>Prestaciones Sociales</t>
  </si>
  <si>
    <t>Fondo de Solidaridad</t>
  </si>
  <si>
    <t>Cargas Prestacionales</t>
  </si>
  <si>
    <t>Salario Mensual</t>
  </si>
  <si>
    <t>Salario Día</t>
  </si>
  <si>
    <t>Salario Hora</t>
  </si>
  <si>
    <t>Sena</t>
  </si>
  <si>
    <t>ICBF</t>
  </si>
  <si>
    <t>Caja de compensación</t>
  </si>
  <si>
    <t>Total Parafiscales</t>
  </si>
  <si>
    <t>Salud</t>
  </si>
  <si>
    <t>Empleado</t>
  </si>
  <si>
    <t>Pensión</t>
  </si>
  <si>
    <t>ARL</t>
  </si>
  <si>
    <t>Total Prestaciones sociales</t>
  </si>
  <si>
    <t>Cesantías</t>
  </si>
  <si>
    <t>Prima de Servicios</t>
  </si>
  <si>
    <t>Vacaciones</t>
  </si>
  <si>
    <t>Intereses sobre las Cesantías</t>
  </si>
  <si>
    <t>Total Cargas Prestacionales</t>
  </si>
  <si>
    <t>Valor Mensual</t>
  </si>
  <si>
    <t>Valor Total</t>
  </si>
  <si>
    <t>Coordinador de montaje</t>
  </si>
  <si>
    <t xml:space="preserve">Descripción </t>
  </si>
  <si>
    <t>Unidad</t>
  </si>
  <si>
    <t xml:space="preserve">Cantidad </t>
  </si>
  <si>
    <t xml:space="preserve">Valor Unitario </t>
  </si>
  <si>
    <t>Soldadura. (kg)</t>
  </si>
  <si>
    <t xml:space="preserve">Kg </t>
  </si>
  <si>
    <r>
      <rPr>
        <sz val="7"/>
        <color theme="1"/>
        <rFont val="Calibri"/>
        <family val="2"/>
        <scheme val="minor"/>
      </rPr>
      <t xml:space="preserve"> </t>
    </r>
    <r>
      <rPr>
        <sz val="12"/>
        <color theme="1"/>
        <rFont val="Calibri"/>
        <family val="2"/>
        <scheme val="minor"/>
      </rPr>
      <t>Disco de corte. (Unid)</t>
    </r>
  </si>
  <si>
    <t>Und</t>
  </si>
  <si>
    <t>Tornillería varia. (Unid)</t>
  </si>
  <si>
    <t>Gl</t>
  </si>
  <si>
    <t>Acetileno por 4Kg. (Unid)</t>
  </si>
  <si>
    <t>Oxigeno. (Unid)</t>
  </si>
  <si>
    <t xml:space="preserve">Und </t>
  </si>
  <si>
    <t>Cemento por 50 Kg. (Unid)</t>
  </si>
  <si>
    <t>Brocas. (Unid)</t>
  </si>
  <si>
    <r>
      <rPr>
        <sz val="7"/>
        <color theme="1"/>
        <rFont val="Calibri"/>
        <family val="2"/>
        <scheme val="minor"/>
      </rPr>
      <t xml:space="preserve"> </t>
    </r>
    <r>
      <rPr>
        <sz val="12"/>
        <color theme="1"/>
        <rFont val="Calibri"/>
        <family val="2"/>
        <scheme val="minor"/>
      </rPr>
      <t>Endurecedor.</t>
    </r>
  </si>
  <si>
    <t>Silicona. (Unid)</t>
  </si>
  <si>
    <t>Pintura. (Cuñete)</t>
  </si>
  <si>
    <t>Cuñete</t>
  </si>
  <si>
    <t>Anticorrosivo. (Cuñete)</t>
  </si>
  <si>
    <t>Equipo de protección contra caidas. (Unid)</t>
  </si>
  <si>
    <t>Elevador de personas. (Unid)</t>
  </si>
  <si>
    <t>Diferenciales. (Unid)</t>
  </si>
  <si>
    <t xml:space="preserve">Herramienta menor. </t>
  </si>
  <si>
    <t>caja</t>
  </si>
  <si>
    <t>Nombre</t>
  </si>
  <si>
    <t>Descripción</t>
  </si>
  <si>
    <t xml:space="preserve">Valor </t>
  </si>
  <si>
    <t>Banda alimentación de botellas.</t>
  </si>
  <si>
    <t>Transporte de pacas de 380 kg máximo.</t>
  </si>
  <si>
    <t>Abridor de pacas.</t>
  </si>
  <si>
    <t>Apertura de pacas mediante 6 ejes rotativos.</t>
  </si>
  <si>
    <t>Banda de transporte.</t>
  </si>
  <si>
    <t>Transporte de botellas con banda de caucho.</t>
  </si>
  <si>
    <t>Banda de alimentación a equipo pre lavado.</t>
  </si>
  <si>
    <t>Banda inclinada de transporte con empujadores y trasmisor por cadena.</t>
  </si>
  <si>
    <t>Equipo pre lavado rotativo.</t>
  </si>
  <si>
    <t>Tambor horizontal giratorio con criba para sacar tapas y zona de resilencia para hacer lavado con soda caustica.</t>
  </si>
  <si>
    <t>Equipo separador de etiquetas 3 módulos.</t>
  </si>
  <si>
    <t>Tres módulos cada uno con 7 ejes horizontales con 21 levas que por fricción arranca la etiqueta de la botella</t>
  </si>
  <si>
    <t>Banda de transporte con detector de metal 1</t>
  </si>
  <si>
    <t>Banda de transporte con detector de metal y zona de rechazo.</t>
  </si>
  <si>
    <t>Banda de transporte con detector de metal 2</t>
  </si>
  <si>
    <t>Banda de transporte con detector de metal 3</t>
  </si>
  <si>
    <t>Banda de selección manual</t>
  </si>
  <si>
    <t>Banda de transporte de botella condicionada para 6 operarios.</t>
  </si>
  <si>
    <t>Banda de alimentación de los molinos</t>
  </si>
  <si>
    <t>Banda de transporte inclinadora con empujadores.</t>
  </si>
  <si>
    <t>Molino de corte 1</t>
  </si>
  <si>
    <t>Molino rotativo con 12 cuchillas rotativas y 4 fijas</t>
  </si>
  <si>
    <t>Molino de corte 2</t>
  </si>
  <si>
    <t>Ventiladores de transporte con tubería</t>
  </si>
  <si>
    <t>Ventiladores en acero inoxidable con tubería de transporte de 150 mm de diámetro y 2 mm de espesor tipo alimentos</t>
  </si>
  <si>
    <t>Reactor de lavado 1, 2, 3.</t>
  </si>
  <si>
    <t>Reactores en acero inoxidable con agitadores y boquillas de ingreso de vapor y detergentes.</t>
  </si>
  <si>
    <t>Sistema de recirculación de agua de los molinos</t>
  </si>
  <si>
    <t>Bomba centrifuga de 10HP y tubería de 2”</t>
  </si>
  <si>
    <t>Tanque de flotación</t>
  </si>
  <si>
    <r>
      <t>Tanque inoxidable de 40 m</t>
    </r>
    <r>
      <rPr>
        <vertAlign val="superscript"/>
        <sz val="12"/>
        <color theme="1"/>
        <rFont val="Calibri"/>
        <family val="2"/>
        <scheme val="minor"/>
      </rPr>
      <t>3</t>
    </r>
    <r>
      <rPr>
        <sz val="12"/>
        <color theme="1"/>
        <rFont val="Calibri"/>
        <family val="2"/>
        <scheme val="minor"/>
      </rPr>
      <t xml:space="preserve"> con sistema de remos superior.</t>
    </r>
  </si>
  <si>
    <t>Hilos de almacenamiento 1,2,3</t>
  </si>
  <si>
    <t>Hilos inoxidables de almacenamiento de 40 toneladas cada uno.</t>
  </si>
  <si>
    <t>Empacadora neumática</t>
  </si>
  <si>
    <t>Zona de empaque con 4 cilindros neumáticos y bascula.</t>
  </si>
  <si>
    <t>Extrusor de doble tornillo</t>
  </si>
  <si>
    <t>Extrusor tipo tornillo con zonas de calentamiento y moto reductores de 30 HP cada uno</t>
  </si>
  <si>
    <t>Cortadora</t>
  </si>
  <si>
    <t>Cortadora rotatoria con árbol de cuchillas</t>
  </si>
  <si>
    <t>Empacadora de granulo</t>
  </si>
  <si>
    <t>Empacadora neumática.</t>
  </si>
  <si>
    <t xml:space="preserve">Vehiculos </t>
  </si>
  <si>
    <t xml:space="preserve">Muebles y Enceres </t>
  </si>
  <si>
    <t xml:space="preserve">Descripcion </t>
  </si>
  <si>
    <t xml:space="preserve">valor unitario </t>
  </si>
  <si>
    <t xml:space="preserve">Computador Portatil </t>
  </si>
  <si>
    <t>Impresora/ploter</t>
  </si>
  <si>
    <t>Papeleria</t>
  </si>
  <si>
    <t>Servicio internet</t>
  </si>
  <si>
    <t>Mes</t>
  </si>
  <si>
    <t xml:space="preserve">Celular comunicación </t>
  </si>
  <si>
    <t xml:space="preserve">servicio comunicación </t>
  </si>
  <si>
    <t>Software</t>
  </si>
  <si>
    <t>mes</t>
  </si>
  <si>
    <t>Gastos de instalación</t>
  </si>
  <si>
    <t xml:space="preserve">IPC </t>
  </si>
  <si>
    <t>TIR</t>
  </si>
  <si>
    <t>Eko pet</t>
  </si>
  <si>
    <t>ingresos</t>
  </si>
  <si>
    <t>Ingreso total</t>
  </si>
  <si>
    <t>gastos de distribución</t>
  </si>
  <si>
    <t>gastos</t>
  </si>
  <si>
    <t>COSTOS DE VENTAS</t>
  </si>
  <si>
    <t>Gastos generales de administración y venta</t>
  </si>
  <si>
    <t>IPC</t>
  </si>
  <si>
    <t>Volumen en ventas (ton)</t>
  </si>
  <si>
    <t>Precio de venta (ton)</t>
  </si>
  <si>
    <t>Gastos de montaje</t>
  </si>
  <si>
    <t>Desde  &gt;=1 año opera</t>
  </si>
  <si>
    <t>Compra de maquinaria y equipos</t>
  </si>
  <si>
    <t>Cuentas por cobrar</t>
  </si>
  <si>
    <t>Cuentas por pagar</t>
  </si>
  <si>
    <t>Inventarios</t>
  </si>
  <si>
    <t>CUENTAS POR COBRAR</t>
  </si>
  <si>
    <t>KTNO CXP</t>
  </si>
  <si>
    <t>KTNO CXC</t>
  </si>
  <si>
    <t>KTNO INV</t>
  </si>
  <si>
    <t>(+)</t>
  </si>
  <si>
    <t>(-)</t>
  </si>
  <si>
    <t>Prestamo compra Maquinaria y Equipo</t>
  </si>
  <si>
    <t>Increm. En KTNO</t>
  </si>
  <si>
    <t xml:space="preserve"> Increm. KTNO</t>
  </si>
  <si>
    <t>(=)KTNO</t>
  </si>
  <si>
    <t>Cálculo del Costo de Capital</t>
  </si>
  <si>
    <t>Deuda</t>
  </si>
  <si>
    <t>Capital Propio</t>
  </si>
  <si>
    <t>Inversión inicial total requerida</t>
  </si>
  <si>
    <t>%D</t>
  </si>
  <si>
    <t>%E</t>
  </si>
  <si>
    <t>Kd</t>
  </si>
  <si>
    <t>Ke</t>
  </si>
  <si>
    <t>T</t>
  </si>
  <si>
    <t>WACC</t>
  </si>
  <si>
    <t>Terrenos</t>
  </si>
  <si>
    <t>Edificio</t>
  </si>
  <si>
    <t>Cálculo del VPN del Proyecto Puro</t>
  </si>
  <si>
    <t>(=) FCL</t>
  </si>
  <si>
    <t>El proyecto puro es viable, ya que logra recuperar el valor invertido y gana</t>
  </si>
  <si>
    <t>Cálculo del VPN de los Socios</t>
  </si>
  <si>
    <t>(=) FCL disponible para los socios</t>
  </si>
  <si>
    <t>Los inversionistas recuperan la inversión  y ganan</t>
  </si>
  <si>
    <t>MONTAJE DE PLANTA DE RECICLAJE DE BOTELLAS PET EN MEDELLÍN ANTIOQUÍA</t>
  </si>
  <si>
    <r>
      <t>La nueva planta se construirá con los últimos diseños de tecnología de uno de los más importantes fabricantes en el mundo de este tipo de plantas. Un costo total aproximado de 20 millones de dólares, pero teniendo en cuenta que se aprovechará los servicios de suministros de la planta actualmente, este costo será de 10 millones de dólares. 
Este proyecto tendr</t>
    </r>
    <r>
      <rPr>
        <u/>
        <sz val="12"/>
        <color rgb="FFFF0000"/>
        <rFont val="Arial"/>
        <family val="2"/>
      </rPr>
      <t>á una capacidad de 10000 toneladas anuales</t>
    </r>
    <r>
      <rPr>
        <sz val="12"/>
        <color theme="1"/>
        <rFont val="Arial"/>
        <family val="2"/>
      </rPr>
      <t xml:space="preserve">, que se sumarán a las 5000 toneladas anuales de la planta existente, con lo que se convertirá en una de las plantas más grandes de reciclaje PET a nivel mundial y se espera que entre en funcionamiento en 2022.
Se duplicarán los niveles de recolección de botellas en el país, pasando a 50000 toneladas anuales, lo que mejorará las tasas de reciclaje en el país y contribuirá significativamente al medio ambiente y el sector de reciclaje.
</t>
    </r>
  </si>
  <si>
    <t>NOMBRE DEL PROYECTO:</t>
  </si>
  <si>
    <t>GRUPO #18</t>
  </si>
  <si>
    <t>Cuenta de Control</t>
  </si>
  <si>
    <t>Paquete de trabajo</t>
  </si>
  <si>
    <t>ID Actividad</t>
  </si>
  <si>
    <t>Costo por actividad</t>
  </si>
  <si>
    <t xml:space="preserve">Reserva contingencia por actividad </t>
  </si>
  <si>
    <t>Costo por paquete de trabajo</t>
  </si>
  <si>
    <t>Costo por cuenta de Control</t>
  </si>
  <si>
    <t xml:space="preserve">   1.1 INGENIERÍA Y DISEÑO</t>
  </si>
  <si>
    <t xml:space="preserve">      1.1.1 Calculo de equipos</t>
  </si>
  <si>
    <t xml:space="preserve">         1.1.1.1 Realizar comités programados de ingeniería de proyectos.</t>
  </si>
  <si>
    <t xml:space="preserve">      1.1.2 Selección de equipos</t>
  </si>
  <si>
    <t xml:space="preserve">         1.1.2.1 Realizar análisis de oferta de proveedores</t>
  </si>
  <si>
    <t xml:space="preserve">         1.1.2.2 Aprobar oferta de proveedores por Presidencia</t>
  </si>
  <si>
    <t xml:space="preserve">      1.1.3 Diseño de Planta, planos PID &amp; Layout</t>
  </si>
  <si>
    <t xml:space="preserve">         1.1.3.1 Diseñar y presentar diferentes propuestas de Layout.</t>
  </si>
  <si>
    <t xml:space="preserve">         1.1.3.4 Aprobar propuesta por comité de ingeniería</t>
  </si>
  <si>
    <t xml:space="preserve">      1.1.4 Cronograma de montaje</t>
  </si>
  <si>
    <t xml:space="preserve">         1.1.4.1 Presupuestar tiempo de montaje de acuerdo al Layout definido en comité de Ingeniería</t>
  </si>
  <si>
    <t xml:space="preserve">      1.1.5 Selección de proveedores varios</t>
  </si>
  <si>
    <t xml:space="preserve">         1.1.5.1 Determinar qué tipo de mano de obra, servicios y materiales se requiere para el montaje</t>
  </si>
  <si>
    <t xml:space="preserve">      1.1.6 Selección de Personal de montaje</t>
  </si>
  <si>
    <t xml:space="preserve">         1.1.6.1 Determinar qué tipo de mano de obra especializada se requiere.</t>
  </si>
  <si>
    <t xml:space="preserve">   1.2 COTIZACIÓN Y SELECCIÓN DE PROVEEDORES</t>
  </si>
  <si>
    <t xml:space="preserve">      1.2.1 Negociación de cotizaciones</t>
  </si>
  <si>
    <t xml:space="preserve">         1.2.1.1 Revisar cotizaciones ofertadas de mano de obra y ajustarlas con ofertantes.</t>
  </si>
  <si>
    <t xml:space="preserve">      1.2.2 Negociación de Equipos</t>
  </si>
  <si>
    <t xml:space="preserve">         1.2.2.1 Revisar cotizaciones ofertadas de proveedores de equipos y negociarlas.</t>
  </si>
  <si>
    <t xml:space="preserve">      1.2.3 Selección de ICONTERMS</t>
  </si>
  <si>
    <t xml:space="preserve">         1.2.3.1 Definir ICONTERMS en conjunto con proveedores de equipos.</t>
  </si>
  <si>
    <t xml:space="preserve">      1.2.4 Definición de proveedor de equipos y montaje</t>
  </si>
  <si>
    <t xml:space="preserve">         1.2.4.1 Seleccionar fabricante que suministrará los equipos y de contratista que realizará el montaje.</t>
  </si>
  <si>
    <t xml:space="preserve">      1.2.5 Selección de agencia de aduanas</t>
  </si>
  <si>
    <t xml:space="preserve">         1.2.5.1 Seleccionar agencia de aduanas encargada de la importación en conjunto con área de comercio exterior</t>
  </si>
  <si>
    <t xml:space="preserve">   1.3 COMPRA DE EQUIPOS Y TRANSPORTE</t>
  </si>
  <si>
    <t xml:space="preserve">      1.3.1 Compra de Equipos</t>
  </si>
  <si>
    <t xml:space="preserve">         1.3.1.1 Realizar facturación y orden de compra de equipos.</t>
  </si>
  <si>
    <t xml:space="preserve">      1.3.2 Nacionalización de Equipos</t>
  </si>
  <si>
    <t xml:space="preserve">         1.3.2.1 Describir equipos a la agencia de aduanas para nacionalización</t>
  </si>
  <si>
    <t xml:space="preserve">      1.3.3 Recepción y almacenamiento de equipos en planta</t>
  </si>
  <si>
    <t xml:space="preserve">         1.3.3.1 Almacenar y distribuir los equipos.</t>
  </si>
  <si>
    <t xml:space="preserve">   1.4 MONTAJE DE PLANTA</t>
  </si>
  <si>
    <t xml:space="preserve">      1.4.1 Instalación de equipos</t>
  </si>
  <si>
    <t xml:space="preserve">         1.4.1.1 Realizar montaje de equipos según diseño de planta.</t>
  </si>
  <si>
    <t xml:space="preserve">      1.4.2 Instalación de servicios de planta</t>
  </si>
  <si>
    <t xml:space="preserve">         1.4.2.1 Realizar montaje de servicios de planta según PID</t>
  </si>
  <si>
    <t xml:space="preserve">      1.4.3 Creación de plan de mantenimiento y codificación de repuestos.</t>
  </si>
  <si>
    <t xml:space="preserve">         1.4.3.1 Diseñar plan de mantenimiento según recomendaciones de fabricante.</t>
  </si>
  <si>
    <t xml:space="preserve">   1.5 PRECOMISIONAMIENTO Y COMISIONAMIENTO DE EQUIPOS</t>
  </si>
  <si>
    <t xml:space="preserve">      1.5.1 Precomisionamiento y verificación de planos PID</t>
  </si>
  <si>
    <t xml:space="preserve">         1.5.1.1 Realizar chequeos y ensayos en condición des energizada.</t>
  </si>
  <si>
    <t xml:space="preserve">         1.5.1.2 Verificar que las condiciones estén acordes a los planos de ingeniería</t>
  </si>
  <si>
    <t xml:space="preserve">      1.5.2 Comisionamiento prueba de equipos con energía y fluidos</t>
  </si>
  <si>
    <t xml:space="preserve">         1.5.2.1 Realizar chequeos y ensayos en condición energizada y con fluidos del proceso.</t>
  </si>
  <si>
    <t xml:space="preserve">   1.6 PUESTA EN MARCHA</t>
  </si>
  <si>
    <t xml:space="preserve">      1.6.1 Parametrización de planta</t>
  </si>
  <si>
    <t xml:space="preserve">         1.6.1.1 Realizar ajustes de parámetros operativos de diferentes módulos de la planta.</t>
  </si>
  <si>
    <t xml:space="preserve">      1.6.2 Capacitación personal operativo</t>
  </si>
  <si>
    <t xml:space="preserve">         1.6.2.1 Capacitar personal operativo.</t>
  </si>
  <si>
    <t xml:space="preserve">      1.6.3 Parametrización de equipos</t>
  </si>
  <si>
    <t xml:space="preserve">         1.6.3.1 Realizar ajustes de parámetros operativos de equipos de acuerdo a requerimientos de producción.</t>
  </si>
  <si>
    <t xml:space="preserve">      1.6.4 Arranque de equipos según parámetros operativos.</t>
  </si>
  <si>
    <t xml:space="preserve">         1.6.4.1 Realizar arranque de los equipos y pruebas de funcionamiento integral</t>
  </si>
  <si>
    <t xml:space="preserve">         1.6.4.2 Realizar acta de entrega y arranque de planta al comité de ingeniería</t>
  </si>
  <si>
    <t>Sumatoria cuentas de control</t>
  </si>
  <si>
    <t>Reserva de contingencia</t>
  </si>
  <si>
    <t>Línea base de costos</t>
  </si>
  <si>
    <t>Reserva de gestión</t>
  </si>
  <si>
    <t>PRESUPUESTO</t>
  </si>
  <si>
    <t>Impuesto sobre la renta</t>
  </si>
  <si>
    <t>Pago de intereses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</si>
</sst>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 #,##0;[Red]\-&quot;$&quot;\ #,##0"/>
    <numFmt numFmtId="8" formatCode="&quot;$&quot;\ #,##0.00;[Red]\-&quot;$&quot;\ #,##0.00"/>
    <numFmt numFmtId="42" formatCode="_-&quot;$&quot;\ * #,##0_-;\-&quot;$&quot;\ * #,##0_-;_-&quot;$&quot;\ * &quot;-&quot;_-;_-@_-"/>
    <numFmt numFmtId="44" formatCode="_-&quot;$&quot;\ * #,##0.00_-;\-&quot;$&quot;\ * #,##0.00_-;_-&quot;$&quot;\ * &quot;-&quot;??_-;_-@_-"/>
    <numFmt numFmtId="43" formatCode="_-* #,##0.00_-;\-* #,##0.00_-;_-* &quot;-&quot;??_-;_-@_-"/>
    <numFmt numFmtId="164" formatCode="_(&quot;$&quot;\ * #,##0.00_);_(&quot;$&quot;\ * \(#,##0.00\);_(&quot;$&quot;\ * &quot;-&quot;??_);_(@_)"/>
    <numFmt numFmtId="165" formatCode="0.0%"/>
    <numFmt numFmtId="166" formatCode="_-&quot;$&quot;\ * #,##0_-;\-&quot;$&quot;\ * #,##0_-;_-&quot;$&quot;\ * &quot;-&quot;??_-;_-@_-"/>
    <numFmt numFmtId="167" formatCode="_(&quot;$&quot;* #,##0_);_(&quot;$&quot;* \(#,##0\);_(&quot;$&quot;* &quot;-&quot;??_);_(@_)"/>
    <numFmt numFmtId="168" formatCode="_(&quot;$&quot;\ * #,##0_);_(&quot;$&quot;\ * \(#,##0\);_(&quot;$&quot;\ * &quot;-&quot;??_);_(@_)"/>
    <numFmt numFmtId="169" formatCode="_-&quot;$&quot;* #,##0_-;\-&quot;$&quot;* #,##0_-;_-&quot;$&quot;* &quot;-&quot;??_-;_-@_-"/>
    <numFmt numFmtId="170" formatCode="_-&quot;$&quot;* #,##0_-;\-&quot;$&quot;* #,##0_-;_-&quot;$&quot;* &quot;-&quot;_-;_-@_-"/>
  </numFmts>
  <fonts count="22"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9"/>
      <color indexed="81"/>
      <name val="Tahoma"/>
      <family val="2"/>
    </font>
    <font>
      <i/>
      <sz val="11"/>
      <color theme="1"/>
      <name val="Calibri"/>
      <family val="2"/>
      <scheme val="minor"/>
    </font>
    <font>
      <sz val="11"/>
      <color theme="4"/>
      <name val="Calibri"/>
      <family val="2"/>
      <scheme val="minor"/>
    </font>
    <font>
      <b/>
      <i/>
      <sz val="11"/>
      <color theme="1"/>
      <name val="Calibri"/>
      <family val="2"/>
      <scheme val="minor"/>
    </font>
    <font>
      <b/>
      <sz val="12"/>
      <color theme="1"/>
      <name val="Calibri"/>
      <family val="2"/>
      <scheme val="minor"/>
    </font>
    <font>
      <sz val="12"/>
      <color theme="1"/>
      <name val="Calibri"/>
      <family val="2"/>
      <scheme val="minor"/>
    </font>
    <font>
      <sz val="7"/>
      <color theme="1"/>
      <name val="Calibri"/>
      <family val="2"/>
      <scheme val="minor"/>
    </font>
    <font>
      <vertAlign val="superscript"/>
      <sz val="12"/>
      <color theme="1"/>
      <name val="Calibri"/>
      <family val="2"/>
      <scheme val="minor"/>
    </font>
    <font>
      <sz val="11"/>
      <name val="Calibri"/>
      <family val="2"/>
      <scheme val="minor"/>
    </font>
    <font>
      <sz val="12"/>
      <color theme="1"/>
      <name val="Arial"/>
      <family val="2"/>
    </font>
    <font>
      <u/>
      <sz val="12"/>
      <color rgb="FFFF0000"/>
      <name val="Arial"/>
      <family val="2"/>
    </font>
    <font>
      <b/>
      <sz val="12"/>
      <color theme="1"/>
      <name val="Arial"/>
      <family val="2"/>
    </font>
    <font>
      <sz val="11"/>
      <color theme="0"/>
      <name val="Calibri"/>
      <family val="2"/>
      <scheme val="minor"/>
    </font>
    <font>
      <b/>
      <sz val="9"/>
      <color indexed="81"/>
      <name val="Tahoma"/>
      <family val="2"/>
    </font>
    <font>
      <sz val="9"/>
      <color theme="0"/>
      <name val="Calibri"/>
      <family val="2"/>
      <scheme val="minor"/>
    </font>
    <font>
      <b/>
      <sz val="9"/>
      <color theme="0"/>
      <name val="Calibri"/>
      <family val="2"/>
      <scheme val="minor"/>
    </font>
    <font>
      <b/>
      <sz val="10"/>
      <color rgb="FF000000"/>
      <name val="Calibri"/>
      <family val="2"/>
      <scheme val="minor"/>
    </font>
    <font>
      <sz val="10"/>
      <color rgb="FF000000"/>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rgb="FFFFC000"/>
        <bgColor indexed="64"/>
      </patternFill>
    </fill>
    <fill>
      <patternFill patternType="solid">
        <fgColor rgb="FFFFFF00"/>
        <bgColor indexed="64"/>
      </patternFill>
    </fill>
    <fill>
      <patternFill patternType="solid">
        <fgColor indexed="43"/>
        <bgColor indexed="64"/>
      </patternFill>
    </fill>
    <fill>
      <patternFill patternType="solid">
        <fgColor theme="9" tint="-0.249977111117893"/>
        <bgColor indexed="64"/>
      </patternFill>
    </fill>
    <fill>
      <patternFill patternType="solid">
        <fgColor rgb="FF92D050"/>
        <bgColor indexed="64"/>
      </patternFill>
    </fill>
    <fill>
      <patternFill patternType="solid">
        <fgColor rgb="FFFF0000"/>
        <bgColor indexed="64"/>
      </patternFill>
    </fill>
    <fill>
      <patternFill patternType="solid">
        <fgColor rgb="FFF4B084"/>
        <bgColor indexed="64"/>
      </patternFill>
    </fill>
    <fill>
      <patternFill patternType="solid">
        <fgColor rgb="FFFFFFFF"/>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s>
  <cellStyleXfs count="6">
    <xf numFmtId="0" fontId="0" fillId="0" borderId="0"/>
    <xf numFmtId="9" fontId="1" fillId="0" borderId="0" applyFont="0" applyFill="0" applyBorder="0" applyAlignment="0" applyProtection="0"/>
    <xf numFmtId="0" fontId="3" fillId="0" borderId="0"/>
    <xf numFmtId="42"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cellStyleXfs>
  <cellXfs count="210">
    <xf numFmtId="0" fontId="0" fillId="0" borderId="0" xfId="0"/>
    <xf numFmtId="0" fontId="0" fillId="2" borderId="1" xfId="0" applyFill="1" applyBorder="1"/>
    <xf numFmtId="0" fontId="2" fillId="2" borderId="1" xfId="0" applyFont="1" applyFill="1" applyBorder="1"/>
    <xf numFmtId="42" fontId="0" fillId="0" borderId="0" xfId="3" applyFont="1"/>
    <xf numFmtId="9" fontId="0" fillId="0" borderId="0" xfId="0" applyNumberFormat="1"/>
    <xf numFmtId="0" fontId="0" fillId="0" borderId="0" xfId="0" applyAlignment="1">
      <alignment wrapText="1"/>
    </xf>
    <xf numFmtId="42" fontId="0" fillId="0" borderId="0" xfId="3" applyFont="1" applyAlignment="1">
      <alignment vertical="center"/>
    </xf>
    <xf numFmtId="10" fontId="0" fillId="0" borderId="0" xfId="0" applyNumberFormat="1"/>
    <xf numFmtId="42" fontId="0" fillId="2" borderId="1" xfId="0" applyNumberFormat="1" applyFill="1" applyBorder="1"/>
    <xf numFmtId="42" fontId="0" fillId="0" borderId="0" xfId="0" applyNumberFormat="1"/>
    <xf numFmtId="42" fontId="0" fillId="2" borderId="1" xfId="3" applyFont="1" applyFill="1" applyBorder="1"/>
    <xf numFmtId="42" fontId="1" fillId="2" borderId="1" xfId="3" applyFont="1" applyFill="1" applyBorder="1"/>
    <xf numFmtId="0" fontId="0" fillId="0" borderId="1" xfId="0" applyBorder="1"/>
    <xf numFmtId="42" fontId="0" fillId="0" borderId="1" xfId="0" applyNumberFormat="1" applyBorder="1"/>
    <xf numFmtId="0" fontId="0" fillId="0" borderId="0" xfId="0" applyAlignment="1">
      <alignment horizontal="center" vertical="center"/>
    </xf>
    <xf numFmtId="8" fontId="0" fillId="0" borderId="0" xfId="0" applyNumberFormat="1"/>
    <xf numFmtId="44" fontId="0" fillId="0" borderId="0" xfId="0" applyNumberFormat="1"/>
    <xf numFmtId="166" fontId="0" fillId="0" borderId="0" xfId="0" applyNumberFormat="1"/>
    <xf numFmtId="0" fontId="5" fillId="0" borderId="0" xfId="0" applyFont="1"/>
    <xf numFmtId="0" fontId="2" fillId="0" borderId="1" xfId="0" applyFont="1" applyBorder="1" applyAlignment="1">
      <alignment horizontal="center"/>
    </xf>
    <xf numFmtId="166" fontId="0" fillId="0" borderId="1" xfId="0" applyNumberFormat="1" applyBorder="1"/>
    <xf numFmtId="0" fontId="0" fillId="0" borderId="1" xfId="0" applyBorder="1" applyAlignment="1">
      <alignment horizontal="center" vertical="center"/>
    </xf>
    <xf numFmtId="0" fontId="5" fillId="2" borderId="1" xfId="0" applyFont="1" applyFill="1" applyBorder="1" applyAlignment="1">
      <alignment horizontal="left" vertical="top"/>
    </xf>
    <xf numFmtId="0" fontId="2" fillId="3" borderId="1" xfId="0" applyFont="1" applyFill="1" applyBorder="1" applyAlignment="1">
      <alignment horizontal="left"/>
    </xf>
    <xf numFmtId="0" fontId="2" fillId="3" borderId="1" xfId="0" applyFont="1" applyFill="1" applyBorder="1"/>
    <xf numFmtId="0" fontId="2" fillId="5" borderId="2" xfId="0" applyFont="1" applyFill="1" applyBorder="1" applyAlignment="1">
      <alignment horizontal="center"/>
    </xf>
    <xf numFmtId="0" fontId="5" fillId="2" borderId="1" xfId="0" applyFont="1" applyFill="1" applyBorder="1" applyAlignment="1">
      <alignment horizontal="left"/>
    </xf>
    <xf numFmtId="0" fontId="2" fillId="3" borderId="4" xfId="0" applyFont="1" applyFill="1" applyBorder="1" applyAlignment="1">
      <alignment horizontal="left"/>
    </xf>
    <xf numFmtId="0" fontId="2" fillId="3" borderId="4" xfId="0" applyFont="1" applyFill="1" applyBorder="1"/>
    <xf numFmtId="42" fontId="2" fillId="3" borderId="4" xfId="3" applyFont="1" applyFill="1" applyBorder="1"/>
    <xf numFmtId="0" fontId="2" fillId="4" borderId="3" xfId="0" applyFont="1" applyFill="1" applyBorder="1" applyAlignment="1">
      <alignment horizontal="left"/>
    </xf>
    <xf numFmtId="0" fontId="2" fillId="4" borderId="5" xfId="0" applyFont="1" applyFill="1" applyBorder="1"/>
    <xf numFmtId="42" fontId="2" fillId="4" borderId="5" xfId="0" applyNumberFormat="1" applyFont="1" applyFill="1" applyBorder="1"/>
    <xf numFmtId="3" fontId="0" fillId="0" borderId="6" xfId="0" applyNumberFormat="1" applyBorder="1"/>
    <xf numFmtId="0" fontId="0" fillId="0" borderId="7" xfId="0" applyBorder="1"/>
    <xf numFmtId="3" fontId="0" fillId="0" borderId="8" xfId="0" quotePrefix="1" applyNumberFormat="1" applyBorder="1"/>
    <xf numFmtId="0" fontId="0" fillId="0" borderId="0" xfId="0" applyBorder="1"/>
    <xf numFmtId="3" fontId="2" fillId="0" borderId="9" xfId="0" quotePrefix="1" applyNumberFormat="1" applyFont="1" applyBorder="1"/>
    <xf numFmtId="0" fontId="0" fillId="0" borderId="10" xfId="0" applyBorder="1"/>
    <xf numFmtId="3" fontId="0" fillId="0" borderId="11" xfId="0" applyNumberFormat="1" applyBorder="1"/>
    <xf numFmtId="0" fontId="0" fillId="0" borderId="12" xfId="0" applyBorder="1"/>
    <xf numFmtId="42" fontId="2" fillId="3" borderId="1" xfId="3" applyNumberFormat="1" applyFont="1" applyFill="1" applyBorder="1"/>
    <xf numFmtId="0" fontId="5" fillId="2" borderId="1" xfId="0" applyFont="1" applyFill="1" applyBorder="1"/>
    <xf numFmtId="0" fontId="0" fillId="0" borderId="14" xfId="0" applyBorder="1"/>
    <xf numFmtId="42" fontId="0" fillId="0" borderId="14" xfId="0" applyNumberFormat="1" applyBorder="1"/>
    <xf numFmtId="0" fontId="2" fillId="4" borderId="15" xfId="0" applyFont="1" applyFill="1" applyBorder="1" applyAlignment="1">
      <alignment horizontal="left"/>
    </xf>
    <xf numFmtId="42" fontId="2" fillId="4" borderId="15" xfId="0" applyNumberFormat="1" applyFont="1" applyFill="1" applyBorder="1"/>
    <xf numFmtId="4" fontId="5" fillId="0" borderId="14" xfId="4" quotePrefix="1" applyNumberFormat="1" applyFont="1" applyBorder="1"/>
    <xf numFmtId="0" fontId="0" fillId="0" borderId="2" xfId="0" applyBorder="1" applyAlignment="1">
      <alignment horizontal="center" vertical="center"/>
    </xf>
    <xf numFmtId="3" fontId="0" fillId="0" borderId="1" xfId="0" applyNumberFormat="1" applyBorder="1"/>
    <xf numFmtId="10" fontId="0" fillId="0" borderId="1" xfId="0" applyNumberFormat="1" applyBorder="1"/>
    <xf numFmtId="1" fontId="2" fillId="5" borderId="2" xfId="0" applyNumberFormat="1" applyFont="1" applyFill="1" applyBorder="1" applyAlignment="1">
      <alignment horizontal="center"/>
    </xf>
    <xf numFmtId="0" fontId="7" fillId="0" borderId="0" xfId="0" applyFont="1"/>
    <xf numFmtId="0" fontId="7" fillId="3" borderId="0" xfId="0" applyFont="1" applyFill="1"/>
    <xf numFmtId="0" fontId="0" fillId="3" borderId="0" xfId="0" applyFill="1"/>
    <xf numFmtId="42" fontId="0" fillId="3" borderId="0" xfId="0" applyNumberFormat="1" applyFill="1"/>
    <xf numFmtId="1" fontId="0" fillId="0" borderId="0" xfId="0" applyNumberFormat="1" applyAlignment="1">
      <alignment horizontal="center"/>
    </xf>
    <xf numFmtId="42" fontId="0" fillId="0" borderId="0" xfId="3" applyFont="1" applyFill="1"/>
    <xf numFmtId="0" fontId="0" fillId="0" borderId="0" xfId="0" applyFill="1"/>
    <xf numFmtId="3" fontId="0" fillId="0" borderId="0" xfId="0" applyNumberFormat="1" applyFill="1"/>
    <xf numFmtId="42" fontId="0" fillId="3" borderId="0" xfId="3" applyFont="1" applyFill="1"/>
    <xf numFmtId="0" fontId="5" fillId="0" borderId="0" xfId="0" applyFont="1" applyAlignment="1">
      <alignment wrapText="1"/>
    </xf>
    <xf numFmtId="0" fontId="5" fillId="0" borderId="0" xfId="0" applyFont="1" applyAlignment="1">
      <alignment vertical="center"/>
    </xf>
    <xf numFmtId="0" fontId="0" fillId="0" borderId="0" xfId="0" applyAlignment="1">
      <alignment horizontal="center"/>
    </xf>
    <xf numFmtId="42" fontId="0" fillId="2" borderId="0" xfId="0" applyNumberFormat="1" applyFill="1" applyBorder="1"/>
    <xf numFmtId="0" fontId="0" fillId="2" borderId="0" xfId="0" applyFill="1" applyBorder="1"/>
    <xf numFmtId="0" fontId="0" fillId="0" borderId="11" xfId="0" applyBorder="1"/>
    <xf numFmtId="42" fontId="0" fillId="0" borderId="0" xfId="0" applyNumberFormat="1" applyBorder="1" applyAlignment="1">
      <alignment horizontal="center"/>
    </xf>
    <xf numFmtId="0" fontId="0" fillId="0" borderId="0" xfId="0" applyBorder="1" applyAlignment="1">
      <alignment horizontal="center"/>
    </xf>
    <xf numFmtId="0" fontId="0" fillId="2" borderId="0" xfId="0" applyFill="1" applyBorder="1" applyAlignment="1">
      <alignment horizontal="center"/>
    </xf>
    <xf numFmtId="42" fontId="2" fillId="0" borderId="1" xfId="3" applyFont="1" applyFill="1" applyBorder="1" applyAlignment="1">
      <alignment horizontal="center"/>
    </xf>
    <xf numFmtId="42" fontId="0" fillId="0" borderId="0" xfId="0" applyNumberFormat="1" applyAlignment="1">
      <alignment horizontal="center"/>
    </xf>
    <xf numFmtId="165" fontId="6" fillId="0" borderId="7" xfId="1" applyNumberFormat="1" applyFont="1" applyBorder="1" applyAlignment="1">
      <alignment horizontal="center"/>
    </xf>
    <xf numFmtId="42" fontId="0" fillId="0" borderId="10" xfId="0" applyNumberFormat="1" applyBorder="1" applyAlignment="1">
      <alignment horizontal="center"/>
    </xf>
    <xf numFmtId="42" fontId="0" fillId="0" borderId="12" xfId="0" applyNumberFormat="1" applyBorder="1" applyAlignment="1">
      <alignment horizontal="center"/>
    </xf>
    <xf numFmtId="9" fontId="0" fillId="0" borderId="0" xfId="0" applyNumberFormat="1" applyAlignment="1">
      <alignment horizontal="center"/>
    </xf>
    <xf numFmtId="0" fontId="2" fillId="2" borderId="1" xfId="0" applyFont="1" applyFill="1" applyBorder="1" applyAlignment="1">
      <alignment horizontal="left" vertical="center"/>
    </xf>
    <xf numFmtId="42" fontId="2" fillId="0" borderId="1" xfId="3" applyFont="1" applyFill="1" applyBorder="1" applyAlignment="1">
      <alignment horizontal="center" vertical="center"/>
    </xf>
    <xf numFmtId="3" fontId="0" fillId="0" borderId="0" xfId="0" quotePrefix="1" applyNumberFormat="1"/>
    <xf numFmtId="3" fontId="0" fillId="0" borderId="0" xfId="0" applyNumberFormat="1"/>
    <xf numFmtId="0" fontId="7" fillId="6" borderId="0" xfId="0" applyFont="1" applyFill="1"/>
    <xf numFmtId="0" fontId="5" fillId="0" borderId="0" xfId="0" applyFont="1" applyAlignment="1">
      <alignment horizontal="right"/>
    </xf>
    <xf numFmtId="0" fontId="5" fillId="0" borderId="0" xfId="0" applyNumberFormat="1" applyFont="1"/>
    <xf numFmtId="0" fontId="7" fillId="5" borderId="1" xfId="0" applyFont="1" applyFill="1" applyBorder="1"/>
    <xf numFmtId="0" fontId="2" fillId="0" borderId="11" xfId="0" applyFont="1" applyBorder="1" applyAlignment="1"/>
    <xf numFmtId="0" fontId="2" fillId="0" borderId="13" xfId="0" applyFont="1" applyBorder="1" applyAlignment="1"/>
    <xf numFmtId="164" fontId="0" fillId="0" borderId="0" xfId="5" applyFont="1"/>
    <xf numFmtId="0" fontId="2" fillId="0" borderId="12" xfId="0" applyFont="1" applyBorder="1" applyAlignment="1">
      <alignment horizontal="center"/>
    </xf>
    <xf numFmtId="42" fontId="0" fillId="6" borderId="0" xfId="3" applyFont="1" applyFill="1"/>
    <xf numFmtId="165" fontId="5" fillId="6" borderId="0" xfId="0" applyNumberFormat="1" applyFont="1" applyFill="1"/>
    <xf numFmtId="0" fontId="0" fillId="0" borderId="0" xfId="0" applyFont="1"/>
    <xf numFmtId="0" fontId="8" fillId="0" borderId="1" xfId="0" applyFont="1" applyBorder="1" applyAlignment="1">
      <alignment horizontal="center" vertical="center" wrapText="1"/>
    </xf>
    <xf numFmtId="0" fontId="2" fillId="0" borderId="1" xfId="0" applyFont="1" applyBorder="1"/>
    <xf numFmtId="0" fontId="2" fillId="0" borderId="1" xfId="0" applyFont="1" applyFill="1" applyBorder="1" applyAlignment="1">
      <alignment horizontal="center"/>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0" fillId="9" borderId="1" xfId="0" applyFont="1" applyFill="1" applyBorder="1" applyAlignment="1">
      <alignment horizontal="center"/>
    </xf>
    <xf numFmtId="0" fontId="0" fillId="0" borderId="1" xfId="0" applyFont="1" applyBorder="1"/>
    <xf numFmtId="0" fontId="0" fillId="0" borderId="1" xfId="0" applyFont="1" applyBorder="1" applyAlignment="1">
      <alignment horizontal="center"/>
    </xf>
    <xf numFmtId="0" fontId="9"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Border="1" applyAlignment="1">
      <alignment horizontal="center" vertical="center" wrapText="1"/>
    </xf>
    <xf numFmtId="0" fontId="2" fillId="0" borderId="1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9" fillId="7" borderId="1" xfId="0" applyFont="1" applyFill="1" applyBorder="1" applyAlignment="1">
      <alignment vertical="center" wrapText="1"/>
    </xf>
    <xf numFmtId="0" fontId="9" fillId="7" borderId="1" xfId="0" applyFont="1" applyFill="1" applyBorder="1" applyAlignment="1">
      <alignment horizontal="center" vertical="center" wrapText="1"/>
    </xf>
    <xf numFmtId="0" fontId="0" fillId="7" borderId="1" xfId="0" applyFont="1" applyFill="1" applyBorder="1" applyAlignment="1">
      <alignment horizontal="center"/>
    </xf>
    <xf numFmtId="167" fontId="0" fillId="7" borderId="1" xfId="5" applyNumberFormat="1" applyFont="1" applyFill="1" applyBorder="1"/>
    <xf numFmtId="167" fontId="0" fillId="7" borderId="1" xfId="0" applyNumberFormat="1" applyFont="1" applyFill="1" applyBorder="1"/>
    <xf numFmtId="167" fontId="0" fillId="0" borderId="1" xfId="5" applyNumberFormat="1" applyFont="1" applyBorder="1"/>
    <xf numFmtId="167" fontId="0" fillId="0" borderId="1" xfId="0" applyNumberFormat="1" applyFont="1" applyBorder="1"/>
    <xf numFmtId="167" fontId="0" fillId="0" borderId="1" xfId="0" applyNumberFormat="1" applyFont="1" applyFill="1" applyBorder="1"/>
    <xf numFmtId="167" fontId="2" fillId="10" borderId="5" xfId="0" applyNumberFormat="1" applyFont="1" applyFill="1" applyBorder="1"/>
    <xf numFmtId="0" fontId="9" fillId="0" borderId="1" xfId="0" applyFont="1" applyBorder="1" applyAlignment="1">
      <alignment vertical="center"/>
    </xf>
    <xf numFmtId="164" fontId="2" fillId="0" borderId="1" xfId="5" applyFont="1" applyBorder="1" applyAlignment="1">
      <alignment horizontal="center"/>
    </xf>
    <xf numFmtId="0" fontId="9" fillId="0" borderId="1" xfId="0" applyFont="1" applyBorder="1" applyAlignment="1">
      <alignment horizontal="justify" vertical="center" wrapText="1"/>
    </xf>
    <xf numFmtId="167" fontId="0" fillId="7" borderId="1" xfId="5" applyNumberFormat="1" applyFont="1" applyFill="1" applyBorder="1" applyAlignment="1">
      <alignment horizontal="left" indent="2"/>
    </xf>
    <xf numFmtId="167" fontId="0" fillId="10" borderId="0" xfId="5" applyNumberFormat="1" applyFont="1" applyFill="1" applyAlignment="1">
      <alignment horizontal="left" indent="2"/>
    </xf>
    <xf numFmtId="0" fontId="2" fillId="0" borderId="0" xfId="0" applyFont="1"/>
    <xf numFmtId="0" fontId="0" fillId="0" borderId="1" xfId="0" applyBorder="1" applyAlignment="1">
      <alignment horizontal="center"/>
    </xf>
    <xf numFmtId="167" fontId="0" fillId="0" borderId="1" xfId="0" applyNumberFormat="1" applyBorder="1"/>
    <xf numFmtId="0" fontId="0" fillId="0" borderId="1" xfId="0" applyBorder="1" applyAlignment="1">
      <alignment horizontal="left"/>
    </xf>
    <xf numFmtId="0" fontId="0" fillId="0" borderId="1" xfId="0" applyFill="1" applyBorder="1" applyAlignment="1">
      <alignment horizontal="left"/>
    </xf>
    <xf numFmtId="0" fontId="0" fillId="0" borderId="1" xfId="0" applyFill="1" applyBorder="1" applyAlignment="1">
      <alignment horizontal="center"/>
    </xf>
    <xf numFmtId="168" fontId="0" fillId="0" borderId="0" xfId="5" applyNumberFormat="1" applyFont="1"/>
    <xf numFmtId="168" fontId="0" fillId="0" borderId="0" xfId="0" applyNumberFormat="1"/>
    <xf numFmtId="169" fontId="0" fillId="0" borderId="0" xfId="0" applyNumberFormat="1" applyAlignment="1">
      <alignment horizontal="center"/>
    </xf>
    <xf numFmtId="10" fontId="0" fillId="0" borderId="0" xfId="0" applyNumberFormat="1" applyAlignment="1">
      <alignment horizontal="center"/>
    </xf>
    <xf numFmtId="6" fontId="0" fillId="0" borderId="1" xfId="0" applyNumberFormat="1" applyBorder="1"/>
    <xf numFmtId="0" fontId="2" fillId="5" borderId="1" xfId="0" applyFont="1" applyFill="1" applyBorder="1" applyAlignment="1">
      <alignment horizontal="center" vertical="center"/>
    </xf>
    <xf numFmtId="42" fontId="1" fillId="0" borderId="1" xfId="3" applyFont="1" applyFill="1" applyBorder="1"/>
    <xf numFmtId="0" fontId="2" fillId="0" borderId="0" xfId="0" applyFont="1" applyAlignment="1">
      <alignment wrapText="1"/>
    </xf>
    <xf numFmtId="42" fontId="2" fillId="0" borderId="0" xfId="3" applyFont="1" applyFill="1"/>
    <xf numFmtId="0" fontId="0" fillId="6" borderId="0" xfId="0" applyFill="1" applyAlignment="1">
      <alignment wrapText="1"/>
    </xf>
    <xf numFmtId="0" fontId="0" fillId="6" borderId="0" xfId="0" applyFill="1"/>
    <xf numFmtId="9" fontId="0" fillId="8" borderId="1" xfId="1" applyFont="1" applyFill="1" applyBorder="1"/>
    <xf numFmtId="6" fontId="0" fillId="8" borderId="1" xfId="0" applyNumberFormat="1" applyFill="1" applyBorder="1"/>
    <xf numFmtId="42" fontId="12" fillId="0" borderId="0" xfId="3" applyFont="1"/>
    <xf numFmtId="9" fontId="12" fillId="0" borderId="0" xfId="3" applyNumberFormat="1" applyFont="1"/>
    <xf numFmtId="0" fontId="12" fillId="0" borderId="0" xfId="0" applyFont="1"/>
    <xf numFmtId="3" fontId="0" fillId="0" borderId="1" xfId="0" applyNumberFormat="1" applyFill="1" applyBorder="1" applyAlignment="1">
      <alignment horizontal="center"/>
    </xf>
    <xf numFmtId="168" fontId="2" fillId="0" borderId="0" xfId="0" applyNumberFormat="1" applyFont="1"/>
    <xf numFmtId="42" fontId="0" fillId="0" borderId="0" xfId="0" applyNumberFormat="1" applyFill="1"/>
    <xf numFmtId="9" fontId="0" fillId="0" borderId="0" xfId="1" applyFont="1"/>
    <xf numFmtId="169" fontId="0" fillId="0" borderId="0" xfId="0" applyNumberFormat="1"/>
    <xf numFmtId="3" fontId="2" fillId="0" borderId="0" xfId="0" applyNumberFormat="1" applyFont="1"/>
    <xf numFmtId="3" fontId="6" fillId="0" borderId="0" xfId="0" applyNumberFormat="1" applyFont="1"/>
    <xf numFmtId="3" fontId="6" fillId="0" borderId="10" xfId="0" applyNumberFormat="1" applyFont="1" applyBorder="1"/>
    <xf numFmtId="165" fontId="6" fillId="0" borderId="0" xfId="1" applyNumberFormat="1" applyFont="1"/>
    <xf numFmtId="165" fontId="2" fillId="0" borderId="0" xfId="1" applyNumberFormat="1" applyFont="1"/>
    <xf numFmtId="9" fontId="0" fillId="6" borderId="0" xfId="0" applyNumberFormat="1" applyFill="1"/>
    <xf numFmtId="0" fontId="5" fillId="0" borderId="0" xfId="0" applyFont="1" applyFill="1"/>
    <xf numFmtId="166" fontId="0" fillId="0" borderId="0" xfId="0" applyNumberFormat="1" applyFill="1"/>
    <xf numFmtId="3" fontId="2" fillId="0" borderId="12" xfId="0" applyNumberFormat="1" applyFont="1" applyBorder="1"/>
    <xf numFmtId="3" fontId="2" fillId="0" borderId="12" xfId="0" applyNumberFormat="1" applyFont="1" applyBorder="1" applyAlignment="1">
      <alignment horizontal="center"/>
    </xf>
    <xf numFmtId="165" fontId="0" fillId="0" borderId="0" xfId="0" applyNumberFormat="1"/>
    <xf numFmtId="3" fontId="2" fillId="7" borderId="0" xfId="0" applyNumberFormat="1" applyFont="1" applyFill="1"/>
    <xf numFmtId="42" fontId="2" fillId="7" borderId="0" xfId="0" applyNumberFormat="1" applyFont="1" applyFill="1"/>
    <xf numFmtId="3" fontId="7" fillId="0" borderId="0" xfId="0" applyNumberFormat="1" applyFont="1"/>
    <xf numFmtId="165" fontId="0" fillId="0" borderId="0" xfId="1" applyNumberFormat="1" applyFont="1"/>
    <xf numFmtId="0" fontId="13" fillId="0" borderId="0" xfId="0" applyFont="1"/>
    <xf numFmtId="0" fontId="15" fillId="0" borderId="0" xfId="0" applyFont="1"/>
    <xf numFmtId="0" fontId="15" fillId="0" borderId="1" xfId="0" applyFont="1" applyBorder="1" applyAlignment="1">
      <alignment horizontal="center"/>
    </xf>
    <xf numFmtId="0" fontId="13" fillId="0" borderId="1" xfId="0" applyFont="1" applyBorder="1" applyAlignment="1">
      <alignment horizontal="center"/>
    </xf>
    <xf numFmtId="0" fontId="18" fillId="11" borderId="1" xfId="0" applyFont="1" applyFill="1" applyBorder="1" applyAlignment="1">
      <alignment horizontal="center" vertical="center" wrapText="1"/>
    </xf>
    <xf numFmtId="0" fontId="19" fillId="11" borderId="1" xfId="0" applyFont="1" applyFill="1" applyBorder="1" applyAlignment="1">
      <alignment horizontal="center" vertical="center"/>
    </xf>
    <xf numFmtId="0" fontId="19" fillId="11" borderId="1" xfId="0" applyFont="1" applyFill="1" applyBorder="1" applyAlignment="1">
      <alignment horizontal="center" vertical="center" wrapText="1"/>
    </xf>
    <xf numFmtId="0" fontId="20" fillId="12" borderId="1" xfId="0" applyFont="1" applyFill="1" applyBorder="1" applyAlignment="1">
      <alignment horizontal="left" vertical="top" wrapText="1"/>
    </xf>
    <xf numFmtId="0" fontId="21" fillId="13" borderId="1" xfId="0" applyFont="1" applyFill="1" applyBorder="1" applyAlignment="1">
      <alignment vertical="center" wrapText="1"/>
    </xf>
    <xf numFmtId="164" fontId="0" fillId="0" borderId="1" xfId="5" applyFont="1" applyBorder="1"/>
    <xf numFmtId="0" fontId="20" fillId="12" borderId="4" xfId="0" applyFont="1" applyFill="1" applyBorder="1" applyAlignment="1">
      <alignment horizontal="left" vertical="top" wrapText="1"/>
    </xf>
    <xf numFmtId="0" fontId="21" fillId="13" borderId="4" xfId="0" applyFont="1" applyFill="1" applyBorder="1" applyAlignment="1">
      <alignment vertical="center" wrapText="1"/>
    </xf>
    <xf numFmtId="164" fontId="0" fillId="0" borderId="4" xfId="5" applyFont="1" applyBorder="1"/>
    <xf numFmtId="0" fontId="20" fillId="12" borderId="15" xfId="0" applyFont="1" applyFill="1" applyBorder="1" applyAlignment="1">
      <alignment horizontal="left" vertical="top" wrapText="1"/>
    </xf>
    <xf numFmtId="0" fontId="21" fillId="13" borderId="15" xfId="0" applyFont="1" applyFill="1" applyBorder="1" applyAlignment="1">
      <alignment vertical="center" wrapText="1"/>
    </xf>
    <xf numFmtId="164" fontId="0" fillId="0" borderId="5" xfId="5" applyFont="1" applyBorder="1"/>
    <xf numFmtId="164" fontId="0" fillId="0" borderId="15" xfId="5" applyFont="1" applyBorder="1"/>
    <xf numFmtId="170" fontId="0" fillId="0" borderId="12" xfId="0" applyNumberFormat="1" applyBorder="1"/>
    <xf numFmtId="170" fontId="0" fillId="0" borderId="10" xfId="0" applyNumberFormat="1" applyBorder="1"/>
    <xf numFmtId="0" fontId="13" fillId="0" borderId="1" xfId="0" applyFont="1" applyBorder="1" applyAlignment="1">
      <alignment horizontal="left" vertical="center" wrapText="1"/>
    </xf>
    <xf numFmtId="0" fontId="2" fillId="0" borderId="12" xfId="0" applyFont="1" applyBorder="1" applyAlignment="1">
      <alignment horizontal="center"/>
    </xf>
    <xf numFmtId="0" fontId="9" fillId="0" borderId="2" xfId="0" applyFont="1" applyBorder="1" applyAlignment="1">
      <alignment horizontal="justify" vertical="center" wrapText="1"/>
    </xf>
    <xf numFmtId="0" fontId="9" fillId="0" borderId="5" xfId="0" applyFont="1" applyBorder="1" applyAlignment="1">
      <alignment horizontal="justify" vertical="center" wrapText="1"/>
    </xf>
    <xf numFmtId="167" fontId="0" fillId="7" borderId="2" xfId="5" applyNumberFormat="1" applyFont="1" applyFill="1" applyBorder="1" applyAlignment="1">
      <alignment horizontal="left" indent="2"/>
    </xf>
    <xf numFmtId="167" fontId="0" fillId="7" borderId="5" xfId="5" applyNumberFormat="1" applyFont="1" applyFill="1" applyBorder="1" applyAlignment="1">
      <alignment horizontal="left" indent="2"/>
    </xf>
    <xf numFmtId="0" fontId="2" fillId="0" borderId="0" xfId="0" applyFont="1" applyAlignment="1">
      <alignment horizontal="center"/>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6" xfId="0" applyFont="1" applyFill="1" applyBorder="1" applyAlignment="1">
      <alignment horizontal="center" vertical="center"/>
    </xf>
    <xf numFmtId="0" fontId="20" fillId="6" borderId="1" xfId="0" applyFont="1" applyFill="1" applyBorder="1" applyAlignment="1">
      <alignment horizontal="left" vertical="center" wrapText="1"/>
    </xf>
    <xf numFmtId="0" fontId="20" fillId="6" borderId="4" xfId="0" applyFont="1" applyFill="1" applyBorder="1" applyAlignment="1">
      <alignment horizontal="left" vertical="center" wrapText="1"/>
    </xf>
    <xf numFmtId="164" fontId="0" fillId="0" borderId="2" xfId="5" applyFont="1" applyBorder="1" applyAlignment="1">
      <alignment horizontal="center" vertical="center"/>
    </xf>
    <xf numFmtId="164" fontId="0" fillId="0" borderId="3" xfId="5" applyFont="1" applyBorder="1" applyAlignment="1">
      <alignment horizontal="center" vertical="center"/>
    </xf>
    <xf numFmtId="164" fontId="0" fillId="0" borderId="17" xfId="5" applyFont="1" applyBorder="1" applyAlignment="1">
      <alignment horizontal="center" vertical="center"/>
    </xf>
    <xf numFmtId="0" fontId="20" fillId="12" borderId="1" xfId="0" applyFont="1" applyFill="1" applyBorder="1" applyAlignment="1">
      <alignment horizontal="left" vertical="top" wrapText="1"/>
    </xf>
    <xf numFmtId="164" fontId="0" fillId="0" borderId="5" xfId="5" applyFont="1" applyBorder="1" applyAlignment="1">
      <alignment horizontal="center" vertical="center"/>
    </xf>
    <xf numFmtId="0" fontId="20" fillId="12" borderId="2" xfId="0" applyFont="1" applyFill="1" applyBorder="1" applyAlignment="1">
      <alignment horizontal="left" vertical="center" wrapText="1"/>
    </xf>
    <xf numFmtId="0" fontId="20" fillId="12" borderId="5" xfId="0" applyFont="1" applyFill="1" applyBorder="1" applyAlignment="1">
      <alignment horizontal="left" vertical="center" wrapText="1"/>
    </xf>
    <xf numFmtId="0" fontId="20" fillId="6" borderId="15" xfId="0" applyFont="1" applyFill="1" applyBorder="1" applyAlignment="1">
      <alignment horizontal="left" vertical="center" wrapText="1"/>
    </xf>
    <xf numFmtId="164" fontId="0" fillId="0" borderId="18" xfId="5" applyFont="1" applyBorder="1" applyAlignment="1">
      <alignment horizontal="center" vertical="center"/>
    </xf>
    <xf numFmtId="0" fontId="20" fillId="12" borderId="15" xfId="0" applyFont="1" applyFill="1" applyBorder="1" applyAlignment="1">
      <alignment horizontal="left" vertical="top" wrapText="1"/>
    </xf>
    <xf numFmtId="0" fontId="20" fillId="12" borderId="4" xfId="0" applyFont="1" applyFill="1" applyBorder="1" applyAlignment="1">
      <alignment horizontal="left" vertical="top" wrapText="1"/>
    </xf>
    <xf numFmtId="0" fontId="16" fillId="11" borderId="7" xfId="0" applyFont="1" applyFill="1" applyBorder="1" applyAlignment="1">
      <alignment horizontal="right"/>
    </xf>
    <xf numFmtId="0" fontId="16" fillId="11" borderId="12" xfId="0" applyFont="1" applyFill="1" applyBorder="1" applyAlignment="1">
      <alignment horizontal="right"/>
    </xf>
    <xf numFmtId="0" fontId="0" fillId="2" borderId="2" xfId="0" applyFill="1" applyBorder="1"/>
  </cellXfs>
  <cellStyles count="6">
    <cellStyle name="Millares" xfId="4" builtinId="3"/>
    <cellStyle name="Moneda" xfId="5" builtinId="4"/>
    <cellStyle name="Moneda [0]" xfId="3" builtinId="7"/>
    <cellStyle name="Normal" xfId="0" builtinId="0"/>
    <cellStyle name="Normal 2" xfId="2" xr:uid="{00000000-0005-0000-0000-00000400000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190500</xdr:colOff>
      <xdr:row>64</xdr:row>
      <xdr:rowOff>0</xdr:rowOff>
    </xdr:from>
    <xdr:to>
      <xdr:col>2</xdr:col>
      <xdr:colOff>688511</xdr:colOff>
      <xdr:row>66</xdr:row>
      <xdr:rowOff>24076</xdr:rowOff>
    </xdr:to>
    <mc:AlternateContent xmlns:mc="http://schemas.openxmlformats.org/markup-compatibility/2006" xmlns:a14="http://schemas.microsoft.com/office/drawing/2010/main">
      <mc:Choice Requires="a14">
        <xdr:sp macro="" textlink="">
          <xdr:nvSpPr>
            <xdr:cNvPr id="2" name="4 CuadroTexto">
              <a:extLst>
                <a:ext uri="{FF2B5EF4-FFF2-40B4-BE49-F238E27FC236}">
                  <a16:creationId xmlns:a16="http://schemas.microsoft.com/office/drawing/2014/main" id="{00000000-0008-0000-0100-000002000000}"/>
                </a:ext>
              </a:extLst>
            </xdr:cNvPr>
            <xdr:cNvSpPr txBox="1"/>
          </xdr:nvSpPr>
          <xdr:spPr>
            <a:xfrm>
              <a:off x="381000" y="13182600"/>
              <a:ext cx="2869736" cy="414601"/>
            </a:xfrm>
            <a:prstGeom prst="rect">
              <a:avLst/>
            </a:prstGeom>
          </xdr:spPr>
          <xdr:style>
            <a:lnRef idx="1">
              <a:schemeClr val="accent1"/>
            </a:lnRef>
            <a:fillRef idx="3">
              <a:schemeClr val="accent1"/>
            </a:fillRef>
            <a:effectRef idx="2">
              <a:schemeClr val="accent1"/>
            </a:effectRef>
            <a:fontRef idx="minor">
              <a:schemeClr val="lt1"/>
            </a:fontRef>
          </xdr:style>
          <xdr:txBody>
            <a:bodyPr wrap="square" rtlCol="0">
              <a:spAutoFit/>
            </a:bodyPr>
            <a:lstStyle>
              <a:defPPr>
                <a:defRPr lang="es-ES"/>
              </a:defPPr>
              <a:lvl1pPr algn="l" defTabSz="457200" rtl="0" fontAlgn="base">
                <a:spcBef>
                  <a:spcPct val="0"/>
                </a:spcBef>
                <a:spcAft>
                  <a:spcPct val="0"/>
                </a:spcAft>
                <a:defRPr kern="1200">
                  <a:solidFill>
                    <a:schemeClr val="lt1"/>
                  </a:solidFill>
                  <a:latin typeface="+mn-lt"/>
                  <a:ea typeface="+mn-ea"/>
                  <a:cs typeface="+mn-cs"/>
                </a:defRPr>
              </a:lvl1pPr>
              <a:lvl2pPr marL="457200" algn="l" defTabSz="457200" rtl="0" fontAlgn="base">
                <a:spcBef>
                  <a:spcPct val="0"/>
                </a:spcBef>
                <a:spcAft>
                  <a:spcPct val="0"/>
                </a:spcAft>
                <a:defRPr kern="1200">
                  <a:solidFill>
                    <a:schemeClr val="lt1"/>
                  </a:solidFill>
                  <a:latin typeface="+mn-lt"/>
                  <a:ea typeface="+mn-ea"/>
                  <a:cs typeface="+mn-cs"/>
                </a:defRPr>
              </a:lvl2pPr>
              <a:lvl3pPr marL="914400" algn="l" defTabSz="457200" rtl="0" fontAlgn="base">
                <a:spcBef>
                  <a:spcPct val="0"/>
                </a:spcBef>
                <a:spcAft>
                  <a:spcPct val="0"/>
                </a:spcAft>
                <a:defRPr kern="1200">
                  <a:solidFill>
                    <a:schemeClr val="lt1"/>
                  </a:solidFill>
                  <a:latin typeface="+mn-lt"/>
                  <a:ea typeface="+mn-ea"/>
                  <a:cs typeface="+mn-cs"/>
                </a:defRPr>
              </a:lvl3pPr>
              <a:lvl4pPr marL="1371600" algn="l" defTabSz="457200" rtl="0" fontAlgn="base">
                <a:spcBef>
                  <a:spcPct val="0"/>
                </a:spcBef>
                <a:spcAft>
                  <a:spcPct val="0"/>
                </a:spcAft>
                <a:defRPr kern="1200">
                  <a:solidFill>
                    <a:schemeClr val="lt1"/>
                  </a:solidFill>
                  <a:latin typeface="+mn-lt"/>
                  <a:ea typeface="+mn-ea"/>
                  <a:cs typeface="+mn-cs"/>
                </a:defRPr>
              </a:lvl4pPr>
              <a:lvl5pPr marL="1828800" algn="l" defTabSz="457200"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14:m>
                <m:oMathPara xmlns:m="http://schemas.openxmlformats.org/officeDocument/2006/math">
                  <m:oMathParaPr>
                    <m:jc m:val="centerGroup"/>
                  </m:oMathParaPr>
                  <m:oMath xmlns:m="http://schemas.openxmlformats.org/officeDocument/2006/math">
                    <m:r>
                      <a:rPr lang="es-CO" b="1" i="1">
                        <a:latin typeface="Cambria Math"/>
                      </a:rPr>
                      <m:t>𝑪𝒙𝑪</m:t>
                    </m:r>
                    <m:r>
                      <a:rPr lang="es-CO" b="1" i="1">
                        <a:latin typeface="Cambria Math"/>
                      </a:rPr>
                      <m:t>=</m:t>
                    </m:r>
                    <m:r>
                      <a:rPr lang="es-CO" b="1" i="1">
                        <a:latin typeface="Cambria Math"/>
                      </a:rPr>
                      <m:t>𝑽𝒆𝒏𝒕𝒂𝒔</m:t>
                    </m:r>
                    <m:r>
                      <a:rPr lang="es-CO" b="1" i="1">
                        <a:latin typeface="Cambria Math"/>
                      </a:rPr>
                      <m:t> </m:t>
                    </m:r>
                    <m:r>
                      <a:rPr lang="es-CO" b="1" i="1">
                        <a:latin typeface="Cambria Math"/>
                      </a:rPr>
                      <m:t>𝒂</m:t>
                    </m:r>
                    <m:r>
                      <a:rPr lang="es-CO" b="1" i="1">
                        <a:latin typeface="Cambria Math"/>
                      </a:rPr>
                      <m:t> </m:t>
                    </m:r>
                    <m:r>
                      <a:rPr lang="es-CO" b="1" i="1">
                        <a:latin typeface="Cambria Math"/>
                      </a:rPr>
                      <m:t>𝒄𝒓</m:t>
                    </m:r>
                    <m:r>
                      <a:rPr lang="es-CO" b="1" i="1">
                        <a:latin typeface="Cambria Math"/>
                      </a:rPr>
                      <m:t>é</m:t>
                    </m:r>
                    <m:r>
                      <a:rPr lang="es-CO" b="1" i="1">
                        <a:latin typeface="Cambria Math"/>
                      </a:rPr>
                      <m:t>𝒅𝒊𝒕𝒐</m:t>
                    </m:r>
                    <m:r>
                      <a:rPr lang="es-CO" b="1" i="1">
                        <a:latin typeface="Cambria Math"/>
                      </a:rPr>
                      <m:t> </m:t>
                    </m:r>
                    <m:r>
                      <a:rPr lang="es-CO" b="1" i="1">
                        <a:latin typeface="Cambria Math"/>
                      </a:rPr>
                      <m:t>𝒙</m:t>
                    </m:r>
                    <m:f>
                      <m:fPr>
                        <m:ctrlPr>
                          <a:rPr lang="es-CO" b="1" i="1">
                            <a:latin typeface="Cambria Math" panose="02040503050406030204" pitchFamily="18" charset="0"/>
                          </a:rPr>
                        </m:ctrlPr>
                      </m:fPr>
                      <m:num>
                        <m:r>
                          <a:rPr lang="es-CO" b="1" i="1">
                            <a:latin typeface="Cambria Math"/>
                          </a:rPr>
                          <m:t>𝑫</m:t>
                        </m:r>
                        <m:r>
                          <a:rPr lang="es-CO" b="1" i="1">
                            <a:latin typeface="Cambria Math"/>
                          </a:rPr>
                          <m:t>í</m:t>
                        </m:r>
                        <m:r>
                          <a:rPr lang="es-CO" b="1" i="1">
                            <a:latin typeface="Cambria Math"/>
                          </a:rPr>
                          <m:t>𝒂𝒔</m:t>
                        </m:r>
                        <m:r>
                          <a:rPr lang="es-CO" b="1" i="1">
                            <a:latin typeface="Cambria Math"/>
                          </a:rPr>
                          <m:t> </m:t>
                        </m:r>
                        <m:r>
                          <a:rPr lang="es-CO" b="1" i="1">
                            <a:latin typeface="Cambria Math"/>
                          </a:rPr>
                          <m:t>𝒅𝒆</m:t>
                        </m:r>
                        <m:r>
                          <a:rPr lang="es-CO" b="1" i="1">
                            <a:latin typeface="Cambria Math"/>
                          </a:rPr>
                          <m:t> </m:t>
                        </m:r>
                        <m:r>
                          <a:rPr lang="es-CO" b="1" i="1">
                            <a:latin typeface="Cambria Math"/>
                          </a:rPr>
                          <m:t>𝑪𝒙𝑪</m:t>
                        </m:r>
                      </m:num>
                      <m:den>
                        <m:r>
                          <a:rPr lang="es-CO" b="1" i="1">
                            <a:latin typeface="Cambria Math"/>
                          </a:rPr>
                          <m:t>𝟑𝟔𝟎</m:t>
                        </m:r>
                        <m:r>
                          <a:rPr lang="es-CO" b="1" i="1">
                            <a:latin typeface="Cambria Math"/>
                          </a:rPr>
                          <m:t> </m:t>
                        </m:r>
                        <m:r>
                          <a:rPr lang="es-CO" b="1" i="1">
                            <a:latin typeface="Cambria Math"/>
                          </a:rPr>
                          <m:t>𝒅</m:t>
                        </m:r>
                        <m:r>
                          <a:rPr lang="es-CO" b="1" i="1">
                            <a:latin typeface="Cambria Math"/>
                          </a:rPr>
                          <m:t>í</m:t>
                        </m:r>
                        <m:r>
                          <a:rPr lang="es-CO" b="1" i="1">
                            <a:latin typeface="Cambria Math"/>
                          </a:rPr>
                          <m:t>𝒂𝒔</m:t>
                        </m:r>
                      </m:den>
                    </m:f>
                  </m:oMath>
                </m:oMathPara>
              </a14:m>
              <a:endParaRPr lang="es-CO" b="1"/>
            </a:p>
          </xdr:txBody>
        </xdr:sp>
      </mc:Choice>
      <mc:Fallback xmlns="">
        <xdr:sp macro="" textlink="">
          <xdr:nvSpPr>
            <xdr:cNvPr id="2" name="4 CuadroTexto"/>
            <xdr:cNvSpPr txBox="1"/>
          </xdr:nvSpPr>
          <xdr:spPr>
            <a:xfrm>
              <a:off x="381000" y="13182600"/>
              <a:ext cx="2869736" cy="414601"/>
            </a:xfrm>
            <a:prstGeom prst="rect">
              <a:avLst/>
            </a:prstGeom>
          </xdr:spPr>
          <xdr:style>
            <a:lnRef idx="1">
              <a:schemeClr val="accent1"/>
            </a:lnRef>
            <a:fillRef idx="3">
              <a:schemeClr val="accent1"/>
            </a:fillRef>
            <a:effectRef idx="2">
              <a:schemeClr val="accent1"/>
            </a:effectRef>
            <a:fontRef idx="minor">
              <a:schemeClr val="lt1"/>
            </a:fontRef>
          </xdr:style>
          <xdr:txBody>
            <a:bodyPr wrap="square" rtlCol="0">
              <a:spAutoFit/>
            </a:bodyPr>
            <a:lstStyle>
              <a:defPPr>
                <a:defRPr lang="es-ES"/>
              </a:defPPr>
              <a:lvl1pPr algn="l" defTabSz="457200" rtl="0" fontAlgn="base">
                <a:spcBef>
                  <a:spcPct val="0"/>
                </a:spcBef>
                <a:spcAft>
                  <a:spcPct val="0"/>
                </a:spcAft>
                <a:defRPr kern="1200">
                  <a:solidFill>
                    <a:schemeClr val="lt1"/>
                  </a:solidFill>
                  <a:latin typeface="+mn-lt"/>
                  <a:ea typeface="+mn-ea"/>
                  <a:cs typeface="+mn-cs"/>
                </a:defRPr>
              </a:lvl1pPr>
              <a:lvl2pPr marL="457200" algn="l" defTabSz="457200" rtl="0" fontAlgn="base">
                <a:spcBef>
                  <a:spcPct val="0"/>
                </a:spcBef>
                <a:spcAft>
                  <a:spcPct val="0"/>
                </a:spcAft>
                <a:defRPr kern="1200">
                  <a:solidFill>
                    <a:schemeClr val="lt1"/>
                  </a:solidFill>
                  <a:latin typeface="+mn-lt"/>
                  <a:ea typeface="+mn-ea"/>
                  <a:cs typeface="+mn-cs"/>
                </a:defRPr>
              </a:lvl2pPr>
              <a:lvl3pPr marL="914400" algn="l" defTabSz="457200" rtl="0" fontAlgn="base">
                <a:spcBef>
                  <a:spcPct val="0"/>
                </a:spcBef>
                <a:spcAft>
                  <a:spcPct val="0"/>
                </a:spcAft>
                <a:defRPr kern="1200">
                  <a:solidFill>
                    <a:schemeClr val="lt1"/>
                  </a:solidFill>
                  <a:latin typeface="+mn-lt"/>
                  <a:ea typeface="+mn-ea"/>
                  <a:cs typeface="+mn-cs"/>
                </a:defRPr>
              </a:lvl3pPr>
              <a:lvl4pPr marL="1371600" algn="l" defTabSz="457200" rtl="0" fontAlgn="base">
                <a:spcBef>
                  <a:spcPct val="0"/>
                </a:spcBef>
                <a:spcAft>
                  <a:spcPct val="0"/>
                </a:spcAft>
                <a:defRPr kern="1200">
                  <a:solidFill>
                    <a:schemeClr val="lt1"/>
                  </a:solidFill>
                  <a:latin typeface="+mn-lt"/>
                  <a:ea typeface="+mn-ea"/>
                  <a:cs typeface="+mn-cs"/>
                </a:defRPr>
              </a:lvl4pPr>
              <a:lvl5pPr marL="1828800" algn="l" defTabSz="457200"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r>
                <a:rPr lang="es-CO" b="1" i="0">
                  <a:latin typeface="Cambria Math"/>
                </a:rPr>
                <a:t>𝑪𝒙𝑪=𝑽𝒆𝒏𝒕𝒂𝒔 𝒂 𝒄𝒓é𝒅𝒊𝒕𝒐 𝒙 </a:t>
              </a:r>
              <a:r>
                <a:rPr lang="es-CO" b="1" i="0">
                  <a:latin typeface="Cambria Math" panose="02040503050406030204" pitchFamily="18" charset="0"/>
                </a:rPr>
                <a:t>(</a:t>
              </a:r>
              <a:r>
                <a:rPr lang="es-CO" b="1" i="0">
                  <a:latin typeface="Cambria Math"/>
                </a:rPr>
                <a:t>𝑫í𝒂𝒔 𝒅𝒆 𝑪𝒙𝑪</a:t>
              </a:r>
              <a:r>
                <a:rPr lang="es-CO" b="1" i="0">
                  <a:latin typeface="Cambria Math" panose="02040503050406030204" pitchFamily="18" charset="0"/>
                </a:rPr>
                <a:t>)/(</a:t>
              </a:r>
              <a:r>
                <a:rPr lang="es-CO" b="1" i="0">
                  <a:latin typeface="Cambria Math"/>
                </a:rPr>
                <a:t>𝟑𝟔𝟎 𝒅í𝒂𝒔</a:t>
              </a:r>
              <a:r>
                <a:rPr lang="es-CO" b="1" i="0">
                  <a:latin typeface="Cambria Math" panose="02040503050406030204" pitchFamily="18" charset="0"/>
                </a:rPr>
                <a:t>)</a:t>
              </a:r>
              <a:endParaRPr lang="es-CO" b="1"/>
            </a:p>
          </xdr:txBody>
        </xdr:sp>
      </mc:Fallback>
    </mc:AlternateContent>
    <xdr:clientData/>
  </xdr:twoCellAnchor>
  <xdr:twoCellAnchor>
    <xdr:from>
      <xdr:col>1</xdr:col>
      <xdr:colOff>180975</xdr:colOff>
      <xdr:row>66</xdr:row>
      <xdr:rowOff>95250</xdr:rowOff>
    </xdr:from>
    <xdr:to>
      <xdr:col>4</xdr:col>
      <xdr:colOff>11816</xdr:colOff>
      <xdr:row>68</xdr:row>
      <xdr:rowOff>128851</xdr:rowOff>
    </xdr:to>
    <mc:AlternateContent xmlns:mc="http://schemas.openxmlformats.org/markup-compatibility/2006" xmlns:a14="http://schemas.microsoft.com/office/drawing/2010/main">
      <mc:Choice Requires="a14">
        <xdr:sp macro="" textlink="">
          <xdr:nvSpPr>
            <xdr:cNvPr id="3" name="5 CuadroTexto">
              <a:extLst>
                <a:ext uri="{FF2B5EF4-FFF2-40B4-BE49-F238E27FC236}">
                  <a16:creationId xmlns:a16="http://schemas.microsoft.com/office/drawing/2014/main" id="{00000000-0008-0000-0100-000003000000}"/>
                </a:ext>
              </a:extLst>
            </xdr:cNvPr>
            <xdr:cNvSpPr txBox="1"/>
          </xdr:nvSpPr>
          <xdr:spPr>
            <a:xfrm>
              <a:off x="371475" y="13668375"/>
              <a:ext cx="4126616" cy="414601"/>
            </a:xfrm>
            <a:prstGeom prst="rect">
              <a:avLst/>
            </a:prstGeom>
          </xdr:spPr>
          <xdr:style>
            <a:lnRef idx="1">
              <a:schemeClr val="accent1"/>
            </a:lnRef>
            <a:fillRef idx="3">
              <a:schemeClr val="accent1"/>
            </a:fillRef>
            <a:effectRef idx="2">
              <a:schemeClr val="accent1"/>
            </a:effectRef>
            <a:fontRef idx="minor">
              <a:schemeClr val="lt1"/>
            </a:fontRef>
          </xdr:style>
          <xdr:txBody>
            <a:bodyPr wrap="square" rtlCol="0">
              <a:spAutoFit/>
            </a:bodyPr>
            <a:lstStyle>
              <a:defPPr>
                <a:defRPr lang="es-ES"/>
              </a:defPPr>
              <a:lvl1pPr algn="l" defTabSz="457200" rtl="0" fontAlgn="base">
                <a:spcBef>
                  <a:spcPct val="0"/>
                </a:spcBef>
                <a:spcAft>
                  <a:spcPct val="0"/>
                </a:spcAft>
                <a:defRPr kern="1200">
                  <a:solidFill>
                    <a:schemeClr val="lt1"/>
                  </a:solidFill>
                  <a:latin typeface="+mn-lt"/>
                  <a:ea typeface="+mn-ea"/>
                  <a:cs typeface="+mn-cs"/>
                </a:defRPr>
              </a:lvl1pPr>
              <a:lvl2pPr marL="457200" algn="l" defTabSz="457200" rtl="0" fontAlgn="base">
                <a:spcBef>
                  <a:spcPct val="0"/>
                </a:spcBef>
                <a:spcAft>
                  <a:spcPct val="0"/>
                </a:spcAft>
                <a:defRPr kern="1200">
                  <a:solidFill>
                    <a:schemeClr val="lt1"/>
                  </a:solidFill>
                  <a:latin typeface="+mn-lt"/>
                  <a:ea typeface="+mn-ea"/>
                  <a:cs typeface="+mn-cs"/>
                </a:defRPr>
              </a:lvl2pPr>
              <a:lvl3pPr marL="914400" algn="l" defTabSz="457200" rtl="0" fontAlgn="base">
                <a:spcBef>
                  <a:spcPct val="0"/>
                </a:spcBef>
                <a:spcAft>
                  <a:spcPct val="0"/>
                </a:spcAft>
                <a:defRPr kern="1200">
                  <a:solidFill>
                    <a:schemeClr val="lt1"/>
                  </a:solidFill>
                  <a:latin typeface="+mn-lt"/>
                  <a:ea typeface="+mn-ea"/>
                  <a:cs typeface="+mn-cs"/>
                </a:defRPr>
              </a:lvl3pPr>
              <a:lvl4pPr marL="1371600" algn="l" defTabSz="457200" rtl="0" fontAlgn="base">
                <a:spcBef>
                  <a:spcPct val="0"/>
                </a:spcBef>
                <a:spcAft>
                  <a:spcPct val="0"/>
                </a:spcAft>
                <a:defRPr kern="1200">
                  <a:solidFill>
                    <a:schemeClr val="lt1"/>
                  </a:solidFill>
                  <a:latin typeface="+mn-lt"/>
                  <a:ea typeface="+mn-ea"/>
                  <a:cs typeface="+mn-cs"/>
                </a:defRPr>
              </a:lvl4pPr>
              <a:lvl5pPr marL="1828800" algn="l" defTabSz="457200"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14:m>
                <m:oMathPara xmlns:m="http://schemas.openxmlformats.org/officeDocument/2006/math">
                  <m:oMathParaPr>
                    <m:jc m:val="centerGroup"/>
                  </m:oMathParaPr>
                  <m:oMath xmlns:m="http://schemas.openxmlformats.org/officeDocument/2006/math">
                    <m:r>
                      <a:rPr lang="es-CO" b="1" i="1">
                        <a:latin typeface="Cambria Math"/>
                      </a:rPr>
                      <m:t>𝑰𝒏𝒗𝒆𝒏𝒕𝒂𝒓𝒊𝒐𝒔</m:t>
                    </m:r>
                    <m:r>
                      <a:rPr lang="es-CO" b="1" i="1">
                        <a:latin typeface="Cambria Math"/>
                      </a:rPr>
                      <m:t>=</m:t>
                    </m:r>
                    <m:r>
                      <a:rPr lang="es-CO" b="1" i="1">
                        <a:latin typeface="Cambria Math"/>
                      </a:rPr>
                      <m:t>𝑪𝒐𝒔𝒕𝒐𝒔</m:t>
                    </m:r>
                    <m:r>
                      <a:rPr lang="es-CO" b="1" i="1">
                        <a:latin typeface="Cambria Math"/>
                      </a:rPr>
                      <m:t> </m:t>
                    </m:r>
                    <m:r>
                      <a:rPr lang="es-CO" b="1" i="1">
                        <a:latin typeface="Cambria Math"/>
                      </a:rPr>
                      <m:t>𝒆𝒇𝒆𝒄𝒕𝒊𝒗𝒐𝒔</m:t>
                    </m:r>
                    <m:r>
                      <a:rPr lang="es-CO" b="1" i="1">
                        <a:latin typeface="Cambria Math"/>
                      </a:rPr>
                      <m:t> </m:t>
                    </m:r>
                    <m:r>
                      <a:rPr lang="es-CO" b="1" i="1">
                        <a:latin typeface="Cambria Math"/>
                      </a:rPr>
                      <m:t>𝒙</m:t>
                    </m:r>
                    <m:f>
                      <m:fPr>
                        <m:ctrlPr>
                          <a:rPr lang="es-CO" b="1" i="1">
                            <a:latin typeface="Cambria Math" panose="02040503050406030204" pitchFamily="18" charset="0"/>
                          </a:rPr>
                        </m:ctrlPr>
                      </m:fPr>
                      <m:num>
                        <m:r>
                          <a:rPr lang="es-CO" b="1" i="1">
                            <a:latin typeface="Cambria Math"/>
                          </a:rPr>
                          <m:t>𝑫</m:t>
                        </m:r>
                        <m:r>
                          <a:rPr lang="es-CO" b="1" i="1">
                            <a:latin typeface="Cambria Math"/>
                          </a:rPr>
                          <m:t>í</m:t>
                        </m:r>
                        <m:r>
                          <a:rPr lang="es-CO" b="1" i="1">
                            <a:latin typeface="Cambria Math"/>
                          </a:rPr>
                          <m:t>𝒂𝒔</m:t>
                        </m:r>
                        <m:r>
                          <a:rPr lang="es-CO" b="1" i="1">
                            <a:latin typeface="Cambria Math"/>
                          </a:rPr>
                          <m:t> </m:t>
                        </m:r>
                        <m:r>
                          <a:rPr lang="es-CO" b="1" i="1">
                            <a:latin typeface="Cambria Math"/>
                          </a:rPr>
                          <m:t>𝒅𝒆</m:t>
                        </m:r>
                        <m:r>
                          <a:rPr lang="es-CO" b="1" i="1">
                            <a:latin typeface="Cambria Math"/>
                          </a:rPr>
                          <m:t> </m:t>
                        </m:r>
                        <m:r>
                          <a:rPr lang="es-CO" b="1" i="1">
                            <a:latin typeface="Cambria Math"/>
                          </a:rPr>
                          <m:t>𝑰𝒏𝒗𝒆𝒏𝒕𝒂𝒓𝒊𝒐𝒔</m:t>
                        </m:r>
                      </m:num>
                      <m:den>
                        <m:r>
                          <a:rPr lang="es-CO" b="1" i="1">
                            <a:latin typeface="Cambria Math"/>
                          </a:rPr>
                          <m:t>𝟑𝟔𝟎</m:t>
                        </m:r>
                        <m:r>
                          <a:rPr lang="es-CO" b="1" i="1">
                            <a:latin typeface="Cambria Math"/>
                          </a:rPr>
                          <m:t> </m:t>
                        </m:r>
                        <m:r>
                          <a:rPr lang="es-CO" b="1" i="1">
                            <a:latin typeface="Cambria Math"/>
                          </a:rPr>
                          <m:t>𝒅</m:t>
                        </m:r>
                        <m:r>
                          <a:rPr lang="es-CO" b="1" i="1">
                            <a:latin typeface="Cambria Math"/>
                          </a:rPr>
                          <m:t>í</m:t>
                        </m:r>
                        <m:r>
                          <a:rPr lang="es-CO" b="1" i="1">
                            <a:latin typeface="Cambria Math"/>
                          </a:rPr>
                          <m:t>𝒂𝒔</m:t>
                        </m:r>
                      </m:den>
                    </m:f>
                  </m:oMath>
                </m:oMathPara>
              </a14:m>
              <a:endParaRPr lang="es-CO" b="1"/>
            </a:p>
          </xdr:txBody>
        </xdr:sp>
      </mc:Choice>
      <mc:Fallback xmlns="">
        <xdr:sp macro="" textlink="">
          <xdr:nvSpPr>
            <xdr:cNvPr id="3" name="5 CuadroTexto"/>
            <xdr:cNvSpPr txBox="1"/>
          </xdr:nvSpPr>
          <xdr:spPr>
            <a:xfrm>
              <a:off x="371475" y="13668375"/>
              <a:ext cx="4126616" cy="414601"/>
            </a:xfrm>
            <a:prstGeom prst="rect">
              <a:avLst/>
            </a:prstGeom>
          </xdr:spPr>
          <xdr:style>
            <a:lnRef idx="1">
              <a:schemeClr val="accent1"/>
            </a:lnRef>
            <a:fillRef idx="3">
              <a:schemeClr val="accent1"/>
            </a:fillRef>
            <a:effectRef idx="2">
              <a:schemeClr val="accent1"/>
            </a:effectRef>
            <a:fontRef idx="minor">
              <a:schemeClr val="lt1"/>
            </a:fontRef>
          </xdr:style>
          <xdr:txBody>
            <a:bodyPr wrap="square" rtlCol="0">
              <a:spAutoFit/>
            </a:bodyPr>
            <a:lstStyle>
              <a:defPPr>
                <a:defRPr lang="es-ES"/>
              </a:defPPr>
              <a:lvl1pPr algn="l" defTabSz="457200" rtl="0" fontAlgn="base">
                <a:spcBef>
                  <a:spcPct val="0"/>
                </a:spcBef>
                <a:spcAft>
                  <a:spcPct val="0"/>
                </a:spcAft>
                <a:defRPr kern="1200">
                  <a:solidFill>
                    <a:schemeClr val="lt1"/>
                  </a:solidFill>
                  <a:latin typeface="+mn-lt"/>
                  <a:ea typeface="+mn-ea"/>
                  <a:cs typeface="+mn-cs"/>
                </a:defRPr>
              </a:lvl1pPr>
              <a:lvl2pPr marL="457200" algn="l" defTabSz="457200" rtl="0" fontAlgn="base">
                <a:spcBef>
                  <a:spcPct val="0"/>
                </a:spcBef>
                <a:spcAft>
                  <a:spcPct val="0"/>
                </a:spcAft>
                <a:defRPr kern="1200">
                  <a:solidFill>
                    <a:schemeClr val="lt1"/>
                  </a:solidFill>
                  <a:latin typeface="+mn-lt"/>
                  <a:ea typeface="+mn-ea"/>
                  <a:cs typeface="+mn-cs"/>
                </a:defRPr>
              </a:lvl2pPr>
              <a:lvl3pPr marL="914400" algn="l" defTabSz="457200" rtl="0" fontAlgn="base">
                <a:spcBef>
                  <a:spcPct val="0"/>
                </a:spcBef>
                <a:spcAft>
                  <a:spcPct val="0"/>
                </a:spcAft>
                <a:defRPr kern="1200">
                  <a:solidFill>
                    <a:schemeClr val="lt1"/>
                  </a:solidFill>
                  <a:latin typeface="+mn-lt"/>
                  <a:ea typeface="+mn-ea"/>
                  <a:cs typeface="+mn-cs"/>
                </a:defRPr>
              </a:lvl3pPr>
              <a:lvl4pPr marL="1371600" algn="l" defTabSz="457200" rtl="0" fontAlgn="base">
                <a:spcBef>
                  <a:spcPct val="0"/>
                </a:spcBef>
                <a:spcAft>
                  <a:spcPct val="0"/>
                </a:spcAft>
                <a:defRPr kern="1200">
                  <a:solidFill>
                    <a:schemeClr val="lt1"/>
                  </a:solidFill>
                  <a:latin typeface="+mn-lt"/>
                  <a:ea typeface="+mn-ea"/>
                  <a:cs typeface="+mn-cs"/>
                </a:defRPr>
              </a:lvl4pPr>
              <a:lvl5pPr marL="1828800" algn="l" defTabSz="457200"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r>
                <a:rPr lang="es-CO" b="1" i="0">
                  <a:latin typeface="Cambria Math"/>
                </a:rPr>
                <a:t>𝑰𝒏𝒗𝒆𝒏𝒕𝒂𝒓𝒊𝒐𝒔=𝑪𝒐𝒔𝒕𝒐𝒔 𝒆𝒇𝒆𝒄𝒕𝒊𝒗𝒐𝒔 𝒙 </a:t>
              </a:r>
              <a:r>
                <a:rPr lang="es-CO" b="1" i="0">
                  <a:latin typeface="Cambria Math" panose="02040503050406030204" pitchFamily="18" charset="0"/>
                </a:rPr>
                <a:t>(</a:t>
              </a:r>
              <a:r>
                <a:rPr lang="es-CO" b="1" i="0">
                  <a:latin typeface="Cambria Math"/>
                </a:rPr>
                <a:t>𝑫í𝒂𝒔 𝒅𝒆 𝑰𝒏𝒗𝒆𝒏𝒕𝒂𝒓𝒊𝒐𝒔</a:t>
              </a:r>
              <a:r>
                <a:rPr lang="es-CO" b="1" i="0">
                  <a:latin typeface="Cambria Math" panose="02040503050406030204" pitchFamily="18" charset="0"/>
                </a:rPr>
                <a:t>)/(</a:t>
              </a:r>
              <a:r>
                <a:rPr lang="es-CO" b="1" i="0">
                  <a:latin typeface="Cambria Math"/>
                </a:rPr>
                <a:t>𝟑𝟔𝟎 𝒅í𝒂𝒔</a:t>
              </a:r>
              <a:r>
                <a:rPr lang="es-CO" b="1" i="0">
                  <a:latin typeface="Cambria Math" panose="02040503050406030204" pitchFamily="18" charset="0"/>
                </a:rPr>
                <a:t>)</a:t>
              </a:r>
              <a:endParaRPr lang="es-CO" b="1"/>
            </a:p>
          </xdr:txBody>
        </xdr:sp>
      </mc:Fallback>
    </mc:AlternateContent>
    <xdr:clientData/>
  </xdr:twoCellAnchor>
  <xdr:twoCellAnchor>
    <xdr:from>
      <xdr:col>1</xdr:col>
      <xdr:colOff>152400</xdr:colOff>
      <xdr:row>69</xdr:row>
      <xdr:rowOff>38100</xdr:rowOff>
    </xdr:from>
    <xdr:to>
      <xdr:col>4</xdr:col>
      <xdr:colOff>494515</xdr:colOff>
      <xdr:row>71</xdr:row>
      <xdr:rowOff>71701</xdr:rowOff>
    </xdr:to>
    <mc:AlternateContent xmlns:mc="http://schemas.openxmlformats.org/markup-compatibility/2006" xmlns:a14="http://schemas.microsoft.com/office/drawing/2010/main">
      <mc:Choice Requires="a14">
        <xdr:sp macro="" textlink="">
          <xdr:nvSpPr>
            <xdr:cNvPr id="4" name="7 CuadroTexto">
              <a:extLst>
                <a:ext uri="{FF2B5EF4-FFF2-40B4-BE49-F238E27FC236}">
                  <a16:creationId xmlns:a16="http://schemas.microsoft.com/office/drawing/2014/main" id="{00000000-0008-0000-0100-000004000000}"/>
                </a:ext>
              </a:extLst>
            </xdr:cNvPr>
            <xdr:cNvSpPr txBox="1"/>
          </xdr:nvSpPr>
          <xdr:spPr>
            <a:xfrm>
              <a:off x="342900" y="14182725"/>
              <a:ext cx="4637890" cy="414601"/>
            </a:xfrm>
            <a:prstGeom prst="rect">
              <a:avLst/>
            </a:prstGeom>
          </xdr:spPr>
          <xdr:style>
            <a:lnRef idx="1">
              <a:schemeClr val="accent1"/>
            </a:lnRef>
            <a:fillRef idx="3">
              <a:schemeClr val="accent1"/>
            </a:fillRef>
            <a:effectRef idx="2">
              <a:schemeClr val="accent1"/>
            </a:effectRef>
            <a:fontRef idx="minor">
              <a:schemeClr val="lt1"/>
            </a:fontRef>
          </xdr:style>
          <xdr:txBody>
            <a:bodyPr wrap="square" rtlCol="0">
              <a:spAutoFit/>
            </a:bodyPr>
            <a:lstStyle>
              <a:defPPr>
                <a:defRPr lang="es-ES"/>
              </a:defPPr>
              <a:lvl1pPr algn="l" defTabSz="457200" rtl="0" fontAlgn="base">
                <a:spcBef>
                  <a:spcPct val="0"/>
                </a:spcBef>
                <a:spcAft>
                  <a:spcPct val="0"/>
                </a:spcAft>
                <a:defRPr kern="1200">
                  <a:solidFill>
                    <a:schemeClr val="lt1"/>
                  </a:solidFill>
                  <a:latin typeface="+mn-lt"/>
                  <a:ea typeface="+mn-ea"/>
                  <a:cs typeface="+mn-cs"/>
                </a:defRPr>
              </a:lvl1pPr>
              <a:lvl2pPr marL="457200" algn="l" defTabSz="457200" rtl="0" fontAlgn="base">
                <a:spcBef>
                  <a:spcPct val="0"/>
                </a:spcBef>
                <a:spcAft>
                  <a:spcPct val="0"/>
                </a:spcAft>
                <a:defRPr kern="1200">
                  <a:solidFill>
                    <a:schemeClr val="lt1"/>
                  </a:solidFill>
                  <a:latin typeface="+mn-lt"/>
                  <a:ea typeface="+mn-ea"/>
                  <a:cs typeface="+mn-cs"/>
                </a:defRPr>
              </a:lvl2pPr>
              <a:lvl3pPr marL="914400" algn="l" defTabSz="457200" rtl="0" fontAlgn="base">
                <a:spcBef>
                  <a:spcPct val="0"/>
                </a:spcBef>
                <a:spcAft>
                  <a:spcPct val="0"/>
                </a:spcAft>
                <a:defRPr kern="1200">
                  <a:solidFill>
                    <a:schemeClr val="lt1"/>
                  </a:solidFill>
                  <a:latin typeface="+mn-lt"/>
                  <a:ea typeface="+mn-ea"/>
                  <a:cs typeface="+mn-cs"/>
                </a:defRPr>
              </a:lvl3pPr>
              <a:lvl4pPr marL="1371600" algn="l" defTabSz="457200" rtl="0" fontAlgn="base">
                <a:spcBef>
                  <a:spcPct val="0"/>
                </a:spcBef>
                <a:spcAft>
                  <a:spcPct val="0"/>
                </a:spcAft>
                <a:defRPr kern="1200">
                  <a:solidFill>
                    <a:schemeClr val="lt1"/>
                  </a:solidFill>
                  <a:latin typeface="+mn-lt"/>
                  <a:ea typeface="+mn-ea"/>
                  <a:cs typeface="+mn-cs"/>
                </a:defRPr>
              </a:lvl4pPr>
              <a:lvl5pPr marL="1828800" algn="l" defTabSz="457200"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14:m>
                <m:oMathPara xmlns:m="http://schemas.openxmlformats.org/officeDocument/2006/math">
                  <m:oMathParaPr>
                    <m:jc m:val="centerGroup"/>
                  </m:oMathParaPr>
                  <m:oMath xmlns:m="http://schemas.openxmlformats.org/officeDocument/2006/math">
                    <m:r>
                      <a:rPr lang="es-CO" b="1" i="1">
                        <a:latin typeface="Cambria Math"/>
                      </a:rPr>
                      <m:t>𝑪𝒙𝑷</m:t>
                    </m:r>
                    <m:r>
                      <a:rPr lang="es-CO" b="1" i="1">
                        <a:latin typeface="Cambria Math"/>
                      </a:rPr>
                      <m:t>=</m:t>
                    </m:r>
                    <m:r>
                      <a:rPr lang="es-CO" b="1" i="1">
                        <a:latin typeface="Cambria Math"/>
                      </a:rPr>
                      <m:t>𝑪𝒐𝒔𝒕𝒐𝒔</m:t>
                    </m:r>
                    <m:r>
                      <a:rPr lang="es-CO" b="1" i="1">
                        <a:latin typeface="Cambria Math"/>
                      </a:rPr>
                      <m:t> </m:t>
                    </m:r>
                    <m:r>
                      <a:rPr lang="es-CO" b="1" i="1">
                        <a:latin typeface="Cambria Math"/>
                      </a:rPr>
                      <m:t>𝒚</m:t>
                    </m:r>
                    <m:r>
                      <a:rPr lang="es-CO" b="1" i="1">
                        <a:latin typeface="Cambria Math"/>
                      </a:rPr>
                      <m:t> </m:t>
                    </m:r>
                    <m:r>
                      <a:rPr lang="es-CO" b="1" i="1">
                        <a:latin typeface="Cambria Math"/>
                      </a:rPr>
                      <m:t>𝒈𝒂𝒔𝒕𝒐𝒔</m:t>
                    </m:r>
                    <m:r>
                      <a:rPr lang="es-CO" b="1" i="1">
                        <a:latin typeface="Cambria Math"/>
                      </a:rPr>
                      <m:t> </m:t>
                    </m:r>
                    <m:r>
                      <a:rPr lang="es-CO" b="1" i="1">
                        <a:latin typeface="Cambria Math"/>
                      </a:rPr>
                      <m:t>𝒅𝒆</m:t>
                    </m:r>
                    <m:r>
                      <a:rPr lang="es-CO" b="1" i="1">
                        <a:latin typeface="Cambria Math"/>
                      </a:rPr>
                      <m:t> </m:t>
                    </m:r>
                    <m:r>
                      <a:rPr lang="es-CO" b="1" i="1">
                        <a:latin typeface="Cambria Math"/>
                      </a:rPr>
                      <m:t>𝒂𝒅𝒎</m:t>
                    </m:r>
                    <m:r>
                      <a:rPr lang="es-CO" b="1" i="1">
                        <a:latin typeface="Cambria Math"/>
                      </a:rPr>
                      <m:t> </m:t>
                    </m:r>
                    <m:r>
                      <a:rPr lang="es-CO" b="1" i="1">
                        <a:latin typeface="Cambria Math"/>
                      </a:rPr>
                      <m:t>𝒚</m:t>
                    </m:r>
                    <m:r>
                      <a:rPr lang="es-CO" b="1" i="1">
                        <a:latin typeface="Cambria Math"/>
                      </a:rPr>
                      <m:t> </m:t>
                    </m:r>
                    <m:r>
                      <a:rPr lang="es-CO" b="1" i="1">
                        <a:latin typeface="Cambria Math"/>
                      </a:rPr>
                      <m:t>𝒗𝒕𝒂𝒔</m:t>
                    </m:r>
                    <m:r>
                      <a:rPr lang="es-CO" b="1" i="1">
                        <a:latin typeface="Cambria Math"/>
                      </a:rPr>
                      <m:t> </m:t>
                    </m:r>
                    <m:r>
                      <a:rPr lang="es-CO" b="1" i="1">
                        <a:latin typeface="Cambria Math"/>
                      </a:rPr>
                      <m:t>𝒆𝒇𝒆𝒄𝒕𝒊𝒗𝒐𝒔</m:t>
                    </m:r>
                    <m:r>
                      <a:rPr lang="es-CO" b="1" i="1">
                        <a:latin typeface="Cambria Math"/>
                      </a:rPr>
                      <m:t> </m:t>
                    </m:r>
                    <m:r>
                      <a:rPr lang="es-CO" b="1" i="1">
                        <a:latin typeface="Cambria Math"/>
                      </a:rPr>
                      <m:t>𝒙</m:t>
                    </m:r>
                    <m:f>
                      <m:fPr>
                        <m:ctrlPr>
                          <a:rPr lang="es-CO" b="1" i="1">
                            <a:latin typeface="Cambria Math" panose="02040503050406030204" pitchFamily="18" charset="0"/>
                          </a:rPr>
                        </m:ctrlPr>
                      </m:fPr>
                      <m:num>
                        <m:r>
                          <a:rPr lang="es-CO" b="1" i="1">
                            <a:latin typeface="Cambria Math"/>
                          </a:rPr>
                          <m:t>𝑫</m:t>
                        </m:r>
                        <m:r>
                          <a:rPr lang="es-CO" b="1" i="1">
                            <a:latin typeface="Cambria Math"/>
                          </a:rPr>
                          <m:t>í</m:t>
                        </m:r>
                        <m:r>
                          <a:rPr lang="es-CO" b="1" i="1">
                            <a:latin typeface="Cambria Math"/>
                          </a:rPr>
                          <m:t>𝒂𝒔</m:t>
                        </m:r>
                        <m:r>
                          <a:rPr lang="es-CO" b="1" i="1">
                            <a:latin typeface="Cambria Math"/>
                          </a:rPr>
                          <m:t> </m:t>
                        </m:r>
                        <m:r>
                          <a:rPr lang="es-CO" b="1" i="1">
                            <a:latin typeface="Cambria Math"/>
                          </a:rPr>
                          <m:t>𝒅𝒆</m:t>
                        </m:r>
                        <m:r>
                          <a:rPr lang="es-CO" b="1" i="1">
                            <a:latin typeface="Cambria Math"/>
                          </a:rPr>
                          <m:t> </m:t>
                        </m:r>
                        <m:r>
                          <a:rPr lang="es-CO" b="1" i="1">
                            <a:latin typeface="Cambria Math"/>
                          </a:rPr>
                          <m:t>𝑪𝒙𝑷</m:t>
                        </m:r>
                      </m:num>
                      <m:den>
                        <m:r>
                          <a:rPr lang="es-CO" b="1" i="1">
                            <a:latin typeface="Cambria Math"/>
                          </a:rPr>
                          <m:t>𝟑𝟔𝟎</m:t>
                        </m:r>
                        <m:r>
                          <a:rPr lang="es-CO" b="1" i="1">
                            <a:latin typeface="Cambria Math"/>
                          </a:rPr>
                          <m:t> </m:t>
                        </m:r>
                        <m:r>
                          <a:rPr lang="es-CO" b="1" i="1">
                            <a:latin typeface="Cambria Math"/>
                          </a:rPr>
                          <m:t>𝒅</m:t>
                        </m:r>
                        <m:r>
                          <a:rPr lang="es-CO" b="1" i="1">
                            <a:latin typeface="Cambria Math"/>
                          </a:rPr>
                          <m:t>í</m:t>
                        </m:r>
                        <m:r>
                          <a:rPr lang="es-CO" b="1" i="1">
                            <a:latin typeface="Cambria Math"/>
                          </a:rPr>
                          <m:t>𝒂𝒔</m:t>
                        </m:r>
                      </m:den>
                    </m:f>
                  </m:oMath>
                </m:oMathPara>
              </a14:m>
              <a:endParaRPr lang="es-CO" b="1"/>
            </a:p>
          </xdr:txBody>
        </xdr:sp>
      </mc:Choice>
      <mc:Fallback xmlns="">
        <xdr:sp macro="" textlink="">
          <xdr:nvSpPr>
            <xdr:cNvPr id="4" name="7 CuadroTexto"/>
            <xdr:cNvSpPr txBox="1"/>
          </xdr:nvSpPr>
          <xdr:spPr>
            <a:xfrm>
              <a:off x="342900" y="14182725"/>
              <a:ext cx="4637890" cy="414601"/>
            </a:xfrm>
            <a:prstGeom prst="rect">
              <a:avLst/>
            </a:prstGeom>
          </xdr:spPr>
          <xdr:style>
            <a:lnRef idx="1">
              <a:schemeClr val="accent1"/>
            </a:lnRef>
            <a:fillRef idx="3">
              <a:schemeClr val="accent1"/>
            </a:fillRef>
            <a:effectRef idx="2">
              <a:schemeClr val="accent1"/>
            </a:effectRef>
            <a:fontRef idx="minor">
              <a:schemeClr val="lt1"/>
            </a:fontRef>
          </xdr:style>
          <xdr:txBody>
            <a:bodyPr wrap="square" rtlCol="0">
              <a:spAutoFit/>
            </a:bodyPr>
            <a:lstStyle>
              <a:defPPr>
                <a:defRPr lang="es-ES"/>
              </a:defPPr>
              <a:lvl1pPr algn="l" defTabSz="457200" rtl="0" fontAlgn="base">
                <a:spcBef>
                  <a:spcPct val="0"/>
                </a:spcBef>
                <a:spcAft>
                  <a:spcPct val="0"/>
                </a:spcAft>
                <a:defRPr kern="1200">
                  <a:solidFill>
                    <a:schemeClr val="lt1"/>
                  </a:solidFill>
                  <a:latin typeface="+mn-lt"/>
                  <a:ea typeface="+mn-ea"/>
                  <a:cs typeface="+mn-cs"/>
                </a:defRPr>
              </a:lvl1pPr>
              <a:lvl2pPr marL="457200" algn="l" defTabSz="457200" rtl="0" fontAlgn="base">
                <a:spcBef>
                  <a:spcPct val="0"/>
                </a:spcBef>
                <a:spcAft>
                  <a:spcPct val="0"/>
                </a:spcAft>
                <a:defRPr kern="1200">
                  <a:solidFill>
                    <a:schemeClr val="lt1"/>
                  </a:solidFill>
                  <a:latin typeface="+mn-lt"/>
                  <a:ea typeface="+mn-ea"/>
                  <a:cs typeface="+mn-cs"/>
                </a:defRPr>
              </a:lvl2pPr>
              <a:lvl3pPr marL="914400" algn="l" defTabSz="457200" rtl="0" fontAlgn="base">
                <a:spcBef>
                  <a:spcPct val="0"/>
                </a:spcBef>
                <a:spcAft>
                  <a:spcPct val="0"/>
                </a:spcAft>
                <a:defRPr kern="1200">
                  <a:solidFill>
                    <a:schemeClr val="lt1"/>
                  </a:solidFill>
                  <a:latin typeface="+mn-lt"/>
                  <a:ea typeface="+mn-ea"/>
                  <a:cs typeface="+mn-cs"/>
                </a:defRPr>
              </a:lvl3pPr>
              <a:lvl4pPr marL="1371600" algn="l" defTabSz="457200" rtl="0" fontAlgn="base">
                <a:spcBef>
                  <a:spcPct val="0"/>
                </a:spcBef>
                <a:spcAft>
                  <a:spcPct val="0"/>
                </a:spcAft>
                <a:defRPr kern="1200">
                  <a:solidFill>
                    <a:schemeClr val="lt1"/>
                  </a:solidFill>
                  <a:latin typeface="+mn-lt"/>
                  <a:ea typeface="+mn-ea"/>
                  <a:cs typeface="+mn-cs"/>
                </a:defRPr>
              </a:lvl4pPr>
              <a:lvl5pPr marL="1828800" algn="l" defTabSz="457200"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r>
                <a:rPr lang="es-CO" b="1" i="0">
                  <a:latin typeface="Cambria Math"/>
                </a:rPr>
                <a:t>𝑪𝒙𝑷=𝑪𝒐𝒔𝒕𝒐𝒔 𝒚 𝒈𝒂𝒔𝒕𝒐𝒔 𝒅𝒆 𝒂𝒅𝒎 𝒚 𝒗𝒕𝒂𝒔 𝒆𝒇𝒆𝒄𝒕𝒊𝒗𝒐𝒔 𝒙 </a:t>
              </a:r>
              <a:r>
                <a:rPr lang="es-CO" b="1" i="0">
                  <a:latin typeface="Cambria Math" panose="02040503050406030204" pitchFamily="18" charset="0"/>
                </a:rPr>
                <a:t>(</a:t>
              </a:r>
              <a:r>
                <a:rPr lang="es-CO" b="1" i="0">
                  <a:latin typeface="Cambria Math"/>
                </a:rPr>
                <a:t>𝑫í𝒂𝒔 𝒅𝒆 𝑪𝒙𝑷</a:t>
              </a:r>
              <a:r>
                <a:rPr lang="es-CO" b="1" i="0">
                  <a:latin typeface="Cambria Math" panose="02040503050406030204" pitchFamily="18" charset="0"/>
                </a:rPr>
                <a:t>)/(</a:t>
              </a:r>
              <a:r>
                <a:rPr lang="es-CO" b="1" i="0">
                  <a:latin typeface="Cambria Math"/>
                </a:rPr>
                <a:t>𝟑𝟔𝟎 𝒅í𝒂𝒔</a:t>
              </a:r>
              <a:r>
                <a:rPr lang="es-CO" b="1" i="0">
                  <a:latin typeface="Cambria Math" panose="02040503050406030204" pitchFamily="18" charset="0"/>
                </a:rPr>
                <a:t>)</a:t>
              </a:r>
              <a:endParaRPr lang="es-CO" b="1"/>
            </a:p>
          </xdr:txBody>
        </xdr:sp>
      </mc:Fallback>
    </mc:AlternateContent>
    <xdr:clientData/>
  </xdr:twoCellAnchor>
  <xdr:twoCellAnchor>
    <xdr:from>
      <xdr:col>18</xdr:col>
      <xdr:colOff>809624</xdr:colOff>
      <xdr:row>4</xdr:row>
      <xdr:rowOff>166687</xdr:rowOff>
    </xdr:from>
    <xdr:to>
      <xdr:col>24</xdr:col>
      <xdr:colOff>587518</xdr:colOff>
      <xdr:row>20</xdr:row>
      <xdr:rowOff>171016</xdr:rowOff>
    </xdr:to>
    <xdr:grpSp>
      <xdr:nvGrpSpPr>
        <xdr:cNvPr id="5" name="Grupo 4">
          <a:extLst>
            <a:ext uri="{FF2B5EF4-FFF2-40B4-BE49-F238E27FC236}">
              <a16:creationId xmlns:a16="http://schemas.microsoft.com/office/drawing/2014/main" id="{00000000-0008-0000-0100-000005000000}"/>
            </a:ext>
          </a:extLst>
        </xdr:cNvPr>
        <xdr:cNvGrpSpPr/>
      </xdr:nvGrpSpPr>
      <xdr:grpSpPr>
        <a:xfrm>
          <a:off x="27517724" y="890587"/>
          <a:ext cx="4873769" cy="3090429"/>
          <a:chOff x="457200" y="1756048"/>
          <a:chExt cx="4953724" cy="4057193"/>
        </a:xfrm>
      </xdr:grpSpPr>
      <xdr:sp macro="" textlink="">
        <xdr:nvSpPr>
          <xdr:cNvPr id="6" name="Text Box 42">
            <a:extLst>
              <a:ext uri="{FF2B5EF4-FFF2-40B4-BE49-F238E27FC236}">
                <a16:creationId xmlns:a16="http://schemas.microsoft.com/office/drawing/2014/main" id="{00000000-0008-0000-0100-000006000000}"/>
              </a:ext>
            </a:extLst>
          </xdr:cNvPr>
          <xdr:cNvSpPr txBox="1">
            <a:spLocks noChangeArrowheads="1"/>
          </xdr:cNvSpPr>
        </xdr:nvSpPr>
        <xdr:spPr bwMode="auto">
          <a:xfrm>
            <a:off x="838199" y="1756048"/>
            <a:ext cx="4246684" cy="430889"/>
          </a:xfrm>
          <a:prstGeom prst="rect">
            <a:avLst/>
          </a:prstGeom>
          <a:noFill/>
          <a:ln w="9525">
            <a:noFill/>
            <a:miter lim="800000"/>
            <a:headEnd/>
            <a:tailEnd/>
          </a:ln>
          <a:effectLst/>
        </xdr:spPr>
        <xdr:txBody>
          <a:bodyPr wrap="square">
            <a:spAutoFit/>
          </a:bodyPr>
          <a:lstStyle>
            <a:defPPr>
              <a:defRPr lang="es-ES"/>
            </a:defPPr>
            <a:lvl1pPr algn="l" defTabSz="457200" rtl="0" fontAlgn="base">
              <a:spcBef>
                <a:spcPct val="0"/>
              </a:spcBef>
              <a:spcAft>
                <a:spcPct val="0"/>
              </a:spcAft>
              <a:defRPr kern="1200">
                <a:solidFill>
                  <a:schemeClr val="tx1"/>
                </a:solidFill>
                <a:latin typeface="Calibri" pitchFamily="34" charset="0"/>
                <a:ea typeface="MS PGothic" pitchFamily="34" charset="-128"/>
                <a:cs typeface="+mn-cs"/>
              </a:defRPr>
            </a:lvl1pPr>
            <a:lvl2pPr marL="4572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2pPr>
            <a:lvl3pPr marL="9144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3pPr>
            <a:lvl4pPr marL="13716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4pPr>
            <a:lvl5pPr marL="18288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5pPr>
            <a:lvl6pPr marL="2286000" algn="l" defTabSz="914400" rtl="0" eaLnBrk="1" latinLnBrk="0" hangingPunct="1">
              <a:defRPr kern="1200">
                <a:solidFill>
                  <a:schemeClr val="tx1"/>
                </a:solidFill>
                <a:latin typeface="Calibri" pitchFamily="34" charset="0"/>
                <a:ea typeface="MS PGothic" pitchFamily="34" charset="-128"/>
                <a:cs typeface="+mn-cs"/>
              </a:defRPr>
            </a:lvl6pPr>
            <a:lvl7pPr marL="2743200" algn="l" defTabSz="914400" rtl="0" eaLnBrk="1" latinLnBrk="0" hangingPunct="1">
              <a:defRPr kern="1200">
                <a:solidFill>
                  <a:schemeClr val="tx1"/>
                </a:solidFill>
                <a:latin typeface="Calibri" pitchFamily="34" charset="0"/>
                <a:ea typeface="MS PGothic" pitchFamily="34" charset="-128"/>
                <a:cs typeface="+mn-cs"/>
              </a:defRPr>
            </a:lvl7pPr>
            <a:lvl8pPr marL="3200400" algn="l" defTabSz="914400" rtl="0" eaLnBrk="1" latinLnBrk="0" hangingPunct="1">
              <a:defRPr kern="1200">
                <a:solidFill>
                  <a:schemeClr val="tx1"/>
                </a:solidFill>
                <a:latin typeface="Calibri" pitchFamily="34" charset="0"/>
                <a:ea typeface="MS PGothic" pitchFamily="34" charset="-128"/>
                <a:cs typeface="+mn-cs"/>
              </a:defRPr>
            </a:lvl8pPr>
            <a:lvl9pPr marL="3657600" algn="l" defTabSz="914400" rtl="0" eaLnBrk="1" latinLnBrk="0" hangingPunct="1">
              <a:defRPr kern="1200">
                <a:solidFill>
                  <a:schemeClr val="tx1"/>
                </a:solidFill>
                <a:latin typeface="Calibri" pitchFamily="34" charset="0"/>
                <a:ea typeface="MS PGothic" pitchFamily="34" charset="-128"/>
                <a:cs typeface="+mn-cs"/>
              </a:defRPr>
            </a:lvl9pPr>
          </a:lstStyle>
          <a:p>
            <a:pPr>
              <a:spcBef>
                <a:spcPct val="50000"/>
              </a:spcBef>
            </a:pPr>
            <a:r>
              <a:rPr lang="es-MX" sz="1400">
                <a:latin typeface="Tahoma" pitchFamily="34" charset="0"/>
              </a:rPr>
              <a:t>Ventas + otros ingresos operacionales</a:t>
            </a:r>
            <a:endParaRPr lang="en-US" sz="1400">
              <a:latin typeface="Tahoma" pitchFamily="34" charset="0"/>
            </a:endParaRPr>
          </a:p>
        </xdr:txBody>
      </xdr:sp>
      <xdr:sp macro="" textlink="">
        <xdr:nvSpPr>
          <xdr:cNvPr id="7" name="AutoShape 43">
            <a:extLst>
              <a:ext uri="{FF2B5EF4-FFF2-40B4-BE49-F238E27FC236}">
                <a16:creationId xmlns:a16="http://schemas.microsoft.com/office/drawing/2014/main" id="{00000000-0008-0000-0100-000007000000}"/>
              </a:ext>
            </a:extLst>
          </xdr:cNvPr>
          <xdr:cNvSpPr>
            <a:spLocks noChangeArrowheads="1"/>
          </xdr:cNvSpPr>
        </xdr:nvSpPr>
        <xdr:spPr bwMode="auto">
          <a:xfrm>
            <a:off x="457200" y="1900946"/>
            <a:ext cx="304800" cy="228599"/>
          </a:xfrm>
          <a:prstGeom prst="roundRect">
            <a:avLst>
              <a:gd name="adj" fmla="val 16667"/>
            </a:avLst>
          </a:prstGeom>
          <a:ln>
            <a:headEnd/>
            <a:tailEnd/>
          </a:ln>
        </xdr:spPr>
        <xdr:style>
          <a:lnRef idx="1">
            <a:schemeClr val="accent6"/>
          </a:lnRef>
          <a:fillRef idx="3">
            <a:schemeClr val="accent6"/>
          </a:fillRef>
          <a:effectRef idx="2">
            <a:schemeClr val="accent6"/>
          </a:effectRef>
          <a:fontRef idx="minor">
            <a:schemeClr val="lt1"/>
          </a:fontRef>
        </xdr:style>
        <xdr:txBody>
          <a:bodyPr wrap="square" anchor="ctr"/>
          <a:lstStyle>
            <a:defPPr>
              <a:defRPr lang="es-ES"/>
            </a:defPPr>
            <a:lvl1pPr algn="l" defTabSz="457200" rtl="0" fontAlgn="base">
              <a:spcBef>
                <a:spcPct val="0"/>
              </a:spcBef>
              <a:spcAft>
                <a:spcPct val="0"/>
              </a:spcAft>
              <a:defRPr kern="1200">
                <a:solidFill>
                  <a:schemeClr val="lt1"/>
                </a:solidFill>
                <a:latin typeface="+mn-lt"/>
                <a:ea typeface="+mn-ea"/>
                <a:cs typeface="+mn-cs"/>
              </a:defRPr>
            </a:lvl1pPr>
            <a:lvl2pPr marL="457200" algn="l" defTabSz="457200" rtl="0" fontAlgn="base">
              <a:spcBef>
                <a:spcPct val="0"/>
              </a:spcBef>
              <a:spcAft>
                <a:spcPct val="0"/>
              </a:spcAft>
              <a:defRPr kern="1200">
                <a:solidFill>
                  <a:schemeClr val="lt1"/>
                </a:solidFill>
                <a:latin typeface="+mn-lt"/>
                <a:ea typeface="+mn-ea"/>
                <a:cs typeface="+mn-cs"/>
              </a:defRPr>
            </a:lvl2pPr>
            <a:lvl3pPr marL="914400" algn="l" defTabSz="457200" rtl="0" fontAlgn="base">
              <a:spcBef>
                <a:spcPct val="0"/>
              </a:spcBef>
              <a:spcAft>
                <a:spcPct val="0"/>
              </a:spcAft>
              <a:defRPr kern="1200">
                <a:solidFill>
                  <a:schemeClr val="lt1"/>
                </a:solidFill>
                <a:latin typeface="+mn-lt"/>
                <a:ea typeface="+mn-ea"/>
                <a:cs typeface="+mn-cs"/>
              </a:defRPr>
            </a:lvl3pPr>
            <a:lvl4pPr marL="1371600" algn="l" defTabSz="457200" rtl="0" fontAlgn="base">
              <a:spcBef>
                <a:spcPct val="0"/>
              </a:spcBef>
              <a:spcAft>
                <a:spcPct val="0"/>
              </a:spcAft>
              <a:defRPr kern="1200">
                <a:solidFill>
                  <a:schemeClr val="lt1"/>
                </a:solidFill>
                <a:latin typeface="+mn-lt"/>
                <a:ea typeface="+mn-ea"/>
                <a:cs typeface="+mn-cs"/>
              </a:defRPr>
            </a:lvl4pPr>
            <a:lvl5pPr marL="1828800" algn="l" defTabSz="457200"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r>
              <a:rPr lang="es-MX" b="1">
                <a:solidFill>
                  <a:schemeClr val="bg1"/>
                </a:solidFill>
                <a:latin typeface="Tahoma" pitchFamily="34" charset="0"/>
              </a:rPr>
              <a:t>+</a:t>
            </a:r>
            <a:endParaRPr lang="en-US" b="1">
              <a:solidFill>
                <a:schemeClr val="bg1"/>
              </a:solidFill>
              <a:latin typeface="Tahoma" pitchFamily="34" charset="0"/>
            </a:endParaRPr>
          </a:p>
        </xdr:txBody>
      </xdr:sp>
      <xdr:sp macro="" textlink="">
        <xdr:nvSpPr>
          <xdr:cNvPr id="8" name="Text Box 44">
            <a:extLst>
              <a:ext uri="{FF2B5EF4-FFF2-40B4-BE49-F238E27FC236}">
                <a16:creationId xmlns:a16="http://schemas.microsoft.com/office/drawing/2014/main" id="{00000000-0008-0000-0100-000008000000}"/>
              </a:ext>
            </a:extLst>
          </xdr:cNvPr>
          <xdr:cNvSpPr txBox="1">
            <a:spLocks noChangeArrowheads="1"/>
          </xdr:cNvSpPr>
        </xdr:nvSpPr>
        <xdr:spPr bwMode="auto">
          <a:xfrm>
            <a:off x="838200" y="2204866"/>
            <a:ext cx="4572724" cy="746605"/>
          </a:xfrm>
          <a:prstGeom prst="rect">
            <a:avLst/>
          </a:prstGeom>
          <a:noFill/>
          <a:ln w="9525">
            <a:noFill/>
            <a:miter lim="800000"/>
            <a:headEnd/>
            <a:tailEnd/>
          </a:ln>
          <a:effectLst/>
        </xdr:spPr>
        <xdr:txBody>
          <a:bodyPr wrap="square">
            <a:spAutoFit/>
          </a:bodyPr>
          <a:lstStyle>
            <a:defPPr>
              <a:defRPr lang="es-ES"/>
            </a:defPPr>
            <a:lvl1pPr algn="l" defTabSz="457200" rtl="0" fontAlgn="base">
              <a:spcBef>
                <a:spcPct val="0"/>
              </a:spcBef>
              <a:spcAft>
                <a:spcPct val="0"/>
              </a:spcAft>
              <a:defRPr kern="1200">
                <a:solidFill>
                  <a:schemeClr val="tx1"/>
                </a:solidFill>
                <a:latin typeface="Calibri" pitchFamily="34" charset="0"/>
                <a:ea typeface="MS PGothic" pitchFamily="34" charset="-128"/>
                <a:cs typeface="+mn-cs"/>
              </a:defRPr>
            </a:lvl1pPr>
            <a:lvl2pPr marL="4572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2pPr>
            <a:lvl3pPr marL="9144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3pPr>
            <a:lvl4pPr marL="13716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4pPr>
            <a:lvl5pPr marL="18288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5pPr>
            <a:lvl6pPr marL="2286000" algn="l" defTabSz="914400" rtl="0" eaLnBrk="1" latinLnBrk="0" hangingPunct="1">
              <a:defRPr kern="1200">
                <a:solidFill>
                  <a:schemeClr val="tx1"/>
                </a:solidFill>
                <a:latin typeface="Calibri" pitchFamily="34" charset="0"/>
                <a:ea typeface="MS PGothic" pitchFamily="34" charset="-128"/>
                <a:cs typeface="+mn-cs"/>
              </a:defRPr>
            </a:lvl6pPr>
            <a:lvl7pPr marL="2743200" algn="l" defTabSz="914400" rtl="0" eaLnBrk="1" latinLnBrk="0" hangingPunct="1">
              <a:defRPr kern="1200">
                <a:solidFill>
                  <a:schemeClr val="tx1"/>
                </a:solidFill>
                <a:latin typeface="Calibri" pitchFamily="34" charset="0"/>
                <a:ea typeface="MS PGothic" pitchFamily="34" charset="-128"/>
                <a:cs typeface="+mn-cs"/>
              </a:defRPr>
            </a:lvl7pPr>
            <a:lvl8pPr marL="3200400" algn="l" defTabSz="914400" rtl="0" eaLnBrk="1" latinLnBrk="0" hangingPunct="1">
              <a:defRPr kern="1200">
                <a:solidFill>
                  <a:schemeClr val="tx1"/>
                </a:solidFill>
                <a:latin typeface="Calibri" pitchFamily="34" charset="0"/>
                <a:ea typeface="MS PGothic" pitchFamily="34" charset="-128"/>
                <a:cs typeface="+mn-cs"/>
              </a:defRPr>
            </a:lvl8pPr>
            <a:lvl9pPr marL="3657600" algn="l" defTabSz="914400" rtl="0" eaLnBrk="1" latinLnBrk="0" hangingPunct="1">
              <a:defRPr kern="1200">
                <a:solidFill>
                  <a:schemeClr val="tx1"/>
                </a:solidFill>
                <a:latin typeface="Calibri" pitchFamily="34" charset="0"/>
                <a:ea typeface="MS PGothic" pitchFamily="34" charset="-128"/>
                <a:cs typeface="+mn-cs"/>
              </a:defRPr>
            </a:lvl9pPr>
          </a:lstStyle>
          <a:p>
            <a:pPr>
              <a:spcBef>
                <a:spcPct val="50000"/>
              </a:spcBef>
            </a:pPr>
            <a:r>
              <a:rPr lang="es-MX" sz="1400">
                <a:latin typeface="Tahoma" pitchFamily="34" charset="0"/>
              </a:rPr>
              <a:t>CMV, Gastos de Administración y Ventas, Provisiones y Otros Egresos Operacionales</a:t>
            </a:r>
            <a:endParaRPr lang="en-US" sz="1400">
              <a:latin typeface="Tahoma" pitchFamily="34" charset="0"/>
            </a:endParaRPr>
          </a:p>
        </xdr:txBody>
      </xdr:sp>
      <xdr:sp macro="" textlink="">
        <xdr:nvSpPr>
          <xdr:cNvPr id="9" name="AutoShape 45">
            <a:extLst>
              <a:ext uri="{FF2B5EF4-FFF2-40B4-BE49-F238E27FC236}">
                <a16:creationId xmlns:a16="http://schemas.microsoft.com/office/drawing/2014/main" id="{00000000-0008-0000-0100-000009000000}"/>
              </a:ext>
            </a:extLst>
          </xdr:cNvPr>
          <xdr:cNvSpPr>
            <a:spLocks noChangeArrowheads="1"/>
          </xdr:cNvSpPr>
        </xdr:nvSpPr>
        <xdr:spPr bwMode="auto">
          <a:xfrm>
            <a:off x="457200" y="2349762"/>
            <a:ext cx="304800" cy="228599"/>
          </a:xfrm>
          <a:prstGeom prst="roundRect">
            <a:avLst>
              <a:gd name="adj" fmla="val 16667"/>
            </a:avLst>
          </a:prstGeom>
          <a:ln>
            <a:headEnd/>
            <a:tailEnd/>
          </a:ln>
        </xdr:spPr>
        <xdr:style>
          <a:lnRef idx="1">
            <a:schemeClr val="accent6"/>
          </a:lnRef>
          <a:fillRef idx="3">
            <a:schemeClr val="accent6"/>
          </a:fillRef>
          <a:effectRef idx="2">
            <a:schemeClr val="accent6"/>
          </a:effectRef>
          <a:fontRef idx="minor">
            <a:schemeClr val="lt1"/>
          </a:fontRef>
        </xdr:style>
        <xdr:txBody>
          <a:bodyPr wrap="square" anchor="ctr"/>
          <a:lstStyle>
            <a:defPPr>
              <a:defRPr lang="es-ES"/>
            </a:defPPr>
            <a:lvl1pPr algn="l" defTabSz="457200" rtl="0" fontAlgn="base">
              <a:spcBef>
                <a:spcPct val="0"/>
              </a:spcBef>
              <a:spcAft>
                <a:spcPct val="0"/>
              </a:spcAft>
              <a:defRPr kern="1200">
                <a:solidFill>
                  <a:schemeClr val="lt1"/>
                </a:solidFill>
                <a:latin typeface="+mn-lt"/>
                <a:ea typeface="+mn-ea"/>
                <a:cs typeface="+mn-cs"/>
              </a:defRPr>
            </a:lvl1pPr>
            <a:lvl2pPr marL="457200" algn="l" defTabSz="457200" rtl="0" fontAlgn="base">
              <a:spcBef>
                <a:spcPct val="0"/>
              </a:spcBef>
              <a:spcAft>
                <a:spcPct val="0"/>
              </a:spcAft>
              <a:defRPr kern="1200">
                <a:solidFill>
                  <a:schemeClr val="lt1"/>
                </a:solidFill>
                <a:latin typeface="+mn-lt"/>
                <a:ea typeface="+mn-ea"/>
                <a:cs typeface="+mn-cs"/>
              </a:defRPr>
            </a:lvl2pPr>
            <a:lvl3pPr marL="914400" algn="l" defTabSz="457200" rtl="0" fontAlgn="base">
              <a:spcBef>
                <a:spcPct val="0"/>
              </a:spcBef>
              <a:spcAft>
                <a:spcPct val="0"/>
              </a:spcAft>
              <a:defRPr kern="1200">
                <a:solidFill>
                  <a:schemeClr val="lt1"/>
                </a:solidFill>
                <a:latin typeface="+mn-lt"/>
                <a:ea typeface="+mn-ea"/>
                <a:cs typeface="+mn-cs"/>
              </a:defRPr>
            </a:lvl3pPr>
            <a:lvl4pPr marL="1371600" algn="l" defTabSz="457200" rtl="0" fontAlgn="base">
              <a:spcBef>
                <a:spcPct val="0"/>
              </a:spcBef>
              <a:spcAft>
                <a:spcPct val="0"/>
              </a:spcAft>
              <a:defRPr kern="1200">
                <a:solidFill>
                  <a:schemeClr val="lt1"/>
                </a:solidFill>
                <a:latin typeface="+mn-lt"/>
                <a:ea typeface="+mn-ea"/>
                <a:cs typeface="+mn-cs"/>
              </a:defRPr>
            </a:lvl4pPr>
            <a:lvl5pPr marL="1828800" algn="l" defTabSz="457200"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r>
              <a:rPr lang="es-MX" b="1">
                <a:solidFill>
                  <a:schemeClr val="bg1"/>
                </a:solidFill>
                <a:latin typeface="Tahoma" pitchFamily="34" charset="0"/>
              </a:rPr>
              <a:t>-</a:t>
            </a:r>
            <a:endParaRPr lang="en-US" b="1">
              <a:solidFill>
                <a:schemeClr val="bg1"/>
              </a:solidFill>
              <a:latin typeface="Tahoma" pitchFamily="34" charset="0"/>
            </a:endParaRPr>
          </a:p>
        </xdr:txBody>
      </xdr:sp>
      <xdr:sp macro="" textlink="">
        <xdr:nvSpPr>
          <xdr:cNvPr id="10" name="Line 48">
            <a:extLst>
              <a:ext uri="{FF2B5EF4-FFF2-40B4-BE49-F238E27FC236}">
                <a16:creationId xmlns:a16="http://schemas.microsoft.com/office/drawing/2014/main" id="{00000000-0008-0000-0100-00000A000000}"/>
              </a:ext>
            </a:extLst>
          </xdr:cNvPr>
          <xdr:cNvSpPr>
            <a:spLocks noChangeShapeType="1"/>
          </xdr:cNvSpPr>
        </xdr:nvSpPr>
        <xdr:spPr bwMode="auto">
          <a:xfrm>
            <a:off x="914401" y="2887411"/>
            <a:ext cx="3276600" cy="0"/>
          </a:xfrm>
          <a:prstGeom prst="line">
            <a:avLst/>
          </a:prstGeom>
          <a:noFill/>
          <a:ln w="9525">
            <a:solidFill>
              <a:schemeClr val="tx1"/>
            </a:solidFill>
            <a:round/>
            <a:headEnd/>
            <a:tailEnd/>
          </a:ln>
          <a:effectLst/>
        </xdr:spPr>
        <xdr:txBody>
          <a:bodyPr wrap="square"/>
          <a:lstStyle>
            <a:defPPr>
              <a:defRPr lang="es-ES"/>
            </a:defPPr>
            <a:lvl1pPr algn="l" defTabSz="457200" rtl="0" fontAlgn="base">
              <a:spcBef>
                <a:spcPct val="0"/>
              </a:spcBef>
              <a:spcAft>
                <a:spcPct val="0"/>
              </a:spcAft>
              <a:defRPr kern="1200">
                <a:solidFill>
                  <a:schemeClr val="tx1"/>
                </a:solidFill>
                <a:latin typeface="Calibri" pitchFamily="34" charset="0"/>
                <a:ea typeface="MS PGothic" pitchFamily="34" charset="-128"/>
                <a:cs typeface="+mn-cs"/>
              </a:defRPr>
            </a:lvl1pPr>
            <a:lvl2pPr marL="4572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2pPr>
            <a:lvl3pPr marL="9144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3pPr>
            <a:lvl4pPr marL="13716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4pPr>
            <a:lvl5pPr marL="18288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5pPr>
            <a:lvl6pPr marL="2286000" algn="l" defTabSz="914400" rtl="0" eaLnBrk="1" latinLnBrk="0" hangingPunct="1">
              <a:defRPr kern="1200">
                <a:solidFill>
                  <a:schemeClr val="tx1"/>
                </a:solidFill>
                <a:latin typeface="Calibri" pitchFamily="34" charset="0"/>
                <a:ea typeface="MS PGothic" pitchFamily="34" charset="-128"/>
                <a:cs typeface="+mn-cs"/>
              </a:defRPr>
            </a:lvl6pPr>
            <a:lvl7pPr marL="2743200" algn="l" defTabSz="914400" rtl="0" eaLnBrk="1" latinLnBrk="0" hangingPunct="1">
              <a:defRPr kern="1200">
                <a:solidFill>
                  <a:schemeClr val="tx1"/>
                </a:solidFill>
                <a:latin typeface="Calibri" pitchFamily="34" charset="0"/>
                <a:ea typeface="MS PGothic" pitchFamily="34" charset="-128"/>
                <a:cs typeface="+mn-cs"/>
              </a:defRPr>
            </a:lvl7pPr>
            <a:lvl8pPr marL="3200400" algn="l" defTabSz="914400" rtl="0" eaLnBrk="1" latinLnBrk="0" hangingPunct="1">
              <a:defRPr kern="1200">
                <a:solidFill>
                  <a:schemeClr val="tx1"/>
                </a:solidFill>
                <a:latin typeface="Calibri" pitchFamily="34" charset="0"/>
                <a:ea typeface="MS PGothic" pitchFamily="34" charset="-128"/>
                <a:cs typeface="+mn-cs"/>
              </a:defRPr>
            </a:lvl8pPr>
            <a:lvl9pPr marL="3657600" algn="l" defTabSz="914400" rtl="0" eaLnBrk="1" latinLnBrk="0" hangingPunct="1">
              <a:defRPr kern="1200">
                <a:solidFill>
                  <a:schemeClr val="tx1"/>
                </a:solidFill>
                <a:latin typeface="Calibri" pitchFamily="34" charset="0"/>
                <a:ea typeface="MS PGothic" pitchFamily="34" charset="-128"/>
                <a:cs typeface="+mn-cs"/>
              </a:defRPr>
            </a:lvl9pPr>
          </a:lstStyle>
          <a:p>
            <a:endParaRPr lang="es-CO"/>
          </a:p>
        </xdr:txBody>
      </xdr:sp>
      <xdr:sp macro="" textlink="">
        <xdr:nvSpPr>
          <xdr:cNvPr id="11" name="Text Box 49">
            <a:extLst>
              <a:ext uri="{FF2B5EF4-FFF2-40B4-BE49-F238E27FC236}">
                <a16:creationId xmlns:a16="http://schemas.microsoft.com/office/drawing/2014/main" id="{00000000-0008-0000-0100-00000B000000}"/>
              </a:ext>
            </a:extLst>
          </xdr:cNvPr>
          <xdr:cNvSpPr txBox="1">
            <a:spLocks noChangeArrowheads="1"/>
          </xdr:cNvSpPr>
        </xdr:nvSpPr>
        <xdr:spPr bwMode="auto">
          <a:xfrm>
            <a:off x="838200" y="2867012"/>
            <a:ext cx="3352800" cy="304800"/>
          </a:xfrm>
          <a:prstGeom prst="rect">
            <a:avLst/>
          </a:prstGeom>
          <a:noFill/>
          <a:ln w="9525">
            <a:noFill/>
            <a:miter lim="800000"/>
            <a:headEnd/>
            <a:tailEnd/>
          </a:ln>
          <a:effectLst/>
        </xdr:spPr>
        <xdr:txBody>
          <a:bodyPr wrap="square">
            <a:spAutoFit/>
          </a:bodyPr>
          <a:lstStyle>
            <a:defPPr>
              <a:defRPr lang="es-ES"/>
            </a:defPPr>
            <a:lvl1pPr algn="l" defTabSz="457200" rtl="0" fontAlgn="base">
              <a:spcBef>
                <a:spcPct val="0"/>
              </a:spcBef>
              <a:spcAft>
                <a:spcPct val="0"/>
              </a:spcAft>
              <a:defRPr kern="1200">
                <a:solidFill>
                  <a:schemeClr val="tx1"/>
                </a:solidFill>
                <a:latin typeface="Calibri" pitchFamily="34" charset="0"/>
                <a:ea typeface="MS PGothic" pitchFamily="34" charset="-128"/>
                <a:cs typeface="+mn-cs"/>
              </a:defRPr>
            </a:lvl1pPr>
            <a:lvl2pPr marL="4572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2pPr>
            <a:lvl3pPr marL="9144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3pPr>
            <a:lvl4pPr marL="13716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4pPr>
            <a:lvl5pPr marL="18288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5pPr>
            <a:lvl6pPr marL="2286000" algn="l" defTabSz="914400" rtl="0" eaLnBrk="1" latinLnBrk="0" hangingPunct="1">
              <a:defRPr kern="1200">
                <a:solidFill>
                  <a:schemeClr val="tx1"/>
                </a:solidFill>
                <a:latin typeface="Calibri" pitchFamily="34" charset="0"/>
                <a:ea typeface="MS PGothic" pitchFamily="34" charset="-128"/>
                <a:cs typeface="+mn-cs"/>
              </a:defRPr>
            </a:lvl6pPr>
            <a:lvl7pPr marL="2743200" algn="l" defTabSz="914400" rtl="0" eaLnBrk="1" latinLnBrk="0" hangingPunct="1">
              <a:defRPr kern="1200">
                <a:solidFill>
                  <a:schemeClr val="tx1"/>
                </a:solidFill>
                <a:latin typeface="Calibri" pitchFamily="34" charset="0"/>
                <a:ea typeface="MS PGothic" pitchFamily="34" charset="-128"/>
                <a:cs typeface="+mn-cs"/>
              </a:defRPr>
            </a:lvl7pPr>
            <a:lvl8pPr marL="3200400" algn="l" defTabSz="914400" rtl="0" eaLnBrk="1" latinLnBrk="0" hangingPunct="1">
              <a:defRPr kern="1200">
                <a:solidFill>
                  <a:schemeClr val="tx1"/>
                </a:solidFill>
                <a:latin typeface="Calibri" pitchFamily="34" charset="0"/>
                <a:ea typeface="MS PGothic" pitchFamily="34" charset="-128"/>
                <a:cs typeface="+mn-cs"/>
              </a:defRPr>
            </a:lvl8pPr>
            <a:lvl9pPr marL="3657600" algn="l" defTabSz="914400" rtl="0" eaLnBrk="1" latinLnBrk="0" hangingPunct="1">
              <a:defRPr kern="1200">
                <a:solidFill>
                  <a:schemeClr val="tx1"/>
                </a:solidFill>
                <a:latin typeface="Calibri" pitchFamily="34" charset="0"/>
                <a:ea typeface="MS PGothic" pitchFamily="34" charset="-128"/>
                <a:cs typeface="+mn-cs"/>
              </a:defRPr>
            </a:lvl9pPr>
          </a:lstStyle>
          <a:p>
            <a:pPr>
              <a:spcBef>
                <a:spcPct val="50000"/>
              </a:spcBef>
            </a:pPr>
            <a:r>
              <a:rPr lang="es-MX" sz="1400" b="1">
                <a:latin typeface="Tahoma" pitchFamily="34" charset="0"/>
              </a:rPr>
              <a:t>EBITDA</a:t>
            </a:r>
            <a:endParaRPr lang="en-US" sz="1400" b="1">
              <a:latin typeface="Tahoma" pitchFamily="34" charset="0"/>
            </a:endParaRPr>
          </a:p>
        </xdr:txBody>
      </xdr:sp>
      <xdr:sp macro="" textlink="">
        <xdr:nvSpPr>
          <xdr:cNvPr id="12" name="Text Box 50">
            <a:extLst>
              <a:ext uri="{FF2B5EF4-FFF2-40B4-BE49-F238E27FC236}">
                <a16:creationId xmlns:a16="http://schemas.microsoft.com/office/drawing/2014/main" id="{00000000-0008-0000-0100-00000C000000}"/>
              </a:ext>
            </a:extLst>
          </xdr:cNvPr>
          <xdr:cNvSpPr txBox="1">
            <a:spLocks noChangeArrowheads="1"/>
          </xdr:cNvSpPr>
        </xdr:nvSpPr>
        <xdr:spPr bwMode="auto">
          <a:xfrm>
            <a:off x="838200" y="3340225"/>
            <a:ext cx="4004781" cy="430889"/>
          </a:xfrm>
          <a:prstGeom prst="rect">
            <a:avLst/>
          </a:prstGeom>
          <a:noFill/>
          <a:ln w="9525">
            <a:noFill/>
            <a:miter lim="800000"/>
            <a:headEnd/>
            <a:tailEnd/>
          </a:ln>
          <a:effectLst/>
        </xdr:spPr>
        <xdr:txBody>
          <a:bodyPr wrap="square">
            <a:spAutoFit/>
          </a:bodyPr>
          <a:lstStyle>
            <a:defPPr>
              <a:defRPr lang="es-ES"/>
            </a:defPPr>
            <a:lvl1pPr algn="l" defTabSz="457200" rtl="0" fontAlgn="base">
              <a:spcBef>
                <a:spcPct val="0"/>
              </a:spcBef>
              <a:spcAft>
                <a:spcPct val="0"/>
              </a:spcAft>
              <a:defRPr kern="1200">
                <a:solidFill>
                  <a:schemeClr val="tx1"/>
                </a:solidFill>
                <a:latin typeface="Calibri" pitchFamily="34" charset="0"/>
                <a:ea typeface="MS PGothic" pitchFamily="34" charset="-128"/>
                <a:cs typeface="+mn-cs"/>
              </a:defRPr>
            </a:lvl1pPr>
            <a:lvl2pPr marL="4572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2pPr>
            <a:lvl3pPr marL="9144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3pPr>
            <a:lvl4pPr marL="13716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4pPr>
            <a:lvl5pPr marL="18288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5pPr>
            <a:lvl6pPr marL="2286000" algn="l" defTabSz="914400" rtl="0" eaLnBrk="1" latinLnBrk="0" hangingPunct="1">
              <a:defRPr kern="1200">
                <a:solidFill>
                  <a:schemeClr val="tx1"/>
                </a:solidFill>
                <a:latin typeface="Calibri" pitchFamily="34" charset="0"/>
                <a:ea typeface="MS PGothic" pitchFamily="34" charset="-128"/>
                <a:cs typeface="+mn-cs"/>
              </a:defRPr>
            </a:lvl6pPr>
            <a:lvl7pPr marL="2743200" algn="l" defTabSz="914400" rtl="0" eaLnBrk="1" latinLnBrk="0" hangingPunct="1">
              <a:defRPr kern="1200">
                <a:solidFill>
                  <a:schemeClr val="tx1"/>
                </a:solidFill>
                <a:latin typeface="Calibri" pitchFamily="34" charset="0"/>
                <a:ea typeface="MS PGothic" pitchFamily="34" charset="-128"/>
                <a:cs typeface="+mn-cs"/>
              </a:defRPr>
            </a:lvl7pPr>
            <a:lvl8pPr marL="3200400" algn="l" defTabSz="914400" rtl="0" eaLnBrk="1" latinLnBrk="0" hangingPunct="1">
              <a:defRPr kern="1200">
                <a:solidFill>
                  <a:schemeClr val="tx1"/>
                </a:solidFill>
                <a:latin typeface="Calibri" pitchFamily="34" charset="0"/>
                <a:ea typeface="MS PGothic" pitchFamily="34" charset="-128"/>
                <a:cs typeface="+mn-cs"/>
              </a:defRPr>
            </a:lvl8pPr>
            <a:lvl9pPr marL="3657600" algn="l" defTabSz="914400" rtl="0" eaLnBrk="1" latinLnBrk="0" hangingPunct="1">
              <a:defRPr kern="1200">
                <a:solidFill>
                  <a:schemeClr val="tx1"/>
                </a:solidFill>
                <a:latin typeface="Calibri" pitchFamily="34" charset="0"/>
                <a:ea typeface="MS PGothic" pitchFamily="34" charset="-128"/>
                <a:cs typeface="+mn-cs"/>
              </a:defRPr>
            </a:lvl9pPr>
          </a:lstStyle>
          <a:p>
            <a:pPr>
              <a:spcBef>
                <a:spcPct val="50000"/>
              </a:spcBef>
            </a:pPr>
            <a:r>
              <a:rPr lang="es-MX" sz="1400">
                <a:latin typeface="Tahoma" pitchFamily="34" charset="0"/>
              </a:rPr>
              <a:t>Impuestos Operacionales (UAII*T)</a:t>
            </a:r>
            <a:endParaRPr lang="en-US" sz="1400">
              <a:latin typeface="Tahoma" pitchFamily="34" charset="0"/>
            </a:endParaRPr>
          </a:p>
        </xdr:txBody>
      </xdr:sp>
      <xdr:sp macro="" textlink="">
        <xdr:nvSpPr>
          <xdr:cNvPr id="13" name="AutoShape 51">
            <a:extLst>
              <a:ext uri="{FF2B5EF4-FFF2-40B4-BE49-F238E27FC236}">
                <a16:creationId xmlns:a16="http://schemas.microsoft.com/office/drawing/2014/main" id="{00000000-0008-0000-0100-00000D000000}"/>
              </a:ext>
            </a:extLst>
          </xdr:cNvPr>
          <xdr:cNvSpPr>
            <a:spLocks noChangeArrowheads="1"/>
          </xdr:cNvSpPr>
        </xdr:nvSpPr>
        <xdr:spPr bwMode="auto">
          <a:xfrm>
            <a:off x="457200" y="3460973"/>
            <a:ext cx="304800" cy="228599"/>
          </a:xfrm>
          <a:prstGeom prst="roundRect">
            <a:avLst>
              <a:gd name="adj" fmla="val 16667"/>
            </a:avLst>
          </a:prstGeom>
          <a:ln>
            <a:headEnd/>
            <a:tailEnd/>
          </a:ln>
        </xdr:spPr>
        <xdr:style>
          <a:lnRef idx="1">
            <a:schemeClr val="accent6"/>
          </a:lnRef>
          <a:fillRef idx="3">
            <a:schemeClr val="accent6"/>
          </a:fillRef>
          <a:effectRef idx="2">
            <a:schemeClr val="accent6"/>
          </a:effectRef>
          <a:fontRef idx="minor">
            <a:schemeClr val="lt1"/>
          </a:fontRef>
        </xdr:style>
        <xdr:txBody>
          <a:bodyPr wrap="square" anchor="ctr"/>
          <a:lstStyle>
            <a:defPPr>
              <a:defRPr lang="es-ES"/>
            </a:defPPr>
            <a:lvl1pPr algn="l" defTabSz="457200" rtl="0" fontAlgn="base">
              <a:spcBef>
                <a:spcPct val="0"/>
              </a:spcBef>
              <a:spcAft>
                <a:spcPct val="0"/>
              </a:spcAft>
              <a:defRPr kern="1200">
                <a:solidFill>
                  <a:schemeClr val="lt1"/>
                </a:solidFill>
                <a:latin typeface="+mn-lt"/>
                <a:ea typeface="+mn-ea"/>
                <a:cs typeface="+mn-cs"/>
              </a:defRPr>
            </a:lvl1pPr>
            <a:lvl2pPr marL="457200" algn="l" defTabSz="457200" rtl="0" fontAlgn="base">
              <a:spcBef>
                <a:spcPct val="0"/>
              </a:spcBef>
              <a:spcAft>
                <a:spcPct val="0"/>
              </a:spcAft>
              <a:defRPr kern="1200">
                <a:solidFill>
                  <a:schemeClr val="lt1"/>
                </a:solidFill>
                <a:latin typeface="+mn-lt"/>
                <a:ea typeface="+mn-ea"/>
                <a:cs typeface="+mn-cs"/>
              </a:defRPr>
            </a:lvl2pPr>
            <a:lvl3pPr marL="914400" algn="l" defTabSz="457200" rtl="0" fontAlgn="base">
              <a:spcBef>
                <a:spcPct val="0"/>
              </a:spcBef>
              <a:spcAft>
                <a:spcPct val="0"/>
              </a:spcAft>
              <a:defRPr kern="1200">
                <a:solidFill>
                  <a:schemeClr val="lt1"/>
                </a:solidFill>
                <a:latin typeface="+mn-lt"/>
                <a:ea typeface="+mn-ea"/>
                <a:cs typeface="+mn-cs"/>
              </a:defRPr>
            </a:lvl3pPr>
            <a:lvl4pPr marL="1371600" algn="l" defTabSz="457200" rtl="0" fontAlgn="base">
              <a:spcBef>
                <a:spcPct val="0"/>
              </a:spcBef>
              <a:spcAft>
                <a:spcPct val="0"/>
              </a:spcAft>
              <a:defRPr kern="1200">
                <a:solidFill>
                  <a:schemeClr val="lt1"/>
                </a:solidFill>
                <a:latin typeface="+mn-lt"/>
                <a:ea typeface="+mn-ea"/>
                <a:cs typeface="+mn-cs"/>
              </a:defRPr>
            </a:lvl4pPr>
            <a:lvl5pPr marL="1828800" algn="l" defTabSz="457200"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r>
              <a:rPr lang="es-MX" b="1">
                <a:solidFill>
                  <a:schemeClr val="bg1"/>
                </a:solidFill>
                <a:latin typeface="Tahoma" pitchFamily="34" charset="0"/>
              </a:rPr>
              <a:t>-</a:t>
            </a:r>
            <a:endParaRPr lang="en-US" b="1">
              <a:solidFill>
                <a:schemeClr val="bg1"/>
              </a:solidFill>
              <a:latin typeface="Tahoma" pitchFamily="34" charset="0"/>
            </a:endParaRPr>
          </a:p>
        </xdr:txBody>
      </xdr:sp>
      <xdr:sp macro="" textlink="">
        <xdr:nvSpPr>
          <xdr:cNvPr id="14" name="Line 54">
            <a:extLst>
              <a:ext uri="{FF2B5EF4-FFF2-40B4-BE49-F238E27FC236}">
                <a16:creationId xmlns:a16="http://schemas.microsoft.com/office/drawing/2014/main" id="{00000000-0008-0000-0100-00000E000000}"/>
              </a:ext>
            </a:extLst>
          </xdr:cNvPr>
          <xdr:cNvSpPr>
            <a:spLocks noChangeShapeType="1"/>
          </xdr:cNvSpPr>
        </xdr:nvSpPr>
        <xdr:spPr bwMode="auto">
          <a:xfrm>
            <a:off x="914400" y="3781412"/>
            <a:ext cx="3276600" cy="0"/>
          </a:xfrm>
          <a:prstGeom prst="line">
            <a:avLst/>
          </a:prstGeom>
          <a:noFill/>
          <a:ln w="9525">
            <a:solidFill>
              <a:schemeClr val="tx1"/>
            </a:solidFill>
            <a:round/>
            <a:headEnd/>
            <a:tailEnd/>
          </a:ln>
          <a:effectLst/>
        </xdr:spPr>
        <xdr:txBody>
          <a:bodyPr wrap="square"/>
          <a:lstStyle>
            <a:defPPr>
              <a:defRPr lang="es-ES"/>
            </a:defPPr>
            <a:lvl1pPr algn="l" defTabSz="457200" rtl="0" fontAlgn="base">
              <a:spcBef>
                <a:spcPct val="0"/>
              </a:spcBef>
              <a:spcAft>
                <a:spcPct val="0"/>
              </a:spcAft>
              <a:defRPr kern="1200">
                <a:solidFill>
                  <a:schemeClr val="tx1"/>
                </a:solidFill>
                <a:latin typeface="Calibri" pitchFamily="34" charset="0"/>
                <a:ea typeface="MS PGothic" pitchFamily="34" charset="-128"/>
                <a:cs typeface="+mn-cs"/>
              </a:defRPr>
            </a:lvl1pPr>
            <a:lvl2pPr marL="4572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2pPr>
            <a:lvl3pPr marL="9144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3pPr>
            <a:lvl4pPr marL="13716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4pPr>
            <a:lvl5pPr marL="18288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5pPr>
            <a:lvl6pPr marL="2286000" algn="l" defTabSz="914400" rtl="0" eaLnBrk="1" latinLnBrk="0" hangingPunct="1">
              <a:defRPr kern="1200">
                <a:solidFill>
                  <a:schemeClr val="tx1"/>
                </a:solidFill>
                <a:latin typeface="Calibri" pitchFamily="34" charset="0"/>
                <a:ea typeface="MS PGothic" pitchFamily="34" charset="-128"/>
                <a:cs typeface="+mn-cs"/>
              </a:defRPr>
            </a:lvl6pPr>
            <a:lvl7pPr marL="2743200" algn="l" defTabSz="914400" rtl="0" eaLnBrk="1" latinLnBrk="0" hangingPunct="1">
              <a:defRPr kern="1200">
                <a:solidFill>
                  <a:schemeClr val="tx1"/>
                </a:solidFill>
                <a:latin typeface="Calibri" pitchFamily="34" charset="0"/>
                <a:ea typeface="MS PGothic" pitchFamily="34" charset="-128"/>
                <a:cs typeface="+mn-cs"/>
              </a:defRPr>
            </a:lvl7pPr>
            <a:lvl8pPr marL="3200400" algn="l" defTabSz="914400" rtl="0" eaLnBrk="1" latinLnBrk="0" hangingPunct="1">
              <a:defRPr kern="1200">
                <a:solidFill>
                  <a:schemeClr val="tx1"/>
                </a:solidFill>
                <a:latin typeface="Calibri" pitchFamily="34" charset="0"/>
                <a:ea typeface="MS PGothic" pitchFamily="34" charset="-128"/>
                <a:cs typeface="+mn-cs"/>
              </a:defRPr>
            </a:lvl8pPr>
            <a:lvl9pPr marL="3657600" algn="l" defTabSz="914400" rtl="0" eaLnBrk="1" latinLnBrk="0" hangingPunct="1">
              <a:defRPr kern="1200">
                <a:solidFill>
                  <a:schemeClr val="tx1"/>
                </a:solidFill>
                <a:latin typeface="Calibri" pitchFamily="34" charset="0"/>
                <a:ea typeface="MS PGothic" pitchFamily="34" charset="-128"/>
                <a:cs typeface="+mn-cs"/>
              </a:defRPr>
            </a:lvl9pPr>
          </a:lstStyle>
          <a:p>
            <a:endParaRPr lang="es-CO"/>
          </a:p>
        </xdr:txBody>
      </xdr:sp>
      <xdr:sp macro="" textlink="">
        <xdr:nvSpPr>
          <xdr:cNvPr id="15" name="Text Box 55">
            <a:extLst>
              <a:ext uri="{FF2B5EF4-FFF2-40B4-BE49-F238E27FC236}">
                <a16:creationId xmlns:a16="http://schemas.microsoft.com/office/drawing/2014/main" id="{00000000-0008-0000-0100-00000F000000}"/>
              </a:ext>
            </a:extLst>
          </xdr:cNvPr>
          <xdr:cNvSpPr txBox="1">
            <a:spLocks noChangeArrowheads="1"/>
          </xdr:cNvSpPr>
        </xdr:nvSpPr>
        <xdr:spPr bwMode="auto">
          <a:xfrm>
            <a:off x="838200" y="3857612"/>
            <a:ext cx="3352800" cy="304800"/>
          </a:xfrm>
          <a:prstGeom prst="rect">
            <a:avLst/>
          </a:prstGeom>
          <a:noFill/>
          <a:ln w="9525">
            <a:noFill/>
            <a:miter lim="800000"/>
            <a:headEnd/>
            <a:tailEnd/>
          </a:ln>
          <a:effectLst/>
        </xdr:spPr>
        <xdr:txBody>
          <a:bodyPr wrap="square">
            <a:spAutoFit/>
          </a:bodyPr>
          <a:lstStyle>
            <a:defPPr>
              <a:defRPr lang="es-ES"/>
            </a:defPPr>
            <a:lvl1pPr algn="l" defTabSz="457200" rtl="0" fontAlgn="base">
              <a:spcBef>
                <a:spcPct val="0"/>
              </a:spcBef>
              <a:spcAft>
                <a:spcPct val="0"/>
              </a:spcAft>
              <a:defRPr kern="1200">
                <a:solidFill>
                  <a:schemeClr val="tx1"/>
                </a:solidFill>
                <a:latin typeface="Calibri" pitchFamily="34" charset="0"/>
                <a:ea typeface="MS PGothic" pitchFamily="34" charset="-128"/>
                <a:cs typeface="+mn-cs"/>
              </a:defRPr>
            </a:lvl1pPr>
            <a:lvl2pPr marL="4572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2pPr>
            <a:lvl3pPr marL="9144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3pPr>
            <a:lvl4pPr marL="13716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4pPr>
            <a:lvl5pPr marL="18288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5pPr>
            <a:lvl6pPr marL="2286000" algn="l" defTabSz="914400" rtl="0" eaLnBrk="1" latinLnBrk="0" hangingPunct="1">
              <a:defRPr kern="1200">
                <a:solidFill>
                  <a:schemeClr val="tx1"/>
                </a:solidFill>
                <a:latin typeface="Calibri" pitchFamily="34" charset="0"/>
                <a:ea typeface="MS PGothic" pitchFamily="34" charset="-128"/>
                <a:cs typeface="+mn-cs"/>
              </a:defRPr>
            </a:lvl6pPr>
            <a:lvl7pPr marL="2743200" algn="l" defTabSz="914400" rtl="0" eaLnBrk="1" latinLnBrk="0" hangingPunct="1">
              <a:defRPr kern="1200">
                <a:solidFill>
                  <a:schemeClr val="tx1"/>
                </a:solidFill>
                <a:latin typeface="Calibri" pitchFamily="34" charset="0"/>
                <a:ea typeface="MS PGothic" pitchFamily="34" charset="-128"/>
                <a:cs typeface="+mn-cs"/>
              </a:defRPr>
            </a:lvl7pPr>
            <a:lvl8pPr marL="3200400" algn="l" defTabSz="914400" rtl="0" eaLnBrk="1" latinLnBrk="0" hangingPunct="1">
              <a:defRPr kern="1200">
                <a:solidFill>
                  <a:schemeClr val="tx1"/>
                </a:solidFill>
                <a:latin typeface="Calibri" pitchFamily="34" charset="0"/>
                <a:ea typeface="MS PGothic" pitchFamily="34" charset="-128"/>
                <a:cs typeface="+mn-cs"/>
              </a:defRPr>
            </a:lvl8pPr>
            <a:lvl9pPr marL="3657600" algn="l" defTabSz="914400" rtl="0" eaLnBrk="1" latinLnBrk="0" hangingPunct="1">
              <a:defRPr kern="1200">
                <a:solidFill>
                  <a:schemeClr val="tx1"/>
                </a:solidFill>
                <a:latin typeface="Calibri" pitchFamily="34" charset="0"/>
                <a:ea typeface="MS PGothic" pitchFamily="34" charset="-128"/>
                <a:cs typeface="+mn-cs"/>
              </a:defRPr>
            </a:lvl9pPr>
          </a:lstStyle>
          <a:p>
            <a:pPr>
              <a:spcBef>
                <a:spcPct val="50000"/>
              </a:spcBef>
            </a:pPr>
            <a:r>
              <a:rPr lang="es-MX" sz="1400" b="1">
                <a:latin typeface="Tahoma" pitchFamily="34" charset="0"/>
              </a:rPr>
              <a:t>Flujo de Caja Bruto</a:t>
            </a:r>
            <a:endParaRPr lang="en-US" sz="1400" b="1">
              <a:latin typeface="Tahoma" pitchFamily="34" charset="0"/>
            </a:endParaRPr>
          </a:p>
        </xdr:txBody>
      </xdr:sp>
      <xdr:sp macro="" textlink="">
        <xdr:nvSpPr>
          <xdr:cNvPr id="16" name="Text Box 56">
            <a:extLst>
              <a:ext uri="{FF2B5EF4-FFF2-40B4-BE49-F238E27FC236}">
                <a16:creationId xmlns:a16="http://schemas.microsoft.com/office/drawing/2014/main" id="{00000000-0008-0000-0100-000010000000}"/>
              </a:ext>
            </a:extLst>
          </xdr:cNvPr>
          <xdr:cNvSpPr txBox="1">
            <a:spLocks noChangeArrowheads="1"/>
          </xdr:cNvSpPr>
        </xdr:nvSpPr>
        <xdr:spPr bwMode="auto">
          <a:xfrm>
            <a:off x="838200" y="4162412"/>
            <a:ext cx="3931158" cy="430889"/>
          </a:xfrm>
          <a:prstGeom prst="rect">
            <a:avLst/>
          </a:prstGeom>
          <a:noFill/>
          <a:ln w="9525">
            <a:noFill/>
            <a:miter lim="800000"/>
            <a:headEnd/>
            <a:tailEnd/>
          </a:ln>
          <a:effectLst/>
        </xdr:spPr>
        <xdr:txBody>
          <a:bodyPr wrap="square">
            <a:spAutoFit/>
          </a:bodyPr>
          <a:lstStyle>
            <a:defPPr>
              <a:defRPr lang="es-ES"/>
            </a:defPPr>
            <a:lvl1pPr algn="l" defTabSz="457200" rtl="0" fontAlgn="base">
              <a:spcBef>
                <a:spcPct val="0"/>
              </a:spcBef>
              <a:spcAft>
                <a:spcPct val="0"/>
              </a:spcAft>
              <a:defRPr kern="1200">
                <a:solidFill>
                  <a:schemeClr val="tx1"/>
                </a:solidFill>
                <a:latin typeface="Calibri" pitchFamily="34" charset="0"/>
                <a:ea typeface="MS PGothic" pitchFamily="34" charset="-128"/>
                <a:cs typeface="+mn-cs"/>
              </a:defRPr>
            </a:lvl1pPr>
            <a:lvl2pPr marL="4572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2pPr>
            <a:lvl3pPr marL="9144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3pPr>
            <a:lvl4pPr marL="13716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4pPr>
            <a:lvl5pPr marL="18288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5pPr>
            <a:lvl6pPr marL="2286000" algn="l" defTabSz="914400" rtl="0" eaLnBrk="1" latinLnBrk="0" hangingPunct="1">
              <a:defRPr kern="1200">
                <a:solidFill>
                  <a:schemeClr val="tx1"/>
                </a:solidFill>
                <a:latin typeface="Calibri" pitchFamily="34" charset="0"/>
                <a:ea typeface="MS PGothic" pitchFamily="34" charset="-128"/>
                <a:cs typeface="+mn-cs"/>
              </a:defRPr>
            </a:lvl6pPr>
            <a:lvl7pPr marL="2743200" algn="l" defTabSz="914400" rtl="0" eaLnBrk="1" latinLnBrk="0" hangingPunct="1">
              <a:defRPr kern="1200">
                <a:solidFill>
                  <a:schemeClr val="tx1"/>
                </a:solidFill>
                <a:latin typeface="Calibri" pitchFamily="34" charset="0"/>
                <a:ea typeface="MS PGothic" pitchFamily="34" charset="-128"/>
                <a:cs typeface="+mn-cs"/>
              </a:defRPr>
            </a:lvl7pPr>
            <a:lvl8pPr marL="3200400" algn="l" defTabSz="914400" rtl="0" eaLnBrk="1" latinLnBrk="0" hangingPunct="1">
              <a:defRPr kern="1200">
                <a:solidFill>
                  <a:schemeClr val="tx1"/>
                </a:solidFill>
                <a:latin typeface="Calibri" pitchFamily="34" charset="0"/>
                <a:ea typeface="MS PGothic" pitchFamily="34" charset="-128"/>
                <a:cs typeface="+mn-cs"/>
              </a:defRPr>
            </a:lvl8pPr>
            <a:lvl9pPr marL="3657600" algn="l" defTabSz="914400" rtl="0" eaLnBrk="1" latinLnBrk="0" hangingPunct="1">
              <a:defRPr kern="1200">
                <a:solidFill>
                  <a:schemeClr val="tx1"/>
                </a:solidFill>
                <a:latin typeface="Calibri" pitchFamily="34" charset="0"/>
                <a:ea typeface="MS PGothic" pitchFamily="34" charset="-128"/>
                <a:cs typeface="+mn-cs"/>
              </a:defRPr>
            </a:lvl9pPr>
          </a:lstStyle>
          <a:p>
            <a:pPr>
              <a:spcBef>
                <a:spcPct val="50000"/>
              </a:spcBef>
            </a:pPr>
            <a:r>
              <a:rPr lang="es-MX" sz="1400">
                <a:latin typeface="Tahoma" pitchFamily="34" charset="0"/>
              </a:rPr>
              <a:t>Inversiones en Capital de Trabajo</a:t>
            </a:r>
            <a:endParaRPr lang="en-US" sz="1400">
              <a:latin typeface="Tahoma" pitchFamily="34" charset="0"/>
            </a:endParaRPr>
          </a:p>
        </xdr:txBody>
      </xdr:sp>
      <xdr:sp macro="" textlink="">
        <xdr:nvSpPr>
          <xdr:cNvPr id="17" name="AutoShape 57">
            <a:extLst>
              <a:ext uri="{FF2B5EF4-FFF2-40B4-BE49-F238E27FC236}">
                <a16:creationId xmlns:a16="http://schemas.microsoft.com/office/drawing/2014/main" id="{00000000-0008-0000-0100-000011000000}"/>
              </a:ext>
            </a:extLst>
          </xdr:cNvPr>
          <xdr:cNvSpPr>
            <a:spLocks noChangeArrowheads="1"/>
          </xdr:cNvSpPr>
        </xdr:nvSpPr>
        <xdr:spPr bwMode="auto">
          <a:xfrm>
            <a:off x="457200" y="4295236"/>
            <a:ext cx="304800" cy="228599"/>
          </a:xfrm>
          <a:prstGeom prst="roundRect">
            <a:avLst>
              <a:gd name="adj" fmla="val 16667"/>
            </a:avLst>
          </a:prstGeom>
          <a:ln>
            <a:headEnd/>
            <a:tailEnd/>
          </a:ln>
        </xdr:spPr>
        <xdr:style>
          <a:lnRef idx="1">
            <a:schemeClr val="accent6"/>
          </a:lnRef>
          <a:fillRef idx="3">
            <a:schemeClr val="accent6"/>
          </a:fillRef>
          <a:effectRef idx="2">
            <a:schemeClr val="accent6"/>
          </a:effectRef>
          <a:fontRef idx="minor">
            <a:schemeClr val="lt1"/>
          </a:fontRef>
        </xdr:style>
        <xdr:txBody>
          <a:bodyPr wrap="square" anchor="ctr"/>
          <a:lstStyle>
            <a:defPPr>
              <a:defRPr lang="es-ES"/>
            </a:defPPr>
            <a:lvl1pPr algn="l" defTabSz="457200" rtl="0" fontAlgn="base">
              <a:spcBef>
                <a:spcPct val="0"/>
              </a:spcBef>
              <a:spcAft>
                <a:spcPct val="0"/>
              </a:spcAft>
              <a:defRPr kern="1200">
                <a:solidFill>
                  <a:schemeClr val="lt1"/>
                </a:solidFill>
                <a:latin typeface="+mn-lt"/>
                <a:ea typeface="+mn-ea"/>
                <a:cs typeface="+mn-cs"/>
              </a:defRPr>
            </a:lvl1pPr>
            <a:lvl2pPr marL="457200" algn="l" defTabSz="457200" rtl="0" fontAlgn="base">
              <a:spcBef>
                <a:spcPct val="0"/>
              </a:spcBef>
              <a:spcAft>
                <a:spcPct val="0"/>
              </a:spcAft>
              <a:defRPr kern="1200">
                <a:solidFill>
                  <a:schemeClr val="lt1"/>
                </a:solidFill>
                <a:latin typeface="+mn-lt"/>
                <a:ea typeface="+mn-ea"/>
                <a:cs typeface="+mn-cs"/>
              </a:defRPr>
            </a:lvl2pPr>
            <a:lvl3pPr marL="914400" algn="l" defTabSz="457200" rtl="0" fontAlgn="base">
              <a:spcBef>
                <a:spcPct val="0"/>
              </a:spcBef>
              <a:spcAft>
                <a:spcPct val="0"/>
              </a:spcAft>
              <a:defRPr kern="1200">
                <a:solidFill>
                  <a:schemeClr val="lt1"/>
                </a:solidFill>
                <a:latin typeface="+mn-lt"/>
                <a:ea typeface="+mn-ea"/>
                <a:cs typeface="+mn-cs"/>
              </a:defRPr>
            </a:lvl3pPr>
            <a:lvl4pPr marL="1371600" algn="l" defTabSz="457200" rtl="0" fontAlgn="base">
              <a:spcBef>
                <a:spcPct val="0"/>
              </a:spcBef>
              <a:spcAft>
                <a:spcPct val="0"/>
              </a:spcAft>
              <a:defRPr kern="1200">
                <a:solidFill>
                  <a:schemeClr val="lt1"/>
                </a:solidFill>
                <a:latin typeface="+mn-lt"/>
                <a:ea typeface="+mn-ea"/>
                <a:cs typeface="+mn-cs"/>
              </a:defRPr>
            </a:lvl4pPr>
            <a:lvl5pPr marL="1828800" algn="l" defTabSz="457200"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r>
              <a:rPr lang="es-MX" b="1">
                <a:solidFill>
                  <a:schemeClr val="bg1"/>
                </a:solidFill>
                <a:latin typeface="Tahoma" pitchFamily="34" charset="0"/>
              </a:rPr>
              <a:t>-</a:t>
            </a:r>
            <a:endParaRPr lang="en-US" b="1">
              <a:solidFill>
                <a:schemeClr val="bg1"/>
              </a:solidFill>
              <a:latin typeface="Tahoma" pitchFamily="34" charset="0"/>
            </a:endParaRPr>
          </a:p>
        </xdr:txBody>
      </xdr:sp>
      <xdr:sp macro="" textlink="">
        <xdr:nvSpPr>
          <xdr:cNvPr id="18" name="Text Box 58">
            <a:extLst>
              <a:ext uri="{FF2B5EF4-FFF2-40B4-BE49-F238E27FC236}">
                <a16:creationId xmlns:a16="http://schemas.microsoft.com/office/drawing/2014/main" id="{00000000-0008-0000-0100-000012000000}"/>
              </a:ext>
            </a:extLst>
          </xdr:cNvPr>
          <xdr:cNvSpPr txBox="1">
            <a:spLocks noChangeArrowheads="1"/>
          </xdr:cNvSpPr>
        </xdr:nvSpPr>
        <xdr:spPr bwMode="auto">
          <a:xfrm>
            <a:off x="838200" y="4467212"/>
            <a:ext cx="3962711" cy="430889"/>
          </a:xfrm>
          <a:prstGeom prst="rect">
            <a:avLst/>
          </a:prstGeom>
          <a:noFill/>
          <a:ln w="9525">
            <a:noFill/>
            <a:miter lim="800000"/>
            <a:headEnd/>
            <a:tailEnd/>
          </a:ln>
          <a:effectLst/>
        </xdr:spPr>
        <xdr:txBody>
          <a:bodyPr wrap="square">
            <a:spAutoFit/>
          </a:bodyPr>
          <a:lstStyle>
            <a:defPPr>
              <a:defRPr lang="es-ES"/>
            </a:defPPr>
            <a:lvl1pPr algn="l" defTabSz="457200" rtl="0" fontAlgn="base">
              <a:spcBef>
                <a:spcPct val="0"/>
              </a:spcBef>
              <a:spcAft>
                <a:spcPct val="0"/>
              </a:spcAft>
              <a:defRPr kern="1200">
                <a:solidFill>
                  <a:schemeClr val="tx1"/>
                </a:solidFill>
                <a:latin typeface="Calibri" pitchFamily="34" charset="0"/>
                <a:ea typeface="MS PGothic" pitchFamily="34" charset="-128"/>
                <a:cs typeface="+mn-cs"/>
              </a:defRPr>
            </a:lvl1pPr>
            <a:lvl2pPr marL="4572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2pPr>
            <a:lvl3pPr marL="9144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3pPr>
            <a:lvl4pPr marL="13716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4pPr>
            <a:lvl5pPr marL="18288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5pPr>
            <a:lvl6pPr marL="2286000" algn="l" defTabSz="914400" rtl="0" eaLnBrk="1" latinLnBrk="0" hangingPunct="1">
              <a:defRPr kern="1200">
                <a:solidFill>
                  <a:schemeClr val="tx1"/>
                </a:solidFill>
                <a:latin typeface="Calibri" pitchFamily="34" charset="0"/>
                <a:ea typeface="MS PGothic" pitchFamily="34" charset="-128"/>
                <a:cs typeface="+mn-cs"/>
              </a:defRPr>
            </a:lvl6pPr>
            <a:lvl7pPr marL="2743200" algn="l" defTabSz="914400" rtl="0" eaLnBrk="1" latinLnBrk="0" hangingPunct="1">
              <a:defRPr kern="1200">
                <a:solidFill>
                  <a:schemeClr val="tx1"/>
                </a:solidFill>
                <a:latin typeface="Calibri" pitchFamily="34" charset="0"/>
                <a:ea typeface="MS PGothic" pitchFamily="34" charset="-128"/>
                <a:cs typeface="+mn-cs"/>
              </a:defRPr>
            </a:lvl7pPr>
            <a:lvl8pPr marL="3200400" algn="l" defTabSz="914400" rtl="0" eaLnBrk="1" latinLnBrk="0" hangingPunct="1">
              <a:defRPr kern="1200">
                <a:solidFill>
                  <a:schemeClr val="tx1"/>
                </a:solidFill>
                <a:latin typeface="Calibri" pitchFamily="34" charset="0"/>
                <a:ea typeface="MS PGothic" pitchFamily="34" charset="-128"/>
                <a:cs typeface="+mn-cs"/>
              </a:defRPr>
            </a:lvl8pPr>
            <a:lvl9pPr marL="3657600" algn="l" defTabSz="914400" rtl="0" eaLnBrk="1" latinLnBrk="0" hangingPunct="1">
              <a:defRPr kern="1200">
                <a:solidFill>
                  <a:schemeClr val="tx1"/>
                </a:solidFill>
                <a:latin typeface="Calibri" pitchFamily="34" charset="0"/>
                <a:ea typeface="MS PGothic" pitchFamily="34" charset="-128"/>
                <a:cs typeface="+mn-cs"/>
              </a:defRPr>
            </a:lvl9pPr>
          </a:lstStyle>
          <a:p>
            <a:pPr>
              <a:spcBef>
                <a:spcPct val="50000"/>
              </a:spcBef>
            </a:pPr>
            <a:r>
              <a:rPr lang="es-MX" sz="1400">
                <a:latin typeface="Tahoma" pitchFamily="34" charset="0"/>
              </a:rPr>
              <a:t>Inversiones en Activo Fijo</a:t>
            </a:r>
            <a:endParaRPr lang="en-US" sz="1400">
              <a:latin typeface="Tahoma" pitchFamily="34" charset="0"/>
            </a:endParaRPr>
          </a:p>
        </xdr:txBody>
      </xdr:sp>
      <xdr:sp macro="" textlink="">
        <xdr:nvSpPr>
          <xdr:cNvPr id="19" name="AutoShape 59">
            <a:extLst>
              <a:ext uri="{FF2B5EF4-FFF2-40B4-BE49-F238E27FC236}">
                <a16:creationId xmlns:a16="http://schemas.microsoft.com/office/drawing/2014/main" id="{00000000-0008-0000-0100-000013000000}"/>
              </a:ext>
            </a:extLst>
          </xdr:cNvPr>
          <xdr:cNvSpPr>
            <a:spLocks noChangeArrowheads="1"/>
          </xdr:cNvSpPr>
        </xdr:nvSpPr>
        <xdr:spPr bwMode="auto">
          <a:xfrm>
            <a:off x="457200" y="4587960"/>
            <a:ext cx="304800" cy="228599"/>
          </a:xfrm>
          <a:prstGeom prst="roundRect">
            <a:avLst>
              <a:gd name="adj" fmla="val 16667"/>
            </a:avLst>
          </a:prstGeom>
          <a:ln>
            <a:headEnd/>
            <a:tailEnd/>
          </a:ln>
        </xdr:spPr>
        <xdr:style>
          <a:lnRef idx="1">
            <a:schemeClr val="accent6"/>
          </a:lnRef>
          <a:fillRef idx="3">
            <a:schemeClr val="accent6"/>
          </a:fillRef>
          <a:effectRef idx="2">
            <a:schemeClr val="accent6"/>
          </a:effectRef>
          <a:fontRef idx="minor">
            <a:schemeClr val="lt1"/>
          </a:fontRef>
        </xdr:style>
        <xdr:txBody>
          <a:bodyPr wrap="square" anchor="ctr"/>
          <a:lstStyle>
            <a:defPPr>
              <a:defRPr lang="es-ES"/>
            </a:defPPr>
            <a:lvl1pPr algn="l" defTabSz="457200" rtl="0" fontAlgn="base">
              <a:spcBef>
                <a:spcPct val="0"/>
              </a:spcBef>
              <a:spcAft>
                <a:spcPct val="0"/>
              </a:spcAft>
              <a:defRPr kern="1200">
                <a:solidFill>
                  <a:schemeClr val="lt1"/>
                </a:solidFill>
                <a:latin typeface="+mn-lt"/>
                <a:ea typeface="+mn-ea"/>
                <a:cs typeface="+mn-cs"/>
              </a:defRPr>
            </a:lvl1pPr>
            <a:lvl2pPr marL="457200" algn="l" defTabSz="457200" rtl="0" fontAlgn="base">
              <a:spcBef>
                <a:spcPct val="0"/>
              </a:spcBef>
              <a:spcAft>
                <a:spcPct val="0"/>
              </a:spcAft>
              <a:defRPr kern="1200">
                <a:solidFill>
                  <a:schemeClr val="lt1"/>
                </a:solidFill>
                <a:latin typeface="+mn-lt"/>
                <a:ea typeface="+mn-ea"/>
                <a:cs typeface="+mn-cs"/>
              </a:defRPr>
            </a:lvl2pPr>
            <a:lvl3pPr marL="914400" algn="l" defTabSz="457200" rtl="0" fontAlgn="base">
              <a:spcBef>
                <a:spcPct val="0"/>
              </a:spcBef>
              <a:spcAft>
                <a:spcPct val="0"/>
              </a:spcAft>
              <a:defRPr kern="1200">
                <a:solidFill>
                  <a:schemeClr val="lt1"/>
                </a:solidFill>
                <a:latin typeface="+mn-lt"/>
                <a:ea typeface="+mn-ea"/>
                <a:cs typeface="+mn-cs"/>
              </a:defRPr>
            </a:lvl3pPr>
            <a:lvl4pPr marL="1371600" algn="l" defTabSz="457200" rtl="0" fontAlgn="base">
              <a:spcBef>
                <a:spcPct val="0"/>
              </a:spcBef>
              <a:spcAft>
                <a:spcPct val="0"/>
              </a:spcAft>
              <a:defRPr kern="1200">
                <a:solidFill>
                  <a:schemeClr val="lt1"/>
                </a:solidFill>
                <a:latin typeface="+mn-lt"/>
                <a:ea typeface="+mn-ea"/>
                <a:cs typeface="+mn-cs"/>
              </a:defRPr>
            </a:lvl4pPr>
            <a:lvl5pPr marL="1828800" algn="l" defTabSz="457200"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r>
              <a:rPr lang="es-MX" b="1">
                <a:solidFill>
                  <a:schemeClr val="bg1"/>
                </a:solidFill>
                <a:latin typeface="Tahoma" pitchFamily="34" charset="0"/>
              </a:rPr>
              <a:t>-</a:t>
            </a:r>
            <a:endParaRPr lang="en-US" b="1">
              <a:solidFill>
                <a:schemeClr val="bg1"/>
              </a:solidFill>
              <a:latin typeface="Tahoma" pitchFamily="34" charset="0"/>
            </a:endParaRPr>
          </a:p>
        </xdr:txBody>
      </xdr:sp>
      <xdr:sp macro="" textlink="">
        <xdr:nvSpPr>
          <xdr:cNvPr id="20" name="Line 60">
            <a:extLst>
              <a:ext uri="{FF2B5EF4-FFF2-40B4-BE49-F238E27FC236}">
                <a16:creationId xmlns:a16="http://schemas.microsoft.com/office/drawing/2014/main" id="{00000000-0008-0000-0100-000014000000}"/>
              </a:ext>
            </a:extLst>
          </xdr:cNvPr>
          <xdr:cNvSpPr>
            <a:spLocks noChangeShapeType="1"/>
          </xdr:cNvSpPr>
        </xdr:nvSpPr>
        <xdr:spPr bwMode="auto">
          <a:xfrm>
            <a:off x="914401" y="4892760"/>
            <a:ext cx="3276600" cy="0"/>
          </a:xfrm>
          <a:prstGeom prst="line">
            <a:avLst/>
          </a:prstGeom>
          <a:noFill/>
          <a:ln w="9525">
            <a:solidFill>
              <a:schemeClr val="tx1"/>
            </a:solidFill>
            <a:round/>
            <a:headEnd/>
            <a:tailEnd/>
          </a:ln>
          <a:effectLst/>
        </xdr:spPr>
        <xdr:txBody>
          <a:bodyPr wrap="square"/>
          <a:lstStyle>
            <a:defPPr>
              <a:defRPr lang="es-ES"/>
            </a:defPPr>
            <a:lvl1pPr algn="l" defTabSz="457200" rtl="0" fontAlgn="base">
              <a:spcBef>
                <a:spcPct val="0"/>
              </a:spcBef>
              <a:spcAft>
                <a:spcPct val="0"/>
              </a:spcAft>
              <a:defRPr kern="1200">
                <a:solidFill>
                  <a:schemeClr val="tx1"/>
                </a:solidFill>
                <a:latin typeface="Calibri" pitchFamily="34" charset="0"/>
                <a:ea typeface="MS PGothic" pitchFamily="34" charset="-128"/>
                <a:cs typeface="+mn-cs"/>
              </a:defRPr>
            </a:lvl1pPr>
            <a:lvl2pPr marL="4572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2pPr>
            <a:lvl3pPr marL="9144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3pPr>
            <a:lvl4pPr marL="13716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4pPr>
            <a:lvl5pPr marL="18288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5pPr>
            <a:lvl6pPr marL="2286000" algn="l" defTabSz="914400" rtl="0" eaLnBrk="1" latinLnBrk="0" hangingPunct="1">
              <a:defRPr kern="1200">
                <a:solidFill>
                  <a:schemeClr val="tx1"/>
                </a:solidFill>
                <a:latin typeface="Calibri" pitchFamily="34" charset="0"/>
                <a:ea typeface="MS PGothic" pitchFamily="34" charset="-128"/>
                <a:cs typeface="+mn-cs"/>
              </a:defRPr>
            </a:lvl6pPr>
            <a:lvl7pPr marL="2743200" algn="l" defTabSz="914400" rtl="0" eaLnBrk="1" latinLnBrk="0" hangingPunct="1">
              <a:defRPr kern="1200">
                <a:solidFill>
                  <a:schemeClr val="tx1"/>
                </a:solidFill>
                <a:latin typeface="Calibri" pitchFamily="34" charset="0"/>
                <a:ea typeface="MS PGothic" pitchFamily="34" charset="-128"/>
                <a:cs typeface="+mn-cs"/>
              </a:defRPr>
            </a:lvl7pPr>
            <a:lvl8pPr marL="3200400" algn="l" defTabSz="914400" rtl="0" eaLnBrk="1" latinLnBrk="0" hangingPunct="1">
              <a:defRPr kern="1200">
                <a:solidFill>
                  <a:schemeClr val="tx1"/>
                </a:solidFill>
                <a:latin typeface="Calibri" pitchFamily="34" charset="0"/>
                <a:ea typeface="MS PGothic" pitchFamily="34" charset="-128"/>
                <a:cs typeface="+mn-cs"/>
              </a:defRPr>
            </a:lvl8pPr>
            <a:lvl9pPr marL="3657600" algn="l" defTabSz="914400" rtl="0" eaLnBrk="1" latinLnBrk="0" hangingPunct="1">
              <a:defRPr kern="1200">
                <a:solidFill>
                  <a:schemeClr val="tx1"/>
                </a:solidFill>
                <a:latin typeface="Calibri" pitchFamily="34" charset="0"/>
                <a:ea typeface="MS PGothic" pitchFamily="34" charset="-128"/>
                <a:cs typeface="+mn-cs"/>
              </a:defRPr>
            </a:lvl9pPr>
          </a:lstStyle>
          <a:p>
            <a:endParaRPr lang="es-CO"/>
          </a:p>
        </xdr:txBody>
      </xdr:sp>
      <xdr:sp macro="" textlink="">
        <xdr:nvSpPr>
          <xdr:cNvPr id="21" name="Text Box 61">
            <a:extLst>
              <a:ext uri="{FF2B5EF4-FFF2-40B4-BE49-F238E27FC236}">
                <a16:creationId xmlns:a16="http://schemas.microsoft.com/office/drawing/2014/main" id="{00000000-0008-0000-0100-000015000000}"/>
              </a:ext>
            </a:extLst>
          </xdr:cNvPr>
          <xdr:cNvSpPr txBox="1">
            <a:spLocks noChangeArrowheads="1"/>
          </xdr:cNvSpPr>
        </xdr:nvSpPr>
        <xdr:spPr bwMode="auto">
          <a:xfrm>
            <a:off x="838200" y="4848212"/>
            <a:ext cx="3899606" cy="430889"/>
          </a:xfrm>
          <a:prstGeom prst="rect">
            <a:avLst/>
          </a:prstGeom>
          <a:noFill/>
          <a:ln w="9525">
            <a:noFill/>
            <a:miter lim="800000"/>
            <a:headEnd/>
            <a:tailEnd/>
          </a:ln>
          <a:effectLst/>
        </xdr:spPr>
        <xdr:txBody>
          <a:bodyPr wrap="square">
            <a:spAutoFit/>
          </a:bodyPr>
          <a:lstStyle>
            <a:defPPr>
              <a:defRPr lang="es-ES"/>
            </a:defPPr>
            <a:lvl1pPr algn="l" defTabSz="457200" rtl="0" fontAlgn="base">
              <a:spcBef>
                <a:spcPct val="0"/>
              </a:spcBef>
              <a:spcAft>
                <a:spcPct val="0"/>
              </a:spcAft>
              <a:defRPr kern="1200">
                <a:solidFill>
                  <a:schemeClr val="tx1"/>
                </a:solidFill>
                <a:latin typeface="Calibri" pitchFamily="34" charset="0"/>
                <a:ea typeface="MS PGothic" pitchFamily="34" charset="-128"/>
                <a:cs typeface="+mn-cs"/>
              </a:defRPr>
            </a:lvl1pPr>
            <a:lvl2pPr marL="4572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2pPr>
            <a:lvl3pPr marL="9144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3pPr>
            <a:lvl4pPr marL="13716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4pPr>
            <a:lvl5pPr marL="18288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5pPr>
            <a:lvl6pPr marL="2286000" algn="l" defTabSz="914400" rtl="0" eaLnBrk="1" latinLnBrk="0" hangingPunct="1">
              <a:defRPr kern="1200">
                <a:solidFill>
                  <a:schemeClr val="tx1"/>
                </a:solidFill>
                <a:latin typeface="Calibri" pitchFamily="34" charset="0"/>
                <a:ea typeface="MS PGothic" pitchFamily="34" charset="-128"/>
                <a:cs typeface="+mn-cs"/>
              </a:defRPr>
            </a:lvl6pPr>
            <a:lvl7pPr marL="2743200" algn="l" defTabSz="914400" rtl="0" eaLnBrk="1" latinLnBrk="0" hangingPunct="1">
              <a:defRPr kern="1200">
                <a:solidFill>
                  <a:schemeClr val="tx1"/>
                </a:solidFill>
                <a:latin typeface="Calibri" pitchFamily="34" charset="0"/>
                <a:ea typeface="MS PGothic" pitchFamily="34" charset="-128"/>
                <a:cs typeface="+mn-cs"/>
              </a:defRPr>
            </a:lvl7pPr>
            <a:lvl8pPr marL="3200400" algn="l" defTabSz="914400" rtl="0" eaLnBrk="1" latinLnBrk="0" hangingPunct="1">
              <a:defRPr kern="1200">
                <a:solidFill>
                  <a:schemeClr val="tx1"/>
                </a:solidFill>
                <a:latin typeface="Calibri" pitchFamily="34" charset="0"/>
                <a:ea typeface="MS PGothic" pitchFamily="34" charset="-128"/>
                <a:cs typeface="+mn-cs"/>
              </a:defRPr>
            </a:lvl8pPr>
            <a:lvl9pPr marL="3657600" algn="l" defTabSz="914400" rtl="0" eaLnBrk="1" latinLnBrk="0" hangingPunct="1">
              <a:defRPr kern="1200">
                <a:solidFill>
                  <a:schemeClr val="tx1"/>
                </a:solidFill>
                <a:latin typeface="Calibri" pitchFamily="34" charset="0"/>
                <a:ea typeface="MS PGothic" pitchFamily="34" charset="-128"/>
                <a:cs typeface="+mn-cs"/>
              </a:defRPr>
            </a:lvl9pPr>
          </a:lstStyle>
          <a:p>
            <a:pPr>
              <a:spcBef>
                <a:spcPct val="50000"/>
              </a:spcBef>
            </a:pPr>
            <a:r>
              <a:rPr lang="es-MX" sz="1400" b="1">
                <a:latin typeface="Tahoma" pitchFamily="34" charset="0"/>
              </a:rPr>
              <a:t>Flujo de Caja Libre Operacional</a:t>
            </a:r>
            <a:endParaRPr lang="en-US" sz="1400" b="1">
              <a:latin typeface="Tahoma" pitchFamily="34" charset="0"/>
            </a:endParaRPr>
          </a:p>
        </xdr:txBody>
      </xdr:sp>
      <xdr:sp macro="" textlink="">
        <xdr:nvSpPr>
          <xdr:cNvPr id="22" name="Text Box 46">
            <a:extLst>
              <a:ext uri="{FF2B5EF4-FFF2-40B4-BE49-F238E27FC236}">
                <a16:creationId xmlns:a16="http://schemas.microsoft.com/office/drawing/2014/main" id="{00000000-0008-0000-0100-000016000000}"/>
              </a:ext>
            </a:extLst>
          </xdr:cNvPr>
          <xdr:cNvSpPr txBox="1">
            <a:spLocks noChangeArrowheads="1"/>
          </xdr:cNvSpPr>
        </xdr:nvSpPr>
        <xdr:spPr bwMode="auto">
          <a:xfrm>
            <a:off x="862010" y="5143512"/>
            <a:ext cx="3352800" cy="304800"/>
          </a:xfrm>
          <a:prstGeom prst="rect">
            <a:avLst/>
          </a:prstGeom>
          <a:noFill/>
          <a:ln w="9525">
            <a:noFill/>
            <a:miter lim="800000"/>
            <a:headEnd/>
            <a:tailEnd/>
          </a:ln>
          <a:effectLst/>
        </xdr:spPr>
        <xdr:txBody>
          <a:bodyPr wrap="square">
            <a:spAutoFit/>
          </a:bodyPr>
          <a:lstStyle>
            <a:defPPr>
              <a:defRPr lang="es-ES"/>
            </a:defPPr>
            <a:lvl1pPr algn="l" defTabSz="457200" rtl="0" fontAlgn="base">
              <a:spcBef>
                <a:spcPct val="0"/>
              </a:spcBef>
              <a:spcAft>
                <a:spcPct val="0"/>
              </a:spcAft>
              <a:defRPr kern="1200">
                <a:solidFill>
                  <a:schemeClr val="tx1"/>
                </a:solidFill>
                <a:latin typeface="Calibri" pitchFamily="34" charset="0"/>
                <a:ea typeface="MS PGothic" pitchFamily="34" charset="-128"/>
                <a:cs typeface="+mn-cs"/>
              </a:defRPr>
            </a:lvl1pPr>
            <a:lvl2pPr marL="4572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2pPr>
            <a:lvl3pPr marL="9144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3pPr>
            <a:lvl4pPr marL="13716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4pPr>
            <a:lvl5pPr marL="18288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5pPr>
            <a:lvl6pPr marL="2286000" algn="l" defTabSz="914400" rtl="0" eaLnBrk="1" latinLnBrk="0" hangingPunct="1">
              <a:defRPr kern="1200">
                <a:solidFill>
                  <a:schemeClr val="tx1"/>
                </a:solidFill>
                <a:latin typeface="Calibri" pitchFamily="34" charset="0"/>
                <a:ea typeface="MS PGothic" pitchFamily="34" charset="-128"/>
                <a:cs typeface="+mn-cs"/>
              </a:defRPr>
            </a:lvl6pPr>
            <a:lvl7pPr marL="2743200" algn="l" defTabSz="914400" rtl="0" eaLnBrk="1" latinLnBrk="0" hangingPunct="1">
              <a:defRPr kern="1200">
                <a:solidFill>
                  <a:schemeClr val="tx1"/>
                </a:solidFill>
                <a:latin typeface="Calibri" pitchFamily="34" charset="0"/>
                <a:ea typeface="MS PGothic" pitchFamily="34" charset="-128"/>
                <a:cs typeface="+mn-cs"/>
              </a:defRPr>
            </a:lvl7pPr>
            <a:lvl8pPr marL="3200400" algn="l" defTabSz="914400" rtl="0" eaLnBrk="1" latinLnBrk="0" hangingPunct="1">
              <a:defRPr kern="1200">
                <a:solidFill>
                  <a:schemeClr val="tx1"/>
                </a:solidFill>
                <a:latin typeface="Calibri" pitchFamily="34" charset="0"/>
                <a:ea typeface="MS PGothic" pitchFamily="34" charset="-128"/>
                <a:cs typeface="+mn-cs"/>
              </a:defRPr>
            </a:lvl8pPr>
            <a:lvl9pPr marL="3657600" algn="l" defTabSz="914400" rtl="0" eaLnBrk="1" latinLnBrk="0" hangingPunct="1">
              <a:defRPr kern="1200">
                <a:solidFill>
                  <a:schemeClr val="tx1"/>
                </a:solidFill>
                <a:latin typeface="Calibri" pitchFamily="34" charset="0"/>
                <a:ea typeface="MS PGothic" pitchFamily="34" charset="-128"/>
                <a:cs typeface="+mn-cs"/>
              </a:defRPr>
            </a:lvl9pPr>
          </a:lstStyle>
          <a:p>
            <a:pPr>
              <a:spcBef>
                <a:spcPct val="50000"/>
              </a:spcBef>
            </a:pPr>
            <a:r>
              <a:rPr lang="es-MX" sz="1400">
                <a:latin typeface="Tahoma" pitchFamily="34" charset="0"/>
              </a:rPr>
              <a:t>Pago del Servicio de la Deuda</a:t>
            </a:r>
            <a:endParaRPr lang="en-US" sz="1400">
              <a:latin typeface="Tahoma" pitchFamily="34" charset="0"/>
            </a:endParaRPr>
          </a:p>
        </xdr:txBody>
      </xdr:sp>
      <xdr:sp macro="" textlink="">
        <xdr:nvSpPr>
          <xdr:cNvPr id="23" name="AutoShape 47">
            <a:extLst>
              <a:ext uri="{FF2B5EF4-FFF2-40B4-BE49-F238E27FC236}">
                <a16:creationId xmlns:a16="http://schemas.microsoft.com/office/drawing/2014/main" id="{00000000-0008-0000-0100-000017000000}"/>
              </a:ext>
            </a:extLst>
          </xdr:cNvPr>
          <xdr:cNvSpPr>
            <a:spLocks noChangeArrowheads="1"/>
          </xdr:cNvSpPr>
        </xdr:nvSpPr>
        <xdr:spPr bwMode="auto">
          <a:xfrm>
            <a:off x="481010" y="5240111"/>
            <a:ext cx="304800" cy="228599"/>
          </a:xfrm>
          <a:prstGeom prst="roundRect">
            <a:avLst>
              <a:gd name="adj" fmla="val 16667"/>
            </a:avLst>
          </a:prstGeom>
          <a:ln>
            <a:headEnd/>
            <a:tailEnd/>
          </a:ln>
        </xdr:spPr>
        <xdr:style>
          <a:lnRef idx="1">
            <a:schemeClr val="accent6"/>
          </a:lnRef>
          <a:fillRef idx="3">
            <a:schemeClr val="accent6"/>
          </a:fillRef>
          <a:effectRef idx="2">
            <a:schemeClr val="accent6"/>
          </a:effectRef>
          <a:fontRef idx="minor">
            <a:schemeClr val="lt1"/>
          </a:fontRef>
        </xdr:style>
        <xdr:txBody>
          <a:bodyPr wrap="square" anchor="ctr"/>
          <a:lstStyle>
            <a:defPPr>
              <a:defRPr lang="es-ES"/>
            </a:defPPr>
            <a:lvl1pPr algn="l" defTabSz="457200" rtl="0" fontAlgn="base">
              <a:spcBef>
                <a:spcPct val="0"/>
              </a:spcBef>
              <a:spcAft>
                <a:spcPct val="0"/>
              </a:spcAft>
              <a:defRPr kern="1200">
                <a:solidFill>
                  <a:schemeClr val="lt1"/>
                </a:solidFill>
                <a:latin typeface="+mn-lt"/>
                <a:ea typeface="+mn-ea"/>
                <a:cs typeface="+mn-cs"/>
              </a:defRPr>
            </a:lvl1pPr>
            <a:lvl2pPr marL="457200" algn="l" defTabSz="457200" rtl="0" fontAlgn="base">
              <a:spcBef>
                <a:spcPct val="0"/>
              </a:spcBef>
              <a:spcAft>
                <a:spcPct val="0"/>
              </a:spcAft>
              <a:defRPr kern="1200">
                <a:solidFill>
                  <a:schemeClr val="lt1"/>
                </a:solidFill>
                <a:latin typeface="+mn-lt"/>
                <a:ea typeface="+mn-ea"/>
                <a:cs typeface="+mn-cs"/>
              </a:defRPr>
            </a:lvl2pPr>
            <a:lvl3pPr marL="914400" algn="l" defTabSz="457200" rtl="0" fontAlgn="base">
              <a:spcBef>
                <a:spcPct val="0"/>
              </a:spcBef>
              <a:spcAft>
                <a:spcPct val="0"/>
              </a:spcAft>
              <a:defRPr kern="1200">
                <a:solidFill>
                  <a:schemeClr val="lt1"/>
                </a:solidFill>
                <a:latin typeface="+mn-lt"/>
                <a:ea typeface="+mn-ea"/>
                <a:cs typeface="+mn-cs"/>
              </a:defRPr>
            </a:lvl3pPr>
            <a:lvl4pPr marL="1371600" algn="l" defTabSz="457200" rtl="0" fontAlgn="base">
              <a:spcBef>
                <a:spcPct val="0"/>
              </a:spcBef>
              <a:spcAft>
                <a:spcPct val="0"/>
              </a:spcAft>
              <a:defRPr kern="1200">
                <a:solidFill>
                  <a:schemeClr val="lt1"/>
                </a:solidFill>
                <a:latin typeface="+mn-lt"/>
                <a:ea typeface="+mn-ea"/>
                <a:cs typeface="+mn-cs"/>
              </a:defRPr>
            </a:lvl4pPr>
            <a:lvl5pPr marL="1828800" algn="l" defTabSz="457200"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r>
              <a:rPr lang="es-MX" b="1">
                <a:solidFill>
                  <a:schemeClr val="bg1"/>
                </a:solidFill>
                <a:latin typeface="Tahoma" pitchFamily="34" charset="0"/>
              </a:rPr>
              <a:t>-</a:t>
            </a:r>
            <a:endParaRPr lang="en-US" b="1">
              <a:solidFill>
                <a:schemeClr val="bg1"/>
              </a:solidFill>
              <a:latin typeface="Tahoma" pitchFamily="34" charset="0"/>
            </a:endParaRPr>
          </a:p>
        </xdr:txBody>
      </xdr:sp>
      <xdr:sp macro="" textlink="">
        <xdr:nvSpPr>
          <xdr:cNvPr id="24" name="Line 60">
            <a:extLst>
              <a:ext uri="{FF2B5EF4-FFF2-40B4-BE49-F238E27FC236}">
                <a16:creationId xmlns:a16="http://schemas.microsoft.com/office/drawing/2014/main" id="{00000000-0008-0000-0100-000018000000}"/>
              </a:ext>
            </a:extLst>
          </xdr:cNvPr>
          <xdr:cNvSpPr>
            <a:spLocks noChangeShapeType="1"/>
          </xdr:cNvSpPr>
        </xdr:nvSpPr>
        <xdr:spPr bwMode="auto">
          <a:xfrm>
            <a:off x="938209" y="5537937"/>
            <a:ext cx="3276600" cy="0"/>
          </a:xfrm>
          <a:prstGeom prst="line">
            <a:avLst/>
          </a:prstGeom>
          <a:noFill/>
          <a:ln w="9525">
            <a:solidFill>
              <a:schemeClr val="tx1"/>
            </a:solidFill>
            <a:round/>
            <a:headEnd/>
            <a:tailEnd/>
          </a:ln>
          <a:effectLst/>
        </xdr:spPr>
        <xdr:txBody>
          <a:bodyPr wrap="square"/>
          <a:lstStyle>
            <a:defPPr>
              <a:defRPr lang="es-ES"/>
            </a:defPPr>
            <a:lvl1pPr algn="l" defTabSz="457200" rtl="0" fontAlgn="base">
              <a:spcBef>
                <a:spcPct val="0"/>
              </a:spcBef>
              <a:spcAft>
                <a:spcPct val="0"/>
              </a:spcAft>
              <a:defRPr kern="1200">
                <a:solidFill>
                  <a:schemeClr val="tx1"/>
                </a:solidFill>
                <a:latin typeface="Calibri" pitchFamily="34" charset="0"/>
                <a:ea typeface="MS PGothic" pitchFamily="34" charset="-128"/>
                <a:cs typeface="+mn-cs"/>
              </a:defRPr>
            </a:lvl1pPr>
            <a:lvl2pPr marL="4572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2pPr>
            <a:lvl3pPr marL="9144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3pPr>
            <a:lvl4pPr marL="13716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4pPr>
            <a:lvl5pPr marL="18288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5pPr>
            <a:lvl6pPr marL="2286000" algn="l" defTabSz="914400" rtl="0" eaLnBrk="1" latinLnBrk="0" hangingPunct="1">
              <a:defRPr kern="1200">
                <a:solidFill>
                  <a:schemeClr val="tx1"/>
                </a:solidFill>
                <a:latin typeface="Calibri" pitchFamily="34" charset="0"/>
                <a:ea typeface="MS PGothic" pitchFamily="34" charset="-128"/>
                <a:cs typeface="+mn-cs"/>
              </a:defRPr>
            </a:lvl6pPr>
            <a:lvl7pPr marL="2743200" algn="l" defTabSz="914400" rtl="0" eaLnBrk="1" latinLnBrk="0" hangingPunct="1">
              <a:defRPr kern="1200">
                <a:solidFill>
                  <a:schemeClr val="tx1"/>
                </a:solidFill>
                <a:latin typeface="Calibri" pitchFamily="34" charset="0"/>
                <a:ea typeface="MS PGothic" pitchFamily="34" charset="-128"/>
                <a:cs typeface="+mn-cs"/>
              </a:defRPr>
            </a:lvl7pPr>
            <a:lvl8pPr marL="3200400" algn="l" defTabSz="914400" rtl="0" eaLnBrk="1" latinLnBrk="0" hangingPunct="1">
              <a:defRPr kern="1200">
                <a:solidFill>
                  <a:schemeClr val="tx1"/>
                </a:solidFill>
                <a:latin typeface="Calibri" pitchFamily="34" charset="0"/>
                <a:ea typeface="MS PGothic" pitchFamily="34" charset="-128"/>
                <a:cs typeface="+mn-cs"/>
              </a:defRPr>
            </a:lvl8pPr>
            <a:lvl9pPr marL="3657600" algn="l" defTabSz="914400" rtl="0" eaLnBrk="1" latinLnBrk="0" hangingPunct="1">
              <a:defRPr kern="1200">
                <a:solidFill>
                  <a:schemeClr val="tx1"/>
                </a:solidFill>
                <a:latin typeface="Calibri" pitchFamily="34" charset="0"/>
                <a:ea typeface="MS PGothic" pitchFamily="34" charset="-128"/>
                <a:cs typeface="+mn-cs"/>
              </a:defRPr>
            </a:lvl9pPr>
          </a:lstStyle>
          <a:p>
            <a:endParaRPr lang="es-CO"/>
          </a:p>
        </xdr:txBody>
      </xdr:sp>
      <xdr:sp macro="" textlink="">
        <xdr:nvSpPr>
          <xdr:cNvPr id="25" name="Text Box 61">
            <a:extLst>
              <a:ext uri="{FF2B5EF4-FFF2-40B4-BE49-F238E27FC236}">
                <a16:creationId xmlns:a16="http://schemas.microsoft.com/office/drawing/2014/main" id="{00000000-0008-0000-0100-000019000000}"/>
              </a:ext>
            </a:extLst>
          </xdr:cNvPr>
          <xdr:cNvSpPr txBox="1">
            <a:spLocks noChangeArrowheads="1"/>
          </xdr:cNvSpPr>
        </xdr:nvSpPr>
        <xdr:spPr bwMode="auto">
          <a:xfrm>
            <a:off x="862010" y="5505464"/>
            <a:ext cx="4495808" cy="307777"/>
          </a:xfrm>
          <a:prstGeom prst="rect">
            <a:avLst/>
          </a:prstGeom>
          <a:noFill/>
          <a:ln w="9525">
            <a:noFill/>
            <a:miter lim="800000"/>
            <a:headEnd/>
            <a:tailEnd/>
          </a:ln>
          <a:effectLst/>
        </xdr:spPr>
        <xdr:txBody>
          <a:bodyPr wrap="square">
            <a:spAutoFit/>
          </a:bodyPr>
          <a:lstStyle>
            <a:defPPr>
              <a:defRPr lang="es-ES"/>
            </a:defPPr>
            <a:lvl1pPr algn="l" defTabSz="457200" rtl="0" fontAlgn="base">
              <a:spcBef>
                <a:spcPct val="0"/>
              </a:spcBef>
              <a:spcAft>
                <a:spcPct val="0"/>
              </a:spcAft>
              <a:defRPr kern="1200">
                <a:solidFill>
                  <a:schemeClr val="tx1"/>
                </a:solidFill>
                <a:latin typeface="Calibri" pitchFamily="34" charset="0"/>
                <a:ea typeface="MS PGothic" pitchFamily="34" charset="-128"/>
                <a:cs typeface="+mn-cs"/>
              </a:defRPr>
            </a:lvl1pPr>
            <a:lvl2pPr marL="4572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2pPr>
            <a:lvl3pPr marL="9144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3pPr>
            <a:lvl4pPr marL="13716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4pPr>
            <a:lvl5pPr marL="1828800" algn="l" defTabSz="457200" rtl="0" fontAlgn="base">
              <a:spcBef>
                <a:spcPct val="0"/>
              </a:spcBef>
              <a:spcAft>
                <a:spcPct val="0"/>
              </a:spcAft>
              <a:defRPr kern="1200">
                <a:solidFill>
                  <a:schemeClr val="tx1"/>
                </a:solidFill>
                <a:latin typeface="Calibri" pitchFamily="34" charset="0"/>
                <a:ea typeface="MS PGothic" pitchFamily="34" charset="-128"/>
                <a:cs typeface="+mn-cs"/>
              </a:defRPr>
            </a:lvl5pPr>
            <a:lvl6pPr marL="2286000" algn="l" defTabSz="914400" rtl="0" eaLnBrk="1" latinLnBrk="0" hangingPunct="1">
              <a:defRPr kern="1200">
                <a:solidFill>
                  <a:schemeClr val="tx1"/>
                </a:solidFill>
                <a:latin typeface="Calibri" pitchFamily="34" charset="0"/>
                <a:ea typeface="MS PGothic" pitchFamily="34" charset="-128"/>
                <a:cs typeface="+mn-cs"/>
              </a:defRPr>
            </a:lvl6pPr>
            <a:lvl7pPr marL="2743200" algn="l" defTabSz="914400" rtl="0" eaLnBrk="1" latinLnBrk="0" hangingPunct="1">
              <a:defRPr kern="1200">
                <a:solidFill>
                  <a:schemeClr val="tx1"/>
                </a:solidFill>
                <a:latin typeface="Calibri" pitchFamily="34" charset="0"/>
                <a:ea typeface="MS PGothic" pitchFamily="34" charset="-128"/>
                <a:cs typeface="+mn-cs"/>
              </a:defRPr>
            </a:lvl7pPr>
            <a:lvl8pPr marL="3200400" algn="l" defTabSz="914400" rtl="0" eaLnBrk="1" latinLnBrk="0" hangingPunct="1">
              <a:defRPr kern="1200">
                <a:solidFill>
                  <a:schemeClr val="tx1"/>
                </a:solidFill>
                <a:latin typeface="Calibri" pitchFamily="34" charset="0"/>
                <a:ea typeface="MS PGothic" pitchFamily="34" charset="-128"/>
                <a:cs typeface="+mn-cs"/>
              </a:defRPr>
            </a:lvl8pPr>
            <a:lvl9pPr marL="3657600" algn="l" defTabSz="914400" rtl="0" eaLnBrk="1" latinLnBrk="0" hangingPunct="1">
              <a:defRPr kern="1200">
                <a:solidFill>
                  <a:schemeClr val="tx1"/>
                </a:solidFill>
                <a:latin typeface="Calibri" pitchFamily="34" charset="0"/>
                <a:ea typeface="MS PGothic" pitchFamily="34" charset="-128"/>
                <a:cs typeface="+mn-cs"/>
              </a:defRPr>
            </a:lvl9pPr>
          </a:lstStyle>
          <a:p>
            <a:pPr>
              <a:spcBef>
                <a:spcPct val="50000"/>
              </a:spcBef>
            </a:pPr>
            <a:r>
              <a:rPr lang="es-MX" sz="1400" b="1">
                <a:latin typeface="Tahoma" pitchFamily="34" charset="0"/>
              </a:rPr>
              <a:t>FC Disponible para los socios</a:t>
            </a:r>
            <a:endParaRPr lang="en-US" sz="1400" b="1">
              <a:latin typeface="Tahoma" pitchFamily="34" charset="0"/>
            </a:endParaRPr>
          </a:p>
        </xdr:txBody>
      </xdr:sp>
    </xdr:grpSp>
    <xdr:clientData/>
  </xdr:twoCellAnchor>
  <xdr:twoCellAnchor>
    <xdr:from>
      <xdr:col>18</xdr:col>
      <xdr:colOff>7041</xdr:colOff>
      <xdr:row>67</xdr:row>
      <xdr:rowOff>0</xdr:rowOff>
    </xdr:from>
    <xdr:to>
      <xdr:col>22</xdr:col>
      <xdr:colOff>395795</xdr:colOff>
      <xdr:row>69</xdr:row>
      <xdr:rowOff>33601</xdr:rowOff>
    </xdr:to>
    <mc:AlternateContent xmlns:mc="http://schemas.openxmlformats.org/markup-compatibility/2006" xmlns:a14="http://schemas.microsoft.com/office/drawing/2010/main">
      <mc:Choice Requires="a14">
        <xdr:sp macro="" textlink="">
          <xdr:nvSpPr>
            <xdr:cNvPr id="26" name="4 CuadroTexto">
              <a:extLst>
                <a:ext uri="{FF2B5EF4-FFF2-40B4-BE49-F238E27FC236}">
                  <a16:creationId xmlns:a16="http://schemas.microsoft.com/office/drawing/2014/main" id="{00000000-0008-0000-0100-00001A000000}"/>
                </a:ext>
              </a:extLst>
            </xdr:cNvPr>
            <xdr:cNvSpPr txBox="1"/>
          </xdr:nvSpPr>
          <xdr:spPr>
            <a:xfrm>
              <a:off x="23819541" y="13503088"/>
              <a:ext cx="3784136" cy="414601"/>
            </a:xfrm>
            <a:prstGeom prst="rect">
              <a:avLst/>
            </a:prstGeom>
          </xdr:spPr>
          <xdr:style>
            <a:lnRef idx="1">
              <a:schemeClr val="accent1"/>
            </a:lnRef>
            <a:fillRef idx="3">
              <a:schemeClr val="accent1"/>
            </a:fillRef>
            <a:effectRef idx="2">
              <a:schemeClr val="accent1"/>
            </a:effectRef>
            <a:fontRef idx="minor">
              <a:schemeClr val="lt1"/>
            </a:fontRef>
          </xdr:style>
          <xdr:txBody>
            <a:bodyPr wrap="square" rtlCol="0">
              <a:spAutoFit/>
            </a:bodyPr>
            <a:lstStyle>
              <a:defPPr>
                <a:defRPr lang="es-ES"/>
              </a:defPPr>
              <a:lvl1pPr algn="l" defTabSz="457200" rtl="0" fontAlgn="base">
                <a:spcBef>
                  <a:spcPct val="0"/>
                </a:spcBef>
                <a:spcAft>
                  <a:spcPct val="0"/>
                </a:spcAft>
                <a:defRPr kern="1200">
                  <a:solidFill>
                    <a:schemeClr val="lt1"/>
                  </a:solidFill>
                  <a:latin typeface="+mn-lt"/>
                  <a:ea typeface="+mn-ea"/>
                  <a:cs typeface="+mn-cs"/>
                </a:defRPr>
              </a:lvl1pPr>
              <a:lvl2pPr marL="457200" algn="l" defTabSz="457200" rtl="0" fontAlgn="base">
                <a:spcBef>
                  <a:spcPct val="0"/>
                </a:spcBef>
                <a:spcAft>
                  <a:spcPct val="0"/>
                </a:spcAft>
                <a:defRPr kern="1200">
                  <a:solidFill>
                    <a:schemeClr val="lt1"/>
                  </a:solidFill>
                  <a:latin typeface="+mn-lt"/>
                  <a:ea typeface="+mn-ea"/>
                  <a:cs typeface="+mn-cs"/>
                </a:defRPr>
              </a:lvl2pPr>
              <a:lvl3pPr marL="914400" algn="l" defTabSz="457200" rtl="0" fontAlgn="base">
                <a:spcBef>
                  <a:spcPct val="0"/>
                </a:spcBef>
                <a:spcAft>
                  <a:spcPct val="0"/>
                </a:spcAft>
                <a:defRPr kern="1200">
                  <a:solidFill>
                    <a:schemeClr val="lt1"/>
                  </a:solidFill>
                  <a:latin typeface="+mn-lt"/>
                  <a:ea typeface="+mn-ea"/>
                  <a:cs typeface="+mn-cs"/>
                </a:defRPr>
              </a:lvl3pPr>
              <a:lvl4pPr marL="1371600" algn="l" defTabSz="457200" rtl="0" fontAlgn="base">
                <a:spcBef>
                  <a:spcPct val="0"/>
                </a:spcBef>
                <a:spcAft>
                  <a:spcPct val="0"/>
                </a:spcAft>
                <a:defRPr kern="1200">
                  <a:solidFill>
                    <a:schemeClr val="lt1"/>
                  </a:solidFill>
                  <a:latin typeface="+mn-lt"/>
                  <a:ea typeface="+mn-ea"/>
                  <a:cs typeface="+mn-cs"/>
                </a:defRPr>
              </a:lvl4pPr>
              <a:lvl5pPr marL="1828800" algn="l" defTabSz="457200"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14:m>
                <m:oMathPara xmlns:m="http://schemas.openxmlformats.org/officeDocument/2006/math">
                  <m:oMathParaPr>
                    <m:jc m:val="centerGroup"/>
                  </m:oMathParaPr>
                  <m:oMath xmlns:m="http://schemas.openxmlformats.org/officeDocument/2006/math">
                    <m:r>
                      <a:rPr lang="es-CO" b="1" i="1">
                        <a:latin typeface="Cambria Math"/>
                      </a:rPr>
                      <m:t>𝑪𝒙𝑪</m:t>
                    </m:r>
                    <m:r>
                      <a:rPr lang="es-CO" b="1" i="1">
                        <a:latin typeface="Cambria Math"/>
                      </a:rPr>
                      <m:t>=</m:t>
                    </m:r>
                    <m:r>
                      <a:rPr lang="es-CO" b="1" i="1">
                        <a:latin typeface="Cambria Math"/>
                      </a:rPr>
                      <m:t>𝑽𝒆𝒏𝒕𝒂𝒔</m:t>
                    </m:r>
                    <m:r>
                      <a:rPr lang="es-CO" b="1" i="1">
                        <a:latin typeface="Cambria Math"/>
                      </a:rPr>
                      <m:t> </m:t>
                    </m:r>
                    <m:r>
                      <a:rPr lang="es-CO" b="1" i="1">
                        <a:latin typeface="Cambria Math"/>
                      </a:rPr>
                      <m:t>𝒂</m:t>
                    </m:r>
                    <m:r>
                      <a:rPr lang="es-CO" b="1" i="1">
                        <a:latin typeface="Cambria Math"/>
                      </a:rPr>
                      <m:t> </m:t>
                    </m:r>
                    <m:r>
                      <a:rPr lang="es-CO" b="1" i="1">
                        <a:latin typeface="Cambria Math"/>
                      </a:rPr>
                      <m:t>𝒄𝒓</m:t>
                    </m:r>
                    <m:r>
                      <a:rPr lang="es-CO" b="1" i="1">
                        <a:latin typeface="Cambria Math"/>
                      </a:rPr>
                      <m:t>é</m:t>
                    </m:r>
                    <m:r>
                      <a:rPr lang="es-CO" b="1" i="1">
                        <a:latin typeface="Cambria Math"/>
                      </a:rPr>
                      <m:t>𝒅𝒊𝒕𝒐</m:t>
                    </m:r>
                    <m:r>
                      <a:rPr lang="es-CO" b="1" i="1">
                        <a:latin typeface="Cambria Math"/>
                      </a:rPr>
                      <m:t> </m:t>
                    </m:r>
                    <m:r>
                      <a:rPr lang="es-CO" b="1" i="1">
                        <a:latin typeface="Cambria Math"/>
                      </a:rPr>
                      <m:t>𝒙</m:t>
                    </m:r>
                    <m:f>
                      <m:fPr>
                        <m:ctrlPr>
                          <a:rPr lang="es-CO" b="1" i="1">
                            <a:latin typeface="Cambria Math" panose="02040503050406030204" pitchFamily="18" charset="0"/>
                          </a:rPr>
                        </m:ctrlPr>
                      </m:fPr>
                      <m:num>
                        <m:r>
                          <a:rPr lang="es-CO" b="1" i="1">
                            <a:latin typeface="Cambria Math"/>
                          </a:rPr>
                          <m:t>𝑫</m:t>
                        </m:r>
                        <m:r>
                          <a:rPr lang="es-CO" b="1" i="1">
                            <a:latin typeface="Cambria Math"/>
                          </a:rPr>
                          <m:t>í</m:t>
                        </m:r>
                        <m:r>
                          <a:rPr lang="es-CO" b="1" i="1">
                            <a:latin typeface="Cambria Math"/>
                          </a:rPr>
                          <m:t>𝒂𝒔</m:t>
                        </m:r>
                        <m:r>
                          <a:rPr lang="es-CO" b="1" i="1">
                            <a:latin typeface="Cambria Math"/>
                          </a:rPr>
                          <m:t> </m:t>
                        </m:r>
                        <m:r>
                          <a:rPr lang="es-CO" b="1" i="1">
                            <a:latin typeface="Cambria Math"/>
                          </a:rPr>
                          <m:t>𝒅𝒆</m:t>
                        </m:r>
                        <m:r>
                          <a:rPr lang="es-CO" b="1" i="1">
                            <a:latin typeface="Cambria Math"/>
                          </a:rPr>
                          <m:t> </m:t>
                        </m:r>
                        <m:r>
                          <a:rPr lang="es-CO" b="1" i="1">
                            <a:latin typeface="Cambria Math"/>
                          </a:rPr>
                          <m:t>𝑪𝒙𝑪</m:t>
                        </m:r>
                      </m:num>
                      <m:den>
                        <m:r>
                          <a:rPr lang="es-CO" b="1" i="1">
                            <a:latin typeface="Cambria Math"/>
                          </a:rPr>
                          <m:t>𝟑𝟔𝟎</m:t>
                        </m:r>
                        <m:r>
                          <a:rPr lang="es-CO" b="1" i="1">
                            <a:latin typeface="Cambria Math"/>
                          </a:rPr>
                          <m:t> </m:t>
                        </m:r>
                        <m:r>
                          <a:rPr lang="es-CO" b="1" i="1">
                            <a:latin typeface="Cambria Math"/>
                          </a:rPr>
                          <m:t>𝒅</m:t>
                        </m:r>
                        <m:r>
                          <a:rPr lang="es-CO" b="1" i="1">
                            <a:latin typeface="Cambria Math"/>
                          </a:rPr>
                          <m:t>í</m:t>
                        </m:r>
                        <m:r>
                          <a:rPr lang="es-CO" b="1" i="1">
                            <a:latin typeface="Cambria Math"/>
                          </a:rPr>
                          <m:t>𝒂𝒔</m:t>
                        </m:r>
                      </m:den>
                    </m:f>
                  </m:oMath>
                </m:oMathPara>
              </a14:m>
              <a:endParaRPr lang="es-CO" b="1"/>
            </a:p>
          </xdr:txBody>
        </xdr:sp>
      </mc:Choice>
      <mc:Fallback xmlns="">
        <xdr:sp macro="" textlink="">
          <xdr:nvSpPr>
            <xdr:cNvPr id="26" name="4 CuadroTexto">
              <a:extLst>
                <a:ext uri="{FF2B5EF4-FFF2-40B4-BE49-F238E27FC236}">
                  <a16:creationId xmlns:a16="http://schemas.microsoft.com/office/drawing/2014/main" xmlns:a14="http://schemas.microsoft.com/office/drawing/2010/main" xmlns="" id="{00000000-0008-0000-0200-000017000000}"/>
                </a:ext>
              </a:extLst>
            </xdr:cNvPr>
            <xdr:cNvSpPr txBox="1"/>
          </xdr:nvSpPr>
          <xdr:spPr>
            <a:xfrm>
              <a:off x="23819541" y="13503088"/>
              <a:ext cx="3784136" cy="414601"/>
            </a:xfrm>
            <a:prstGeom prst="rect">
              <a:avLst/>
            </a:prstGeom>
          </xdr:spPr>
          <xdr:style>
            <a:lnRef idx="1">
              <a:schemeClr val="accent1"/>
            </a:lnRef>
            <a:fillRef idx="3">
              <a:schemeClr val="accent1"/>
            </a:fillRef>
            <a:effectRef idx="2">
              <a:schemeClr val="accent1"/>
            </a:effectRef>
            <a:fontRef idx="minor">
              <a:schemeClr val="lt1"/>
            </a:fontRef>
          </xdr:style>
          <xdr:txBody>
            <a:bodyPr wrap="square" rtlCol="0">
              <a:spAutoFit/>
            </a:bodyPr>
            <a:lstStyle>
              <a:defPPr>
                <a:defRPr lang="es-ES"/>
              </a:defPPr>
              <a:lvl1pPr algn="l" defTabSz="457200" rtl="0" fontAlgn="base">
                <a:spcBef>
                  <a:spcPct val="0"/>
                </a:spcBef>
                <a:spcAft>
                  <a:spcPct val="0"/>
                </a:spcAft>
                <a:defRPr kern="1200">
                  <a:solidFill>
                    <a:schemeClr val="lt1"/>
                  </a:solidFill>
                  <a:latin typeface="+mn-lt"/>
                  <a:ea typeface="+mn-ea"/>
                  <a:cs typeface="+mn-cs"/>
                </a:defRPr>
              </a:lvl1pPr>
              <a:lvl2pPr marL="457200" algn="l" defTabSz="457200" rtl="0" fontAlgn="base">
                <a:spcBef>
                  <a:spcPct val="0"/>
                </a:spcBef>
                <a:spcAft>
                  <a:spcPct val="0"/>
                </a:spcAft>
                <a:defRPr kern="1200">
                  <a:solidFill>
                    <a:schemeClr val="lt1"/>
                  </a:solidFill>
                  <a:latin typeface="+mn-lt"/>
                  <a:ea typeface="+mn-ea"/>
                  <a:cs typeface="+mn-cs"/>
                </a:defRPr>
              </a:lvl2pPr>
              <a:lvl3pPr marL="914400" algn="l" defTabSz="457200" rtl="0" fontAlgn="base">
                <a:spcBef>
                  <a:spcPct val="0"/>
                </a:spcBef>
                <a:spcAft>
                  <a:spcPct val="0"/>
                </a:spcAft>
                <a:defRPr kern="1200">
                  <a:solidFill>
                    <a:schemeClr val="lt1"/>
                  </a:solidFill>
                  <a:latin typeface="+mn-lt"/>
                  <a:ea typeface="+mn-ea"/>
                  <a:cs typeface="+mn-cs"/>
                </a:defRPr>
              </a:lvl3pPr>
              <a:lvl4pPr marL="1371600" algn="l" defTabSz="457200" rtl="0" fontAlgn="base">
                <a:spcBef>
                  <a:spcPct val="0"/>
                </a:spcBef>
                <a:spcAft>
                  <a:spcPct val="0"/>
                </a:spcAft>
                <a:defRPr kern="1200">
                  <a:solidFill>
                    <a:schemeClr val="lt1"/>
                  </a:solidFill>
                  <a:latin typeface="+mn-lt"/>
                  <a:ea typeface="+mn-ea"/>
                  <a:cs typeface="+mn-cs"/>
                </a:defRPr>
              </a:lvl4pPr>
              <a:lvl5pPr marL="1828800" algn="l" defTabSz="457200"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r>
                <a:rPr lang="es-CO" b="1" i="0">
                  <a:latin typeface="Cambria Math"/>
                </a:rPr>
                <a:t>𝑪𝒙𝑪=𝑽𝒆𝒏𝒕𝒂𝒔 𝒂 𝒄𝒓é𝒅𝒊𝒕𝒐 𝒙 </a:t>
              </a:r>
              <a:r>
                <a:rPr lang="es-CO" b="1" i="0">
                  <a:latin typeface="Cambria Math" panose="02040503050406030204" pitchFamily="18" charset="0"/>
                </a:rPr>
                <a:t>(</a:t>
              </a:r>
              <a:r>
                <a:rPr lang="es-CO" b="1" i="0">
                  <a:latin typeface="Cambria Math"/>
                </a:rPr>
                <a:t>𝑫í𝒂𝒔 𝒅𝒆 𝑪𝒙𝑪</a:t>
              </a:r>
              <a:r>
                <a:rPr lang="es-CO" b="1" i="0">
                  <a:latin typeface="Cambria Math" panose="02040503050406030204" pitchFamily="18" charset="0"/>
                </a:rPr>
                <a:t>)/(</a:t>
              </a:r>
              <a:r>
                <a:rPr lang="es-CO" b="1" i="0">
                  <a:latin typeface="Cambria Math"/>
                </a:rPr>
                <a:t>𝟑𝟔𝟎 𝒅í𝒂𝒔</a:t>
              </a:r>
              <a:r>
                <a:rPr lang="es-CO" b="1" i="0">
                  <a:latin typeface="Cambria Math" panose="02040503050406030204" pitchFamily="18" charset="0"/>
                </a:rPr>
                <a:t>)</a:t>
              </a:r>
              <a:endParaRPr lang="es-CO" b="1"/>
            </a:p>
          </xdr:txBody>
        </xdr:sp>
      </mc:Fallback>
    </mc:AlternateContent>
    <xdr:clientData/>
  </xdr:twoCellAnchor>
  <xdr:twoCellAnchor>
    <xdr:from>
      <xdr:col>18</xdr:col>
      <xdr:colOff>0</xdr:colOff>
      <xdr:row>70</xdr:row>
      <xdr:rowOff>77238</xdr:rowOff>
    </xdr:from>
    <xdr:to>
      <xdr:col>24</xdr:col>
      <xdr:colOff>112109</xdr:colOff>
      <xdr:row>73</xdr:row>
      <xdr:rowOff>110839</xdr:rowOff>
    </xdr:to>
    <mc:AlternateContent xmlns:mc="http://schemas.openxmlformats.org/markup-compatibility/2006" xmlns:a14="http://schemas.microsoft.com/office/drawing/2010/main">
      <mc:Choice Requires="a14">
        <xdr:sp macro="" textlink="">
          <xdr:nvSpPr>
            <xdr:cNvPr id="27" name="5 CuadroTexto">
              <a:extLst>
                <a:ext uri="{FF2B5EF4-FFF2-40B4-BE49-F238E27FC236}">
                  <a16:creationId xmlns:a16="http://schemas.microsoft.com/office/drawing/2014/main" id="{00000000-0008-0000-0100-00001B000000}"/>
                </a:ext>
              </a:extLst>
            </xdr:cNvPr>
            <xdr:cNvSpPr txBox="1"/>
          </xdr:nvSpPr>
          <xdr:spPr>
            <a:xfrm>
              <a:off x="26708100" y="11812038"/>
              <a:ext cx="5207984" cy="576526"/>
            </a:xfrm>
            <a:prstGeom prst="rect">
              <a:avLst/>
            </a:prstGeom>
          </xdr:spPr>
          <xdr:style>
            <a:lnRef idx="1">
              <a:schemeClr val="accent1"/>
            </a:lnRef>
            <a:fillRef idx="3">
              <a:schemeClr val="accent1"/>
            </a:fillRef>
            <a:effectRef idx="2">
              <a:schemeClr val="accent1"/>
            </a:effectRef>
            <a:fontRef idx="minor">
              <a:schemeClr val="lt1"/>
            </a:fontRef>
          </xdr:style>
          <xdr:txBody>
            <a:bodyPr wrap="square" rtlCol="0">
              <a:spAutoFit/>
            </a:bodyPr>
            <a:lstStyle>
              <a:defPPr>
                <a:defRPr lang="es-ES"/>
              </a:defPPr>
              <a:lvl1pPr algn="l" defTabSz="457200" rtl="0" fontAlgn="base">
                <a:spcBef>
                  <a:spcPct val="0"/>
                </a:spcBef>
                <a:spcAft>
                  <a:spcPct val="0"/>
                </a:spcAft>
                <a:defRPr kern="1200">
                  <a:solidFill>
                    <a:schemeClr val="lt1"/>
                  </a:solidFill>
                  <a:latin typeface="+mn-lt"/>
                  <a:ea typeface="+mn-ea"/>
                  <a:cs typeface="+mn-cs"/>
                </a:defRPr>
              </a:lvl1pPr>
              <a:lvl2pPr marL="457200" algn="l" defTabSz="457200" rtl="0" fontAlgn="base">
                <a:spcBef>
                  <a:spcPct val="0"/>
                </a:spcBef>
                <a:spcAft>
                  <a:spcPct val="0"/>
                </a:spcAft>
                <a:defRPr kern="1200">
                  <a:solidFill>
                    <a:schemeClr val="lt1"/>
                  </a:solidFill>
                  <a:latin typeface="+mn-lt"/>
                  <a:ea typeface="+mn-ea"/>
                  <a:cs typeface="+mn-cs"/>
                </a:defRPr>
              </a:lvl2pPr>
              <a:lvl3pPr marL="914400" algn="l" defTabSz="457200" rtl="0" fontAlgn="base">
                <a:spcBef>
                  <a:spcPct val="0"/>
                </a:spcBef>
                <a:spcAft>
                  <a:spcPct val="0"/>
                </a:spcAft>
                <a:defRPr kern="1200">
                  <a:solidFill>
                    <a:schemeClr val="lt1"/>
                  </a:solidFill>
                  <a:latin typeface="+mn-lt"/>
                  <a:ea typeface="+mn-ea"/>
                  <a:cs typeface="+mn-cs"/>
                </a:defRPr>
              </a:lvl3pPr>
              <a:lvl4pPr marL="1371600" algn="l" defTabSz="457200" rtl="0" fontAlgn="base">
                <a:spcBef>
                  <a:spcPct val="0"/>
                </a:spcBef>
                <a:spcAft>
                  <a:spcPct val="0"/>
                </a:spcAft>
                <a:defRPr kern="1200">
                  <a:solidFill>
                    <a:schemeClr val="lt1"/>
                  </a:solidFill>
                  <a:latin typeface="+mn-lt"/>
                  <a:ea typeface="+mn-ea"/>
                  <a:cs typeface="+mn-cs"/>
                </a:defRPr>
              </a:lvl4pPr>
              <a:lvl5pPr marL="1828800" algn="l" defTabSz="457200"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14:m>
                <m:oMathPara xmlns:m="http://schemas.openxmlformats.org/officeDocument/2006/math">
                  <m:oMathParaPr>
                    <m:jc m:val="centerGroup"/>
                  </m:oMathParaPr>
                  <m:oMath xmlns:m="http://schemas.openxmlformats.org/officeDocument/2006/math">
                    <m:r>
                      <a:rPr lang="es-CO" b="1" i="1">
                        <a:latin typeface="Cambria Math"/>
                      </a:rPr>
                      <m:t>𝑰𝒏𝒗𝒆𝒏𝒕𝒂𝒓𝒊𝒐𝒔</m:t>
                    </m:r>
                    <m:r>
                      <a:rPr lang="es-CO" b="1" i="1">
                        <a:latin typeface="Cambria Math"/>
                      </a:rPr>
                      <m:t>=</m:t>
                    </m:r>
                    <m:r>
                      <a:rPr lang="es-CO" b="1" i="1">
                        <a:latin typeface="Cambria Math"/>
                      </a:rPr>
                      <m:t>𝑪𝒐𝒔𝒕𝒐𝒔</m:t>
                    </m:r>
                    <m:r>
                      <a:rPr lang="es-CO" b="1" i="1">
                        <a:latin typeface="Cambria Math"/>
                      </a:rPr>
                      <m:t> </m:t>
                    </m:r>
                    <m:r>
                      <a:rPr lang="es-CO" b="1" i="1">
                        <a:latin typeface="Cambria Math"/>
                      </a:rPr>
                      <m:t>𝒆𝒇𝒆𝒄𝒕𝒊𝒗𝒐𝒔</m:t>
                    </m:r>
                    <m:r>
                      <a:rPr lang="es-CO" b="1" i="1">
                        <a:latin typeface="Cambria Math"/>
                      </a:rPr>
                      <m:t> </m:t>
                    </m:r>
                    <m:r>
                      <a:rPr lang="es-CO" b="1" i="1">
                        <a:latin typeface="Cambria Math"/>
                      </a:rPr>
                      <m:t>𝒙</m:t>
                    </m:r>
                    <m:f>
                      <m:fPr>
                        <m:ctrlPr>
                          <a:rPr lang="es-CO" b="1" i="1">
                            <a:latin typeface="Cambria Math" panose="02040503050406030204" pitchFamily="18" charset="0"/>
                          </a:rPr>
                        </m:ctrlPr>
                      </m:fPr>
                      <m:num>
                        <m:r>
                          <a:rPr lang="es-CO" b="1" i="1">
                            <a:latin typeface="Cambria Math"/>
                          </a:rPr>
                          <m:t>𝑫</m:t>
                        </m:r>
                        <m:r>
                          <a:rPr lang="es-CO" b="1" i="1">
                            <a:latin typeface="Cambria Math"/>
                          </a:rPr>
                          <m:t>í</m:t>
                        </m:r>
                        <m:r>
                          <a:rPr lang="es-CO" b="1" i="1">
                            <a:latin typeface="Cambria Math"/>
                          </a:rPr>
                          <m:t>𝒂𝒔</m:t>
                        </m:r>
                        <m:r>
                          <a:rPr lang="es-CO" b="1" i="1">
                            <a:latin typeface="Cambria Math"/>
                          </a:rPr>
                          <m:t> </m:t>
                        </m:r>
                        <m:r>
                          <a:rPr lang="es-CO" b="1" i="1">
                            <a:latin typeface="Cambria Math"/>
                          </a:rPr>
                          <m:t>𝒅𝒆</m:t>
                        </m:r>
                        <m:r>
                          <a:rPr lang="es-CO" b="1" i="1">
                            <a:latin typeface="Cambria Math"/>
                          </a:rPr>
                          <m:t> </m:t>
                        </m:r>
                        <m:r>
                          <a:rPr lang="es-CO" b="1" i="1">
                            <a:latin typeface="Cambria Math"/>
                          </a:rPr>
                          <m:t>𝑰𝒏𝒗𝒆𝒏𝒕𝒂𝒓𝒊𝒐𝒔</m:t>
                        </m:r>
                      </m:num>
                      <m:den>
                        <m:r>
                          <a:rPr lang="es-CO" b="1" i="1">
                            <a:latin typeface="Cambria Math"/>
                          </a:rPr>
                          <m:t>𝟑𝟔𝟎</m:t>
                        </m:r>
                        <m:r>
                          <a:rPr lang="es-CO" b="1" i="1">
                            <a:latin typeface="Cambria Math"/>
                          </a:rPr>
                          <m:t> </m:t>
                        </m:r>
                        <m:r>
                          <a:rPr lang="es-CO" b="1" i="1">
                            <a:latin typeface="Cambria Math"/>
                          </a:rPr>
                          <m:t>𝒅</m:t>
                        </m:r>
                        <m:r>
                          <a:rPr lang="es-CO" b="1" i="1">
                            <a:latin typeface="Cambria Math"/>
                          </a:rPr>
                          <m:t>í</m:t>
                        </m:r>
                        <m:r>
                          <a:rPr lang="es-CO" b="1" i="1">
                            <a:latin typeface="Cambria Math"/>
                          </a:rPr>
                          <m:t>𝒂𝒔</m:t>
                        </m:r>
                      </m:den>
                    </m:f>
                  </m:oMath>
                </m:oMathPara>
              </a14:m>
              <a:endParaRPr lang="es-CO" b="1"/>
            </a:p>
          </xdr:txBody>
        </xdr:sp>
      </mc:Choice>
      <mc:Fallback xmlns="">
        <xdr:sp macro="" textlink="">
          <xdr:nvSpPr>
            <xdr:cNvPr id="27" name="5 CuadroTexto">
              <a:extLst>
                <a:ext uri="{FF2B5EF4-FFF2-40B4-BE49-F238E27FC236}">
                  <a16:creationId xmlns:a16="http://schemas.microsoft.com/office/drawing/2014/main" id="{00000000-0008-0000-0100-00001B000000}"/>
                </a:ext>
              </a:extLst>
            </xdr:cNvPr>
            <xdr:cNvSpPr txBox="1"/>
          </xdr:nvSpPr>
          <xdr:spPr>
            <a:xfrm>
              <a:off x="26708100" y="11812038"/>
              <a:ext cx="5207984" cy="576526"/>
            </a:xfrm>
            <a:prstGeom prst="rect">
              <a:avLst/>
            </a:prstGeom>
          </xdr:spPr>
          <xdr:style>
            <a:lnRef idx="1">
              <a:schemeClr val="accent1"/>
            </a:lnRef>
            <a:fillRef idx="3">
              <a:schemeClr val="accent1"/>
            </a:fillRef>
            <a:effectRef idx="2">
              <a:schemeClr val="accent1"/>
            </a:effectRef>
            <a:fontRef idx="minor">
              <a:schemeClr val="lt1"/>
            </a:fontRef>
          </xdr:style>
          <xdr:txBody>
            <a:bodyPr wrap="square" rtlCol="0">
              <a:spAutoFit/>
            </a:bodyPr>
            <a:lstStyle>
              <a:defPPr>
                <a:defRPr lang="es-ES"/>
              </a:defPPr>
              <a:lvl1pPr algn="l" defTabSz="457200" rtl="0" fontAlgn="base">
                <a:spcBef>
                  <a:spcPct val="0"/>
                </a:spcBef>
                <a:spcAft>
                  <a:spcPct val="0"/>
                </a:spcAft>
                <a:defRPr kern="1200">
                  <a:solidFill>
                    <a:schemeClr val="lt1"/>
                  </a:solidFill>
                  <a:latin typeface="+mn-lt"/>
                  <a:ea typeface="+mn-ea"/>
                  <a:cs typeface="+mn-cs"/>
                </a:defRPr>
              </a:lvl1pPr>
              <a:lvl2pPr marL="457200" algn="l" defTabSz="457200" rtl="0" fontAlgn="base">
                <a:spcBef>
                  <a:spcPct val="0"/>
                </a:spcBef>
                <a:spcAft>
                  <a:spcPct val="0"/>
                </a:spcAft>
                <a:defRPr kern="1200">
                  <a:solidFill>
                    <a:schemeClr val="lt1"/>
                  </a:solidFill>
                  <a:latin typeface="+mn-lt"/>
                  <a:ea typeface="+mn-ea"/>
                  <a:cs typeface="+mn-cs"/>
                </a:defRPr>
              </a:lvl2pPr>
              <a:lvl3pPr marL="914400" algn="l" defTabSz="457200" rtl="0" fontAlgn="base">
                <a:spcBef>
                  <a:spcPct val="0"/>
                </a:spcBef>
                <a:spcAft>
                  <a:spcPct val="0"/>
                </a:spcAft>
                <a:defRPr kern="1200">
                  <a:solidFill>
                    <a:schemeClr val="lt1"/>
                  </a:solidFill>
                  <a:latin typeface="+mn-lt"/>
                  <a:ea typeface="+mn-ea"/>
                  <a:cs typeface="+mn-cs"/>
                </a:defRPr>
              </a:lvl3pPr>
              <a:lvl4pPr marL="1371600" algn="l" defTabSz="457200" rtl="0" fontAlgn="base">
                <a:spcBef>
                  <a:spcPct val="0"/>
                </a:spcBef>
                <a:spcAft>
                  <a:spcPct val="0"/>
                </a:spcAft>
                <a:defRPr kern="1200">
                  <a:solidFill>
                    <a:schemeClr val="lt1"/>
                  </a:solidFill>
                  <a:latin typeface="+mn-lt"/>
                  <a:ea typeface="+mn-ea"/>
                  <a:cs typeface="+mn-cs"/>
                </a:defRPr>
              </a:lvl4pPr>
              <a:lvl5pPr marL="1828800" algn="l" defTabSz="457200"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r>
                <a:rPr lang="es-CO" b="1" i="0">
                  <a:latin typeface="Cambria Math"/>
                </a:rPr>
                <a:t>𝑰𝒏𝒗𝒆𝒏𝒕𝒂𝒓𝒊𝒐𝒔=𝑪𝒐𝒔𝒕𝒐𝒔 𝒆𝒇𝒆𝒄𝒕𝒊𝒗𝒐𝒔 𝒙 </a:t>
              </a:r>
              <a:r>
                <a:rPr lang="es-CO" b="1" i="0">
                  <a:latin typeface="Cambria Math" panose="02040503050406030204" pitchFamily="18" charset="0"/>
                </a:rPr>
                <a:t>(</a:t>
              </a:r>
              <a:r>
                <a:rPr lang="es-CO" b="1" i="0">
                  <a:latin typeface="Cambria Math"/>
                </a:rPr>
                <a:t>𝑫í𝒂𝒔 𝒅𝒆 𝑰𝒏𝒗𝒆𝒏𝒕𝒂𝒓𝒊𝒐𝒔</a:t>
              </a:r>
              <a:r>
                <a:rPr lang="es-CO" b="1" i="0">
                  <a:latin typeface="Cambria Math" panose="02040503050406030204" pitchFamily="18" charset="0"/>
                </a:rPr>
                <a:t>)/(</a:t>
              </a:r>
              <a:r>
                <a:rPr lang="es-CO" b="1" i="0">
                  <a:latin typeface="Cambria Math"/>
                </a:rPr>
                <a:t>𝟑𝟔𝟎 𝒅í𝒂𝒔</a:t>
              </a:r>
              <a:r>
                <a:rPr lang="es-CO" b="1" i="0">
                  <a:latin typeface="Cambria Math" panose="02040503050406030204" pitchFamily="18" charset="0"/>
                </a:rPr>
                <a:t>)</a:t>
              </a:r>
              <a:endParaRPr lang="es-CO" b="1"/>
            </a:p>
          </xdr:txBody>
        </xdr:sp>
      </mc:Fallback>
    </mc:AlternateContent>
    <xdr:clientData/>
  </xdr:twoCellAnchor>
  <xdr:twoCellAnchor>
    <xdr:from>
      <xdr:col>18</xdr:col>
      <xdr:colOff>1668</xdr:colOff>
      <xdr:row>76</xdr:row>
      <xdr:rowOff>9821</xdr:rowOff>
    </xdr:from>
    <xdr:to>
      <xdr:col>24</xdr:col>
      <xdr:colOff>615526</xdr:colOff>
      <xdr:row>78</xdr:row>
      <xdr:rowOff>43422</xdr:rowOff>
    </xdr:to>
    <mc:AlternateContent xmlns:mc="http://schemas.openxmlformats.org/markup-compatibility/2006" xmlns:a14="http://schemas.microsoft.com/office/drawing/2010/main">
      <mc:Choice Requires="a14">
        <xdr:sp macro="" textlink="">
          <xdr:nvSpPr>
            <xdr:cNvPr id="28" name="7 CuadroTexto">
              <a:extLst>
                <a:ext uri="{FF2B5EF4-FFF2-40B4-BE49-F238E27FC236}">
                  <a16:creationId xmlns:a16="http://schemas.microsoft.com/office/drawing/2014/main" id="{00000000-0008-0000-0100-00001C000000}"/>
                </a:ext>
              </a:extLst>
            </xdr:cNvPr>
            <xdr:cNvSpPr txBox="1"/>
          </xdr:nvSpPr>
          <xdr:spPr>
            <a:xfrm>
              <a:off x="23814168" y="14846409"/>
              <a:ext cx="5533240" cy="414601"/>
            </a:xfrm>
            <a:prstGeom prst="rect">
              <a:avLst/>
            </a:prstGeom>
          </xdr:spPr>
          <xdr:style>
            <a:lnRef idx="1">
              <a:schemeClr val="accent1"/>
            </a:lnRef>
            <a:fillRef idx="3">
              <a:schemeClr val="accent1"/>
            </a:fillRef>
            <a:effectRef idx="2">
              <a:schemeClr val="accent1"/>
            </a:effectRef>
            <a:fontRef idx="minor">
              <a:schemeClr val="lt1"/>
            </a:fontRef>
          </xdr:style>
          <xdr:txBody>
            <a:bodyPr wrap="square" rtlCol="0">
              <a:spAutoFit/>
            </a:bodyPr>
            <a:lstStyle>
              <a:defPPr>
                <a:defRPr lang="es-ES"/>
              </a:defPPr>
              <a:lvl1pPr algn="l" defTabSz="457200" rtl="0" fontAlgn="base">
                <a:spcBef>
                  <a:spcPct val="0"/>
                </a:spcBef>
                <a:spcAft>
                  <a:spcPct val="0"/>
                </a:spcAft>
                <a:defRPr kern="1200">
                  <a:solidFill>
                    <a:schemeClr val="lt1"/>
                  </a:solidFill>
                  <a:latin typeface="+mn-lt"/>
                  <a:ea typeface="+mn-ea"/>
                  <a:cs typeface="+mn-cs"/>
                </a:defRPr>
              </a:lvl1pPr>
              <a:lvl2pPr marL="457200" algn="l" defTabSz="457200" rtl="0" fontAlgn="base">
                <a:spcBef>
                  <a:spcPct val="0"/>
                </a:spcBef>
                <a:spcAft>
                  <a:spcPct val="0"/>
                </a:spcAft>
                <a:defRPr kern="1200">
                  <a:solidFill>
                    <a:schemeClr val="lt1"/>
                  </a:solidFill>
                  <a:latin typeface="+mn-lt"/>
                  <a:ea typeface="+mn-ea"/>
                  <a:cs typeface="+mn-cs"/>
                </a:defRPr>
              </a:lvl2pPr>
              <a:lvl3pPr marL="914400" algn="l" defTabSz="457200" rtl="0" fontAlgn="base">
                <a:spcBef>
                  <a:spcPct val="0"/>
                </a:spcBef>
                <a:spcAft>
                  <a:spcPct val="0"/>
                </a:spcAft>
                <a:defRPr kern="1200">
                  <a:solidFill>
                    <a:schemeClr val="lt1"/>
                  </a:solidFill>
                  <a:latin typeface="+mn-lt"/>
                  <a:ea typeface="+mn-ea"/>
                  <a:cs typeface="+mn-cs"/>
                </a:defRPr>
              </a:lvl3pPr>
              <a:lvl4pPr marL="1371600" algn="l" defTabSz="457200" rtl="0" fontAlgn="base">
                <a:spcBef>
                  <a:spcPct val="0"/>
                </a:spcBef>
                <a:spcAft>
                  <a:spcPct val="0"/>
                </a:spcAft>
                <a:defRPr kern="1200">
                  <a:solidFill>
                    <a:schemeClr val="lt1"/>
                  </a:solidFill>
                  <a:latin typeface="+mn-lt"/>
                  <a:ea typeface="+mn-ea"/>
                  <a:cs typeface="+mn-cs"/>
                </a:defRPr>
              </a:lvl4pPr>
              <a:lvl5pPr marL="1828800" algn="l" defTabSz="457200"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14:m>
                <m:oMathPara xmlns:m="http://schemas.openxmlformats.org/officeDocument/2006/math">
                  <m:oMathParaPr>
                    <m:jc m:val="centerGroup"/>
                  </m:oMathParaPr>
                  <m:oMath xmlns:m="http://schemas.openxmlformats.org/officeDocument/2006/math">
                    <m:r>
                      <a:rPr lang="es-CO" b="1" i="1">
                        <a:latin typeface="Cambria Math"/>
                      </a:rPr>
                      <m:t>𝑪𝒙𝑷</m:t>
                    </m:r>
                    <m:r>
                      <a:rPr lang="es-CO" b="1" i="1">
                        <a:latin typeface="Cambria Math"/>
                      </a:rPr>
                      <m:t>=</m:t>
                    </m:r>
                    <m:r>
                      <a:rPr lang="es-CO" b="1" i="1">
                        <a:latin typeface="Cambria Math"/>
                      </a:rPr>
                      <m:t>𝑪𝒐𝒔𝒕𝒐𝒔</m:t>
                    </m:r>
                    <m:r>
                      <a:rPr lang="es-CO" b="1" i="1">
                        <a:latin typeface="Cambria Math"/>
                      </a:rPr>
                      <m:t> </m:t>
                    </m:r>
                    <m:r>
                      <a:rPr lang="es-CO" b="1" i="1">
                        <a:latin typeface="Cambria Math"/>
                      </a:rPr>
                      <m:t>𝒚</m:t>
                    </m:r>
                    <m:r>
                      <a:rPr lang="es-CO" b="1" i="1">
                        <a:latin typeface="Cambria Math"/>
                      </a:rPr>
                      <m:t> </m:t>
                    </m:r>
                    <m:r>
                      <a:rPr lang="es-CO" b="1" i="1">
                        <a:latin typeface="Cambria Math"/>
                      </a:rPr>
                      <m:t>𝒈𝒂𝒔𝒕𝒐𝒔</m:t>
                    </m:r>
                    <m:r>
                      <a:rPr lang="es-CO" b="1" i="1">
                        <a:latin typeface="Cambria Math"/>
                      </a:rPr>
                      <m:t> </m:t>
                    </m:r>
                    <m:r>
                      <a:rPr lang="es-CO" b="1" i="1">
                        <a:latin typeface="Cambria Math"/>
                      </a:rPr>
                      <m:t>𝒅𝒆</m:t>
                    </m:r>
                    <m:r>
                      <a:rPr lang="es-CO" b="1" i="1">
                        <a:latin typeface="Cambria Math"/>
                      </a:rPr>
                      <m:t> </m:t>
                    </m:r>
                    <m:r>
                      <a:rPr lang="es-CO" b="1" i="1">
                        <a:latin typeface="Cambria Math"/>
                      </a:rPr>
                      <m:t>𝒂𝒅𝒎</m:t>
                    </m:r>
                    <m:r>
                      <a:rPr lang="es-CO" b="1" i="1">
                        <a:latin typeface="Cambria Math"/>
                      </a:rPr>
                      <m:t> </m:t>
                    </m:r>
                    <m:r>
                      <a:rPr lang="es-CO" b="1" i="1">
                        <a:latin typeface="Cambria Math"/>
                      </a:rPr>
                      <m:t>𝒚</m:t>
                    </m:r>
                    <m:r>
                      <a:rPr lang="es-CO" b="1" i="1">
                        <a:latin typeface="Cambria Math"/>
                      </a:rPr>
                      <m:t> </m:t>
                    </m:r>
                    <m:r>
                      <a:rPr lang="es-CO" b="1" i="1">
                        <a:latin typeface="Cambria Math"/>
                      </a:rPr>
                      <m:t>𝒗𝒕𝒂𝒔</m:t>
                    </m:r>
                    <m:r>
                      <a:rPr lang="es-CO" b="1" i="1">
                        <a:latin typeface="Cambria Math"/>
                      </a:rPr>
                      <m:t> </m:t>
                    </m:r>
                    <m:r>
                      <a:rPr lang="es-CO" b="1" i="1">
                        <a:latin typeface="Cambria Math"/>
                      </a:rPr>
                      <m:t>𝒆𝒇𝒆𝒄𝒕𝒊𝒗𝒐𝒔</m:t>
                    </m:r>
                    <m:r>
                      <a:rPr lang="es-CO" b="1" i="1">
                        <a:latin typeface="Cambria Math"/>
                      </a:rPr>
                      <m:t> </m:t>
                    </m:r>
                    <m:r>
                      <a:rPr lang="es-CO" b="1" i="1">
                        <a:latin typeface="Cambria Math"/>
                      </a:rPr>
                      <m:t>𝒙</m:t>
                    </m:r>
                    <m:f>
                      <m:fPr>
                        <m:ctrlPr>
                          <a:rPr lang="es-CO" b="1" i="1">
                            <a:latin typeface="Cambria Math" panose="02040503050406030204" pitchFamily="18" charset="0"/>
                          </a:rPr>
                        </m:ctrlPr>
                      </m:fPr>
                      <m:num>
                        <m:r>
                          <a:rPr lang="es-CO" b="1" i="1">
                            <a:latin typeface="Cambria Math"/>
                          </a:rPr>
                          <m:t>𝑫</m:t>
                        </m:r>
                        <m:r>
                          <a:rPr lang="es-CO" b="1" i="1">
                            <a:latin typeface="Cambria Math"/>
                          </a:rPr>
                          <m:t>í</m:t>
                        </m:r>
                        <m:r>
                          <a:rPr lang="es-CO" b="1" i="1">
                            <a:latin typeface="Cambria Math"/>
                          </a:rPr>
                          <m:t>𝒂𝒔</m:t>
                        </m:r>
                        <m:r>
                          <a:rPr lang="es-CO" b="1" i="1">
                            <a:latin typeface="Cambria Math"/>
                          </a:rPr>
                          <m:t> </m:t>
                        </m:r>
                        <m:r>
                          <a:rPr lang="es-CO" b="1" i="1">
                            <a:latin typeface="Cambria Math"/>
                          </a:rPr>
                          <m:t>𝒅𝒆</m:t>
                        </m:r>
                        <m:r>
                          <a:rPr lang="es-CO" b="1" i="1">
                            <a:latin typeface="Cambria Math"/>
                          </a:rPr>
                          <m:t> </m:t>
                        </m:r>
                        <m:r>
                          <a:rPr lang="es-CO" b="1" i="1">
                            <a:latin typeface="Cambria Math"/>
                          </a:rPr>
                          <m:t>𝑪𝒙𝑷</m:t>
                        </m:r>
                      </m:num>
                      <m:den>
                        <m:r>
                          <a:rPr lang="es-CO" b="1" i="1">
                            <a:latin typeface="Cambria Math"/>
                          </a:rPr>
                          <m:t>𝟑𝟔𝟎</m:t>
                        </m:r>
                        <m:r>
                          <a:rPr lang="es-CO" b="1" i="1">
                            <a:latin typeface="Cambria Math"/>
                          </a:rPr>
                          <m:t> </m:t>
                        </m:r>
                        <m:r>
                          <a:rPr lang="es-CO" b="1" i="1">
                            <a:latin typeface="Cambria Math"/>
                          </a:rPr>
                          <m:t>𝒅</m:t>
                        </m:r>
                        <m:r>
                          <a:rPr lang="es-CO" b="1" i="1">
                            <a:latin typeface="Cambria Math"/>
                          </a:rPr>
                          <m:t>í</m:t>
                        </m:r>
                        <m:r>
                          <a:rPr lang="es-CO" b="1" i="1">
                            <a:latin typeface="Cambria Math"/>
                          </a:rPr>
                          <m:t>𝒂𝒔</m:t>
                        </m:r>
                      </m:den>
                    </m:f>
                  </m:oMath>
                </m:oMathPara>
              </a14:m>
              <a:endParaRPr lang="es-CO" b="1"/>
            </a:p>
          </xdr:txBody>
        </xdr:sp>
      </mc:Choice>
      <mc:Fallback xmlns="">
        <xdr:sp macro="" textlink="">
          <xdr:nvSpPr>
            <xdr:cNvPr id="28" name="7 CuadroTexto">
              <a:extLst>
                <a:ext uri="{FF2B5EF4-FFF2-40B4-BE49-F238E27FC236}">
                  <a16:creationId xmlns:a16="http://schemas.microsoft.com/office/drawing/2014/main" xmlns:a14="http://schemas.microsoft.com/office/drawing/2010/main" xmlns="" id="{00000000-0008-0000-0200-000019000000}"/>
                </a:ext>
              </a:extLst>
            </xdr:cNvPr>
            <xdr:cNvSpPr txBox="1"/>
          </xdr:nvSpPr>
          <xdr:spPr>
            <a:xfrm>
              <a:off x="23814168" y="14846409"/>
              <a:ext cx="5533240" cy="414601"/>
            </a:xfrm>
            <a:prstGeom prst="rect">
              <a:avLst/>
            </a:prstGeom>
          </xdr:spPr>
          <xdr:style>
            <a:lnRef idx="1">
              <a:schemeClr val="accent1"/>
            </a:lnRef>
            <a:fillRef idx="3">
              <a:schemeClr val="accent1"/>
            </a:fillRef>
            <a:effectRef idx="2">
              <a:schemeClr val="accent1"/>
            </a:effectRef>
            <a:fontRef idx="minor">
              <a:schemeClr val="lt1"/>
            </a:fontRef>
          </xdr:style>
          <xdr:txBody>
            <a:bodyPr wrap="square" rtlCol="0">
              <a:spAutoFit/>
            </a:bodyPr>
            <a:lstStyle>
              <a:defPPr>
                <a:defRPr lang="es-ES"/>
              </a:defPPr>
              <a:lvl1pPr algn="l" defTabSz="457200" rtl="0" fontAlgn="base">
                <a:spcBef>
                  <a:spcPct val="0"/>
                </a:spcBef>
                <a:spcAft>
                  <a:spcPct val="0"/>
                </a:spcAft>
                <a:defRPr kern="1200">
                  <a:solidFill>
                    <a:schemeClr val="lt1"/>
                  </a:solidFill>
                  <a:latin typeface="+mn-lt"/>
                  <a:ea typeface="+mn-ea"/>
                  <a:cs typeface="+mn-cs"/>
                </a:defRPr>
              </a:lvl1pPr>
              <a:lvl2pPr marL="457200" algn="l" defTabSz="457200" rtl="0" fontAlgn="base">
                <a:spcBef>
                  <a:spcPct val="0"/>
                </a:spcBef>
                <a:spcAft>
                  <a:spcPct val="0"/>
                </a:spcAft>
                <a:defRPr kern="1200">
                  <a:solidFill>
                    <a:schemeClr val="lt1"/>
                  </a:solidFill>
                  <a:latin typeface="+mn-lt"/>
                  <a:ea typeface="+mn-ea"/>
                  <a:cs typeface="+mn-cs"/>
                </a:defRPr>
              </a:lvl2pPr>
              <a:lvl3pPr marL="914400" algn="l" defTabSz="457200" rtl="0" fontAlgn="base">
                <a:spcBef>
                  <a:spcPct val="0"/>
                </a:spcBef>
                <a:spcAft>
                  <a:spcPct val="0"/>
                </a:spcAft>
                <a:defRPr kern="1200">
                  <a:solidFill>
                    <a:schemeClr val="lt1"/>
                  </a:solidFill>
                  <a:latin typeface="+mn-lt"/>
                  <a:ea typeface="+mn-ea"/>
                  <a:cs typeface="+mn-cs"/>
                </a:defRPr>
              </a:lvl3pPr>
              <a:lvl4pPr marL="1371600" algn="l" defTabSz="457200" rtl="0" fontAlgn="base">
                <a:spcBef>
                  <a:spcPct val="0"/>
                </a:spcBef>
                <a:spcAft>
                  <a:spcPct val="0"/>
                </a:spcAft>
                <a:defRPr kern="1200">
                  <a:solidFill>
                    <a:schemeClr val="lt1"/>
                  </a:solidFill>
                  <a:latin typeface="+mn-lt"/>
                  <a:ea typeface="+mn-ea"/>
                  <a:cs typeface="+mn-cs"/>
                </a:defRPr>
              </a:lvl4pPr>
              <a:lvl5pPr marL="1828800" algn="l" defTabSz="457200"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r>
                <a:rPr lang="es-CO" b="1" i="0">
                  <a:latin typeface="Cambria Math"/>
                </a:rPr>
                <a:t>𝑪𝒙𝑷=𝑪𝒐𝒔𝒕𝒐𝒔 𝒚 𝒈𝒂𝒔𝒕𝒐𝒔 𝒅𝒆 𝒂𝒅𝒎 𝒚 𝒗𝒕𝒂𝒔 𝒆𝒇𝒆𝒄𝒕𝒊𝒗𝒐𝒔 𝒙 </a:t>
              </a:r>
              <a:r>
                <a:rPr lang="es-CO" b="1" i="0">
                  <a:latin typeface="Cambria Math" panose="02040503050406030204" pitchFamily="18" charset="0"/>
                </a:rPr>
                <a:t>(</a:t>
              </a:r>
              <a:r>
                <a:rPr lang="es-CO" b="1" i="0">
                  <a:latin typeface="Cambria Math"/>
                </a:rPr>
                <a:t>𝑫í𝒂𝒔 𝒅𝒆 𝑪𝒙𝑷</a:t>
              </a:r>
              <a:r>
                <a:rPr lang="es-CO" b="1" i="0">
                  <a:latin typeface="Cambria Math" panose="02040503050406030204" pitchFamily="18" charset="0"/>
                </a:rPr>
                <a:t>)/(</a:t>
              </a:r>
              <a:r>
                <a:rPr lang="es-CO" b="1" i="0">
                  <a:latin typeface="Cambria Math"/>
                </a:rPr>
                <a:t>𝟑𝟔𝟎 𝒅í𝒂𝒔</a:t>
              </a:r>
              <a:r>
                <a:rPr lang="es-CO" b="1" i="0">
                  <a:latin typeface="Cambria Math" panose="02040503050406030204" pitchFamily="18" charset="0"/>
                </a:rPr>
                <a:t>)</a:t>
              </a:r>
              <a:endParaRPr lang="es-CO" b="1"/>
            </a:p>
          </xdr:txBody>
        </xdr:sp>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PILOTO\CICLO%20II\GESTI&#211;N%20DE%20CRONOGRAMA%20Y%20COSTOS\SEMANA%205\Costos%20Montaje%20Planta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ursos Humanos"/>
      <sheetName val="Recursos Insumos"/>
      <sheetName val="Recursos Equipamento"/>
      <sheetName val="Recursos tecnologicos"/>
      <sheetName val="$ paquete de trabajo"/>
      <sheetName val="Prueba"/>
      <sheetName val="PRESUPUESTO"/>
      <sheetName val="Resumen valor recursos "/>
      <sheetName val="Presupuesto (2)"/>
      <sheetName val="Hoja1"/>
    </sheetNames>
    <sheetDataSet>
      <sheetData sheetId="0" refreshError="1"/>
      <sheetData sheetId="1" refreshError="1"/>
      <sheetData sheetId="2" refreshError="1"/>
      <sheetData sheetId="3" refreshError="1"/>
      <sheetData sheetId="4">
        <row r="16">
          <cell r="H16">
            <v>767930.6888388322</v>
          </cell>
          <cell r="O16">
            <v>55924050</v>
          </cell>
        </row>
        <row r="36">
          <cell r="O36">
            <v>11794212750</v>
          </cell>
        </row>
        <row r="64">
          <cell r="O64">
            <v>346232791.66666669</v>
          </cell>
        </row>
        <row r="76">
          <cell r="H76">
            <v>1236515940</v>
          </cell>
        </row>
        <row r="96">
          <cell r="H96">
            <v>48441063.333333336</v>
          </cell>
        </row>
      </sheetData>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10"/>
  <sheetViews>
    <sheetView showGridLines="0" zoomScaleNormal="100" workbookViewId="0">
      <selection activeCell="F15" sqref="F15"/>
    </sheetView>
  </sheetViews>
  <sheetFormatPr baseColWidth="10" defaultColWidth="11.44140625" defaultRowHeight="15" x14ac:dyDescent="0.25"/>
  <cols>
    <col min="1" max="16384" width="11.44140625" style="162"/>
  </cols>
  <sheetData>
    <row r="2" spans="1:15" ht="15.6" x14ac:dyDescent="0.3">
      <c r="A2" s="162" t="s">
        <v>489</v>
      </c>
      <c r="D2" s="163" t="s">
        <v>487</v>
      </c>
    </row>
    <row r="3" spans="1:15" x14ac:dyDescent="0.25">
      <c r="A3" s="162" t="s">
        <v>490</v>
      </c>
    </row>
    <row r="6" spans="1:15" ht="126.75" customHeight="1" x14ac:dyDescent="0.25">
      <c r="A6" s="181" t="s">
        <v>488</v>
      </c>
      <c r="B6" s="181"/>
      <c r="C6" s="181"/>
      <c r="D6" s="181"/>
      <c r="E6" s="181"/>
      <c r="F6" s="181"/>
      <c r="G6" s="181"/>
      <c r="H6" s="181"/>
      <c r="I6" s="181"/>
      <c r="J6" s="181"/>
      <c r="K6" s="181"/>
      <c r="L6" s="181"/>
      <c r="M6" s="181"/>
      <c r="N6" s="181"/>
      <c r="O6" s="181"/>
    </row>
    <row r="9" spans="1:15" ht="15.6" x14ac:dyDescent="0.3">
      <c r="A9" s="162" t="s">
        <v>441</v>
      </c>
      <c r="B9" s="164">
        <v>0</v>
      </c>
      <c r="C9" s="164">
        <v>1</v>
      </c>
      <c r="D9" s="164">
        <v>2</v>
      </c>
      <c r="E9" s="164">
        <v>3</v>
      </c>
      <c r="F9" s="164">
        <v>4</v>
      </c>
      <c r="G9" s="164">
        <v>5</v>
      </c>
      <c r="H9" s="164">
        <v>6</v>
      </c>
      <c r="I9" s="164">
        <v>7</v>
      </c>
      <c r="J9" s="164">
        <v>8</v>
      </c>
      <c r="K9" s="164">
        <v>9</v>
      </c>
      <c r="L9" s="164">
        <v>10</v>
      </c>
    </row>
    <row r="10" spans="1:15" x14ac:dyDescent="0.25">
      <c r="B10" s="165">
        <v>3.86</v>
      </c>
      <c r="C10" s="165">
        <v>1.51</v>
      </c>
      <c r="D10" s="165">
        <v>1.51</v>
      </c>
      <c r="E10" s="165">
        <v>1.51</v>
      </c>
      <c r="F10" s="165">
        <v>1.51</v>
      </c>
      <c r="G10" s="165">
        <v>1.51</v>
      </c>
      <c r="H10" s="165">
        <v>1.51</v>
      </c>
      <c r="I10" s="165">
        <v>1.51</v>
      </c>
      <c r="J10" s="165">
        <v>1.51</v>
      </c>
      <c r="K10" s="165">
        <v>1.51</v>
      </c>
      <c r="L10" s="165">
        <v>1.51</v>
      </c>
    </row>
  </sheetData>
  <mergeCells count="1">
    <mergeCell ref="A6:O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S115"/>
  <sheetViews>
    <sheetView showGridLines="0" tabSelected="1" topLeftCell="G1" zoomScale="80" zoomScaleNormal="80" workbookViewId="0">
      <pane ySplit="4" topLeftCell="A5" activePane="bottomLeft" state="frozen"/>
      <selection pane="bottomLeft" activeCell="N29" sqref="N29"/>
    </sheetView>
  </sheetViews>
  <sheetFormatPr baseColWidth="10" defaultRowHeight="14.4" x14ac:dyDescent="0.3"/>
  <cols>
    <col min="1" max="1" width="2.88671875" customWidth="1"/>
    <col min="2" max="2" width="45.33203125" customWidth="1"/>
    <col min="3" max="3" width="20.109375" customWidth="1"/>
    <col min="4" max="4" width="22.44140625" customWidth="1"/>
    <col min="5" max="5" width="21.5546875" customWidth="1"/>
    <col min="6" max="6" width="19.6640625" customWidth="1"/>
    <col min="7" max="7" width="38.88671875" bestFit="1" customWidth="1"/>
    <col min="8" max="8" width="22.109375" customWidth="1"/>
    <col min="9" max="9" width="23.5546875" customWidth="1"/>
    <col min="10" max="11" width="20.33203125" bestFit="1" customWidth="1"/>
    <col min="12" max="14" width="18.88671875" bestFit="1" customWidth="1"/>
    <col min="15" max="18" width="18.88671875" customWidth="1"/>
    <col min="19" max="19" width="16.6640625" customWidth="1"/>
  </cols>
  <sheetData>
    <row r="2" spans="2:19" x14ac:dyDescent="0.3">
      <c r="H2" t="s">
        <v>450</v>
      </c>
      <c r="I2" s="129">
        <v>1.0999999999999999E-2</v>
      </c>
      <c r="J2" s="129">
        <v>1.0999999999999999E-2</v>
      </c>
      <c r="K2" s="129">
        <v>1.0999999999999999E-2</v>
      </c>
      <c r="L2" s="129">
        <v>1.0999999999999999E-2</v>
      </c>
      <c r="M2" s="129">
        <v>1.0999999999999999E-2</v>
      </c>
      <c r="N2" s="129">
        <v>1.0999999999999999E-2</v>
      </c>
      <c r="O2" s="129">
        <v>1.0999999999999999E-2</v>
      </c>
      <c r="P2" s="129">
        <v>1.0999999999999999E-2</v>
      </c>
      <c r="Q2" s="129">
        <v>1.0999999999999999E-2</v>
      </c>
      <c r="R2" s="129">
        <v>1.0999999999999999E-2</v>
      </c>
    </row>
    <row r="3" spans="2:19" x14ac:dyDescent="0.3">
      <c r="H3" s="84" t="s">
        <v>35</v>
      </c>
      <c r="I3" s="182" t="s">
        <v>34</v>
      </c>
      <c r="J3" s="182"/>
      <c r="K3" s="182"/>
      <c r="L3" s="182"/>
      <c r="M3" s="182"/>
      <c r="N3" s="182"/>
      <c r="O3" s="87"/>
      <c r="P3" s="87"/>
      <c r="Q3" s="87"/>
      <c r="R3" s="87"/>
      <c r="S3" s="85"/>
    </row>
    <row r="4" spans="2:19" x14ac:dyDescent="0.3">
      <c r="G4" s="25" t="s">
        <v>2</v>
      </c>
      <c r="H4" s="51">
        <v>0</v>
      </c>
      <c r="I4" s="25">
        <v>1</v>
      </c>
      <c r="J4" s="25">
        <v>2</v>
      </c>
      <c r="K4" s="25">
        <v>3</v>
      </c>
      <c r="L4" s="25">
        <v>4</v>
      </c>
      <c r="M4" s="25">
        <v>5</v>
      </c>
      <c r="N4" s="25">
        <v>6</v>
      </c>
      <c r="O4" s="25">
        <v>7</v>
      </c>
      <c r="P4" s="25">
        <v>8</v>
      </c>
      <c r="Q4" s="25">
        <v>9</v>
      </c>
      <c r="R4" s="25">
        <v>10</v>
      </c>
    </row>
    <row r="5" spans="2:19" x14ac:dyDescent="0.3">
      <c r="B5" s="53" t="s">
        <v>35</v>
      </c>
      <c r="C5" s="55"/>
      <c r="G5" s="42" t="s">
        <v>451</v>
      </c>
      <c r="H5" s="1"/>
      <c r="I5" s="142">
        <v>10000</v>
      </c>
      <c r="J5" s="142">
        <v>10000</v>
      </c>
      <c r="K5" s="142">
        <v>10000</v>
      </c>
      <c r="L5" s="142">
        <v>10000</v>
      </c>
      <c r="M5" s="142">
        <v>10000</v>
      </c>
      <c r="N5" s="142">
        <v>10000</v>
      </c>
      <c r="O5" s="142">
        <v>10000</v>
      </c>
      <c r="P5" s="142">
        <v>10000</v>
      </c>
      <c r="Q5" s="142">
        <v>10000</v>
      </c>
      <c r="R5" s="142">
        <v>10000</v>
      </c>
    </row>
    <row r="6" spans="2:19" x14ac:dyDescent="0.3">
      <c r="B6" t="s">
        <v>36</v>
      </c>
      <c r="C6" s="56">
        <v>1</v>
      </c>
      <c r="D6" t="s">
        <v>0</v>
      </c>
      <c r="G6" s="42" t="s">
        <v>452</v>
      </c>
      <c r="H6" s="1"/>
      <c r="I6" s="8">
        <v>5975966.666666667</v>
      </c>
      <c r="J6" s="8">
        <f>I6+(I6*J2)</f>
        <v>6041702.3000000007</v>
      </c>
      <c r="K6" s="8">
        <f t="shared" ref="K6:R6" si="0">J6+(J6*K2)</f>
        <v>6108161.0253000008</v>
      </c>
      <c r="L6" s="8">
        <f t="shared" si="0"/>
        <v>6175350.7965783011</v>
      </c>
      <c r="M6" s="8">
        <f t="shared" si="0"/>
        <v>6243279.6553406622</v>
      </c>
      <c r="N6" s="8">
        <f t="shared" si="0"/>
        <v>6311955.7315494092</v>
      </c>
      <c r="O6" s="8">
        <f t="shared" si="0"/>
        <v>6381387.2445964525</v>
      </c>
      <c r="P6" s="8">
        <f t="shared" si="0"/>
        <v>6451582.5042870138</v>
      </c>
      <c r="Q6" s="8">
        <f t="shared" si="0"/>
        <v>6522549.911834171</v>
      </c>
      <c r="R6" s="8">
        <f t="shared" si="0"/>
        <v>6594297.9608643465</v>
      </c>
    </row>
    <row r="7" spans="2:19" ht="26.25" customHeight="1" x14ac:dyDescent="0.3">
      <c r="B7" s="133" t="s">
        <v>37</v>
      </c>
      <c r="C7" s="134">
        <f>C8+C11</f>
        <v>13482094525.688839</v>
      </c>
      <c r="D7" s="4"/>
      <c r="G7" s="30" t="s">
        <v>1</v>
      </c>
      <c r="H7" s="31"/>
      <c r="I7" s="32">
        <f>SUM(I5*I6)</f>
        <v>59759666666.666672</v>
      </c>
      <c r="J7" s="32">
        <f t="shared" ref="J7:R7" si="1">SUM(J5*J6)</f>
        <v>60417023000.000008</v>
      </c>
      <c r="K7" s="32">
        <f t="shared" si="1"/>
        <v>61081610253.000008</v>
      </c>
      <c r="L7" s="32">
        <f t="shared" si="1"/>
        <v>61753507965.783012</v>
      </c>
      <c r="M7" s="32">
        <f t="shared" si="1"/>
        <v>62432796553.406624</v>
      </c>
      <c r="N7" s="32">
        <f t="shared" si="1"/>
        <v>63119557315.494095</v>
      </c>
      <c r="O7" s="32">
        <f t="shared" si="1"/>
        <v>63813872445.964523</v>
      </c>
      <c r="P7" s="32">
        <f t="shared" si="1"/>
        <v>64515825042.87014</v>
      </c>
      <c r="Q7" s="32">
        <f t="shared" si="1"/>
        <v>65225499118.341713</v>
      </c>
      <c r="R7" s="32">
        <f t="shared" si="1"/>
        <v>65942979608.643463</v>
      </c>
    </row>
    <row r="8" spans="2:19" x14ac:dyDescent="0.3">
      <c r="B8" s="52" t="s">
        <v>38</v>
      </c>
      <c r="C8" s="134">
        <f>SUM(C9)</f>
        <v>2022094525.6888399</v>
      </c>
      <c r="G8" s="22" t="s">
        <v>42</v>
      </c>
      <c r="H8" s="1"/>
      <c r="I8" s="132">
        <f>-$C$23</f>
        <v>-35741000000</v>
      </c>
      <c r="J8" s="132">
        <f>I8+(I8*J2)</f>
        <v>-36134151000</v>
      </c>
      <c r="K8" s="132">
        <f t="shared" ref="K8:R8" si="2">J8+(J8*K2)</f>
        <v>-36531626661</v>
      </c>
      <c r="L8" s="132">
        <f t="shared" si="2"/>
        <v>-36933474554.271004</v>
      </c>
      <c r="M8" s="132">
        <f t="shared" si="2"/>
        <v>-37339742774.367981</v>
      </c>
      <c r="N8" s="132">
        <f t="shared" si="2"/>
        <v>-37750479944.886032</v>
      </c>
      <c r="O8" s="132">
        <f t="shared" si="2"/>
        <v>-38165735224.279778</v>
      </c>
      <c r="P8" s="132">
        <f t="shared" si="2"/>
        <v>-38585558311.746857</v>
      </c>
      <c r="Q8" s="132">
        <f t="shared" si="2"/>
        <v>-39009999453.176071</v>
      </c>
      <c r="R8" s="132">
        <f t="shared" si="2"/>
        <v>-39439109447.161011</v>
      </c>
    </row>
    <row r="9" spans="2:19" x14ac:dyDescent="0.3">
      <c r="B9" t="s">
        <v>453</v>
      </c>
      <c r="C9" s="57">
        <v>2022094525.6888399</v>
      </c>
      <c r="D9" s="7"/>
      <c r="G9" s="22" t="s">
        <v>43</v>
      </c>
      <c r="H9" s="1"/>
      <c r="I9" s="11">
        <f>-$C$24</f>
        <v>-6438500000</v>
      </c>
      <c r="J9" s="132">
        <f>I9+(I9*J2)</f>
        <v>-6509323500</v>
      </c>
      <c r="K9" s="132">
        <f t="shared" ref="K9:R9" si="3">J9+(J9*K2)</f>
        <v>-6580926058.5</v>
      </c>
      <c r="L9" s="132">
        <f t="shared" si="3"/>
        <v>-6653316245.1435003</v>
      </c>
      <c r="M9" s="132">
        <f t="shared" si="3"/>
        <v>-6726502723.8400784</v>
      </c>
      <c r="N9" s="132">
        <f t="shared" si="3"/>
        <v>-6800494253.8023195</v>
      </c>
      <c r="O9" s="132">
        <f t="shared" si="3"/>
        <v>-6875299690.5941448</v>
      </c>
      <c r="P9" s="132">
        <f t="shared" si="3"/>
        <v>-6950927987.1906805</v>
      </c>
      <c r="Q9" s="132">
        <f t="shared" si="3"/>
        <v>-7027388195.049778</v>
      </c>
      <c r="R9" s="132">
        <f t="shared" si="3"/>
        <v>-7104689465.1953259</v>
      </c>
    </row>
    <row r="10" spans="2:19" x14ac:dyDescent="0.3">
      <c r="C10" s="57"/>
      <c r="D10" s="7"/>
      <c r="G10" s="23" t="s">
        <v>19</v>
      </c>
      <c r="H10" s="24"/>
      <c r="I10" s="41">
        <f>SUM(I8:I9)</f>
        <v>-42179500000</v>
      </c>
      <c r="J10" s="41">
        <f t="shared" ref="J10:N10" si="4">SUM(J8:J9)</f>
        <v>-42643474500</v>
      </c>
      <c r="K10" s="41">
        <f t="shared" si="4"/>
        <v>-43112552719.5</v>
      </c>
      <c r="L10" s="41">
        <f t="shared" si="4"/>
        <v>-43586790799.414505</v>
      </c>
      <c r="M10" s="41">
        <f t="shared" si="4"/>
        <v>-44066245498.208061</v>
      </c>
      <c r="N10" s="41">
        <f t="shared" si="4"/>
        <v>-44550974198.688354</v>
      </c>
      <c r="O10" s="41">
        <f t="shared" ref="O10:R10" si="5">SUM(O8:O9)</f>
        <v>-45041034914.873924</v>
      </c>
      <c r="P10" s="41">
        <f t="shared" si="5"/>
        <v>-45536486298.937538</v>
      </c>
      <c r="Q10" s="41">
        <f t="shared" si="5"/>
        <v>-46037387648.225845</v>
      </c>
      <c r="R10" s="41">
        <f t="shared" si="5"/>
        <v>-46543798912.356339</v>
      </c>
    </row>
    <row r="11" spans="2:19" x14ac:dyDescent="0.3">
      <c r="B11" s="52" t="s">
        <v>39</v>
      </c>
      <c r="C11" s="134">
        <f>SUM(C12:C18)</f>
        <v>11460000000</v>
      </c>
      <c r="G11" s="26" t="s">
        <v>449</v>
      </c>
      <c r="H11" s="1"/>
      <c r="I11" s="10">
        <f>-$C$26</f>
        <v>-4675333333.333333</v>
      </c>
      <c r="J11" s="132">
        <f>I11+(I11*J2)</f>
        <v>-4726762000</v>
      </c>
      <c r="K11" s="132">
        <f t="shared" ref="K11:R11" si="6">J11+(J11*K2)</f>
        <v>-4778756382</v>
      </c>
      <c r="L11" s="132">
        <f t="shared" si="6"/>
        <v>-4831322702.2019997</v>
      </c>
      <c r="M11" s="132">
        <f t="shared" si="6"/>
        <v>-4884467251.9262218</v>
      </c>
      <c r="N11" s="132">
        <f t="shared" si="6"/>
        <v>-4938196391.6974106</v>
      </c>
      <c r="O11" s="132">
        <f t="shared" si="6"/>
        <v>-4992516552.0060825</v>
      </c>
      <c r="P11" s="132">
        <f t="shared" si="6"/>
        <v>-5047434234.0781498</v>
      </c>
      <c r="Q11" s="132">
        <f t="shared" si="6"/>
        <v>-5102956010.6530094</v>
      </c>
      <c r="R11" s="132">
        <f t="shared" si="6"/>
        <v>-5159088526.7701921</v>
      </c>
    </row>
    <row r="12" spans="2:19" x14ac:dyDescent="0.3">
      <c r="B12" t="s">
        <v>479</v>
      </c>
      <c r="C12" s="57">
        <v>0</v>
      </c>
      <c r="G12" s="26" t="s">
        <v>46</v>
      </c>
      <c r="H12" s="1"/>
      <c r="I12" s="10">
        <f>-$C$27</f>
        <v>-2471666666.6666665</v>
      </c>
      <c r="J12" s="132">
        <f>I12+(I12*J2)</f>
        <v>-2498855000</v>
      </c>
      <c r="K12" s="132">
        <f t="shared" ref="K12:R12" si="7">J12+(J12*K2)</f>
        <v>-2526342405</v>
      </c>
      <c r="L12" s="132">
        <f t="shared" si="7"/>
        <v>-2554132171.4549999</v>
      </c>
      <c r="M12" s="132">
        <f t="shared" si="7"/>
        <v>-2582227625.3410048</v>
      </c>
      <c r="N12" s="132">
        <f t="shared" si="7"/>
        <v>-2610632129.2197561</v>
      </c>
      <c r="O12" s="132">
        <f t="shared" si="7"/>
        <v>-2639349082.6411734</v>
      </c>
      <c r="P12" s="132">
        <f t="shared" si="7"/>
        <v>-2668381922.5502262</v>
      </c>
      <c r="Q12" s="132">
        <f t="shared" si="7"/>
        <v>-2697734123.6982789</v>
      </c>
      <c r="R12" s="132">
        <f t="shared" si="7"/>
        <v>-2727409199.05896</v>
      </c>
    </row>
    <row r="13" spans="2:19" x14ac:dyDescent="0.3">
      <c r="C13" s="57"/>
      <c r="G13" s="18" t="s">
        <v>560</v>
      </c>
      <c r="H13" s="209"/>
      <c r="I13" s="10">
        <f>-G94</f>
        <v>-1604400000.0000002</v>
      </c>
      <c r="J13" s="10">
        <f t="shared" ref="J13:R13" si="8">-H94</f>
        <v>-1443960000.0000002</v>
      </c>
      <c r="K13" s="10">
        <f t="shared" si="8"/>
        <v>-1283520000.0000002</v>
      </c>
      <c r="L13" s="10">
        <f t="shared" si="8"/>
        <v>-1123080000</v>
      </c>
      <c r="M13" s="10">
        <f t="shared" si="8"/>
        <v>-962640000.00000012</v>
      </c>
      <c r="N13" s="10">
        <f t="shared" si="8"/>
        <v>-802200000.00000012</v>
      </c>
      <c r="O13" s="10">
        <f t="shared" si="8"/>
        <v>-641760000.00000012</v>
      </c>
      <c r="P13" s="10">
        <f t="shared" si="8"/>
        <v>-481320000.00000006</v>
      </c>
      <c r="Q13" s="10">
        <f t="shared" si="8"/>
        <v>-320880000.00000006</v>
      </c>
      <c r="R13" s="10">
        <f t="shared" si="8"/>
        <v>-160440000.00000003</v>
      </c>
    </row>
    <row r="14" spans="2:19" ht="15" thickBot="1" x14ac:dyDescent="0.35">
      <c r="B14" t="s">
        <v>480</v>
      </c>
      <c r="C14" s="57">
        <v>0</v>
      </c>
      <c r="G14" s="27" t="s">
        <v>20</v>
      </c>
      <c r="H14" s="28"/>
      <c r="I14" s="29">
        <f>SUM(I11:I13)</f>
        <v>-8751400000</v>
      </c>
      <c r="J14" s="29">
        <f t="shared" ref="J14:R14" si="9">SUM(J11:J13)</f>
        <v>-8669577000</v>
      </c>
      <c r="K14" s="29">
        <f t="shared" si="9"/>
        <v>-8588618787</v>
      </c>
      <c r="L14" s="29">
        <f t="shared" si="9"/>
        <v>-8508534873.6569996</v>
      </c>
      <c r="M14" s="29">
        <f t="shared" si="9"/>
        <v>-8429334877.2672272</v>
      </c>
      <c r="N14" s="29">
        <f t="shared" si="9"/>
        <v>-8351028520.9171667</v>
      </c>
      <c r="O14" s="29">
        <f t="shared" si="9"/>
        <v>-8273625634.6472559</v>
      </c>
      <c r="P14" s="29">
        <f t="shared" si="9"/>
        <v>-8197136156.628376</v>
      </c>
      <c r="Q14" s="29">
        <f t="shared" si="9"/>
        <v>-8121570134.3512878</v>
      </c>
      <c r="R14" s="29">
        <f t="shared" si="9"/>
        <v>-8046937725.8291521</v>
      </c>
    </row>
    <row r="15" spans="2:19" ht="15" thickTop="1" x14ac:dyDescent="0.3">
      <c r="B15" t="s">
        <v>480</v>
      </c>
      <c r="C15" s="57">
        <v>0</v>
      </c>
      <c r="G15" s="30" t="s">
        <v>18</v>
      </c>
      <c r="H15" s="31"/>
      <c r="I15" s="32">
        <f t="shared" ref="I15:R15" si="10">SUM(I7,I10,I14)</f>
        <v>8828766666.6666718</v>
      </c>
      <c r="J15" s="32">
        <f t="shared" si="10"/>
        <v>9103971500.0000076</v>
      </c>
      <c r="K15" s="32">
        <f t="shared" si="10"/>
        <v>9380438746.5000076</v>
      </c>
      <c r="L15" s="32">
        <f t="shared" si="10"/>
        <v>9658182292.7115078</v>
      </c>
      <c r="M15" s="32">
        <f t="shared" si="10"/>
        <v>9937216177.9313354</v>
      </c>
      <c r="N15" s="32">
        <f t="shared" si="10"/>
        <v>10217554595.888573</v>
      </c>
      <c r="O15" s="32">
        <f t="shared" si="10"/>
        <v>10499211896.443344</v>
      </c>
      <c r="P15" s="32">
        <f t="shared" si="10"/>
        <v>10782202587.304226</v>
      </c>
      <c r="Q15" s="32">
        <f t="shared" si="10"/>
        <v>11066541335.76458</v>
      </c>
      <c r="R15" s="32">
        <f t="shared" si="10"/>
        <v>11352242970.457973</v>
      </c>
    </row>
    <row r="16" spans="2:19" ht="15" thickBot="1" x14ac:dyDescent="0.35">
      <c r="B16" t="s">
        <v>40</v>
      </c>
      <c r="C16" s="57">
        <f>Maquinaria!D26</f>
        <v>11460000000</v>
      </c>
      <c r="D16" s="9"/>
      <c r="G16" s="47" t="s">
        <v>21</v>
      </c>
      <c r="H16" s="43"/>
      <c r="I16" s="44">
        <f>-I39</f>
        <v>-2393778308.511292</v>
      </c>
      <c r="J16" s="44">
        <f t="shared" ref="J16:N16" si="11">-J39</f>
        <v>-2481843855.1779594</v>
      </c>
      <c r="K16" s="44">
        <f t="shared" si="11"/>
        <v>-2570313374.0579596</v>
      </c>
      <c r="L16" s="44">
        <f t="shared" si="11"/>
        <v>-2659191308.8456397</v>
      </c>
      <c r="M16" s="44">
        <f t="shared" si="11"/>
        <v>-2748482152.1159844</v>
      </c>
      <c r="N16" s="44">
        <f t="shared" si="11"/>
        <v>-2838190445.8623004</v>
      </c>
      <c r="O16" s="44">
        <f t="shared" ref="O16:R16" si="12">-O39</f>
        <v>-2928320782.0398273</v>
      </c>
      <c r="P16" s="44">
        <f t="shared" si="12"/>
        <v>-3018877803.1153097</v>
      </c>
      <c r="Q16" s="44">
        <f t="shared" si="12"/>
        <v>-3109866202.622623</v>
      </c>
      <c r="R16" s="44">
        <f t="shared" si="12"/>
        <v>-3201290725.7245088</v>
      </c>
    </row>
    <row r="17" spans="2:18" ht="15" thickTop="1" x14ac:dyDescent="0.3">
      <c r="B17" t="s">
        <v>427</v>
      </c>
      <c r="C17" s="57">
        <v>0</v>
      </c>
      <c r="G17" s="45" t="s">
        <v>22</v>
      </c>
      <c r="H17" s="46">
        <f t="shared" ref="H17" si="13">SUM(H15:H16)</f>
        <v>0</v>
      </c>
      <c r="I17" s="46">
        <f>SUM(I15:I16)</f>
        <v>6434988358.1553802</v>
      </c>
      <c r="J17" s="46">
        <f t="shared" ref="J17:N17" si="14">SUM(J15:J16)</f>
        <v>6622127644.8220482</v>
      </c>
      <c r="K17" s="46">
        <f t="shared" si="14"/>
        <v>6810125372.4420481</v>
      </c>
      <c r="L17" s="46">
        <f t="shared" si="14"/>
        <v>6998990983.8658676</v>
      </c>
      <c r="M17" s="46">
        <f t="shared" si="14"/>
        <v>7188734025.8153515</v>
      </c>
      <c r="N17" s="46">
        <f t="shared" si="14"/>
        <v>7379364150.0262718</v>
      </c>
      <c r="O17" s="46">
        <f t="shared" ref="O17:R17" si="15">SUM(O15:O16)</f>
        <v>7570891114.4035168</v>
      </c>
      <c r="P17" s="46">
        <f t="shared" si="15"/>
        <v>7763324784.1889162</v>
      </c>
      <c r="Q17" s="46">
        <f t="shared" si="15"/>
        <v>7956675133.1419563</v>
      </c>
      <c r="R17" s="46">
        <f t="shared" si="15"/>
        <v>8150952244.7334652</v>
      </c>
    </row>
    <row r="18" spans="2:18" x14ac:dyDescent="0.3">
      <c r="B18" t="s">
        <v>428</v>
      </c>
      <c r="C18" s="57">
        <v>0</v>
      </c>
      <c r="F18" t="s">
        <v>464</v>
      </c>
      <c r="G18" s="18" t="s">
        <v>467</v>
      </c>
      <c r="H18" s="128">
        <f>-H72</f>
        <v>-22680933333.333336</v>
      </c>
      <c r="I18" s="128">
        <f t="shared" ref="I18:R18" si="16">-I72</f>
        <v>-106573879.16666412</v>
      </c>
      <c r="J18" s="128">
        <f t="shared" si="16"/>
        <v>362081312.20624924</v>
      </c>
      <c r="K18" s="128">
        <f t="shared" si="16"/>
        <v>-279010086.20722198</v>
      </c>
      <c r="L18" s="128">
        <f t="shared" si="16"/>
        <v>-282875433.58223343</v>
      </c>
      <c r="M18" s="128">
        <f t="shared" si="16"/>
        <v>-286793457.51252747</v>
      </c>
      <c r="N18" s="128">
        <f t="shared" si="16"/>
        <v>-290764890.82201004</v>
      </c>
      <c r="O18" s="128">
        <f t="shared" si="16"/>
        <v>-294790476.71170044</v>
      </c>
      <c r="P18" s="128">
        <f t="shared" si="16"/>
        <v>-298870968.90885162</v>
      </c>
      <c r="Q18" s="128">
        <f t="shared" si="16"/>
        <v>-303007131.81830597</v>
      </c>
      <c r="R18" s="128">
        <f t="shared" si="16"/>
        <v>24461538345.856602</v>
      </c>
    </row>
    <row r="19" spans="2:18" x14ac:dyDescent="0.3">
      <c r="G19" s="18" t="s">
        <v>23</v>
      </c>
      <c r="H19" s="144">
        <f>-(C16)</f>
        <v>-11460000000</v>
      </c>
      <c r="I19" s="9">
        <v>0</v>
      </c>
      <c r="J19" s="9">
        <v>0</v>
      </c>
      <c r="K19" s="9">
        <v>0</v>
      </c>
      <c r="L19" s="9">
        <v>0</v>
      </c>
      <c r="M19" s="9">
        <v>0</v>
      </c>
      <c r="N19" s="9">
        <v>0</v>
      </c>
      <c r="O19" s="9">
        <v>0</v>
      </c>
      <c r="P19" s="9">
        <v>0</v>
      </c>
      <c r="Q19" s="9">
        <v>0</v>
      </c>
      <c r="R19" s="9">
        <v>0</v>
      </c>
    </row>
    <row r="20" spans="2:18" ht="15" thickBot="1" x14ac:dyDescent="0.35">
      <c r="G20" s="82" t="s">
        <v>65</v>
      </c>
      <c r="H20" s="9">
        <f>-C9</f>
        <v>-2022094525.6888399</v>
      </c>
      <c r="I20" s="9">
        <f>-C10</f>
        <v>0</v>
      </c>
      <c r="J20" s="9">
        <f>-D10</f>
        <v>0</v>
      </c>
      <c r="K20" s="9">
        <f>-E10</f>
        <v>0</v>
      </c>
      <c r="L20" s="9">
        <f>-F10</f>
        <v>0</v>
      </c>
    </row>
    <row r="21" spans="2:18" ht="15" thickTop="1" x14ac:dyDescent="0.3">
      <c r="B21" s="53" t="s">
        <v>34</v>
      </c>
      <c r="C21" s="54"/>
      <c r="G21" s="45" t="s">
        <v>24</v>
      </c>
      <c r="H21" s="46">
        <f t="shared" ref="H21:R21" si="17">SUM(H17:H20)</f>
        <v>-36163027859.022179</v>
      </c>
      <c r="I21" s="46">
        <f t="shared" si="17"/>
        <v>6328414478.9887161</v>
      </c>
      <c r="J21" s="46">
        <f t="shared" si="17"/>
        <v>6984208957.0282974</v>
      </c>
      <c r="K21" s="46">
        <f t="shared" si="17"/>
        <v>6531115286.2348261</v>
      </c>
      <c r="L21" s="46">
        <f t="shared" si="17"/>
        <v>6716115550.2836342</v>
      </c>
      <c r="M21" s="46">
        <f t="shared" si="17"/>
        <v>6901940568.302824</v>
      </c>
      <c r="N21" s="46">
        <f t="shared" si="17"/>
        <v>7088599259.2042618</v>
      </c>
      <c r="O21" s="46">
        <f t="shared" si="17"/>
        <v>7276100637.6918163</v>
      </c>
      <c r="P21" s="46">
        <f t="shared" si="17"/>
        <v>7464453815.2800646</v>
      </c>
      <c r="Q21" s="46">
        <f t="shared" si="17"/>
        <v>7653668001.3236504</v>
      </c>
      <c r="R21" s="46">
        <f t="shared" si="17"/>
        <v>32612490590.590065</v>
      </c>
    </row>
    <row r="22" spans="2:18" x14ac:dyDescent="0.3">
      <c r="B22" s="53" t="s">
        <v>41</v>
      </c>
      <c r="C22" s="54"/>
      <c r="F22" t="s">
        <v>464</v>
      </c>
      <c r="G22" s="18" t="s">
        <v>25</v>
      </c>
      <c r="H22" s="9">
        <f>G80</f>
        <v>11460000000</v>
      </c>
      <c r="I22" s="17">
        <f>-G93</f>
        <v>-1146000000</v>
      </c>
      <c r="J22" s="17">
        <f t="shared" ref="J22:R22" si="18">-H93</f>
        <v>-1146000000</v>
      </c>
      <c r="K22" s="17">
        <f t="shared" si="18"/>
        <v>-1146000000</v>
      </c>
      <c r="L22" s="17">
        <f t="shared" si="18"/>
        <v>-1146000000</v>
      </c>
      <c r="M22" s="17">
        <f t="shared" si="18"/>
        <v>-1146000000</v>
      </c>
      <c r="N22" s="17">
        <f t="shared" si="18"/>
        <v>-1146000000</v>
      </c>
      <c r="O22" s="17">
        <f t="shared" si="18"/>
        <v>-1146000000</v>
      </c>
      <c r="P22" s="17">
        <f t="shared" si="18"/>
        <v>-1146000000</v>
      </c>
      <c r="Q22" s="17">
        <f t="shared" si="18"/>
        <v>-1146000000</v>
      </c>
      <c r="R22" s="17">
        <f t="shared" si="18"/>
        <v>-1146000000</v>
      </c>
    </row>
    <row r="23" spans="2:18" x14ac:dyDescent="0.3">
      <c r="B23" t="s">
        <v>42</v>
      </c>
      <c r="C23" s="57">
        <v>35741000000</v>
      </c>
      <c r="G23" s="18"/>
      <c r="I23" s="17"/>
      <c r="J23" s="17"/>
      <c r="K23" s="17"/>
      <c r="L23" s="17"/>
      <c r="M23" s="17"/>
      <c r="N23" s="17"/>
      <c r="O23" s="17"/>
      <c r="P23" s="17"/>
      <c r="Q23" s="17"/>
      <c r="R23" s="17"/>
    </row>
    <row r="24" spans="2:18" ht="15" thickBot="1" x14ac:dyDescent="0.35">
      <c r="B24" t="s">
        <v>43</v>
      </c>
      <c r="C24" s="57">
        <v>6438500000</v>
      </c>
      <c r="G24" s="153" t="s">
        <v>26</v>
      </c>
      <c r="H24" s="58"/>
      <c r="I24" s="154">
        <f>G95</f>
        <v>513408000.00000006</v>
      </c>
      <c r="J24" s="154">
        <f t="shared" ref="J24:N24" si="19">H95</f>
        <v>462067200.00000006</v>
      </c>
      <c r="K24" s="154">
        <f t="shared" si="19"/>
        <v>410726400.00000006</v>
      </c>
      <c r="L24" s="154">
        <f t="shared" si="19"/>
        <v>359385600</v>
      </c>
      <c r="M24" s="154">
        <f t="shared" si="19"/>
        <v>308044800.00000006</v>
      </c>
      <c r="N24" s="154">
        <f t="shared" si="19"/>
        <v>256704000.00000003</v>
      </c>
      <c r="O24" s="154">
        <f t="shared" ref="O24" si="20">M95</f>
        <v>205363200.00000003</v>
      </c>
      <c r="P24" s="154">
        <f t="shared" ref="P24" si="21">N95</f>
        <v>154022400.00000003</v>
      </c>
      <c r="Q24" s="154">
        <f t="shared" ref="Q24" si="22">O95</f>
        <v>102681600.00000001</v>
      </c>
      <c r="R24" s="154">
        <f t="shared" ref="R24" si="23">P95</f>
        <v>51340800.000000007</v>
      </c>
    </row>
    <row r="25" spans="2:18" ht="15" thickTop="1" x14ac:dyDescent="0.3">
      <c r="B25" s="53" t="s">
        <v>44</v>
      </c>
      <c r="C25" s="54"/>
      <c r="G25" s="45" t="s">
        <v>27</v>
      </c>
      <c r="H25" s="46">
        <f>SUM(H21:H24)</f>
        <v>-24703027859.022179</v>
      </c>
      <c r="I25" s="46">
        <f t="shared" ref="I25:M25" si="24">SUM(I21:I24)</f>
        <v>5695822478.9887161</v>
      </c>
      <c r="J25" s="46">
        <f t="shared" si="24"/>
        <v>6300276157.0282974</v>
      </c>
      <c r="K25" s="46">
        <f t="shared" si="24"/>
        <v>5795841686.2348261</v>
      </c>
      <c r="L25" s="46">
        <f t="shared" si="24"/>
        <v>5929501150.2836342</v>
      </c>
      <c r="M25" s="46">
        <f t="shared" si="24"/>
        <v>6063985368.302824</v>
      </c>
      <c r="N25" s="46">
        <f t="shared" ref="N25:R25" si="25">SUM(N21:N24)</f>
        <v>6199303259.2042618</v>
      </c>
      <c r="O25" s="46">
        <f t="shared" si="25"/>
        <v>6335463837.6918163</v>
      </c>
      <c r="P25" s="46">
        <f t="shared" si="25"/>
        <v>6472476215.2800646</v>
      </c>
      <c r="Q25" s="46">
        <f t="shared" si="25"/>
        <v>6610349601.3236504</v>
      </c>
      <c r="R25" s="46">
        <f t="shared" si="25"/>
        <v>31517831390.590065</v>
      </c>
    </row>
    <row r="26" spans="2:18" x14ac:dyDescent="0.3">
      <c r="B26" t="s">
        <v>449</v>
      </c>
      <c r="C26" s="57">
        <v>4675333333.333333</v>
      </c>
    </row>
    <row r="27" spans="2:18" x14ac:dyDescent="0.3">
      <c r="B27" t="s">
        <v>46</v>
      </c>
      <c r="C27" s="57">
        <v>2471666666.6666665</v>
      </c>
      <c r="D27" t="s">
        <v>45</v>
      </c>
    </row>
    <row r="28" spans="2:18" x14ac:dyDescent="0.3">
      <c r="C28" s="57"/>
      <c r="D28" t="s">
        <v>45</v>
      </c>
      <c r="G28" s="83" t="s">
        <v>33</v>
      </c>
      <c r="H28" s="50">
        <f>$C$63</f>
        <v>0.15</v>
      </c>
    </row>
    <row r="29" spans="2:18" x14ac:dyDescent="0.3">
      <c r="D29" t="s">
        <v>45</v>
      </c>
      <c r="G29" s="83" t="s">
        <v>3</v>
      </c>
      <c r="H29" s="138">
        <f>NPV(H28,(I21:R21))+(H21)</f>
        <v>4663821120.8689041</v>
      </c>
    </row>
    <row r="30" spans="2:18" x14ac:dyDescent="0.3">
      <c r="B30" s="61" t="s">
        <v>559</v>
      </c>
      <c r="C30" s="89">
        <v>0.32</v>
      </c>
      <c r="D30" t="s">
        <v>5</v>
      </c>
      <c r="G30" s="83" t="s">
        <v>442</v>
      </c>
      <c r="H30" s="137">
        <f>IRR(H21:R21)</f>
        <v>0.17694481664999384</v>
      </c>
    </row>
    <row r="31" spans="2:18" x14ac:dyDescent="0.3">
      <c r="B31" t="s">
        <v>36</v>
      </c>
      <c r="C31">
        <v>10</v>
      </c>
      <c r="D31" t="s">
        <v>0</v>
      </c>
    </row>
    <row r="32" spans="2:18" x14ac:dyDescent="0.3">
      <c r="B32" t="s">
        <v>4</v>
      </c>
      <c r="C32" s="79">
        <v>10000</v>
      </c>
    </row>
    <row r="34" spans="2:18" x14ac:dyDescent="0.3">
      <c r="B34" s="58"/>
      <c r="C34" s="88"/>
      <c r="G34" s="33" t="s">
        <v>17</v>
      </c>
      <c r="H34" s="34"/>
      <c r="I34" s="72">
        <f>$C$30</f>
        <v>0.32</v>
      </c>
      <c r="J34" s="72">
        <f t="shared" ref="J34:R34" si="26">$C$30</f>
        <v>0.32</v>
      </c>
      <c r="K34" s="72">
        <f t="shared" si="26"/>
        <v>0.32</v>
      </c>
      <c r="L34" s="72">
        <f t="shared" si="26"/>
        <v>0.32</v>
      </c>
      <c r="M34" s="72">
        <f t="shared" si="26"/>
        <v>0.32</v>
      </c>
      <c r="N34" s="72">
        <f t="shared" si="26"/>
        <v>0.32</v>
      </c>
      <c r="O34" s="72">
        <f t="shared" si="26"/>
        <v>0.32</v>
      </c>
      <c r="P34" s="72">
        <f t="shared" si="26"/>
        <v>0.32</v>
      </c>
      <c r="Q34" s="72">
        <f t="shared" si="26"/>
        <v>0.32</v>
      </c>
      <c r="R34" s="72">
        <f t="shared" si="26"/>
        <v>0.32</v>
      </c>
    </row>
    <row r="35" spans="2:18" x14ac:dyDescent="0.3">
      <c r="B35" s="58"/>
      <c r="G35" s="35" t="s">
        <v>14</v>
      </c>
      <c r="H35" s="36"/>
      <c r="I35" s="67">
        <f t="shared" ref="I35:R35" si="27">I15</f>
        <v>8828766666.6666718</v>
      </c>
      <c r="J35" s="67">
        <f t="shared" si="27"/>
        <v>9103971500.0000076</v>
      </c>
      <c r="K35" s="67">
        <f t="shared" si="27"/>
        <v>9380438746.5000076</v>
      </c>
      <c r="L35" s="67">
        <f t="shared" si="27"/>
        <v>9658182292.7115078</v>
      </c>
      <c r="M35" s="67">
        <f t="shared" si="27"/>
        <v>9937216177.9313354</v>
      </c>
      <c r="N35" s="67">
        <f t="shared" si="27"/>
        <v>10217554595.888573</v>
      </c>
      <c r="O35" s="67">
        <f t="shared" si="27"/>
        <v>10499211896.443344</v>
      </c>
      <c r="P35" s="67">
        <f t="shared" si="27"/>
        <v>10782202587.304226</v>
      </c>
      <c r="Q35" s="67">
        <f t="shared" si="27"/>
        <v>11066541335.76458</v>
      </c>
      <c r="R35" s="67">
        <f t="shared" si="27"/>
        <v>11352242970.457973</v>
      </c>
    </row>
    <row r="36" spans="2:18" x14ac:dyDescent="0.3">
      <c r="B36" s="58"/>
      <c r="G36" s="35" t="s">
        <v>15</v>
      </c>
      <c r="H36" s="36"/>
      <c r="I36" s="67">
        <f t="shared" ref="I36:R36" si="28">-SUM(I51+I60)</f>
        <v>-1348209452.5688839</v>
      </c>
      <c r="J36" s="67">
        <f t="shared" si="28"/>
        <v>-1348209452.5688839</v>
      </c>
      <c r="K36" s="67">
        <f t="shared" si="28"/>
        <v>-1348209452.5688839</v>
      </c>
      <c r="L36" s="67">
        <f t="shared" si="28"/>
        <v>-1348209452.5688839</v>
      </c>
      <c r="M36" s="67">
        <f t="shared" si="28"/>
        <v>-1348209452.5688839</v>
      </c>
      <c r="N36" s="67">
        <f t="shared" si="28"/>
        <v>-1348209452.5688839</v>
      </c>
      <c r="O36" s="67">
        <f t="shared" si="28"/>
        <v>-1348209452.5688839</v>
      </c>
      <c r="P36" s="67">
        <f t="shared" si="28"/>
        <v>-1348209452.5688839</v>
      </c>
      <c r="Q36" s="67">
        <f t="shared" si="28"/>
        <v>-1348209452.5688839</v>
      </c>
      <c r="R36" s="67">
        <f t="shared" si="28"/>
        <v>-1348209452.5688839</v>
      </c>
    </row>
    <row r="37" spans="2:18" x14ac:dyDescent="0.3">
      <c r="B37" s="58"/>
      <c r="G37" s="37" t="s">
        <v>16</v>
      </c>
      <c r="H37" s="38"/>
      <c r="I37" s="73">
        <f>SUM(I35:I36)</f>
        <v>7480557214.0977879</v>
      </c>
      <c r="J37" s="73">
        <f t="shared" ref="J37:M37" si="29">SUM(J35:J36)</f>
        <v>7755762047.4311237</v>
      </c>
      <c r="K37" s="73">
        <f t="shared" si="29"/>
        <v>8032229293.9311237</v>
      </c>
      <c r="L37" s="73">
        <f t="shared" si="29"/>
        <v>8309972840.1426239</v>
      </c>
      <c r="M37" s="73">
        <f t="shared" si="29"/>
        <v>8589006725.3624516</v>
      </c>
      <c r="N37" s="73">
        <f>SUM(N35:N36)</f>
        <v>8869345143.3196888</v>
      </c>
      <c r="O37" s="73">
        <f t="shared" ref="O37:R37" si="30">SUM(O35:O36)</f>
        <v>9151002443.8744602</v>
      </c>
      <c r="P37" s="73">
        <f t="shared" si="30"/>
        <v>9433993134.735342</v>
      </c>
      <c r="Q37" s="73">
        <f t="shared" si="30"/>
        <v>9718331883.1956959</v>
      </c>
      <c r="R37" s="73">
        <f t="shared" si="30"/>
        <v>10004033517.88909</v>
      </c>
    </row>
    <row r="38" spans="2:18" x14ac:dyDescent="0.3">
      <c r="B38" s="58"/>
      <c r="D38" s="4"/>
    </row>
    <row r="39" spans="2:18" x14ac:dyDescent="0.3">
      <c r="C39" s="59"/>
      <c r="D39" s="75"/>
      <c r="G39" s="39" t="s">
        <v>28</v>
      </c>
      <c r="H39" s="40"/>
      <c r="I39" s="74">
        <f t="shared" ref="I39:M39" si="31">I37*$I$34</f>
        <v>2393778308.511292</v>
      </c>
      <c r="J39" s="74">
        <f t="shared" si="31"/>
        <v>2481843855.1779594</v>
      </c>
      <c r="K39" s="74">
        <f t="shared" si="31"/>
        <v>2570313374.0579596</v>
      </c>
      <c r="L39" s="74">
        <f t="shared" si="31"/>
        <v>2659191308.8456397</v>
      </c>
      <c r="M39" s="74">
        <f t="shared" si="31"/>
        <v>2748482152.1159844</v>
      </c>
      <c r="N39" s="74">
        <f>N37*$I$34</f>
        <v>2838190445.8623004</v>
      </c>
      <c r="O39" s="74">
        <f t="shared" ref="O39:R39" si="32">O37*$I$34</f>
        <v>2928320782.0398273</v>
      </c>
      <c r="P39" s="74">
        <f t="shared" si="32"/>
        <v>3018877803.1153097</v>
      </c>
      <c r="Q39" s="74">
        <f t="shared" si="32"/>
        <v>3109866202.622623</v>
      </c>
      <c r="R39" s="74">
        <f t="shared" si="32"/>
        <v>3201290725.7245088</v>
      </c>
    </row>
    <row r="40" spans="2:18" x14ac:dyDescent="0.3">
      <c r="C40" s="59"/>
      <c r="D40" s="75"/>
    </row>
    <row r="41" spans="2:18" x14ac:dyDescent="0.3">
      <c r="B41" t="s">
        <v>454</v>
      </c>
      <c r="C41" s="59">
        <v>50000</v>
      </c>
      <c r="D41" s="75">
        <v>1</v>
      </c>
      <c r="E41" t="s">
        <v>47</v>
      </c>
      <c r="G41" s="80" t="s">
        <v>29</v>
      </c>
    </row>
    <row r="42" spans="2:18" ht="16.5" hidden="1" customHeight="1" x14ac:dyDescent="0.3">
      <c r="G42" s="36"/>
      <c r="H42" s="64"/>
      <c r="I42" s="65"/>
      <c r="J42" s="65"/>
      <c r="K42" s="65"/>
      <c r="L42" s="65"/>
      <c r="M42" s="65"/>
      <c r="N42" s="65"/>
      <c r="O42" s="65"/>
      <c r="P42" s="65"/>
      <c r="Q42" s="65"/>
      <c r="R42" s="65"/>
    </row>
    <row r="43" spans="2:18" hidden="1" x14ac:dyDescent="0.3">
      <c r="B43" s="53" t="s">
        <v>48</v>
      </c>
      <c r="C43" s="60"/>
      <c r="G43" s="36"/>
      <c r="H43" s="36"/>
      <c r="I43" s="67"/>
      <c r="J43" s="67"/>
      <c r="K43" s="67"/>
      <c r="L43" s="67"/>
      <c r="M43" s="67"/>
      <c r="N43" s="67"/>
      <c r="O43" s="67"/>
      <c r="P43" s="67"/>
      <c r="Q43" s="67"/>
      <c r="R43" s="67"/>
    </row>
    <row r="44" spans="2:18" hidden="1" x14ac:dyDescent="0.3">
      <c r="B44" s="52" t="s">
        <v>52</v>
      </c>
      <c r="G44" s="36"/>
      <c r="H44" s="36"/>
      <c r="I44" s="68"/>
      <c r="J44" s="68"/>
      <c r="K44" s="68"/>
      <c r="L44" s="68"/>
      <c r="M44" s="68"/>
      <c r="N44" s="68"/>
      <c r="O44" s="68"/>
      <c r="P44" s="68"/>
      <c r="Q44" s="68"/>
      <c r="R44" s="68"/>
    </row>
    <row r="45" spans="2:18" hidden="1" x14ac:dyDescent="0.3">
      <c r="B45" t="s">
        <v>49</v>
      </c>
      <c r="C45">
        <v>20</v>
      </c>
      <c r="D45" s="3" t="s">
        <v>0</v>
      </c>
      <c r="G45" s="36"/>
      <c r="H45" s="64"/>
      <c r="I45" s="68"/>
      <c r="J45" s="68"/>
      <c r="K45" s="68"/>
      <c r="L45" s="68"/>
      <c r="M45" s="68"/>
      <c r="N45" s="68"/>
      <c r="O45" s="68"/>
      <c r="P45" s="68"/>
      <c r="Q45" s="68"/>
      <c r="R45" s="68"/>
    </row>
    <row r="46" spans="2:18" hidden="1" x14ac:dyDescent="0.3">
      <c r="B46" t="s">
        <v>40</v>
      </c>
      <c r="C46">
        <v>10</v>
      </c>
      <c r="D46" s="3" t="s">
        <v>0</v>
      </c>
      <c r="G46" s="36"/>
      <c r="H46" s="36"/>
      <c r="I46" s="67"/>
      <c r="J46" s="67"/>
      <c r="K46" s="67"/>
      <c r="L46" s="67"/>
      <c r="M46" s="67"/>
      <c r="N46" s="67"/>
      <c r="O46" s="67"/>
      <c r="P46" s="67"/>
      <c r="Q46" s="67"/>
      <c r="R46" s="67"/>
    </row>
    <row r="47" spans="2:18" hidden="1" x14ac:dyDescent="0.3">
      <c r="B47" t="s">
        <v>50</v>
      </c>
      <c r="C47">
        <v>10</v>
      </c>
      <c r="D47" s="3" t="s">
        <v>0</v>
      </c>
      <c r="G47" s="36"/>
      <c r="H47" s="36"/>
      <c r="I47" s="68"/>
      <c r="J47" s="68"/>
      <c r="K47" s="68"/>
      <c r="L47" s="68"/>
      <c r="M47" s="68"/>
      <c r="N47" s="68"/>
      <c r="O47" s="68"/>
      <c r="P47" s="68"/>
      <c r="Q47" s="68"/>
      <c r="R47" s="68"/>
    </row>
    <row r="48" spans="2:18" x14ac:dyDescent="0.3">
      <c r="B48" t="s">
        <v>51</v>
      </c>
      <c r="C48">
        <v>5</v>
      </c>
      <c r="D48" s="3" t="s">
        <v>0</v>
      </c>
      <c r="G48" s="36" t="s">
        <v>40</v>
      </c>
      <c r="H48" s="64">
        <f>$C$16</f>
        <v>11460000000</v>
      </c>
      <c r="I48" s="69"/>
      <c r="J48" s="69"/>
      <c r="K48" s="69"/>
      <c r="L48" s="69"/>
      <c r="M48" s="69"/>
      <c r="N48" s="69"/>
      <c r="O48" s="69"/>
      <c r="P48" s="69"/>
      <c r="Q48" s="69"/>
      <c r="R48" s="69"/>
    </row>
    <row r="49" spans="2:18" x14ac:dyDescent="0.3">
      <c r="C49" s="3"/>
      <c r="G49" s="36" t="s">
        <v>61</v>
      </c>
      <c r="H49" s="36">
        <f>$C$46</f>
        <v>10</v>
      </c>
      <c r="I49" s="67">
        <f t="shared" ref="I49:R49" si="33">$H$48/$H$49</f>
        <v>1146000000</v>
      </c>
      <c r="J49" s="67">
        <f t="shared" si="33"/>
        <v>1146000000</v>
      </c>
      <c r="K49" s="67">
        <f t="shared" si="33"/>
        <v>1146000000</v>
      </c>
      <c r="L49" s="67">
        <f t="shared" si="33"/>
        <v>1146000000</v>
      </c>
      <c r="M49" s="67">
        <f t="shared" si="33"/>
        <v>1146000000</v>
      </c>
      <c r="N49" s="67">
        <f t="shared" si="33"/>
        <v>1146000000</v>
      </c>
      <c r="O49" s="67">
        <f t="shared" si="33"/>
        <v>1146000000</v>
      </c>
      <c r="P49" s="67">
        <f t="shared" si="33"/>
        <v>1146000000</v>
      </c>
      <c r="Q49" s="67">
        <f t="shared" si="33"/>
        <v>1146000000</v>
      </c>
      <c r="R49" s="67">
        <f t="shared" si="33"/>
        <v>1146000000</v>
      </c>
    </row>
    <row r="50" spans="2:18" x14ac:dyDescent="0.3">
      <c r="B50" s="18" t="s">
        <v>38</v>
      </c>
      <c r="C50" s="3"/>
      <c r="G50" s="36"/>
      <c r="H50" s="36"/>
      <c r="I50" s="68"/>
      <c r="J50" s="68"/>
      <c r="K50" s="68"/>
      <c r="L50" s="68"/>
      <c r="M50" s="68"/>
      <c r="N50" s="68"/>
      <c r="O50" s="68"/>
      <c r="P50" s="68"/>
      <c r="Q50" s="68"/>
      <c r="R50" s="68"/>
    </row>
    <row r="51" spans="2:18" x14ac:dyDescent="0.3">
      <c r="B51" t="s">
        <v>53</v>
      </c>
      <c r="C51">
        <v>5</v>
      </c>
      <c r="D51" s="3" t="s">
        <v>0</v>
      </c>
      <c r="G51" s="76" t="s">
        <v>6</v>
      </c>
      <c r="H51" s="66"/>
      <c r="I51" s="77">
        <f>SUM(I43,I46,I49)</f>
        <v>1146000000</v>
      </c>
      <c r="J51" s="77">
        <f t="shared" ref="J51:R51" si="34">SUM(J43,J46,J49)</f>
        <v>1146000000</v>
      </c>
      <c r="K51" s="77">
        <f t="shared" si="34"/>
        <v>1146000000</v>
      </c>
      <c r="L51" s="77">
        <f t="shared" si="34"/>
        <v>1146000000</v>
      </c>
      <c r="M51" s="77">
        <f t="shared" si="34"/>
        <v>1146000000</v>
      </c>
      <c r="N51" s="77">
        <f t="shared" si="34"/>
        <v>1146000000</v>
      </c>
      <c r="O51" s="77">
        <f t="shared" si="34"/>
        <v>1146000000</v>
      </c>
      <c r="P51" s="77">
        <f t="shared" si="34"/>
        <v>1146000000</v>
      </c>
      <c r="Q51" s="77">
        <f t="shared" si="34"/>
        <v>1146000000</v>
      </c>
      <c r="R51" s="77">
        <f t="shared" si="34"/>
        <v>1146000000</v>
      </c>
    </row>
    <row r="52" spans="2:18" x14ac:dyDescent="0.3">
      <c r="B52" s="53" t="s">
        <v>54</v>
      </c>
      <c r="C52" s="60"/>
      <c r="G52" s="36"/>
      <c r="I52" s="67"/>
      <c r="J52" s="67"/>
      <c r="K52" s="67"/>
      <c r="L52" s="67"/>
      <c r="M52" s="67"/>
      <c r="N52" s="67"/>
      <c r="O52" s="67"/>
      <c r="P52" s="67"/>
      <c r="Q52" s="67"/>
      <c r="R52" s="67"/>
    </row>
    <row r="53" spans="2:18" x14ac:dyDescent="0.3">
      <c r="C53" s="3"/>
    </row>
    <row r="54" spans="2:18" x14ac:dyDescent="0.3">
      <c r="B54" t="s">
        <v>66</v>
      </c>
      <c r="C54" s="139">
        <f>C16</f>
        <v>11460000000</v>
      </c>
      <c r="D54" t="s">
        <v>455</v>
      </c>
    </row>
    <row r="55" spans="2:18" x14ac:dyDescent="0.3">
      <c r="B55" s="5" t="s">
        <v>8</v>
      </c>
      <c r="C55" s="140">
        <v>0.14000000000000001</v>
      </c>
      <c r="D55" t="s">
        <v>12</v>
      </c>
      <c r="G55" s="80" t="s">
        <v>62</v>
      </c>
    </row>
    <row r="56" spans="2:18" x14ac:dyDescent="0.3">
      <c r="B56" t="s">
        <v>55</v>
      </c>
      <c r="C56" s="4"/>
    </row>
    <row r="57" spans="2:18" x14ac:dyDescent="0.3">
      <c r="B57" t="s">
        <v>56</v>
      </c>
      <c r="C57" s="141">
        <v>10</v>
      </c>
      <c r="D57" s="3" t="s">
        <v>0</v>
      </c>
      <c r="G57" t="s">
        <v>440</v>
      </c>
      <c r="H57" s="9">
        <f>$C$9</f>
        <v>2022094525.6888399</v>
      </c>
    </row>
    <row r="58" spans="2:18" x14ac:dyDescent="0.3">
      <c r="B58" s="62" t="s">
        <v>57</v>
      </c>
      <c r="C58" s="6"/>
      <c r="G58" t="s">
        <v>56</v>
      </c>
      <c r="H58">
        <v>10</v>
      </c>
      <c r="I58" s="71">
        <f>$H$57/$H$58</f>
        <v>202209452.56888399</v>
      </c>
      <c r="J58" s="71">
        <f t="shared" ref="J58:R58" si="35">$H$57/$H$58</f>
        <v>202209452.56888399</v>
      </c>
      <c r="K58" s="71">
        <f t="shared" si="35"/>
        <v>202209452.56888399</v>
      </c>
      <c r="L58" s="71">
        <f t="shared" si="35"/>
        <v>202209452.56888399</v>
      </c>
      <c r="M58" s="71">
        <f t="shared" si="35"/>
        <v>202209452.56888399</v>
      </c>
      <c r="N58" s="71">
        <f t="shared" si="35"/>
        <v>202209452.56888399</v>
      </c>
      <c r="O58" s="71">
        <f t="shared" si="35"/>
        <v>202209452.56888399</v>
      </c>
      <c r="P58" s="71">
        <f t="shared" si="35"/>
        <v>202209452.56888399</v>
      </c>
      <c r="Q58" s="71">
        <f t="shared" si="35"/>
        <v>202209452.56888399</v>
      </c>
      <c r="R58" s="71">
        <f t="shared" si="35"/>
        <v>202209452.56888399</v>
      </c>
    </row>
    <row r="59" spans="2:18" ht="21.75" customHeight="1" x14ac:dyDescent="0.3">
      <c r="B59" s="53" t="s">
        <v>58</v>
      </c>
      <c r="C59" s="60"/>
      <c r="I59" s="63"/>
      <c r="J59" s="63"/>
      <c r="K59" s="63"/>
      <c r="L59" s="63"/>
      <c r="M59" s="63"/>
      <c r="N59" s="63"/>
      <c r="O59" s="63"/>
      <c r="P59" s="63"/>
      <c r="Q59" s="63"/>
      <c r="R59" s="63"/>
    </row>
    <row r="60" spans="2:18" x14ac:dyDescent="0.3">
      <c r="B60" s="5"/>
      <c r="C60" s="4"/>
      <c r="G60" s="2" t="s">
        <v>63</v>
      </c>
      <c r="H60" s="66"/>
      <c r="I60" s="70">
        <f>SUM(I58)</f>
        <v>202209452.56888399</v>
      </c>
      <c r="J60" s="70">
        <f t="shared" ref="J60:R60" si="36">SUM(J58)</f>
        <v>202209452.56888399</v>
      </c>
      <c r="K60" s="70">
        <f t="shared" si="36"/>
        <v>202209452.56888399</v>
      </c>
      <c r="L60" s="70">
        <f t="shared" si="36"/>
        <v>202209452.56888399</v>
      </c>
      <c r="M60" s="70">
        <f t="shared" si="36"/>
        <v>202209452.56888399</v>
      </c>
      <c r="N60" s="70">
        <f t="shared" si="36"/>
        <v>202209452.56888399</v>
      </c>
      <c r="O60" s="70">
        <f t="shared" si="36"/>
        <v>202209452.56888399</v>
      </c>
      <c r="P60" s="70">
        <f t="shared" si="36"/>
        <v>202209452.56888399</v>
      </c>
      <c r="Q60" s="70">
        <f t="shared" si="36"/>
        <v>202209452.56888399</v>
      </c>
      <c r="R60" s="70">
        <f t="shared" si="36"/>
        <v>202209452.56888399</v>
      </c>
    </row>
    <row r="61" spans="2:18" x14ac:dyDescent="0.3">
      <c r="B61" s="5"/>
    </row>
    <row r="62" spans="2:18" x14ac:dyDescent="0.3">
      <c r="B62" s="5"/>
    </row>
    <row r="63" spans="2:18" x14ac:dyDescent="0.3">
      <c r="B63" s="135" t="s">
        <v>59</v>
      </c>
      <c r="C63" s="152">
        <v>0.15</v>
      </c>
      <c r="D63" s="136" t="s">
        <v>60</v>
      </c>
    </row>
    <row r="64" spans="2:18" x14ac:dyDescent="0.3">
      <c r="G64" s="80" t="s">
        <v>58</v>
      </c>
    </row>
    <row r="65" spans="2:18" ht="17.25" customHeight="1" x14ac:dyDescent="0.3">
      <c r="F65" t="s">
        <v>463</v>
      </c>
      <c r="G65" s="78" t="s">
        <v>456</v>
      </c>
    </row>
    <row r="66" spans="2:18" ht="13.5" customHeight="1" x14ac:dyDescent="0.3">
      <c r="G66" t="s">
        <v>461</v>
      </c>
      <c r="I66" s="126">
        <f t="shared" ref="I66:R66" si="37">I7*20%</f>
        <v>11951933333.333336</v>
      </c>
      <c r="J66" s="126">
        <f t="shared" si="37"/>
        <v>12083404600.000002</v>
      </c>
      <c r="K66" s="126">
        <f t="shared" si="37"/>
        <v>12216322050.600002</v>
      </c>
      <c r="L66" s="126">
        <f t="shared" si="37"/>
        <v>12350701593.156603</v>
      </c>
      <c r="M66" s="126">
        <f t="shared" si="37"/>
        <v>12486559310.681326</v>
      </c>
      <c r="N66" s="126">
        <f t="shared" si="37"/>
        <v>12623911463.09882</v>
      </c>
      <c r="O66" s="126">
        <f t="shared" si="37"/>
        <v>12762774489.192905</v>
      </c>
      <c r="P66" s="126">
        <f t="shared" si="37"/>
        <v>12903165008.574028</v>
      </c>
      <c r="Q66" s="126">
        <f t="shared" si="37"/>
        <v>13045099823.668343</v>
      </c>
      <c r="R66" s="126">
        <f t="shared" si="37"/>
        <v>13188595921.728693</v>
      </c>
    </row>
    <row r="67" spans="2:18" x14ac:dyDescent="0.3">
      <c r="B67" s="5"/>
      <c r="C67" s="4"/>
      <c r="F67" t="s">
        <v>463</v>
      </c>
      <c r="G67" s="79" t="s">
        <v>458</v>
      </c>
      <c r="I67" s="145"/>
    </row>
    <row r="68" spans="2:18" x14ac:dyDescent="0.3">
      <c r="G68" t="s">
        <v>462</v>
      </c>
      <c r="I68" s="127">
        <v>10729000000</v>
      </c>
      <c r="J68" s="146">
        <v>10704102612.5</v>
      </c>
      <c r="K68" s="146">
        <v>10865734561.948751</v>
      </c>
      <c r="L68" s="146">
        <v>11029807153.834177</v>
      </c>
      <c r="M68" s="146">
        <v>11196357241.857073</v>
      </c>
      <c r="N68" s="146">
        <v>11365422236.209114</v>
      </c>
      <c r="O68" s="146">
        <v>11537040111.975874</v>
      </c>
      <c r="P68" s="146">
        <v>11711249417.66671</v>
      </c>
      <c r="Q68" s="146">
        <v>11888089283.873476</v>
      </c>
      <c r="R68" s="146">
        <v>12067599432.059965</v>
      </c>
    </row>
    <row r="69" spans="2:18" x14ac:dyDescent="0.3">
      <c r="G69" s="78" t="s">
        <v>457</v>
      </c>
      <c r="I69" s="145"/>
    </row>
    <row r="70" spans="2:18" x14ac:dyDescent="0.3">
      <c r="F70" t="s">
        <v>464</v>
      </c>
      <c r="G70" t="s">
        <v>460</v>
      </c>
      <c r="H70" s="127"/>
      <c r="I70" s="126">
        <v>0</v>
      </c>
      <c r="J70" s="126">
        <v>0</v>
      </c>
      <c r="K70" s="126">
        <f t="shared" ref="K70:R70" si="38">-(K10+K14+K7)*7%</f>
        <v>-656630712.25500059</v>
      </c>
      <c r="L70" s="126">
        <f t="shared" si="38"/>
        <v>-676072760.4898057</v>
      </c>
      <c r="M70" s="126">
        <f t="shared" si="38"/>
        <v>-695605132.45519352</v>
      </c>
      <c r="N70" s="126">
        <f t="shared" si="38"/>
        <v>-715228821.71220016</v>
      </c>
      <c r="O70" s="126">
        <f t="shared" si="38"/>
        <v>-734944832.75103414</v>
      </c>
      <c r="P70" s="126">
        <f t="shared" si="38"/>
        <v>-754754181.11129558</v>
      </c>
      <c r="Q70" s="126">
        <f t="shared" si="38"/>
        <v>-774657893.50352061</v>
      </c>
      <c r="R70" s="126">
        <f t="shared" si="38"/>
        <v>-794657007.93205798</v>
      </c>
    </row>
    <row r="71" spans="2:18" x14ac:dyDescent="0.3">
      <c r="G71" t="s">
        <v>468</v>
      </c>
      <c r="H71" s="127"/>
      <c r="I71" s="143">
        <f>SUM(I66:I70)</f>
        <v>22680933333.333336</v>
      </c>
      <c r="J71" s="143">
        <f t="shared" ref="J71:R71" si="39">SUM(J66:J70)</f>
        <v>22787507212.5</v>
      </c>
      <c r="K71" s="143">
        <f>SUM(K66:K70)</f>
        <v>22425425900.293751</v>
      </c>
      <c r="L71" s="143">
        <f t="shared" si="39"/>
        <v>22704435986.500973</v>
      </c>
      <c r="M71" s="143">
        <f t="shared" si="39"/>
        <v>22987311420.083206</v>
      </c>
      <c r="N71" s="143">
        <f t="shared" si="39"/>
        <v>23274104877.595734</v>
      </c>
      <c r="O71" s="143">
        <f t="shared" si="39"/>
        <v>23564869768.417744</v>
      </c>
      <c r="P71" s="143">
        <f t="shared" si="39"/>
        <v>23859660245.129444</v>
      </c>
      <c r="Q71" s="143">
        <f t="shared" si="39"/>
        <v>24158531214.038296</v>
      </c>
      <c r="R71" s="143">
        <f t="shared" si="39"/>
        <v>24461538345.856602</v>
      </c>
    </row>
    <row r="72" spans="2:18" x14ac:dyDescent="0.3">
      <c r="G72" s="79" t="s">
        <v>466</v>
      </c>
      <c r="H72" s="127">
        <f>I71</f>
        <v>22680933333.333336</v>
      </c>
      <c r="I72" s="127">
        <f>J71-I71</f>
        <v>106573879.16666412</v>
      </c>
      <c r="J72" s="127">
        <f>K71-J71</f>
        <v>-362081312.20624924</v>
      </c>
      <c r="K72" s="127">
        <f t="shared" ref="K72:R72" si="40">L71-K71</f>
        <v>279010086.20722198</v>
      </c>
      <c r="L72" s="127">
        <f t="shared" si="40"/>
        <v>282875433.58223343</v>
      </c>
      <c r="M72" s="127">
        <f t="shared" si="40"/>
        <v>286793457.51252747</v>
      </c>
      <c r="N72" s="127">
        <f t="shared" si="40"/>
        <v>290764890.82201004</v>
      </c>
      <c r="O72" s="127">
        <f t="shared" si="40"/>
        <v>294790476.71170044</v>
      </c>
      <c r="P72" s="127">
        <f t="shared" si="40"/>
        <v>298870968.90885162</v>
      </c>
      <c r="Q72" s="127">
        <f t="shared" si="40"/>
        <v>303007131.81830597</v>
      </c>
      <c r="R72" s="127">
        <f t="shared" si="40"/>
        <v>-24461538345.856602</v>
      </c>
    </row>
    <row r="73" spans="2:18" x14ac:dyDescent="0.3">
      <c r="G73" s="79"/>
    </row>
    <row r="74" spans="2:18" x14ac:dyDescent="0.3">
      <c r="G74" s="80" t="s">
        <v>465</v>
      </c>
    </row>
    <row r="75" spans="2:18" x14ac:dyDescent="0.3">
      <c r="G75" s="81" t="s">
        <v>10</v>
      </c>
      <c r="H75" s="3">
        <f>C54</f>
        <v>11460000000</v>
      </c>
      <c r="I75" s="3"/>
      <c r="J75" s="9"/>
    </row>
    <row r="76" spans="2:18" x14ac:dyDescent="0.3">
      <c r="G76" s="81" t="s">
        <v>11</v>
      </c>
      <c r="H76" s="7">
        <f>C55</f>
        <v>0.14000000000000001</v>
      </c>
      <c r="I76" t="s">
        <v>12</v>
      </c>
    </row>
    <row r="77" spans="2:18" x14ac:dyDescent="0.3">
      <c r="G77" s="81" t="s">
        <v>13</v>
      </c>
      <c r="H77" s="63">
        <v>10</v>
      </c>
    </row>
    <row r="79" spans="2:18" x14ac:dyDescent="0.3">
      <c r="G79" s="19" t="s">
        <v>7</v>
      </c>
      <c r="H79" s="19" t="s">
        <v>9</v>
      </c>
      <c r="I79" s="19" t="s">
        <v>8</v>
      </c>
      <c r="J79" s="19" t="s">
        <v>64</v>
      </c>
    </row>
    <row r="80" spans="2:18" x14ac:dyDescent="0.3">
      <c r="F80" s="21">
        <v>0</v>
      </c>
      <c r="G80" s="13">
        <f>$H$75</f>
        <v>11460000000</v>
      </c>
      <c r="H80" s="12"/>
      <c r="I80" s="12"/>
      <c r="J80" s="12"/>
    </row>
    <row r="81" spans="2:16" x14ac:dyDescent="0.3">
      <c r="F81" s="21">
        <v>1</v>
      </c>
      <c r="G81" s="20">
        <f>G80-H81</f>
        <v>10314000000</v>
      </c>
      <c r="H81" s="130">
        <f t="shared" ref="H81:H90" si="41">$G$80/$H$77</f>
        <v>1146000000</v>
      </c>
      <c r="I81" s="130">
        <f t="shared" ref="I81:I90" si="42">G80*$H$76</f>
        <v>1604400000.0000002</v>
      </c>
      <c r="J81" s="130">
        <f>H81+I81</f>
        <v>2750400000</v>
      </c>
    </row>
    <row r="82" spans="2:16" x14ac:dyDescent="0.3">
      <c r="F82" s="21">
        <v>2</v>
      </c>
      <c r="G82" s="20">
        <f t="shared" ref="G82:G90" si="43">G81-H82</f>
        <v>9168000000</v>
      </c>
      <c r="H82" s="130">
        <f t="shared" si="41"/>
        <v>1146000000</v>
      </c>
      <c r="I82" s="130">
        <f t="shared" si="42"/>
        <v>1443960000.0000002</v>
      </c>
      <c r="J82" s="130">
        <f t="shared" ref="J82:J90" si="44">H82+I82</f>
        <v>2589960000</v>
      </c>
    </row>
    <row r="83" spans="2:16" x14ac:dyDescent="0.3">
      <c r="F83" s="21">
        <v>3</v>
      </c>
      <c r="G83" s="20">
        <f t="shared" si="43"/>
        <v>8022000000</v>
      </c>
      <c r="H83" s="130">
        <f t="shared" si="41"/>
        <v>1146000000</v>
      </c>
      <c r="I83" s="130">
        <f t="shared" si="42"/>
        <v>1283520000.0000002</v>
      </c>
      <c r="J83" s="130">
        <f t="shared" si="44"/>
        <v>2429520000</v>
      </c>
    </row>
    <row r="84" spans="2:16" x14ac:dyDescent="0.3">
      <c r="B84" s="147" t="s">
        <v>469</v>
      </c>
      <c r="C84" s="79"/>
      <c r="F84" s="21">
        <v>4</v>
      </c>
      <c r="G84" s="20">
        <f t="shared" si="43"/>
        <v>6876000000</v>
      </c>
      <c r="H84" s="130">
        <f t="shared" si="41"/>
        <v>1146000000</v>
      </c>
      <c r="I84" s="130">
        <f t="shared" si="42"/>
        <v>1123080000</v>
      </c>
      <c r="J84" s="130">
        <f t="shared" si="44"/>
        <v>2269080000</v>
      </c>
    </row>
    <row r="85" spans="2:16" x14ac:dyDescent="0.3">
      <c r="B85" s="79" t="s">
        <v>470</v>
      </c>
      <c r="C85" s="148">
        <f>H22</f>
        <v>11460000000</v>
      </c>
      <c r="F85" s="21">
        <v>5</v>
      </c>
      <c r="G85" s="20">
        <f t="shared" si="43"/>
        <v>5730000000</v>
      </c>
      <c r="H85" s="130">
        <f t="shared" si="41"/>
        <v>1146000000</v>
      </c>
      <c r="I85" s="130">
        <f t="shared" si="42"/>
        <v>962640000.00000012</v>
      </c>
      <c r="J85" s="130">
        <f t="shared" si="44"/>
        <v>2108640000</v>
      </c>
    </row>
    <row r="86" spans="2:16" x14ac:dyDescent="0.3">
      <c r="B86" s="79" t="s">
        <v>471</v>
      </c>
      <c r="C86" s="149">
        <f>+C87-C85</f>
        <v>24703027859.022179</v>
      </c>
      <c r="F86" s="21">
        <v>6</v>
      </c>
      <c r="G86" s="20">
        <f t="shared" si="43"/>
        <v>4584000000</v>
      </c>
      <c r="H86" s="130">
        <f t="shared" si="41"/>
        <v>1146000000</v>
      </c>
      <c r="I86" s="130">
        <f t="shared" si="42"/>
        <v>802200000.00000012</v>
      </c>
      <c r="J86" s="130">
        <f t="shared" si="44"/>
        <v>1948200000</v>
      </c>
    </row>
    <row r="87" spans="2:16" x14ac:dyDescent="0.3">
      <c r="B87" s="79" t="s">
        <v>472</v>
      </c>
      <c r="C87" s="148">
        <f>-H21</f>
        <v>36163027859.022179</v>
      </c>
      <c r="E87" s="14"/>
      <c r="F87" s="21">
        <v>7</v>
      </c>
      <c r="G87" s="20">
        <f t="shared" si="43"/>
        <v>3438000000</v>
      </c>
      <c r="H87" s="130">
        <f t="shared" si="41"/>
        <v>1146000000</v>
      </c>
      <c r="I87" s="130">
        <f t="shared" si="42"/>
        <v>641760000.00000012</v>
      </c>
      <c r="J87" s="130">
        <f t="shared" si="44"/>
        <v>1787760000</v>
      </c>
    </row>
    <row r="88" spans="2:16" x14ac:dyDescent="0.3">
      <c r="B88" s="79"/>
      <c r="C88" s="79"/>
      <c r="F88" s="21">
        <v>8</v>
      </c>
      <c r="G88" s="20">
        <f t="shared" si="43"/>
        <v>2292000000</v>
      </c>
      <c r="H88" s="130">
        <f t="shared" si="41"/>
        <v>1146000000</v>
      </c>
      <c r="I88" s="130">
        <f t="shared" si="42"/>
        <v>481320000.00000006</v>
      </c>
      <c r="J88" s="130">
        <f t="shared" si="44"/>
        <v>1627320000</v>
      </c>
    </row>
    <row r="89" spans="2:16" x14ac:dyDescent="0.3">
      <c r="B89" s="79" t="s">
        <v>473</v>
      </c>
      <c r="C89" s="145">
        <f>C85/C87</f>
        <v>0.31689824327419774</v>
      </c>
      <c r="F89" s="21">
        <v>9</v>
      </c>
      <c r="G89" s="20">
        <f t="shared" si="43"/>
        <v>1146000000</v>
      </c>
      <c r="H89" s="130">
        <f t="shared" si="41"/>
        <v>1146000000</v>
      </c>
      <c r="I89" s="130">
        <f t="shared" si="42"/>
        <v>320880000.00000006</v>
      </c>
      <c r="J89" s="130">
        <f t="shared" si="44"/>
        <v>1466880000</v>
      </c>
    </row>
    <row r="90" spans="2:16" x14ac:dyDescent="0.3">
      <c r="B90" s="79" t="s">
        <v>474</v>
      </c>
      <c r="C90" s="145">
        <f>C86/C87</f>
        <v>0.68310175672580231</v>
      </c>
      <c r="F90" s="21">
        <v>10</v>
      </c>
      <c r="G90" s="20">
        <f t="shared" si="43"/>
        <v>0</v>
      </c>
      <c r="H90" s="130">
        <f t="shared" si="41"/>
        <v>1146000000</v>
      </c>
      <c r="I90" s="130">
        <f t="shared" si="42"/>
        <v>160440000.00000003</v>
      </c>
      <c r="J90" s="130">
        <f t="shared" si="44"/>
        <v>1306440000</v>
      </c>
    </row>
    <row r="91" spans="2:16" x14ac:dyDescent="0.3">
      <c r="B91" s="79"/>
      <c r="C91" s="79"/>
      <c r="G91" s="17"/>
      <c r="H91" s="15"/>
      <c r="I91" s="15"/>
      <c r="J91" s="16"/>
      <c r="K91" s="15"/>
    </row>
    <row r="92" spans="2:16" x14ac:dyDescent="0.3">
      <c r="B92" s="79" t="s">
        <v>475</v>
      </c>
      <c r="C92" s="150">
        <f>H76</f>
        <v>0.14000000000000001</v>
      </c>
      <c r="F92" s="48">
        <v>0</v>
      </c>
      <c r="G92" s="131">
        <v>1</v>
      </c>
      <c r="H92" s="131">
        <v>2</v>
      </c>
      <c r="I92" s="131">
        <v>3</v>
      </c>
      <c r="J92" s="131">
        <v>4</v>
      </c>
      <c r="K92" s="131">
        <v>5</v>
      </c>
      <c r="L92" s="131">
        <v>6</v>
      </c>
      <c r="M92" s="131">
        <v>7</v>
      </c>
      <c r="N92" s="131">
        <v>8</v>
      </c>
      <c r="O92" s="131">
        <v>9</v>
      </c>
      <c r="P92" s="131">
        <v>10</v>
      </c>
    </row>
    <row r="93" spans="2:16" x14ac:dyDescent="0.3">
      <c r="B93" s="79" t="s">
        <v>476</v>
      </c>
      <c r="C93" s="150">
        <v>0.15</v>
      </c>
      <c r="E93" s="49" t="s">
        <v>30</v>
      </c>
      <c r="F93" s="12"/>
      <c r="G93" s="130">
        <f>H81</f>
        <v>1146000000</v>
      </c>
      <c r="H93" s="130">
        <f>H82</f>
        <v>1146000000</v>
      </c>
      <c r="I93" s="130">
        <f>H83</f>
        <v>1146000000</v>
      </c>
      <c r="J93" s="130">
        <f>H84</f>
        <v>1146000000</v>
      </c>
      <c r="K93" s="130">
        <f>H85</f>
        <v>1146000000</v>
      </c>
      <c r="L93" s="130">
        <f>H86</f>
        <v>1146000000</v>
      </c>
      <c r="M93" s="130">
        <f>H87</f>
        <v>1146000000</v>
      </c>
      <c r="N93" s="130">
        <f>H88</f>
        <v>1146000000</v>
      </c>
      <c r="O93" s="130">
        <f>H89</f>
        <v>1146000000</v>
      </c>
      <c r="P93" s="130">
        <f>H90</f>
        <v>1146000000</v>
      </c>
    </row>
    <row r="94" spans="2:16" x14ac:dyDescent="0.3">
      <c r="B94" s="79"/>
      <c r="C94" s="145"/>
      <c r="E94" s="49" t="s">
        <v>31</v>
      </c>
      <c r="F94" s="12"/>
      <c r="G94" s="130">
        <f>I81</f>
        <v>1604400000.0000002</v>
      </c>
      <c r="H94" s="130">
        <f>I82</f>
        <v>1443960000.0000002</v>
      </c>
      <c r="I94" s="130">
        <f>I83</f>
        <v>1283520000.0000002</v>
      </c>
      <c r="J94" s="130">
        <f>I84</f>
        <v>1123080000</v>
      </c>
      <c r="K94" s="130">
        <f>I85</f>
        <v>962640000.00000012</v>
      </c>
      <c r="L94" s="130">
        <f>I86</f>
        <v>802200000.00000012</v>
      </c>
      <c r="M94" s="130">
        <f>I87</f>
        <v>641760000.00000012</v>
      </c>
      <c r="N94" s="130">
        <f>I88</f>
        <v>481320000.00000006</v>
      </c>
      <c r="O94" s="130">
        <f>I89</f>
        <v>320880000.00000006</v>
      </c>
      <c r="P94" s="130">
        <f>I90</f>
        <v>160440000.00000003</v>
      </c>
    </row>
    <row r="95" spans="2:16" x14ac:dyDescent="0.3">
      <c r="B95" s="79" t="s">
        <v>477</v>
      </c>
      <c r="C95" s="145">
        <f>$C$30</f>
        <v>0.32</v>
      </c>
      <c r="E95" s="49" t="s">
        <v>32</v>
      </c>
      <c r="F95" s="12"/>
      <c r="G95" s="130">
        <f>G94*$C$30</f>
        <v>513408000.00000006</v>
      </c>
      <c r="H95" s="130">
        <f t="shared" ref="H95:P95" si="45">H94*$C$30</f>
        <v>462067200.00000006</v>
      </c>
      <c r="I95" s="130">
        <f t="shared" si="45"/>
        <v>410726400.00000006</v>
      </c>
      <c r="J95" s="130">
        <f t="shared" si="45"/>
        <v>359385600</v>
      </c>
      <c r="K95" s="130">
        <f t="shared" si="45"/>
        <v>308044800.00000006</v>
      </c>
      <c r="L95" s="130">
        <f t="shared" si="45"/>
        <v>256704000.00000003</v>
      </c>
      <c r="M95" s="130">
        <f t="shared" si="45"/>
        <v>205363200.00000003</v>
      </c>
      <c r="N95" s="130">
        <f t="shared" si="45"/>
        <v>154022400.00000003</v>
      </c>
      <c r="O95" s="130">
        <f t="shared" si="45"/>
        <v>102681600.00000001</v>
      </c>
      <c r="P95" s="130">
        <f t="shared" si="45"/>
        <v>51340800.000000007</v>
      </c>
    </row>
    <row r="96" spans="2:16" x14ac:dyDescent="0.3">
      <c r="B96" s="79"/>
      <c r="C96" s="79"/>
    </row>
    <row r="97" spans="2:13" x14ac:dyDescent="0.3">
      <c r="B97" s="147" t="s">
        <v>478</v>
      </c>
      <c r="C97" s="151">
        <f>+C89*C92*(1-C95)+C90*C93</f>
        <v>0.13263397626857398</v>
      </c>
    </row>
    <row r="102" spans="2:13" x14ac:dyDescent="0.3">
      <c r="B102" s="147" t="s">
        <v>481</v>
      </c>
      <c r="C102" s="155">
        <v>0</v>
      </c>
      <c r="D102" s="155">
        <v>1</v>
      </c>
      <c r="E102" s="155">
        <v>2</v>
      </c>
      <c r="F102" s="155">
        <v>3</v>
      </c>
      <c r="G102" s="156">
        <v>4</v>
      </c>
      <c r="H102" s="156">
        <v>5</v>
      </c>
      <c r="I102" s="156">
        <v>6</v>
      </c>
      <c r="J102" s="156">
        <v>7</v>
      </c>
      <c r="K102" s="156">
        <v>8</v>
      </c>
      <c r="L102" s="156">
        <v>9</v>
      </c>
      <c r="M102" s="156">
        <v>10</v>
      </c>
    </row>
    <row r="103" spans="2:13" x14ac:dyDescent="0.3">
      <c r="B103" s="79" t="s">
        <v>482</v>
      </c>
      <c r="C103" s="9">
        <f>H17</f>
        <v>0</v>
      </c>
      <c r="D103" s="9">
        <f t="shared" ref="D103:M103" si="46">I17</f>
        <v>6434988358.1553802</v>
      </c>
      <c r="E103" s="9">
        <f t="shared" si="46"/>
        <v>6622127644.8220482</v>
      </c>
      <c r="F103" s="9">
        <f t="shared" si="46"/>
        <v>6810125372.4420481</v>
      </c>
      <c r="G103" s="9">
        <f t="shared" si="46"/>
        <v>6998990983.8658676</v>
      </c>
      <c r="H103" s="9">
        <f t="shared" si="46"/>
        <v>7188734025.8153515</v>
      </c>
      <c r="I103" s="9">
        <f t="shared" si="46"/>
        <v>7379364150.0262718</v>
      </c>
      <c r="J103" s="9">
        <f t="shared" si="46"/>
        <v>7570891114.4035168</v>
      </c>
      <c r="K103" s="9">
        <f t="shared" si="46"/>
        <v>7763324784.1889162</v>
      </c>
      <c r="L103" s="9">
        <f t="shared" si="46"/>
        <v>7956675133.1419563</v>
      </c>
      <c r="M103" s="9">
        <f t="shared" si="46"/>
        <v>8150952244.7334652</v>
      </c>
    </row>
    <row r="104" spans="2:13" x14ac:dyDescent="0.3">
      <c r="B104" s="79" t="s">
        <v>478</v>
      </c>
      <c r="C104" s="157">
        <f>C97</f>
        <v>0.13263397626857398</v>
      </c>
    </row>
    <row r="105" spans="2:13" x14ac:dyDescent="0.3">
      <c r="B105" s="158" t="s">
        <v>3</v>
      </c>
      <c r="C105" s="159">
        <f>NPV(C104,D103:M103)+C103</f>
        <v>38107121579.19735</v>
      </c>
    </row>
    <row r="107" spans="2:13" x14ac:dyDescent="0.3">
      <c r="B107" s="160" t="s">
        <v>483</v>
      </c>
      <c r="D107" s="126">
        <v>38690826506.91716</v>
      </c>
    </row>
    <row r="110" spans="2:13" x14ac:dyDescent="0.3">
      <c r="B110" s="147" t="s">
        <v>484</v>
      </c>
      <c r="C110" s="155">
        <v>0</v>
      </c>
      <c r="D110" s="155">
        <v>1</v>
      </c>
      <c r="E110" s="155">
        <v>2</v>
      </c>
      <c r="F110" s="155">
        <v>3</v>
      </c>
      <c r="G110" s="156">
        <v>4</v>
      </c>
      <c r="H110" s="156">
        <v>5</v>
      </c>
      <c r="I110" s="156">
        <v>6</v>
      </c>
      <c r="J110" s="156">
        <v>7</v>
      </c>
      <c r="K110" s="156">
        <v>8</v>
      </c>
      <c r="L110" s="156">
        <v>9</v>
      </c>
      <c r="M110" s="156">
        <v>10</v>
      </c>
    </row>
    <row r="111" spans="2:13" x14ac:dyDescent="0.3">
      <c r="B111" s="79" t="s">
        <v>485</v>
      </c>
      <c r="C111" s="79">
        <f>H25</f>
        <v>-24703027859.022179</v>
      </c>
      <c r="D111" s="79">
        <f t="shared" ref="D111:M111" si="47">I25</f>
        <v>5695822478.9887161</v>
      </c>
      <c r="E111" s="79">
        <f t="shared" si="47"/>
        <v>6300276157.0282974</v>
      </c>
      <c r="F111" s="79">
        <f t="shared" si="47"/>
        <v>5795841686.2348261</v>
      </c>
      <c r="G111" s="79">
        <f t="shared" si="47"/>
        <v>5929501150.2836342</v>
      </c>
      <c r="H111" s="79">
        <f t="shared" si="47"/>
        <v>6063985368.302824</v>
      </c>
      <c r="I111" s="79">
        <f t="shared" si="47"/>
        <v>6199303259.2042618</v>
      </c>
      <c r="J111" s="79">
        <f t="shared" si="47"/>
        <v>6335463837.6918163</v>
      </c>
      <c r="K111" s="79">
        <f t="shared" si="47"/>
        <v>6472476215.2800646</v>
      </c>
      <c r="L111" s="79">
        <f t="shared" si="47"/>
        <v>6610349601.3236504</v>
      </c>
      <c r="M111" s="79">
        <f t="shared" si="47"/>
        <v>31517831390.590065</v>
      </c>
    </row>
    <row r="112" spans="2:13" x14ac:dyDescent="0.3">
      <c r="B112" s="79" t="s">
        <v>476</v>
      </c>
      <c r="C112" s="161">
        <f>C93</f>
        <v>0.15</v>
      </c>
    </row>
    <row r="113" spans="2:3" x14ac:dyDescent="0.3">
      <c r="B113" s="158" t="s">
        <v>3</v>
      </c>
      <c r="C113" s="159">
        <f>NPV(C112,D111:M111)+C111</f>
        <v>12077248300.531578</v>
      </c>
    </row>
    <row r="115" spans="2:3" x14ac:dyDescent="0.3">
      <c r="B115" s="160" t="s">
        <v>486</v>
      </c>
      <c r="C115" s="126">
        <v>7422419321.2850418</v>
      </c>
    </row>
  </sheetData>
  <mergeCells count="1">
    <mergeCell ref="I3:N3"/>
  </mergeCell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18"/>
  <sheetViews>
    <sheetView workbookViewId="0">
      <selection activeCell="J16" sqref="J16"/>
    </sheetView>
  </sheetViews>
  <sheetFormatPr baseColWidth="10" defaultColWidth="11.44140625" defaultRowHeight="14.4" x14ac:dyDescent="0.3"/>
  <cols>
    <col min="1" max="1" width="11.44140625" style="90"/>
    <col min="2" max="2" width="39" style="90" bestFit="1" customWidth="1"/>
    <col min="3" max="4" width="11.44140625" style="90"/>
    <col min="5" max="5" width="13.6640625" style="90" bestFit="1" customWidth="1"/>
    <col min="6" max="6" width="15.109375" style="90" bestFit="1" customWidth="1"/>
    <col min="7" max="16384" width="11.44140625" style="90"/>
  </cols>
  <sheetData>
    <row r="2" spans="2:6" x14ac:dyDescent="0.3">
      <c r="B2" s="19" t="s">
        <v>358</v>
      </c>
      <c r="C2" s="19" t="s">
        <v>359</v>
      </c>
      <c r="D2" s="19" t="s">
        <v>360</v>
      </c>
      <c r="E2" s="19" t="s">
        <v>361</v>
      </c>
      <c r="F2" s="19" t="s">
        <v>356</v>
      </c>
    </row>
    <row r="3" spans="2:6" ht="15.6" x14ac:dyDescent="0.3">
      <c r="B3" s="115" t="s">
        <v>362</v>
      </c>
      <c r="C3" s="98" t="s">
        <v>363</v>
      </c>
      <c r="D3" s="98">
        <v>3000</v>
      </c>
      <c r="E3" s="109">
        <v>12900</v>
      </c>
      <c r="F3" s="111">
        <f>+E3*D3</f>
        <v>38700000</v>
      </c>
    </row>
    <row r="4" spans="2:6" ht="15.6" x14ac:dyDescent="0.3">
      <c r="B4" s="115" t="s">
        <v>364</v>
      </c>
      <c r="C4" s="98" t="s">
        <v>365</v>
      </c>
      <c r="D4" s="98">
        <v>350</v>
      </c>
      <c r="E4" s="109">
        <v>6200</v>
      </c>
      <c r="F4" s="111">
        <f t="shared" ref="F4:F17" si="0">+E4*D4</f>
        <v>2170000</v>
      </c>
    </row>
    <row r="5" spans="2:6" ht="15.6" x14ac:dyDescent="0.3">
      <c r="B5" s="115" t="s">
        <v>366</v>
      </c>
      <c r="C5" s="98" t="s">
        <v>367</v>
      </c>
      <c r="D5" s="98">
        <v>1</v>
      </c>
      <c r="E5" s="109">
        <v>4500000</v>
      </c>
      <c r="F5" s="111">
        <f t="shared" si="0"/>
        <v>4500000</v>
      </c>
    </row>
    <row r="6" spans="2:6" ht="15.6" x14ac:dyDescent="0.3">
      <c r="B6" s="115" t="s">
        <v>368</v>
      </c>
      <c r="C6" s="98" t="s">
        <v>365</v>
      </c>
      <c r="D6" s="98">
        <v>12</v>
      </c>
      <c r="E6" s="109">
        <v>400000</v>
      </c>
      <c r="F6" s="111">
        <f t="shared" si="0"/>
        <v>4800000</v>
      </c>
    </row>
    <row r="7" spans="2:6" ht="15.6" x14ac:dyDescent="0.3">
      <c r="B7" s="115" t="s">
        <v>369</v>
      </c>
      <c r="C7" s="98" t="s">
        <v>370</v>
      </c>
      <c r="D7" s="98">
        <v>10</v>
      </c>
      <c r="E7" s="109">
        <v>1895000</v>
      </c>
      <c r="F7" s="111">
        <f t="shared" si="0"/>
        <v>18950000</v>
      </c>
    </row>
    <row r="8" spans="2:6" ht="15.6" x14ac:dyDescent="0.3">
      <c r="B8" s="115" t="s">
        <v>371</v>
      </c>
      <c r="C8" s="98" t="s">
        <v>365</v>
      </c>
      <c r="D8" s="98">
        <v>600</v>
      </c>
      <c r="E8" s="109">
        <v>26200</v>
      </c>
      <c r="F8" s="111">
        <f t="shared" si="0"/>
        <v>15720000</v>
      </c>
    </row>
    <row r="9" spans="2:6" ht="15.6" x14ac:dyDescent="0.3">
      <c r="B9" s="115" t="s">
        <v>372</v>
      </c>
      <c r="C9" s="98" t="s">
        <v>365</v>
      </c>
      <c r="D9" s="98">
        <v>50</v>
      </c>
      <c r="E9" s="109">
        <v>5630</v>
      </c>
      <c r="F9" s="111">
        <f t="shared" si="0"/>
        <v>281500</v>
      </c>
    </row>
    <row r="10" spans="2:6" ht="15.6" x14ac:dyDescent="0.3">
      <c r="B10" s="115" t="s">
        <v>373</v>
      </c>
      <c r="C10" s="98" t="s">
        <v>363</v>
      </c>
      <c r="D10" s="98">
        <v>100</v>
      </c>
      <c r="E10" s="109">
        <v>32430</v>
      </c>
      <c r="F10" s="111">
        <f t="shared" si="0"/>
        <v>3243000</v>
      </c>
    </row>
    <row r="11" spans="2:6" ht="15.6" x14ac:dyDescent="0.3">
      <c r="B11" s="115" t="s">
        <v>374</v>
      </c>
      <c r="C11" s="98" t="s">
        <v>365</v>
      </c>
      <c r="D11" s="98">
        <v>80</v>
      </c>
      <c r="E11" s="109">
        <v>9700</v>
      </c>
      <c r="F11" s="111">
        <f t="shared" si="0"/>
        <v>776000</v>
      </c>
    </row>
    <row r="12" spans="2:6" ht="15.6" x14ac:dyDescent="0.3">
      <c r="B12" s="115" t="s">
        <v>375</v>
      </c>
      <c r="C12" s="98" t="s">
        <v>376</v>
      </c>
      <c r="D12" s="98">
        <v>7</v>
      </c>
      <c r="E12" s="109">
        <v>75000</v>
      </c>
      <c r="F12" s="111">
        <f t="shared" si="0"/>
        <v>525000</v>
      </c>
    </row>
    <row r="13" spans="2:6" ht="15.6" x14ac:dyDescent="0.3">
      <c r="B13" s="115" t="s">
        <v>377</v>
      </c>
      <c r="C13" s="98" t="s">
        <v>376</v>
      </c>
      <c r="D13" s="98">
        <v>8</v>
      </c>
      <c r="E13" s="109">
        <v>56000</v>
      </c>
      <c r="F13" s="111">
        <f t="shared" si="0"/>
        <v>448000</v>
      </c>
    </row>
    <row r="14" spans="2:6" ht="15.6" x14ac:dyDescent="0.3">
      <c r="B14" s="115" t="s">
        <v>378</v>
      </c>
      <c r="C14" s="98" t="s">
        <v>365</v>
      </c>
      <c r="D14" s="98">
        <v>13</v>
      </c>
      <c r="E14" s="109">
        <v>545000</v>
      </c>
      <c r="F14" s="111">
        <f t="shared" si="0"/>
        <v>7085000</v>
      </c>
    </row>
    <row r="15" spans="2:6" ht="15.6" x14ac:dyDescent="0.3">
      <c r="B15" s="115" t="s">
        <v>379</v>
      </c>
      <c r="C15" s="98" t="s">
        <v>365</v>
      </c>
      <c r="D15" s="98">
        <v>1</v>
      </c>
      <c r="E15" s="109">
        <v>4500000</v>
      </c>
      <c r="F15" s="111">
        <f t="shared" si="0"/>
        <v>4500000</v>
      </c>
    </row>
    <row r="16" spans="2:6" ht="15.6" x14ac:dyDescent="0.3">
      <c r="B16" s="115" t="s">
        <v>380</v>
      </c>
      <c r="C16" s="98" t="s">
        <v>365</v>
      </c>
      <c r="D16" s="98">
        <v>15</v>
      </c>
      <c r="E16" s="109">
        <v>2340000</v>
      </c>
      <c r="F16" s="111">
        <f t="shared" si="0"/>
        <v>35100000</v>
      </c>
    </row>
    <row r="17" spans="2:6" ht="15.6" x14ac:dyDescent="0.3">
      <c r="B17" s="115" t="s">
        <v>381</v>
      </c>
      <c r="C17" s="98" t="s">
        <v>382</v>
      </c>
      <c r="D17" s="98">
        <v>1</v>
      </c>
      <c r="E17" s="109">
        <v>3500000</v>
      </c>
      <c r="F17" s="111">
        <f t="shared" si="0"/>
        <v>3500000</v>
      </c>
    </row>
    <row r="18" spans="2:6" x14ac:dyDescent="0.3">
      <c r="F18" s="114">
        <f>SUM(F3:F17)</f>
        <v>140298500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D26"/>
  <sheetViews>
    <sheetView topLeftCell="A22" workbookViewId="0">
      <selection activeCell="D31" sqref="D31"/>
    </sheetView>
  </sheetViews>
  <sheetFormatPr baseColWidth="10" defaultColWidth="47.33203125" defaultRowHeight="14.4" x14ac:dyDescent="0.3"/>
  <cols>
    <col min="1" max="1" width="19.33203125" style="90" customWidth="1"/>
    <col min="2" max="3" width="47.33203125" style="90"/>
    <col min="4" max="4" width="19.109375" style="86" customWidth="1"/>
    <col min="5" max="16384" width="47.33203125" style="90"/>
  </cols>
  <sheetData>
    <row r="2" spans="2:4" ht="15.6" x14ac:dyDescent="0.3">
      <c r="B2" s="91" t="s">
        <v>383</v>
      </c>
      <c r="C2" s="91" t="s">
        <v>384</v>
      </c>
      <c r="D2" s="116" t="s">
        <v>385</v>
      </c>
    </row>
    <row r="3" spans="2:4" ht="15.6" x14ac:dyDescent="0.3">
      <c r="B3" s="117" t="s">
        <v>386</v>
      </c>
      <c r="C3" s="117" t="s">
        <v>387</v>
      </c>
      <c r="D3" s="118">
        <v>150000000</v>
      </c>
    </row>
    <row r="4" spans="2:4" ht="15.6" x14ac:dyDescent="0.3">
      <c r="B4" s="117" t="s">
        <v>388</v>
      </c>
      <c r="C4" s="117" t="s">
        <v>389</v>
      </c>
      <c r="D4" s="118">
        <v>500000000</v>
      </c>
    </row>
    <row r="5" spans="2:4" ht="15.6" x14ac:dyDescent="0.3">
      <c r="B5" s="117" t="s">
        <v>390</v>
      </c>
      <c r="C5" s="117" t="s">
        <v>391</v>
      </c>
      <c r="D5" s="118">
        <v>20000000</v>
      </c>
    </row>
    <row r="6" spans="2:4" ht="31.2" x14ac:dyDescent="0.3">
      <c r="B6" s="117" t="s">
        <v>392</v>
      </c>
      <c r="C6" s="117" t="s">
        <v>393</v>
      </c>
      <c r="D6" s="118">
        <v>80000000</v>
      </c>
    </row>
    <row r="7" spans="2:4" ht="46.8" x14ac:dyDescent="0.3">
      <c r="B7" s="117" t="s">
        <v>394</v>
      </c>
      <c r="C7" s="117" t="s">
        <v>395</v>
      </c>
      <c r="D7" s="118">
        <v>600000000</v>
      </c>
    </row>
    <row r="8" spans="2:4" ht="46.8" x14ac:dyDescent="0.3">
      <c r="B8" s="117" t="s">
        <v>396</v>
      </c>
      <c r="C8" s="117" t="s">
        <v>397</v>
      </c>
      <c r="D8" s="118">
        <v>900000000</v>
      </c>
    </row>
    <row r="9" spans="2:4" ht="31.2" x14ac:dyDescent="0.3">
      <c r="B9" s="117" t="s">
        <v>398</v>
      </c>
      <c r="C9" s="117" t="s">
        <v>399</v>
      </c>
      <c r="D9" s="118">
        <v>60000000</v>
      </c>
    </row>
    <row r="10" spans="2:4" ht="31.2" x14ac:dyDescent="0.3">
      <c r="B10" s="117" t="s">
        <v>400</v>
      </c>
      <c r="C10" s="117" t="s">
        <v>399</v>
      </c>
      <c r="D10" s="118">
        <v>60000000</v>
      </c>
    </row>
    <row r="11" spans="2:4" ht="31.2" x14ac:dyDescent="0.3">
      <c r="B11" s="117" t="s">
        <v>401</v>
      </c>
      <c r="C11" s="117" t="s">
        <v>399</v>
      </c>
      <c r="D11" s="118">
        <v>60000000</v>
      </c>
    </row>
    <row r="12" spans="2:4" ht="31.2" x14ac:dyDescent="0.3">
      <c r="B12" s="117" t="s">
        <v>402</v>
      </c>
      <c r="C12" s="117" t="s">
        <v>403</v>
      </c>
      <c r="D12" s="118">
        <v>60000000</v>
      </c>
    </row>
    <row r="13" spans="2:4" ht="31.2" x14ac:dyDescent="0.3">
      <c r="B13" s="117" t="s">
        <v>404</v>
      </c>
      <c r="C13" s="117" t="s">
        <v>405</v>
      </c>
      <c r="D13" s="118">
        <v>30000000</v>
      </c>
    </row>
    <row r="14" spans="2:4" ht="31.2" x14ac:dyDescent="0.3">
      <c r="B14" s="117" t="s">
        <v>406</v>
      </c>
      <c r="C14" s="117" t="s">
        <v>407</v>
      </c>
      <c r="D14" s="118">
        <v>1200000000</v>
      </c>
    </row>
    <row r="15" spans="2:4" ht="31.2" x14ac:dyDescent="0.3">
      <c r="B15" s="117" t="s">
        <v>408</v>
      </c>
      <c r="C15" s="117" t="s">
        <v>407</v>
      </c>
      <c r="D15" s="118">
        <v>1200000000</v>
      </c>
    </row>
    <row r="16" spans="2:4" ht="46.8" x14ac:dyDescent="0.3">
      <c r="B16" s="117" t="s">
        <v>409</v>
      </c>
      <c r="C16" s="117" t="s">
        <v>410</v>
      </c>
      <c r="D16" s="118">
        <v>40000000</v>
      </c>
    </row>
    <row r="17" spans="2:4" ht="31.2" x14ac:dyDescent="0.3">
      <c r="B17" s="117" t="s">
        <v>411</v>
      </c>
      <c r="C17" s="117" t="s">
        <v>412</v>
      </c>
      <c r="D17" s="118">
        <v>600000000</v>
      </c>
    </row>
    <row r="18" spans="2:4" ht="15.6" x14ac:dyDescent="0.3">
      <c r="B18" s="117" t="s">
        <v>413</v>
      </c>
      <c r="C18" s="117" t="s">
        <v>414</v>
      </c>
      <c r="D18" s="118">
        <v>30000000</v>
      </c>
    </row>
    <row r="19" spans="2:4" ht="33" x14ac:dyDescent="0.3">
      <c r="B19" s="117" t="s">
        <v>415</v>
      </c>
      <c r="C19" s="117" t="s">
        <v>416</v>
      </c>
      <c r="D19" s="118">
        <v>120000000</v>
      </c>
    </row>
    <row r="20" spans="2:4" ht="31.2" x14ac:dyDescent="0.3">
      <c r="B20" s="117" t="s">
        <v>417</v>
      </c>
      <c r="C20" s="117" t="s">
        <v>418</v>
      </c>
      <c r="D20" s="118">
        <v>1200000000</v>
      </c>
    </row>
    <row r="21" spans="2:4" ht="15" customHeight="1" x14ac:dyDescent="0.3">
      <c r="B21" s="183" t="s">
        <v>419</v>
      </c>
      <c r="C21" s="183" t="s">
        <v>420</v>
      </c>
      <c r="D21" s="185">
        <v>200000000</v>
      </c>
    </row>
    <row r="22" spans="2:4" ht="15" customHeight="1" x14ac:dyDescent="0.3">
      <c r="B22" s="184"/>
      <c r="C22" s="184"/>
      <c r="D22" s="186"/>
    </row>
    <row r="23" spans="2:4" ht="46.8" x14ac:dyDescent="0.3">
      <c r="B23" s="117" t="s">
        <v>421</v>
      </c>
      <c r="C23" s="117" t="s">
        <v>422</v>
      </c>
      <c r="D23" s="118">
        <v>4000000000</v>
      </c>
    </row>
    <row r="24" spans="2:4" ht="15.6" x14ac:dyDescent="0.3">
      <c r="B24" s="117" t="s">
        <v>423</v>
      </c>
      <c r="C24" s="117" t="s">
        <v>424</v>
      </c>
      <c r="D24" s="118">
        <v>200000000</v>
      </c>
    </row>
    <row r="25" spans="2:4" ht="15.6" x14ac:dyDescent="0.3">
      <c r="B25" s="117" t="s">
        <v>425</v>
      </c>
      <c r="C25" s="94" t="s">
        <v>426</v>
      </c>
      <c r="D25" s="118">
        <v>150000000</v>
      </c>
    </row>
    <row r="26" spans="2:4" x14ac:dyDescent="0.3">
      <c r="D26" s="119">
        <f>SUM(D3:D25)</f>
        <v>11460000000</v>
      </c>
    </row>
  </sheetData>
  <mergeCells count="3">
    <mergeCell ref="B21:B22"/>
    <mergeCell ref="C21:C22"/>
    <mergeCell ref="D21:D2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G15"/>
  <sheetViews>
    <sheetView workbookViewId="0">
      <selection activeCell="E22" sqref="E22"/>
    </sheetView>
  </sheetViews>
  <sheetFormatPr baseColWidth="10" defaultRowHeight="14.4" x14ac:dyDescent="0.3"/>
  <cols>
    <col min="2" max="2" width="26.109375" customWidth="1"/>
    <col min="5" max="5" width="15.109375" bestFit="1" customWidth="1"/>
    <col min="6" max="6" width="13.6640625" customWidth="1"/>
  </cols>
  <sheetData>
    <row r="2" spans="2:7" x14ac:dyDescent="0.3">
      <c r="B2" s="92" t="s">
        <v>429</v>
      </c>
      <c r="C2" s="92" t="s">
        <v>365</v>
      </c>
      <c r="D2" s="92" t="s">
        <v>294</v>
      </c>
      <c r="E2" s="92" t="s">
        <v>430</v>
      </c>
      <c r="F2" s="92" t="s">
        <v>356</v>
      </c>
      <c r="G2" s="120"/>
    </row>
    <row r="3" spans="2:7" x14ac:dyDescent="0.3">
      <c r="B3" s="121" t="s">
        <v>431</v>
      </c>
      <c r="C3" s="121" t="s">
        <v>365</v>
      </c>
      <c r="D3" s="121">
        <v>4</v>
      </c>
      <c r="E3" s="109">
        <v>1800000</v>
      </c>
      <c r="F3" s="122">
        <f>+E3*D3</f>
        <v>7200000</v>
      </c>
    </row>
    <row r="4" spans="2:7" x14ac:dyDescent="0.3">
      <c r="B4" s="123" t="s">
        <v>432</v>
      </c>
      <c r="C4" s="121" t="s">
        <v>365</v>
      </c>
      <c r="D4" s="121">
        <v>1</v>
      </c>
      <c r="E4" s="109">
        <v>350000</v>
      </c>
      <c r="F4" s="122">
        <f t="shared" ref="F4:F9" si="0">+E4*D4</f>
        <v>350000</v>
      </c>
    </row>
    <row r="5" spans="2:7" x14ac:dyDescent="0.3">
      <c r="B5" s="123" t="s">
        <v>433</v>
      </c>
      <c r="C5" s="121"/>
      <c r="D5" s="121">
        <v>1</v>
      </c>
      <c r="E5" s="109">
        <v>2000000</v>
      </c>
      <c r="F5" s="122">
        <f t="shared" si="0"/>
        <v>2000000</v>
      </c>
    </row>
    <row r="6" spans="2:7" x14ac:dyDescent="0.3">
      <c r="B6" s="123" t="s">
        <v>434</v>
      </c>
      <c r="C6" s="121" t="s">
        <v>435</v>
      </c>
      <c r="D6" s="121">
        <v>22</v>
      </c>
      <c r="E6" s="109">
        <v>75000</v>
      </c>
      <c r="F6" s="122">
        <f t="shared" si="0"/>
        <v>1650000</v>
      </c>
    </row>
    <row r="7" spans="2:7" x14ac:dyDescent="0.3">
      <c r="B7" s="12" t="s">
        <v>436</v>
      </c>
      <c r="C7" s="121" t="s">
        <v>365</v>
      </c>
      <c r="D7" s="121">
        <v>3</v>
      </c>
      <c r="E7" s="109">
        <v>250000</v>
      </c>
      <c r="F7" s="122">
        <f t="shared" si="0"/>
        <v>750000</v>
      </c>
    </row>
    <row r="8" spans="2:7" x14ac:dyDescent="0.3">
      <c r="B8" s="12" t="s">
        <v>437</v>
      </c>
      <c r="C8" s="121" t="s">
        <v>435</v>
      </c>
      <c r="D8" s="121">
        <v>22</v>
      </c>
      <c r="E8" s="109">
        <v>25000</v>
      </c>
      <c r="F8" s="122">
        <f t="shared" si="0"/>
        <v>550000</v>
      </c>
    </row>
    <row r="9" spans="2:7" x14ac:dyDescent="0.3">
      <c r="B9" s="124" t="s">
        <v>438</v>
      </c>
      <c r="C9" s="125" t="s">
        <v>439</v>
      </c>
      <c r="D9" s="125">
        <v>2</v>
      </c>
      <c r="E9" s="109">
        <v>1000000</v>
      </c>
      <c r="F9" s="122">
        <f t="shared" si="0"/>
        <v>2000000</v>
      </c>
    </row>
    <row r="10" spans="2:7" x14ac:dyDescent="0.3">
      <c r="F10" s="114">
        <f>SUM(F3:F9)</f>
        <v>14500000</v>
      </c>
    </row>
    <row r="15" spans="2:7" x14ac:dyDescent="0.3">
      <c r="E15">
        <f>60/12</f>
        <v>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AB60"/>
  <sheetViews>
    <sheetView workbookViewId="0">
      <selection activeCell="Y60" sqref="Y60"/>
    </sheetView>
  </sheetViews>
  <sheetFormatPr baseColWidth="10" defaultColWidth="11.44140625" defaultRowHeight="14.4" x14ac:dyDescent="0.3"/>
  <cols>
    <col min="1" max="1" width="11.44140625" style="90"/>
    <col min="2" max="2" width="43.44140625" style="90" customWidth="1"/>
    <col min="3" max="3" width="11.44140625" style="90"/>
    <col min="4" max="4" width="13" style="90" customWidth="1"/>
    <col min="5" max="5" width="15.109375" style="90" customWidth="1"/>
    <col min="6" max="6" width="12.5546875" style="90" customWidth="1"/>
    <col min="7" max="8" width="11.44140625" style="90" customWidth="1"/>
    <col min="9" max="9" width="13.109375" style="90" customWidth="1"/>
    <col min="10" max="14" width="11.44140625" style="90" customWidth="1"/>
    <col min="15" max="15" width="12.109375" style="90" customWidth="1"/>
    <col min="16" max="16" width="16.6640625" style="90" customWidth="1"/>
    <col min="17" max="18" width="11.44140625" style="90" customWidth="1"/>
    <col min="19" max="19" width="13.109375" style="90" customWidth="1"/>
    <col min="20" max="20" width="11.44140625" style="90" customWidth="1"/>
    <col min="21" max="21" width="12.44140625" style="90" customWidth="1"/>
    <col min="22" max="22" width="15.33203125" style="90" customWidth="1"/>
    <col min="23" max="23" width="15.109375" style="90" customWidth="1"/>
    <col min="24" max="24" width="13.44140625" style="90" customWidth="1"/>
    <col min="25" max="25" width="17.6640625" style="90" customWidth="1"/>
    <col min="26" max="27" width="11.44140625" style="90"/>
    <col min="28" max="28" width="18" style="90" bestFit="1" customWidth="1"/>
    <col min="29" max="16384" width="11.44140625" style="90"/>
  </cols>
  <sheetData>
    <row r="1" spans="2:28" x14ac:dyDescent="0.3">
      <c r="D1" s="187">
        <v>2021</v>
      </c>
      <c r="E1" s="187"/>
      <c r="F1" s="187"/>
      <c r="G1" s="187"/>
      <c r="H1" s="187"/>
      <c r="I1" s="187"/>
      <c r="J1" s="187"/>
      <c r="K1" s="187"/>
      <c r="L1" s="187"/>
      <c r="M1" s="187"/>
      <c r="N1" s="187"/>
      <c r="O1" s="187"/>
      <c r="P1" s="187">
        <v>2022</v>
      </c>
      <c r="Q1" s="187"/>
      <c r="R1" s="187"/>
      <c r="S1" s="187"/>
      <c r="T1" s="187"/>
      <c r="U1" s="187"/>
      <c r="V1" s="187"/>
      <c r="W1" s="187"/>
      <c r="X1" s="187"/>
      <c r="Y1" s="187"/>
      <c r="Z1" s="187"/>
      <c r="AA1" s="187"/>
    </row>
    <row r="2" spans="2:28" ht="15.6" x14ac:dyDescent="0.3">
      <c r="B2" s="91" t="s">
        <v>293</v>
      </c>
      <c r="C2" s="91" t="s">
        <v>294</v>
      </c>
      <c r="D2" s="19" t="s">
        <v>295</v>
      </c>
      <c r="E2" s="19" t="s">
        <v>296</v>
      </c>
      <c r="F2" s="19" t="s">
        <v>297</v>
      </c>
      <c r="G2" s="19" t="s">
        <v>298</v>
      </c>
      <c r="H2" s="19" t="s">
        <v>299</v>
      </c>
      <c r="I2" s="19" t="s">
        <v>300</v>
      </c>
      <c r="J2" s="19" t="s">
        <v>301</v>
      </c>
      <c r="K2" s="19" t="s">
        <v>302</v>
      </c>
      <c r="L2" s="19" t="s">
        <v>303</v>
      </c>
      <c r="M2" s="19" t="s">
        <v>304</v>
      </c>
      <c r="N2" s="19" t="s">
        <v>305</v>
      </c>
      <c r="O2" s="19" t="s">
        <v>306</v>
      </c>
      <c r="P2" s="19" t="s">
        <v>295</v>
      </c>
      <c r="Q2" s="19" t="s">
        <v>296</v>
      </c>
      <c r="R2" s="19" t="s">
        <v>297</v>
      </c>
      <c r="S2" s="19" t="s">
        <v>298</v>
      </c>
      <c r="T2" s="19" t="s">
        <v>299</v>
      </c>
      <c r="U2" s="19" t="s">
        <v>300</v>
      </c>
      <c r="V2" s="19" t="s">
        <v>301</v>
      </c>
      <c r="W2" s="19" t="s">
        <v>302</v>
      </c>
      <c r="X2" s="19" t="s">
        <v>303</v>
      </c>
      <c r="Y2" s="19" t="s">
        <v>304</v>
      </c>
      <c r="Z2" s="92" t="s">
        <v>305</v>
      </c>
      <c r="AA2" s="92" t="s">
        <v>306</v>
      </c>
      <c r="AB2" s="93" t="s">
        <v>307</v>
      </c>
    </row>
    <row r="3" spans="2:28" ht="18.75" customHeight="1" x14ac:dyDescent="0.3">
      <c r="B3" s="94" t="s">
        <v>308</v>
      </c>
      <c r="C3" s="95">
        <v>1</v>
      </c>
      <c r="D3" s="96">
        <v>1</v>
      </c>
      <c r="E3" s="96">
        <v>1</v>
      </c>
      <c r="F3" s="96">
        <v>1</v>
      </c>
      <c r="G3" s="96">
        <v>1</v>
      </c>
      <c r="H3" s="96">
        <v>1</v>
      </c>
      <c r="I3" s="96">
        <v>1</v>
      </c>
      <c r="J3" s="96">
        <v>1</v>
      </c>
      <c r="K3" s="96">
        <v>1</v>
      </c>
      <c r="L3" s="96">
        <v>1</v>
      </c>
      <c r="M3" s="96">
        <v>1</v>
      </c>
      <c r="N3" s="96">
        <v>1</v>
      </c>
      <c r="O3" s="96">
        <v>1</v>
      </c>
      <c r="P3" s="96">
        <v>1</v>
      </c>
      <c r="Q3" s="96">
        <v>1</v>
      </c>
      <c r="R3" s="96">
        <v>1</v>
      </c>
      <c r="S3" s="96">
        <v>1</v>
      </c>
      <c r="T3" s="96">
        <v>1</v>
      </c>
      <c r="U3" s="96">
        <v>1</v>
      </c>
      <c r="V3" s="96">
        <v>1</v>
      </c>
      <c r="W3" s="96">
        <v>1</v>
      </c>
      <c r="X3" s="96">
        <v>1</v>
      </c>
      <c r="Y3" s="96">
        <v>1</v>
      </c>
      <c r="Z3" s="97"/>
      <c r="AA3" s="97"/>
      <c r="AB3" s="98">
        <f>SUM(D3:AA3)</f>
        <v>22</v>
      </c>
    </row>
    <row r="4" spans="2:28" ht="18.75" customHeight="1" x14ac:dyDescent="0.3">
      <c r="B4" s="94" t="s">
        <v>309</v>
      </c>
      <c r="C4" s="95">
        <v>1</v>
      </c>
      <c r="D4" s="98"/>
      <c r="E4" s="98"/>
      <c r="F4" s="98"/>
      <c r="G4" s="98"/>
      <c r="H4" s="98"/>
      <c r="I4" s="98"/>
      <c r="J4" s="98"/>
      <c r="K4" s="98"/>
      <c r="L4" s="98"/>
      <c r="M4" s="96">
        <v>1</v>
      </c>
      <c r="N4" s="96">
        <v>1</v>
      </c>
      <c r="O4" s="96">
        <v>1</v>
      </c>
      <c r="P4" s="96">
        <v>1</v>
      </c>
      <c r="Q4" s="96">
        <v>1</v>
      </c>
      <c r="R4" s="96">
        <v>1</v>
      </c>
      <c r="S4" s="96">
        <v>1</v>
      </c>
      <c r="T4" s="96">
        <v>1</v>
      </c>
      <c r="U4" s="96">
        <v>1</v>
      </c>
      <c r="V4" s="96">
        <v>1</v>
      </c>
      <c r="W4" s="96">
        <v>1</v>
      </c>
      <c r="X4" s="96">
        <v>1</v>
      </c>
      <c r="Y4" s="96">
        <v>1</v>
      </c>
      <c r="Z4" s="97"/>
      <c r="AA4" s="97"/>
      <c r="AB4" s="98">
        <f t="shared" ref="AB4:AB28" si="0">SUM(D4:AA4)</f>
        <v>13</v>
      </c>
    </row>
    <row r="5" spans="2:28" ht="18.75" customHeight="1" x14ac:dyDescent="0.3">
      <c r="B5" s="94" t="s">
        <v>310</v>
      </c>
      <c r="C5" s="95">
        <v>1</v>
      </c>
      <c r="D5" s="98"/>
      <c r="E5" s="98"/>
      <c r="F5" s="98"/>
      <c r="G5" s="98"/>
      <c r="H5" s="98"/>
      <c r="I5" s="96">
        <v>1</v>
      </c>
      <c r="J5" s="96">
        <v>1</v>
      </c>
      <c r="K5" s="96">
        <v>1</v>
      </c>
      <c r="L5" s="96">
        <v>1</v>
      </c>
      <c r="M5" s="97"/>
      <c r="N5" s="97"/>
      <c r="O5" s="97"/>
      <c r="P5" s="97"/>
      <c r="Q5" s="97"/>
      <c r="R5" s="97"/>
      <c r="S5" s="97"/>
      <c r="T5" s="97"/>
      <c r="U5" s="97"/>
      <c r="V5" s="97"/>
      <c r="W5" s="97"/>
      <c r="X5" s="97"/>
      <c r="Y5" s="97"/>
      <c r="Z5" s="97"/>
      <c r="AA5" s="97"/>
      <c r="AB5" s="98">
        <f t="shared" si="0"/>
        <v>4</v>
      </c>
    </row>
    <row r="6" spans="2:28" ht="18.75" customHeight="1" x14ac:dyDescent="0.3">
      <c r="B6" s="94" t="s">
        <v>311</v>
      </c>
      <c r="C6" s="95">
        <v>2</v>
      </c>
      <c r="D6" s="98"/>
      <c r="E6" s="98"/>
      <c r="F6" s="98"/>
      <c r="G6" s="98"/>
      <c r="H6" s="98"/>
      <c r="I6" s="96">
        <v>1</v>
      </c>
      <c r="J6" s="96">
        <v>1</v>
      </c>
      <c r="K6" s="96">
        <v>1</v>
      </c>
      <c r="L6" s="96">
        <v>1</v>
      </c>
      <c r="M6" s="96">
        <v>1</v>
      </c>
      <c r="N6" s="96">
        <v>1</v>
      </c>
      <c r="O6" s="96">
        <v>1</v>
      </c>
      <c r="P6" s="96">
        <v>1</v>
      </c>
      <c r="Q6" s="96">
        <v>1</v>
      </c>
      <c r="R6" s="96">
        <v>1</v>
      </c>
      <c r="S6" s="96">
        <v>1</v>
      </c>
      <c r="T6" s="96">
        <v>1</v>
      </c>
      <c r="U6" s="96">
        <v>1</v>
      </c>
      <c r="V6" s="96">
        <v>1</v>
      </c>
      <c r="W6" s="96">
        <v>1</v>
      </c>
      <c r="X6" s="96">
        <v>1</v>
      </c>
      <c r="Y6" s="96">
        <v>1</v>
      </c>
      <c r="Z6" s="97"/>
      <c r="AA6" s="97"/>
      <c r="AB6" s="98">
        <f t="shared" si="0"/>
        <v>17</v>
      </c>
    </row>
    <row r="7" spans="2:28" ht="18.75" customHeight="1" x14ac:dyDescent="0.3">
      <c r="B7" s="94" t="s">
        <v>312</v>
      </c>
      <c r="C7" s="95">
        <v>10</v>
      </c>
      <c r="D7" s="97"/>
      <c r="E7" s="97"/>
      <c r="F7" s="97"/>
      <c r="G7" s="97"/>
      <c r="H7" s="97"/>
      <c r="I7" s="97"/>
      <c r="J7" s="97"/>
      <c r="K7" s="97"/>
      <c r="L7" s="97"/>
      <c r="M7" s="96">
        <v>1</v>
      </c>
      <c r="N7" s="96">
        <v>1</v>
      </c>
      <c r="O7" s="96">
        <v>1</v>
      </c>
      <c r="P7" s="96">
        <v>1</v>
      </c>
      <c r="Q7" s="96">
        <v>1</v>
      </c>
      <c r="R7" s="96">
        <v>1</v>
      </c>
      <c r="S7" s="96">
        <v>1</v>
      </c>
      <c r="T7" s="96">
        <v>1</v>
      </c>
      <c r="U7" s="96">
        <v>1</v>
      </c>
      <c r="V7" s="96">
        <v>1</v>
      </c>
      <c r="W7" s="96">
        <v>1</v>
      </c>
      <c r="X7" s="96">
        <v>1</v>
      </c>
      <c r="Y7" s="96">
        <v>1</v>
      </c>
      <c r="Z7" s="97"/>
      <c r="AA7" s="97"/>
      <c r="AB7" s="98">
        <f t="shared" si="0"/>
        <v>13</v>
      </c>
    </row>
    <row r="8" spans="2:28" ht="18.75" customHeight="1" x14ac:dyDescent="0.3">
      <c r="B8" s="94" t="s">
        <v>313</v>
      </c>
      <c r="C8" s="95">
        <v>10</v>
      </c>
      <c r="D8" s="97"/>
      <c r="E8" s="97"/>
      <c r="F8" s="97"/>
      <c r="G8" s="97"/>
      <c r="H8" s="97"/>
      <c r="I8" s="97"/>
      <c r="J8" s="97"/>
      <c r="K8" s="97"/>
      <c r="L8" s="97"/>
      <c r="M8" s="96">
        <v>1</v>
      </c>
      <c r="N8" s="96">
        <v>1</v>
      </c>
      <c r="O8" s="96">
        <v>1</v>
      </c>
      <c r="P8" s="96">
        <v>1</v>
      </c>
      <c r="Q8" s="96">
        <v>1</v>
      </c>
      <c r="R8" s="96">
        <v>1</v>
      </c>
      <c r="S8" s="96">
        <v>1</v>
      </c>
      <c r="T8" s="96">
        <v>1</v>
      </c>
      <c r="U8" s="96">
        <v>1</v>
      </c>
      <c r="V8" s="97"/>
      <c r="W8" s="97"/>
      <c r="X8" s="97"/>
      <c r="Y8" s="97"/>
      <c r="Z8" s="97"/>
      <c r="AA8" s="97"/>
      <c r="AB8" s="98">
        <f t="shared" si="0"/>
        <v>9</v>
      </c>
    </row>
    <row r="9" spans="2:28" ht="18.75" customHeight="1" x14ac:dyDescent="0.3">
      <c r="B9" s="94" t="s">
        <v>314</v>
      </c>
      <c r="C9" s="95">
        <v>5</v>
      </c>
      <c r="D9" s="97"/>
      <c r="E9" s="97"/>
      <c r="F9" s="97"/>
      <c r="G9" s="97"/>
      <c r="H9" s="97"/>
      <c r="I9" s="97"/>
      <c r="J9" s="97"/>
      <c r="K9" s="97"/>
      <c r="L9" s="97"/>
      <c r="M9" s="96">
        <v>1</v>
      </c>
      <c r="N9" s="96">
        <v>1</v>
      </c>
      <c r="O9" s="96">
        <v>1</v>
      </c>
      <c r="P9" s="96">
        <v>1</v>
      </c>
      <c r="Q9" s="96">
        <v>1</v>
      </c>
      <c r="R9" s="96">
        <v>1</v>
      </c>
      <c r="S9" s="96">
        <v>1</v>
      </c>
      <c r="T9" s="96">
        <v>1</v>
      </c>
      <c r="U9" s="96">
        <v>1</v>
      </c>
      <c r="V9" s="97"/>
      <c r="W9" s="97"/>
      <c r="X9" s="97"/>
      <c r="Y9" s="97"/>
      <c r="Z9" s="97"/>
      <c r="AA9" s="97"/>
      <c r="AB9" s="98">
        <f t="shared" si="0"/>
        <v>9</v>
      </c>
    </row>
    <row r="10" spans="2:28" ht="18.75" customHeight="1" x14ac:dyDescent="0.3">
      <c r="B10" s="94" t="s">
        <v>315</v>
      </c>
      <c r="C10" s="95">
        <v>2</v>
      </c>
      <c r="D10" s="97"/>
      <c r="E10" s="97"/>
      <c r="F10" s="97"/>
      <c r="G10" s="97"/>
      <c r="H10" s="97"/>
      <c r="I10" s="97"/>
      <c r="J10" s="97"/>
      <c r="K10" s="97"/>
      <c r="L10" s="97"/>
      <c r="M10" s="96">
        <v>1</v>
      </c>
      <c r="N10" s="96">
        <v>1</v>
      </c>
      <c r="O10" s="96">
        <v>1</v>
      </c>
      <c r="P10" s="96"/>
      <c r="Q10" s="96">
        <v>1</v>
      </c>
      <c r="R10" s="96">
        <v>1</v>
      </c>
      <c r="S10" s="96">
        <v>1</v>
      </c>
      <c r="T10" s="96">
        <v>1</v>
      </c>
      <c r="U10" s="96">
        <v>1</v>
      </c>
      <c r="V10" s="96">
        <v>1</v>
      </c>
      <c r="W10" s="96">
        <v>1</v>
      </c>
      <c r="X10" s="96">
        <v>1</v>
      </c>
      <c r="Y10" s="96">
        <v>1</v>
      </c>
      <c r="Z10" s="97"/>
      <c r="AA10" s="97"/>
      <c r="AB10" s="98">
        <f t="shared" si="0"/>
        <v>12</v>
      </c>
    </row>
    <row r="11" spans="2:28" ht="18.75" customHeight="1" x14ac:dyDescent="0.3">
      <c r="B11" s="94" t="s">
        <v>316</v>
      </c>
      <c r="C11" s="95">
        <v>5</v>
      </c>
      <c r="D11" s="97"/>
      <c r="E11" s="97"/>
      <c r="F11" s="97"/>
      <c r="G11" s="97"/>
      <c r="H11" s="97"/>
      <c r="I11" s="97"/>
      <c r="J11" s="97"/>
      <c r="K11" s="97"/>
      <c r="L11" s="97"/>
      <c r="M11" s="96">
        <v>1</v>
      </c>
      <c r="N11" s="96">
        <v>1</v>
      </c>
      <c r="O11" s="96">
        <v>1</v>
      </c>
      <c r="P11" s="96">
        <v>1</v>
      </c>
      <c r="Q11" s="96">
        <v>1</v>
      </c>
      <c r="R11" s="96">
        <v>1</v>
      </c>
      <c r="S11" s="96">
        <v>1</v>
      </c>
      <c r="T11" s="96">
        <v>1</v>
      </c>
      <c r="U11" s="96">
        <v>1</v>
      </c>
      <c r="V11" s="97"/>
      <c r="W11" s="97"/>
      <c r="X11" s="97"/>
      <c r="Y11" s="97"/>
      <c r="Z11" s="97"/>
      <c r="AA11" s="97"/>
      <c r="AB11" s="98">
        <f t="shared" si="0"/>
        <v>9</v>
      </c>
    </row>
    <row r="12" spans="2:28" ht="18.75" customHeight="1" x14ac:dyDescent="0.3">
      <c r="B12" s="94" t="s">
        <v>317</v>
      </c>
      <c r="C12" s="95">
        <v>1</v>
      </c>
      <c r="D12" s="97"/>
      <c r="E12" s="97"/>
      <c r="F12" s="97"/>
      <c r="G12" s="97"/>
      <c r="H12" s="97"/>
      <c r="I12" s="97"/>
      <c r="J12" s="97"/>
      <c r="K12" s="97"/>
      <c r="L12" s="97"/>
      <c r="M12" s="96">
        <v>1</v>
      </c>
      <c r="N12" s="96">
        <v>1</v>
      </c>
      <c r="O12" s="96">
        <v>1</v>
      </c>
      <c r="P12" s="96">
        <v>1</v>
      </c>
      <c r="Q12" s="96">
        <v>1</v>
      </c>
      <c r="R12" s="96">
        <v>1</v>
      </c>
      <c r="S12" s="96">
        <v>1</v>
      </c>
      <c r="T12" s="96">
        <v>1</v>
      </c>
      <c r="U12" s="96">
        <v>1</v>
      </c>
      <c r="V12" s="96">
        <v>1</v>
      </c>
      <c r="W12" s="96">
        <v>1</v>
      </c>
      <c r="X12" s="96">
        <v>1</v>
      </c>
      <c r="Y12" s="96">
        <v>1</v>
      </c>
      <c r="Z12" s="97"/>
      <c r="AA12" s="97"/>
      <c r="AB12" s="98">
        <f t="shared" si="0"/>
        <v>13</v>
      </c>
    </row>
    <row r="13" spans="2:28" ht="18.75" customHeight="1" x14ac:dyDescent="0.3">
      <c r="B13" s="94" t="s">
        <v>318</v>
      </c>
      <c r="C13" s="95">
        <v>1</v>
      </c>
      <c r="D13" s="97"/>
      <c r="E13" s="97"/>
      <c r="F13" s="97"/>
      <c r="G13" s="97"/>
      <c r="H13" s="97"/>
      <c r="I13" s="97"/>
      <c r="J13" s="97"/>
      <c r="K13" s="97"/>
      <c r="L13" s="97"/>
      <c r="M13" s="96">
        <v>1</v>
      </c>
      <c r="N13" s="96">
        <v>1</v>
      </c>
      <c r="O13" s="96">
        <v>1</v>
      </c>
      <c r="P13" s="96">
        <v>1</v>
      </c>
      <c r="Q13" s="96">
        <v>1</v>
      </c>
      <c r="R13" s="96">
        <v>1</v>
      </c>
      <c r="S13" s="96">
        <v>1</v>
      </c>
      <c r="T13" s="96">
        <v>1</v>
      </c>
      <c r="U13" s="96">
        <v>1</v>
      </c>
      <c r="V13" s="96">
        <v>1</v>
      </c>
      <c r="W13" s="96">
        <v>1</v>
      </c>
      <c r="X13" s="96">
        <v>1</v>
      </c>
      <c r="Y13" s="96">
        <v>1</v>
      </c>
      <c r="Z13" s="97"/>
      <c r="AA13" s="97"/>
      <c r="AB13" s="98">
        <f t="shared" si="0"/>
        <v>13</v>
      </c>
    </row>
    <row r="14" spans="2:28" ht="18.75" customHeight="1" x14ac:dyDescent="0.3">
      <c r="B14" s="94" t="s">
        <v>319</v>
      </c>
      <c r="C14" s="95">
        <v>10</v>
      </c>
      <c r="D14" s="97"/>
      <c r="E14" s="97"/>
      <c r="F14" s="97"/>
      <c r="G14" s="97"/>
      <c r="H14" s="97"/>
      <c r="I14" s="97"/>
      <c r="J14" s="97"/>
      <c r="K14" s="97"/>
      <c r="L14" s="97"/>
      <c r="M14" s="96">
        <v>1</v>
      </c>
      <c r="N14" s="96">
        <v>1</v>
      </c>
      <c r="O14" s="96">
        <v>1</v>
      </c>
      <c r="P14" s="96">
        <v>1</v>
      </c>
      <c r="Q14" s="96">
        <v>1</v>
      </c>
      <c r="R14" s="96">
        <v>1</v>
      </c>
      <c r="S14" s="96">
        <v>1</v>
      </c>
      <c r="T14" s="96">
        <v>1</v>
      </c>
      <c r="U14" s="96">
        <v>1</v>
      </c>
      <c r="V14" s="96">
        <v>1</v>
      </c>
      <c r="W14" s="96">
        <v>1</v>
      </c>
      <c r="X14" s="96">
        <v>1</v>
      </c>
      <c r="Y14" s="96">
        <v>1</v>
      </c>
      <c r="Z14" s="97"/>
      <c r="AA14" s="97"/>
      <c r="AB14" s="98">
        <f t="shared" si="0"/>
        <v>13</v>
      </c>
    </row>
    <row r="15" spans="2:28" ht="18.75" customHeight="1" x14ac:dyDescent="0.3">
      <c r="B15" s="94" t="s">
        <v>320</v>
      </c>
      <c r="C15" s="95">
        <v>10</v>
      </c>
      <c r="D15" s="97"/>
      <c r="E15" s="97"/>
      <c r="F15" s="97"/>
      <c r="G15" s="97"/>
      <c r="H15" s="97"/>
      <c r="I15" s="97"/>
      <c r="J15" s="97"/>
      <c r="K15" s="97"/>
      <c r="L15" s="97"/>
      <c r="M15" s="96">
        <v>1</v>
      </c>
      <c r="N15" s="96">
        <v>1</v>
      </c>
      <c r="O15" s="96">
        <v>1</v>
      </c>
      <c r="P15" s="96">
        <v>1</v>
      </c>
      <c r="Q15" s="96">
        <v>1</v>
      </c>
      <c r="R15" s="96">
        <v>1</v>
      </c>
      <c r="S15" s="96">
        <v>1</v>
      </c>
      <c r="T15" s="96">
        <v>1</v>
      </c>
      <c r="U15" s="96">
        <v>1</v>
      </c>
      <c r="V15" s="96">
        <v>1</v>
      </c>
      <c r="W15" s="96">
        <v>1</v>
      </c>
      <c r="X15" s="97"/>
      <c r="Y15" s="97"/>
      <c r="Z15" s="97"/>
      <c r="AA15" s="97"/>
      <c r="AB15" s="98">
        <f t="shared" si="0"/>
        <v>11</v>
      </c>
    </row>
    <row r="16" spans="2:28" ht="18.75" customHeight="1" x14ac:dyDescent="0.3">
      <c r="B16" s="94" t="s">
        <v>321</v>
      </c>
      <c r="C16" s="95">
        <v>1</v>
      </c>
      <c r="D16" s="97"/>
      <c r="E16" s="97"/>
      <c r="F16" s="97"/>
      <c r="G16" s="97"/>
      <c r="H16" s="97"/>
      <c r="I16" s="97"/>
      <c r="J16" s="97"/>
      <c r="K16" s="97"/>
      <c r="L16" s="97"/>
      <c r="M16" s="96">
        <v>1</v>
      </c>
      <c r="N16" s="96">
        <v>1</v>
      </c>
      <c r="O16" s="96">
        <v>1</v>
      </c>
      <c r="P16" s="96">
        <v>1</v>
      </c>
      <c r="Q16" s="96">
        <v>1</v>
      </c>
      <c r="R16" s="96">
        <v>1</v>
      </c>
      <c r="S16" s="96">
        <v>1</v>
      </c>
      <c r="T16" s="96">
        <v>1</v>
      </c>
      <c r="U16" s="96">
        <v>1</v>
      </c>
      <c r="V16" s="97"/>
      <c r="W16" s="97"/>
      <c r="X16" s="97"/>
      <c r="Y16" s="97"/>
      <c r="Z16" s="97"/>
      <c r="AA16" s="97"/>
      <c r="AB16" s="98">
        <f t="shared" si="0"/>
        <v>9</v>
      </c>
    </row>
    <row r="17" spans="2:28" ht="18.75" customHeight="1" x14ac:dyDescent="0.3">
      <c r="B17" s="94" t="s">
        <v>322</v>
      </c>
      <c r="C17" s="95">
        <v>1</v>
      </c>
      <c r="D17" s="97"/>
      <c r="E17" s="97"/>
      <c r="F17" s="97"/>
      <c r="G17" s="97"/>
      <c r="H17" s="97"/>
      <c r="I17" s="97"/>
      <c r="J17" s="97"/>
      <c r="K17" s="97"/>
      <c r="L17" s="97"/>
      <c r="M17" s="96">
        <v>1</v>
      </c>
      <c r="N17" s="96">
        <v>1</v>
      </c>
      <c r="O17" s="96">
        <v>1</v>
      </c>
      <c r="P17" s="96">
        <v>1</v>
      </c>
      <c r="Q17" s="96">
        <v>1</v>
      </c>
      <c r="R17" s="96">
        <v>1</v>
      </c>
      <c r="S17" s="96">
        <v>1</v>
      </c>
      <c r="T17" s="96">
        <v>1</v>
      </c>
      <c r="U17" s="96">
        <v>1</v>
      </c>
      <c r="V17" s="97"/>
      <c r="W17" s="97"/>
      <c r="X17" s="97"/>
      <c r="Y17" s="97"/>
      <c r="Z17" s="97"/>
      <c r="AA17" s="97"/>
      <c r="AB17" s="98">
        <f t="shared" si="0"/>
        <v>9</v>
      </c>
    </row>
    <row r="18" spans="2:28" ht="18.75" customHeight="1" x14ac:dyDescent="0.3">
      <c r="B18" s="94" t="s">
        <v>323</v>
      </c>
      <c r="C18" s="95">
        <v>2</v>
      </c>
      <c r="D18" s="96">
        <v>1</v>
      </c>
      <c r="E18" s="96">
        <v>1</v>
      </c>
      <c r="F18" s="96">
        <v>1</v>
      </c>
      <c r="G18" s="97"/>
      <c r="H18" s="97"/>
      <c r="I18" s="97"/>
      <c r="J18" s="97"/>
      <c r="K18" s="97"/>
      <c r="L18" s="97"/>
      <c r="M18" s="97"/>
      <c r="N18" s="97"/>
      <c r="O18" s="97"/>
      <c r="P18" s="97"/>
      <c r="Q18" s="97"/>
      <c r="R18" s="97"/>
      <c r="S18" s="97"/>
      <c r="T18" s="97"/>
      <c r="U18" s="97"/>
      <c r="V18" s="97"/>
      <c r="W18" s="97"/>
      <c r="X18" s="97"/>
      <c r="Y18" s="97"/>
      <c r="Z18" s="97"/>
      <c r="AA18" s="97"/>
      <c r="AB18" s="98">
        <f t="shared" si="0"/>
        <v>3</v>
      </c>
    </row>
    <row r="19" spans="2:28" ht="18.75" customHeight="1" x14ac:dyDescent="0.3">
      <c r="B19" s="94" t="s">
        <v>324</v>
      </c>
      <c r="C19" s="95">
        <v>4</v>
      </c>
      <c r="D19" s="97"/>
      <c r="E19" s="97"/>
      <c r="F19" s="97"/>
      <c r="G19" s="97"/>
      <c r="H19" s="97"/>
      <c r="I19" s="97"/>
      <c r="J19" s="97"/>
      <c r="K19" s="97"/>
      <c r="L19" s="97"/>
      <c r="M19" s="96">
        <v>1</v>
      </c>
      <c r="N19" s="96">
        <v>1</v>
      </c>
      <c r="O19" s="96">
        <v>1</v>
      </c>
      <c r="P19" s="96">
        <v>1</v>
      </c>
      <c r="Q19" s="96">
        <v>1</v>
      </c>
      <c r="R19" s="96">
        <v>1</v>
      </c>
      <c r="S19" s="96">
        <v>1</v>
      </c>
      <c r="T19" s="96">
        <v>1</v>
      </c>
      <c r="U19" s="96">
        <v>1</v>
      </c>
      <c r="V19" s="97"/>
      <c r="W19" s="97"/>
      <c r="X19" s="97"/>
      <c r="Y19" s="97"/>
      <c r="Z19" s="97"/>
      <c r="AA19" s="97"/>
      <c r="AB19" s="98">
        <f t="shared" si="0"/>
        <v>9</v>
      </c>
    </row>
    <row r="20" spans="2:28" ht="18.75" customHeight="1" x14ac:dyDescent="0.3">
      <c r="B20" s="94" t="s">
        <v>325</v>
      </c>
      <c r="C20" s="95">
        <v>1</v>
      </c>
      <c r="D20" s="97"/>
      <c r="E20" s="97"/>
      <c r="F20" s="97"/>
      <c r="G20" s="97"/>
      <c r="H20" s="97"/>
      <c r="I20" s="97"/>
      <c r="J20" s="97"/>
      <c r="K20" s="97"/>
      <c r="L20" s="97"/>
      <c r="M20" s="96">
        <v>1</v>
      </c>
      <c r="N20" s="96">
        <v>1</v>
      </c>
      <c r="O20" s="96">
        <v>1</v>
      </c>
      <c r="P20" s="96">
        <v>1</v>
      </c>
      <c r="Q20" s="96">
        <v>1</v>
      </c>
      <c r="R20" s="96">
        <v>1</v>
      </c>
      <c r="S20" s="96">
        <v>1</v>
      </c>
      <c r="T20" s="96">
        <v>1</v>
      </c>
      <c r="U20" s="96">
        <v>1</v>
      </c>
      <c r="V20" s="96">
        <v>1</v>
      </c>
      <c r="W20" s="96">
        <v>1</v>
      </c>
      <c r="X20" s="96">
        <v>1</v>
      </c>
      <c r="Y20" s="96">
        <v>1</v>
      </c>
      <c r="Z20" s="97"/>
      <c r="AA20" s="97"/>
      <c r="AB20" s="98">
        <f t="shared" si="0"/>
        <v>13</v>
      </c>
    </row>
    <row r="21" spans="2:28" ht="18.75" customHeight="1" x14ac:dyDescent="0.3">
      <c r="B21" s="94" t="s">
        <v>326</v>
      </c>
      <c r="C21" s="95">
        <v>1</v>
      </c>
      <c r="D21" s="97"/>
      <c r="E21" s="97"/>
      <c r="F21" s="97"/>
      <c r="G21" s="97"/>
      <c r="H21" s="97"/>
      <c r="I21" s="97"/>
      <c r="J21" s="97"/>
      <c r="K21" s="97"/>
      <c r="L21" s="97"/>
      <c r="M21" s="96">
        <v>1</v>
      </c>
      <c r="N21" s="96">
        <v>1</v>
      </c>
      <c r="O21" s="96">
        <v>1</v>
      </c>
      <c r="P21" s="96">
        <v>1</v>
      </c>
      <c r="Q21" s="96">
        <v>1</v>
      </c>
      <c r="R21" s="96">
        <v>1</v>
      </c>
      <c r="S21" s="96">
        <v>1</v>
      </c>
      <c r="T21" s="96">
        <v>1</v>
      </c>
      <c r="U21" s="96">
        <v>1</v>
      </c>
      <c r="V21" s="96">
        <v>1</v>
      </c>
      <c r="W21" s="96">
        <v>1</v>
      </c>
      <c r="X21" s="96">
        <v>1</v>
      </c>
      <c r="Y21" s="96">
        <v>1</v>
      </c>
      <c r="Z21" s="97"/>
      <c r="AA21" s="97"/>
      <c r="AB21" s="98">
        <f t="shared" si="0"/>
        <v>13</v>
      </c>
    </row>
    <row r="22" spans="2:28" ht="18.75" customHeight="1" x14ac:dyDescent="0.3">
      <c r="B22" s="94" t="s">
        <v>327</v>
      </c>
      <c r="C22" s="95">
        <v>1</v>
      </c>
      <c r="D22" s="97"/>
      <c r="E22" s="97"/>
      <c r="F22" s="97"/>
      <c r="G22" s="97"/>
      <c r="H22" s="97"/>
      <c r="I22" s="97"/>
      <c r="J22" s="97"/>
      <c r="K22" s="97"/>
      <c r="L22" s="97"/>
      <c r="M22" s="96">
        <v>1</v>
      </c>
      <c r="N22" s="96">
        <v>1</v>
      </c>
      <c r="O22" s="96">
        <v>1</v>
      </c>
      <c r="P22" s="96">
        <v>1</v>
      </c>
      <c r="Q22" s="96">
        <v>1</v>
      </c>
      <c r="R22" s="96">
        <v>1</v>
      </c>
      <c r="S22" s="96">
        <v>1</v>
      </c>
      <c r="T22" s="96">
        <v>1</v>
      </c>
      <c r="U22" s="96">
        <v>1</v>
      </c>
      <c r="V22" s="97"/>
      <c r="W22" s="97"/>
      <c r="X22" s="97"/>
      <c r="Y22" s="97"/>
      <c r="Z22" s="97"/>
      <c r="AA22" s="97"/>
      <c r="AB22" s="98">
        <f t="shared" si="0"/>
        <v>9</v>
      </c>
    </row>
    <row r="23" spans="2:28" ht="18.75" customHeight="1" x14ac:dyDescent="0.3">
      <c r="B23" s="94" t="s">
        <v>328</v>
      </c>
      <c r="C23" s="95">
        <v>2</v>
      </c>
      <c r="D23" s="97"/>
      <c r="E23" s="97"/>
      <c r="F23" s="97"/>
      <c r="G23" s="97"/>
      <c r="H23" s="97"/>
      <c r="I23" s="97"/>
      <c r="J23" s="97"/>
      <c r="K23" s="97"/>
      <c r="L23" s="97"/>
      <c r="M23" s="96">
        <v>1</v>
      </c>
      <c r="N23" s="96">
        <v>1</v>
      </c>
      <c r="O23" s="96">
        <v>1</v>
      </c>
      <c r="P23" s="96">
        <v>1</v>
      </c>
      <c r="Q23" s="96">
        <v>1</v>
      </c>
      <c r="R23" s="96">
        <v>1</v>
      </c>
      <c r="S23" s="96">
        <v>1</v>
      </c>
      <c r="T23" s="96">
        <v>1</v>
      </c>
      <c r="U23" s="96">
        <v>1</v>
      </c>
      <c r="V23" s="96">
        <v>1</v>
      </c>
      <c r="W23" s="96">
        <v>1</v>
      </c>
      <c r="X23" s="96">
        <v>1</v>
      </c>
      <c r="Y23" s="96">
        <v>1</v>
      </c>
      <c r="Z23" s="97"/>
      <c r="AA23" s="97"/>
      <c r="AB23" s="98">
        <f t="shared" si="0"/>
        <v>13</v>
      </c>
    </row>
    <row r="24" spans="2:28" ht="15.6" x14ac:dyDescent="0.3">
      <c r="B24" s="99" t="s">
        <v>329</v>
      </c>
      <c r="C24" s="100">
        <v>1</v>
      </c>
      <c r="D24" s="97"/>
      <c r="E24" s="97"/>
      <c r="F24" s="97"/>
      <c r="G24" s="97"/>
      <c r="H24" s="97"/>
      <c r="I24" s="97"/>
      <c r="J24" s="97"/>
      <c r="K24" s="97"/>
      <c r="L24" s="97"/>
      <c r="M24" s="97"/>
      <c r="N24" s="97"/>
      <c r="O24" s="97"/>
      <c r="P24" s="97"/>
      <c r="Q24" s="97"/>
      <c r="R24" s="97"/>
      <c r="S24" s="97"/>
      <c r="T24" s="97"/>
      <c r="U24" s="97"/>
      <c r="V24" s="97"/>
      <c r="W24" s="97"/>
      <c r="X24" s="96">
        <v>1</v>
      </c>
      <c r="Y24" s="96">
        <v>1</v>
      </c>
      <c r="Z24" s="97"/>
      <c r="AA24" s="97"/>
      <c r="AB24" s="98">
        <f t="shared" si="0"/>
        <v>2</v>
      </c>
    </row>
    <row r="25" spans="2:28" ht="15.6" x14ac:dyDescent="0.3">
      <c r="B25" s="99" t="s">
        <v>330</v>
      </c>
      <c r="C25" s="100">
        <v>1</v>
      </c>
      <c r="D25" s="97"/>
      <c r="E25" s="97"/>
      <c r="F25" s="97"/>
      <c r="G25" s="97"/>
      <c r="H25" s="97"/>
      <c r="I25" s="97"/>
      <c r="J25" s="97"/>
      <c r="K25" s="97"/>
      <c r="L25" s="97"/>
      <c r="M25" s="97"/>
      <c r="N25" s="97"/>
      <c r="O25" s="97"/>
      <c r="P25" s="97"/>
      <c r="Q25" s="97"/>
      <c r="R25" s="97"/>
      <c r="S25" s="97"/>
      <c r="T25" s="97"/>
      <c r="U25" s="97"/>
      <c r="V25" s="97"/>
      <c r="W25" s="97"/>
      <c r="X25" s="96">
        <v>1</v>
      </c>
      <c r="Y25" s="96">
        <v>1</v>
      </c>
      <c r="Z25" s="97"/>
      <c r="AA25" s="97"/>
      <c r="AB25" s="98">
        <f t="shared" si="0"/>
        <v>2</v>
      </c>
    </row>
    <row r="26" spans="2:28" ht="15.6" x14ac:dyDescent="0.3">
      <c r="B26" s="99" t="s">
        <v>331</v>
      </c>
      <c r="C26" s="100">
        <v>1</v>
      </c>
      <c r="D26" s="97"/>
      <c r="E26" s="97"/>
      <c r="F26" s="97"/>
      <c r="G26" s="97"/>
      <c r="H26" s="97"/>
      <c r="I26" s="97"/>
      <c r="J26" s="97"/>
      <c r="K26" s="97"/>
      <c r="L26" s="97"/>
      <c r="M26" s="97"/>
      <c r="N26" s="97"/>
      <c r="O26" s="97"/>
      <c r="P26" s="97"/>
      <c r="Q26" s="97"/>
      <c r="R26" s="97"/>
      <c r="S26" s="97"/>
      <c r="T26" s="97"/>
      <c r="U26" s="97"/>
      <c r="V26" s="97"/>
      <c r="W26" s="97"/>
      <c r="X26" s="96">
        <v>1</v>
      </c>
      <c r="Y26" s="96">
        <v>1</v>
      </c>
      <c r="Z26" s="97"/>
      <c r="AA26" s="97"/>
      <c r="AB26" s="98">
        <f t="shared" si="0"/>
        <v>2</v>
      </c>
    </row>
    <row r="27" spans="2:28" ht="15.6" x14ac:dyDescent="0.3">
      <c r="B27" s="99" t="s">
        <v>332</v>
      </c>
      <c r="C27" s="100">
        <v>2</v>
      </c>
      <c r="D27" s="97"/>
      <c r="E27" s="97"/>
      <c r="F27" s="97"/>
      <c r="G27" s="97"/>
      <c r="H27" s="97"/>
      <c r="I27" s="97"/>
      <c r="J27" s="97"/>
      <c r="K27" s="97"/>
      <c r="L27" s="97"/>
      <c r="M27" s="97"/>
      <c r="N27" s="97"/>
      <c r="O27" s="97"/>
      <c r="P27" s="97"/>
      <c r="Q27" s="97"/>
      <c r="R27" s="97"/>
      <c r="S27" s="97"/>
      <c r="T27" s="97"/>
      <c r="U27" s="97"/>
      <c r="V27" s="97"/>
      <c r="W27" s="97"/>
      <c r="X27" s="96">
        <v>1</v>
      </c>
      <c r="Y27" s="96">
        <v>1</v>
      </c>
      <c r="Z27" s="97"/>
      <c r="AA27" s="97"/>
      <c r="AB27" s="98">
        <f t="shared" si="0"/>
        <v>2</v>
      </c>
    </row>
    <row r="28" spans="2:28" ht="15.6" x14ac:dyDescent="0.3">
      <c r="B28" s="99" t="s">
        <v>333</v>
      </c>
      <c r="C28" s="100">
        <v>3</v>
      </c>
      <c r="D28" s="97"/>
      <c r="E28" s="97"/>
      <c r="F28" s="97"/>
      <c r="G28" s="97"/>
      <c r="H28" s="97"/>
      <c r="I28" s="97"/>
      <c r="J28" s="97"/>
      <c r="K28" s="97"/>
      <c r="L28" s="97"/>
      <c r="M28" s="97"/>
      <c r="N28" s="97"/>
      <c r="O28" s="97"/>
      <c r="P28" s="97"/>
      <c r="Q28" s="97"/>
      <c r="R28" s="97"/>
      <c r="S28" s="97"/>
      <c r="T28" s="97"/>
      <c r="U28" s="97"/>
      <c r="V28" s="97"/>
      <c r="W28" s="97"/>
      <c r="X28" s="96">
        <v>1</v>
      </c>
      <c r="Y28" s="96">
        <v>1</v>
      </c>
      <c r="Z28" s="97"/>
      <c r="AA28" s="97"/>
      <c r="AB28" s="98">
        <f t="shared" si="0"/>
        <v>2</v>
      </c>
    </row>
    <row r="32" spans="2:28" ht="30" customHeight="1" x14ac:dyDescent="0.3">
      <c r="H32" s="188" t="s">
        <v>334</v>
      </c>
      <c r="I32" s="189"/>
      <c r="J32" s="189"/>
      <c r="K32" s="190"/>
      <c r="L32" s="191" t="s">
        <v>335</v>
      </c>
      <c r="M32" s="192"/>
      <c r="N32" s="192"/>
      <c r="O32" s="192"/>
      <c r="P32" s="193"/>
      <c r="Q32" s="101" t="s">
        <v>336</v>
      </c>
      <c r="S32" s="102" t="s">
        <v>337</v>
      </c>
      <c r="T32" s="102"/>
      <c r="U32" s="102"/>
      <c r="V32" s="102"/>
      <c r="W32" s="102"/>
    </row>
    <row r="33" spans="2:25" ht="43.2" x14ac:dyDescent="0.3">
      <c r="B33" s="91" t="s">
        <v>293</v>
      </c>
      <c r="C33" s="91" t="s">
        <v>294</v>
      </c>
      <c r="D33" s="103" t="s">
        <v>307</v>
      </c>
      <c r="E33" s="103" t="s">
        <v>338</v>
      </c>
      <c r="F33" s="103" t="s">
        <v>339</v>
      </c>
      <c r="G33" s="103" t="s">
        <v>340</v>
      </c>
      <c r="H33" s="104" t="s">
        <v>341</v>
      </c>
      <c r="I33" s="104" t="s">
        <v>342</v>
      </c>
      <c r="J33" s="104" t="s">
        <v>343</v>
      </c>
      <c r="K33" s="104" t="s">
        <v>344</v>
      </c>
      <c r="L33" s="104" t="s">
        <v>345</v>
      </c>
      <c r="M33" s="104" t="s">
        <v>346</v>
      </c>
      <c r="N33" s="104" t="s">
        <v>347</v>
      </c>
      <c r="O33" s="105" t="s">
        <v>346</v>
      </c>
      <c r="P33" s="104" t="s">
        <v>348</v>
      </c>
      <c r="Q33" s="101" t="s">
        <v>346</v>
      </c>
      <c r="R33" s="104" t="s">
        <v>349</v>
      </c>
      <c r="S33" s="104" t="s">
        <v>350</v>
      </c>
      <c r="T33" s="104" t="s">
        <v>351</v>
      </c>
      <c r="U33" s="104" t="s">
        <v>352</v>
      </c>
      <c r="V33" s="105" t="s">
        <v>353</v>
      </c>
      <c r="W33" s="105" t="s">
        <v>354</v>
      </c>
      <c r="X33" s="105" t="s">
        <v>355</v>
      </c>
      <c r="Y33" s="105" t="s">
        <v>356</v>
      </c>
    </row>
    <row r="34" spans="2:25" ht="15.6" x14ac:dyDescent="0.3">
      <c r="B34" s="106" t="s">
        <v>308</v>
      </c>
      <c r="C34" s="107">
        <v>1</v>
      </c>
      <c r="D34" s="108">
        <v>22</v>
      </c>
      <c r="E34" s="109">
        <v>5000000</v>
      </c>
      <c r="F34" s="110">
        <f>((X34/C34)/30)</f>
        <v>260916.66666666666</v>
      </c>
      <c r="G34" s="110">
        <f>F34/8</f>
        <v>32614.583333333332</v>
      </c>
      <c r="H34" s="111">
        <f t="shared" ref="H34:H59" si="1">+E34*0.02</f>
        <v>100000</v>
      </c>
      <c r="I34" s="111">
        <f t="shared" ref="I34:I59" si="2">+E34*0.03</f>
        <v>150000</v>
      </c>
      <c r="J34" s="111">
        <f t="shared" ref="J34:J59" si="3">+E34*0.04</f>
        <v>200000</v>
      </c>
      <c r="K34" s="112">
        <f>SUM(H34:J34)</f>
        <v>450000</v>
      </c>
      <c r="L34" s="112">
        <f t="shared" ref="L34:L59" si="4">+E34*0.085</f>
        <v>425000.00000000006</v>
      </c>
      <c r="M34" s="112">
        <f t="shared" ref="M34:M59" si="5">+E34*0.04</f>
        <v>200000</v>
      </c>
      <c r="N34" s="112">
        <f t="shared" ref="N34:N59" si="6">+E34*0.12</f>
        <v>600000</v>
      </c>
      <c r="O34" s="111">
        <f t="shared" ref="O34:O59" si="7">+E34*0.04</f>
        <v>200000</v>
      </c>
      <c r="P34" s="111">
        <f t="shared" ref="P34:P59" si="8">+E34*0.0522</f>
        <v>261000.00000000003</v>
      </c>
      <c r="Q34" s="111">
        <f t="shared" ref="Q34:Q59" si="9">+E34*0.01</f>
        <v>50000</v>
      </c>
      <c r="R34" s="112">
        <f>+P34+N34+L34</f>
        <v>1286000</v>
      </c>
      <c r="S34" s="112">
        <f t="shared" ref="S34:S59" si="10">+E34*0.0833</f>
        <v>416500</v>
      </c>
      <c r="T34" s="112">
        <f t="shared" ref="T34:T59" si="11">+E34*0.0833</f>
        <v>416500</v>
      </c>
      <c r="U34" s="112">
        <f t="shared" ref="U34:U59" si="12">+E34*0.0417</f>
        <v>208500</v>
      </c>
      <c r="V34" s="112">
        <f t="shared" ref="V34:V59" si="13">+E34*0.01</f>
        <v>50000</v>
      </c>
      <c r="W34" s="112">
        <f>SUM(S34:V34)</f>
        <v>1091500</v>
      </c>
      <c r="X34" s="112">
        <f t="shared" ref="X34:X59" si="14">+(W34+R34+K34+E34)*C34</f>
        <v>7827500</v>
      </c>
      <c r="Y34" s="111">
        <f t="shared" ref="Y34:Y59" si="15">+X34*D34</f>
        <v>172205000</v>
      </c>
    </row>
    <row r="35" spans="2:25" ht="15.6" x14ac:dyDescent="0.3">
      <c r="B35" s="106" t="s">
        <v>357</v>
      </c>
      <c r="C35" s="107">
        <v>1</v>
      </c>
      <c r="D35" s="108">
        <v>13</v>
      </c>
      <c r="E35" s="109">
        <v>4000000</v>
      </c>
      <c r="F35" s="110">
        <f t="shared" ref="F35:F59" si="16">((X35/C35)/30)</f>
        <v>208733.33333333334</v>
      </c>
      <c r="G35" s="110">
        <f t="shared" ref="G35:G59" si="17">F35/8</f>
        <v>26091.666666666668</v>
      </c>
      <c r="H35" s="111">
        <f t="shared" si="1"/>
        <v>80000</v>
      </c>
      <c r="I35" s="111">
        <f t="shared" si="2"/>
        <v>120000</v>
      </c>
      <c r="J35" s="111">
        <f t="shared" si="3"/>
        <v>160000</v>
      </c>
      <c r="K35" s="112">
        <f t="shared" ref="K35:K59" si="18">SUM(H35:J35)</f>
        <v>360000</v>
      </c>
      <c r="L35" s="112">
        <f t="shared" si="4"/>
        <v>340000</v>
      </c>
      <c r="M35" s="112">
        <f t="shared" si="5"/>
        <v>160000</v>
      </c>
      <c r="N35" s="112">
        <f t="shared" si="6"/>
        <v>480000</v>
      </c>
      <c r="O35" s="111">
        <f t="shared" si="7"/>
        <v>160000</v>
      </c>
      <c r="P35" s="111">
        <f t="shared" si="8"/>
        <v>208800</v>
      </c>
      <c r="Q35" s="111">
        <f t="shared" si="9"/>
        <v>40000</v>
      </c>
      <c r="R35" s="112">
        <f t="shared" ref="R35:R59" si="19">+P35+N35+L35</f>
        <v>1028800</v>
      </c>
      <c r="S35" s="112">
        <f t="shared" si="10"/>
        <v>333200</v>
      </c>
      <c r="T35" s="112">
        <f t="shared" si="11"/>
        <v>333200</v>
      </c>
      <c r="U35" s="112">
        <f t="shared" si="12"/>
        <v>166800</v>
      </c>
      <c r="V35" s="112">
        <f t="shared" si="13"/>
        <v>40000</v>
      </c>
      <c r="W35" s="112">
        <f t="shared" ref="W35:W59" si="20">SUM(S35:V35)</f>
        <v>873200</v>
      </c>
      <c r="X35" s="112">
        <f t="shared" si="14"/>
        <v>6262000</v>
      </c>
      <c r="Y35" s="111">
        <f t="shared" si="15"/>
        <v>81406000</v>
      </c>
    </row>
    <row r="36" spans="2:25" ht="15.6" x14ac:dyDescent="0.3">
      <c r="B36" s="106" t="s">
        <v>310</v>
      </c>
      <c r="C36" s="107">
        <v>1</v>
      </c>
      <c r="D36" s="108">
        <v>4</v>
      </c>
      <c r="E36" s="109">
        <v>3500000</v>
      </c>
      <c r="F36" s="110">
        <f t="shared" si="16"/>
        <v>182641.66666666666</v>
      </c>
      <c r="G36" s="110">
        <f t="shared" si="17"/>
        <v>22830.208333333332</v>
      </c>
      <c r="H36" s="111">
        <f t="shared" si="1"/>
        <v>70000</v>
      </c>
      <c r="I36" s="111">
        <f t="shared" si="2"/>
        <v>105000</v>
      </c>
      <c r="J36" s="111">
        <f t="shared" si="3"/>
        <v>140000</v>
      </c>
      <c r="K36" s="112">
        <f t="shared" si="18"/>
        <v>315000</v>
      </c>
      <c r="L36" s="112">
        <f t="shared" si="4"/>
        <v>297500</v>
      </c>
      <c r="M36" s="112">
        <f t="shared" si="5"/>
        <v>140000</v>
      </c>
      <c r="N36" s="112">
        <f t="shared" si="6"/>
        <v>420000</v>
      </c>
      <c r="O36" s="111">
        <f t="shared" si="7"/>
        <v>140000</v>
      </c>
      <c r="P36" s="111">
        <f t="shared" si="8"/>
        <v>182700</v>
      </c>
      <c r="Q36" s="111">
        <f t="shared" si="9"/>
        <v>35000</v>
      </c>
      <c r="R36" s="112">
        <f t="shared" si="19"/>
        <v>900200</v>
      </c>
      <c r="S36" s="112">
        <f t="shared" si="10"/>
        <v>291550</v>
      </c>
      <c r="T36" s="112">
        <f t="shared" si="11"/>
        <v>291550</v>
      </c>
      <c r="U36" s="112">
        <f t="shared" si="12"/>
        <v>145950</v>
      </c>
      <c r="V36" s="112">
        <f t="shared" si="13"/>
        <v>35000</v>
      </c>
      <c r="W36" s="112">
        <f t="shared" si="20"/>
        <v>764050</v>
      </c>
      <c r="X36" s="112">
        <f t="shared" si="14"/>
        <v>5479250</v>
      </c>
      <c r="Y36" s="111">
        <f t="shared" si="15"/>
        <v>21917000</v>
      </c>
    </row>
    <row r="37" spans="2:25" ht="15.6" x14ac:dyDescent="0.3">
      <c r="B37" s="106" t="s">
        <v>311</v>
      </c>
      <c r="C37" s="107">
        <v>2</v>
      </c>
      <c r="D37" s="108">
        <v>17</v>
      </c>
      <c r="E37" s="109">
        <v>1450000</v>
      </c>
      <c r="F37" s="110">
        <f t="shared" si="16"/>
        <v>75665.833333333328</v>
      </c>
      <c r="G37" s="110">
        <f t="shared" si="17"/>
        <v>9458.2291666666661</v>
      </c>
      <c r="H37" s="111">
        <f t="shared" si="1"/>
        <v>29000</v>
      </c>
      <c r="I37" s="111">
        <f t="shared" si="2"/>
        <v>43500</v>
      </c>
      <c r="J37" s="111">
        <f t="shared" si="3"/>
        <v>58000</v>
      </c>
      <c r="K37" s="112">
        <f t="shared" si="18"/>
        <v>130500</v>
      </c>
      <c r="L37" s="112">
        <f t="shared" si="4"/>
        <v>123250.00000000001</v>
      </c>
      <c r="M37" s="112">
        <f t="shared" si="5"/>
        <v>58000</v>
      </c>
      <c r="N37" s="112">
        <f t="shared" si="6"/>
        <v>174000</v>
      </c>
      <c r="O37" s="111">
        <f t="shared" si="7"/>
        <v>58000</v>
      </c>
      <c r="P37" s="111">
        <f t="shared" si="8"/>
        <v>75690</v>
      </c>
      <c r="Q37" s="111">
        <f t="shared" si="9"/>
        <v>14500</v>
      </c>
      <c r="R37" s="112">
        <f t="shared" si="19"/>
        <v>372940</v>
      </c>
      <c r="S37" s="112">
        <f t="shared" si="10"/>
        <v>120785</v>
      </c>
      <c r="T37" s="112">
        <f t="shared" si="11"/>
        <v>120785</v>
      </c>
      <c r="U37" s="112">
        <f t="shared" si="12"/>
        <v>60465</v>
      </c>
      <c r="V37" s="112">
        <f t="shared" si="13"/>
        <v>14500</v>
      </c>
      <c r="W37" s="112">
        <f t="shared" si="20"/>
        <v>316535</v>
      </c>
      <c r="X37" s="112">
        <f t="shared" si="14"/>
        <v>4539950</v>
      </c>
      <c r="Y37" s="111">
        <f t="shared" si="15"/>
        <v>77179150</v>
      </c>
    </row>
    <row r="38" spans="2:25" ht="15.6" x14ac:dyDescent="0.3">
      <c r="B38" s="106" t="s">
        <v>312</v>
      </c>
      <c r="C38" s="107">
        <v>10</v>
      </c>
      <c r="D38" s="108">
        <v>13</v>
      </c>
      <c r="E38" s="109">
        <v>2800000</v>
      </c>
      <c r="F38" s="110">
        <f t="shared" si="16"/>
        <v>146113.33333333334</v>
      </c>
      <c r="G38" s="110">
        <f t="shared" si="17"/>
        <v>18264.166666666668</v>
      </c>
      <c r="H38" s="111">
        <f t="shared" si="1"/>
        <v>56000</v>
      </c>
      <c r="I38" s="111">
        <f t="shared" si="2"/>
        <v>84000</v>
      </c>
      <c r="J38" s="111">
        <f t="shared" si="3"/>
        <v>112000</v>
      </c>
      <c r="K38" s="112">
        <f t="shared" si="18"/>
        <v>252000</v>
      </c>
      <c r="L38" s="112">
        <f t="shared" si="4"/>
        <v>238000.00000000003</v>
      </c>
      <c r="M38" s="112">
        <f t="shared" si="5"/>
        <v>112000</v>
      </c>
      <c r="N38" s="112">
        <f t="shared" si="6"/>
        <v>336000</v>
      </c>
      <c r="O38" s="111">
        <f t="shared" si="7"/>
        <v>112000</v>
      </c>
      <c r="P38" s="111">
        <f t="shared" si="8"/>
        <v>146160</v>
      </c>
      <c r="Q38" s="111">
        <f t="shared" si="9"/>
        <v>28000</v>
      </c>
      <c r="R38" s="112">
        <f t="shared" si="19"/>
        <v>720160</v>
      </c>
      <c r="S38" s="112">
        <f t="shared" si="10"/>
        <v>233240</v>
      </c>
      <c r="T38" s="112">
        <f t="shared" si="11"/>
        <v>233240</v>
      </c>
      <c r="U38" s="112">
        <f t="shared" si="12"/>
        <v>116760</v>
      </c>
      <c r="V38" s="112">
        <f t="shared" si="13"/>
        <v>28000</v>
      </c>
      <c r="W38" s="112">
        <f t="shared" si="20"/>
        <v>611240</v>
      </c>
      <c r="X38" s="112">
        <f t="shared" si="14"/>
        <v>43834000</v>
      </c>
      <c r="Y38" s="111">
        <f t="shared" si="15"/>
        <v>569842000</v>
      </c>
    </row>
    <row r="39" spans="2:25" ht="15.6" x14ac:dyDescent="0.3">
      <c r="B39" s="106" t="s">
        <v>313</v>
      </c>
      <c r="C39" s="107">
        <v>10</v>
      </c>
      <c r="D39" s="108">
        <v>9</v>
      </c>
      <c r="E39" s="109">
        <v>1600000</v>
      </c>
      <c r="F39" s="110">
        <f t="shared" si="16"/>
        <v>83493.333333333328</v>
      </c>
      <c r="G39" s="110">
        <f t="shared" si="17"/>
        <v>10436.666666666666</v>
      </c>
      <c r="H39" s="111">
        <f t="shared" si="1"/>
        <v>32000</v>
      </c>
      <c r="I39" s="111">
        <f t="shared" si="2"/>
        <v>48000</v>
      </c>
      <c r="J39" s="111">
        <f t="shared" si="3"/>
        <v>64000</v>
      </c>
      <c r="K39" s="112">
        <f t="shared" si="18"/>
        <v>144000</v>
      </c>
      <c r="L39" s="112">
        <f t="shared" si="4"/>
        <v>136000</v>
      </c>
      <c r="M39" s="112">
        <f t="shared" si="5"/>
        <v>64000</v>
      </c>
      <c r="N39" s="112">
        <f t="shared" si="6"/>
        <v>192000</v>
      </c>
      <c r="O39" s="111">
        <f t="shared" si="7"/>
        <v>64000</v>
      </c>
      <c r="P39" s="111">
        <f t="shared" si="8"/>
        <v>83520</v>
      </c>
      <c r="Q39" s="111">
        <f t="shared" si="9"/>
        <v>16000</v>
      </c>
      <c r="R39" s="112">
        <f t="shared" si="19"/>
        <v>411520</v>
      </c>
      <c r="S39" s="112">
        <f t="shared" si="10"/>
        <v>133280</v>
      </c>
      <c r="T39" s="112">
        <f t="shared" si="11"/>
        <v>133280</v>
      </c>
      <c r="U39" s="112">
        <f t="shared" si="12"/>
        <v>66720</v>
      </c>
      <c r="V39" s="112">
        <f t="shared" si="13"/>
        <v>16000</v>
      </c>
      <c r="W39" s="112">
        <f t="shared" si="20"/>
        <v>349280</v>
      </c>
      <c r="X39" s="112">
        <f t="shared" si="14"/>
        <v>25048000</v>
      </c>
      <c r="Y39" s="111">
        <f t="shared" si="15"/>
        <v>225432000</v>
      </c>
    </row>
    <row r="40" spans="2:25" ht="15.6" x14ac:dyDescent="0.3">
      <c r="B40" s="106" t="s">
        <v>314</v>
      </c>
      <c r="C40" s="107">
        <v>5</v>
      </c>
      <c r="D40" s="108">
        <v>9</v>
      </c>
      <c r="E40" s="109">
        <v>1520000</v>
      </c>
      <c r="F40" s="110">
        <f>((X40/C40)/30)</f>
        <v>79318.666666666672</v>
      </c>
      <c r="G40" s="110">
        <f t="shared" si="17"/>
        <v>9914.8333333333339</v>
      </c>
      <c r="H40" s="111">
        <f t="shared" si="1"/>
        <v>30400</v>
      </c>
      <c r="I40" s="111">
        <f t="shared" si="2"/>
        <v>45600</v>
      </c>
      <c r="J40" s="111">
        <f t="shared" si="3"/>
        <v>60800</v>
      </c>
      <c r="K40" s="112">
        <f t="shared" si="18"/>
        <v>136800</v>
      </c>
      <c r="L40" s="112">
        <f t="shared" si="4"/>
        <v>129200.00000000001</v>
      </c>
      <c r="M40" s="112">
        <f t="shared" si="5"/>
        <v>60800</v>
      </c>
      <c r="N40" s="112">
        <f t="shared" si="6"/>
        <v>182400</v>
      </c>
      <c r="O40" s="111">
        <f t="shared" si="7"/>
        <v>60800</v>
      </c>
      <c r="P40" s="111">
        <f t="shared" si="8"/>
        <v>79344</v>
      </c>
      <c r="Q40" s="111">
        <f t="shared" si="9"/>
        <v>15200</v>
      </c>
      <c r="R40" s="112">
        <f t="shared" si="19"/>
        <v>390944</v>
      </c>
      <c r="S40" s="112">
        <f t="shared" si="10"/>
        <v>126616</v>
      </c>
      <c r="T40" s="112">
        <f t="shared" si="11"/>
        <v>126616</v>
      </c>
      <c r="U40" s="112">
        <f t="shared" si="12"/>
        <v>63384</v>
      </c>
      <c r="V40" s="112">
        <f t="shared" si="13"/>
        <v>15200</v>
      </c>
      <c r="W40" s="112">
        <f t="shared" si="20"/>
        <v>331816</v>
      </c>
      <c r="X40" s="112">
        <f t="shared" si="14"/>
        <v>11897800</v>
      </c>
      <c r="Y40" s="111">
        <f t="shared" si="15"/>
        <v>107080200</v>
      </c>
    </row>
    <row r="41" spans="2:25" ht="15.6" x14ac:dyDescent="0.3">
      <c r="B41" s="106" t="s">
        <v>315</v>
      </c>
      <c r="C41" s="107">
        <v>2</v>
      </c>
      <c r="D41" s="108">
        <v>12</v>
      </c>
      <c r="E41" s="109">
        <v>1800000</v>
      </c>
      <c r="F41" s="110">
        <f t="shared" si="16"/>
        <v>93930</v>
      </c>
      <c r="G41" s="110">
        <f t="shared" si="17"/>
        <v>11741.25</v>
      </c>
      <c r="H41" s="111">
        <f t="shared" si="1"/>
        <v>36000</v>
      </c>
      <c r="I41" s="111">
        <f t="shared" si="2"/>
        <v>54000</v>
      </c>
      <c r="J41" s="111">
        <f t="shared" si="3"/>
        <v>72000</v>
      </c>
      <c r="K41" s="112">
        <f t="shared" si="18"/>
        <v>162000</v>
      </c>
      <c r="L41" s="112">
        <f t="shared" si="4"/>
        <v>153000</v>
      </c>
      <c r="M41" s="112">
        <f t="shared" si="5"/>
        <v>72000</v>
      </c>
      <c r="N41" s="112">
        <f t="shared" si="6"/>
        <v>216000</v>
      </c>
      <c r="O41" s="111">
        <f t="shared" si="7"/>
        <v>72000</v>
      </c>
      <c r="P41" s="111">
        <f t="shared" si="8"/>
        <v>93960</v>
      </c>
      <c r="Q41" s="111">
        <f t="shared" si="9"/>
        <v>18000</v>
      </c>
      <c r="R41" s="112">
        <f t="shared" si="19"/>
        <v>462960</v>
      </c>
      <c r="S41" s="112">
        <f t="shared" si="10"/>
        <v>149940</v>
      </c>
      <c r="T41" s="112">
        <f t="shared" si="11"/>
        <v>149940</v>
      </c>
      <c r="U41" s="112">
        <f t="shared" si="12"/>
        <v>75060</v>
      </c>
      <c r="V41" s="112">
        <f t="shared" si="13"/>
        <v>18000</v>
      </c>
      <c r="W41" s="112">
        <f t="shared" si="20"/>
        <v>392940</v>
      </c>
      <c r="X41" s="112">
        <f t="shared" si="14"/>
        <v>5635800</v>
      </c>
      <c r="Y41" s="111">
        <f t="shared" si="15"/>
        <v>67629600</v>
      </c>
    </row>
    <row r="42" spans="2:25" ht="15.6" x14ac:dyDescent="0.3">
      <c r="B42" s="106" t="s">
        <v>316</v>
      </c>
      <c r="C42" s="107">
        <v>5</v>
      </c>
      <c r="D42" s="108">
        <v>9</v>
      </c>
      <c r="E42" s="109">
        <v>1450000</v>
      </c>
      <c r="F42" s="110">
        <f t="shared" si="16"/>
        <v>75665.833333333328</v>
      </c>
      <c r="G42" s="110">
        <f t="shared" si="17"/>
        <v>9458.2291666666661</v>
      </c>
      <c r="H42" s="111">
        <f t="shared" si="1"/>
        <v>29000</v>
      </c>
      <c r="I42" s="111">
        <f t="shared" si="2"/>
        <v>43500</v>
      </c>
      <c r="J42" s="111">
        <f t="shared" si="3"/>
        <v>58000</v>
      </c>
      <c r="K42" s="112">
        <f t="shared" si="18"/>
        <v>130500</v>
      </c>
      <c r="L42" s="112">
        <f t="shared" si="4"/>
        <v>123250.00000000001</v>
      </c>
      <c r="M42" s="112">
        <f t="shared" si="5"/>
        <v>58000</v>
      </c>
      <c r="N42" s="112">
        <f t="shared" si="6"/>
        <v>174000</v>
      </c>
      <c r="O42" s="111">
        <f t="shared" si="7"/>
        <v>58000</v>
      </c>
      <c r="P42" s="111">
        <f t="shared" si="8"/>
        <v>75690</v>
      </c>
      <c r="Q42" s="111">
        <f t="shared" si="9"/>
        <v>14500</v>
      </c>
      <c r="R42" s="112">
        <f t="shared" si="19"/>
        <v>372940</v>
      </c>
      <c r="S42" s="112">
        <f t="shared" si="10"/>
        <v>120785</v>
      </c>
      <c r="T42" s="112">
        <f t="shared" si="11"/>
        <v>120785</v>
      </c>
      <c r="U42" s="112">
        <f t="shared" si="12"/>
        <v>60465</v>
      </c>
      <c r="V42" s="112">
        <f t="shared" si="13"/>
        <v>14500</v>
      </c>
      <c r="W42" s="112">
        <f t="shared" si="20"/>
        <v>316535</v>
      </c>
      <c r="X42" s="112">
        <f t="shared" si="14"/>
        <v>11349875</v>
      </c>
      <c r="Y42" s="111">
        <f t="shared" si="15"/>
        <v>102148875</v>
      </c>
    </row>
    <row r="43" spans="2:25" ht="15.6" x14ac:dyDescent="0.3">
      <c r="B43" s="106" t="s">
        <v>317</v>
      </c>
      <c r="C43" s="107">
        <v>1</v>
      </c>
      <c r="D43" s="108">
        <v>13</v>
      </c>
      <c r="E43" s="109">
        <v>3800000</v>
      </c>
      <c r="F43" s="110">
        <f t="shared" si="16"/>
        <v>198296.66666666666</v>
      </c>
      <c r="G43" s="110">
        <f t="shared" si="17"/>
        <v>24787.083333333332</v>
      </c>
      <c r="H43" s="111">
        <f t="shared" si="1"/>
        <v>76000</v>
      </c>
      <c r="I43" s="111">
        <f t="shared" si="2"/>
        <v>114000</v>
      </c>
      <c r="J43" s="111">
        <f t="shared" si="3"/>
        <v>152000</v>
      </c>
      <c r="K43" s="112">
        <f t="shared" si="18"/>
        <v>342000</v>
      </c>
      <c r="L43" s="112">
        <f t="shared" si="4"/>
        <v>323000</v>
      </c>
      <c r="M43" s="112">
        <f t="shared" si="5"/>
        <v>152000</v>
      </c>
      <c r="N43" s="112">
        <f t="shared" si="6"/>
        <v>456000</v>
      </c>
      <c r="O43" s="111">
        <f t="shared" si="7"/>
        <v>152000</v>
      </c>
      <c r="P43" s="111">
        <f t="shared" si="8"/>
        <v>198360</v>
      </c>
      <c r="Q43" s="111">
        <f t="shared" si="9"/>
        <v>38000</v>
      </c>
      <c r="R43" s="112">
        <f t="shared" si="19"/>
        <v>977360</v>
      </c>
      <c r="S43" s="112">
        <f t="shared" si="10"/>
        <v>316540</v>
      </c>
      <c r="T43" s="112">
        <f t="shared" si="11"/>
        <v>316540</v>
      </c>
      <c r="U43" s="112">
        <f t="shared" si="12"/>
        <v>158460</v>
      </c>
      <c r="V43" s="112">
        <f t="shared" si="13"/>
        <v>38000</v>
      </c>
      <c r="W43" s="112">
        <f t="shared" si="20"/>
        <v>829540</v>
      </c>
      <c r="X43" s="112">
        <f t="shared" si="14"/>
        <v>5948900</v>
      </c>
      <c r="Y43" s="111">
        <f t="shared" si="15"/>
        <v>77335700</v>
      </c>
    </row>
    <row r="44" spans="2:25" ht="15.6" x14ac:dyDescent="0.3">
      <c r="B44" s="106" t="s">
        <v>318</v>
      </c>
      <c r="C44" s="107">
        <v>1</v>
      </c>
      <c r="D44" s="108">
        <v>13</v>
      </c>
      <c r="E44" s="109">
        <v>3800000</v>
      </c>
      <c r="F44" s="110">
        <f t="shared" si="16"/>
        <v>198296.66666666666</v>
      </c>
      <c r="G44" s="110">
        <f t="shared" si="17"/>
        <v>24787.083333333332</v>
      </c>
      <c r="H44" s="111">
        <f t="shared" si="1"/>
        <v>76000</v>
      </c>
      <c r="I44" s="111">
        <f t="shared" si="2"/>
        <v>114000</v>
      </c>
      <c r="J44" s="111">
        <f t="shared" si="3"/>
        <v>152000</v>
      </c>
      <c r="K44" s="112">
        <f t="shared" si="18"/>
        <v>342000</v>
      </c>
      <c r="L44" s="112">
        <f t="shared" si="4"/>
        <v>323000</v>
      </c>
      <c r="M44" s="112">
        <f t="shared" si="5"/>
        <v>152000</v>
      </c>
      <c r="N44" s="112">
        <f t="shared" si="6"/>
        <v>456000</v>
      </c>
      <c r="O44" s="111">
        <f t="shared" si="7"/>
        <v>152000</v>
      </c>
      <c r="P44" s="111">
        <f t="shared" si="8"/>
        <v>198360</v>
      </c>
      <c r="Q44" s="111">
        <f t="shared" si="9"/>
        <v>38000</v>
      </c>
      <c r="R44" s="112">
        <f t="shared" si="19"/>
        <v>977360</v>
      </c>
      <c r="S44" s="112">
        <f t="shared" si="10"/>
        <v>316540</v>
      </c>
      <c r="T44" s="112">
        <f t="shared" si="11"/>
        <v>316540</v>
      </c>
      <c r="U44" s="112">
        <f t="shared" si="12"/>
        <v>158460</v>
      </c>
      <c r="V44" s="112">
        <f t="shared" si="13"/>
        <v>38000</v>
      </c>
      <c r="W44" s="112">
        <f t="shared" si="20"/>
        <v>829540</v>
      </c>
      <c r="X44" s="112">
        <f t="shared" si="14"/>
        <v>5948900</v>
      </c>
      <c r="Y44" s="111">
        <f t="shared" si="15"/>
        <v>77335700</v>
      </c>
    </row>
    <row r="45" spans="2:25" ht="15.6" x14ac:dyDescent="0.3">
      <c r="B45" s="106" t="s">
        <v>319</v>
      </c>
      <c r="C45" s="107">
        <v>10</v>
      </c>
      <c r="D45" s="108">
        <v>13</v>
      </c>
      <c r="E45" s="109">
        <v>2000000</v>
      </c>
      <c r="F45" s="110">
        <f t="shared" si="16"/>
        <v>104366.66666666667</v>
      </c>
      <c r="G45" s="110">
        <f t="shared" si="17"/>
        <v>13045.833333333334</v>
      </c>
      <c r="H45" s="111">
        <f t="shared" si="1"/>
        <v>40000</v>
      </c>
      <c r="I45" s="111">
        <f t="shared" si="2"/>
        <v>60000</v>
      </c>
      <c r="J45" s="111">
        <f t="shared" si="3"/>
        <v>80000</v>
      </c>
      <c r="K45" s="112">
        <f t="shared" si="18"/>
        <v>180000</v>
      </c>
      <c r="L45" s="112">
        <f t="shared" si="4"/>
        <v>170000</v>
      </c>
      <c r="M45" s="112">
        <f t="shared" si="5"/>
        <v>80000</v>
      </c>
      <c r="N45" s="112">
        <f t="shared" si="6"/>
        <v>240000</v>
      </c>
      <c r="O45" s="111">
        <f t="shared" si="7"/>
        <v>80000</v>
      </c>
      <c r="P45" s="111">
        <f t="shared" si="8"/>
        <v>104400</v>
      </c>
      <c r="Q45" s="111">
        <f t="shared" si="9"/>
        <v>20000</v>
      </c>
      <c r="R45" s="112">
        <f t="shared" si="19"/>
        <v>514400</v>
      </c>
      <c r="S45" s="112">
        <f t="shared" si="10"/>
        <v>166600</v>
      </c>
      <c r="T45" s="112">
        <f t="shared" si="11"/>
        <v>166600</v>
      </c>
      <c r="U45" s="112">
        <f t="shared" si="12"/>
        <v>83400</v>
      </c>
      <c r="V45" s="112">
        <f t="shared" si="13"/>
        <v>20000</v>
      </c>
      <c r="W45" s="112">
        <f t="shared" si="20"/>
        <v>436600</v>
      </c>
      <c r="X45" s="112">
        <f t="shared" si="14"/>
        <v>31310000</v>
      </c>
      <c r="Y45" s="111">
        <f t="shared" si="15"/>
        <v>407030000</v>
      </c>
    </row>
    <row r="46" spans="2:25" ht="15.6" x14ac:dyDescent="0.3">
      <c r="B46" s="106" t="s">
        <v>320</v>
      </c>
      <c r="C46" s="107">
        <v>10</v>
      </c>
      <c r="D46" s="108">
        <v>11</v>
      </c>
      <c r="E46" s="109">
        <v>1430000</v>
      </c>
      <c r="F46" s="110">
        <f t="shared" si="16"/>
        <v>74622.166666666672</v>
      </c>
      <c r="G46" s="110">
        <f t="shared" si="17"/>
        <v>9327.7708333333339</v>
      </c>
      <c r="H46" s="111">
        <f t="shared" si="1"/>
        <v>28600</v>
      </c>
      <c r="I46" s="111">
        <f t="shared" si="2"/>
        <v>42900</v>
      </c>
      <c r="J46" s="111">
        <f t="shared" si="3"/>
        <v>57200</v>
      </c>
      <c r="K46" s="112">
        <f t="shared" si="18"/>
        <v>128700</v>
      </c>
      <c r="L46" s="112">
        <f t="shared" si="4"/>
        <v>121550.00000000001</v>
      </c>
      <c r="M46" s="112">
        <f t="shared" si="5"/>
        <v>57200</v>
      </c>
      <c r="N46" s="112">
        <f t="shared" si="6"/>
        <v>171600</v>
      </c>
      <c r="O46" s="111">
        <f t="shared" si="7"/>
        <v>57200</v>
      </c>
      <c r="P46" s="111">
        <f t="shared" si="8"/>
        <v>74646</v>
      </c>
      <c r="Q46" s="111">
        <f t="shared" si="9"/>
        <v>14300</v>
      </c>
      <c r="R46" s="112">
        <f t="shared" si="19"/>
        <v>367796</v>
      </c>
      <c r="S46" s="112">
        <f t="shared" si="10"/>
        <v>119119</v>
      </c>
      <c r="T46" s="112">
        <f t="shared" si="11"/>
        <v>119119</v>
      </c>
      <c r="U46" s="112">
        <f t="shared" si="12"/>
        <v>59631</v>
      </c>
      <c r="V46" s="112">
        <f t="shared" si="13"/>
        <v>14300</v>
      </c>
      <c r="W46" s="112">
        <f t="shared" si="20"/>
        <v>312169</v>
      </c>
      <c r="X46" s="112">
        <f t="shared" si="14"/>
        <v>22386650</v>
      </c>
      <c r="Y46" s="111">
        <f t="shared" si="15"/>
        <v>246253150</v>
      </c>
    </row>
    <row r="47" spans="2:25" ht="15.6" x14ac:dyDescent="0.3">
      <c r="B47" s="106" t="s">
        <v>321</v>
      </c>
      <c r="C47" s="107">
        <v>1</v>
      </c>
      <c r="D47" s="108">
        <v>9</v>
      </c>
      <c r="E47" s="109">
        <v>1800000</v>
      </c>
      <c r="F47" s="110">
        <f t="shared" si="16"/>
        <v>93930</v>
      </c>
      <c r="G47" s="110">
        <f t="shared" si="17"/>
        <v>11741.25</v>
      </c>
      <c r="H47" s="111">
        <f t="shared" si="1"/>
        <v>36000</v>
      </c>
      <c r="I47" s="111">
        <f t="shared" si="2"/>
        <v>54000</v>
      </c>
      <c r="J47" s="111">
        <f t="shared" si="3"/>
        <v>72000</v>
      </c>
      <c r="K47" s="112">
        <f t="shared" si="18"/>
        <v>162000</v>
      </c>
      <c r="L47" s="112">
        <f t="shared" si="4"/>
        <v>153000</v>
      </c>
      <c r="M47" s="112">
        <f t="shared" si="5"/>
        <v>72000</v>
      </c>
      <c r="N47" s="112">
        <f t="shared" si="6"/>
        <v>216000</v>
      </c>
      <c r="O47" s="111">
        <f t="shared" si="7"/>
        <v>72000</v>
      </c>
      <c r="P47" s="111">
        <f t="shared" si="8"/>
        <v>93960</v>
      </c>
      <c r="Q47" s="111">
        <f t="shared" si="9"/>
        <v>18000</v>
      </c>
      <c r="R47" s="112">
        <f t="shared" si="19"/>
        <v>462960</v>
      </c>
      <c r="S47" s="112">
        <f t="shared" si="10"/>
        <v>149940</v>
      </c>
      <c r="T47" s="112">
        <f t="shared" si="11"/>
        <v>149940</v>
      </c>
      <c r="U47" s="112">
        <f t="shared" si="12"/>
        <v>75060</v>
      </c>
      <c r="V47" s="112">
        <f t="shared" si="13"/>
        <v>18000</v>
      </c>
      <c r="W47" s="112">
        <f t="shared" si="20"/>
        <v>392940</v>
      </c>
      <c r="X47" s="112">
        <f t="shared" si="14"/>
        <v>2817900</v>
      </c>
      <c r="Y47" s="111">
        <f t="shared" si="15"/>
        <v>25361100</v>
      </c>
    </row>
    <row r="48" spans="2:25" ht="15.6" x14ac:dyDescent="0.3">
      <c r="B48" s="106" t="s">
        <v>322</v>
      </c>
      <c r="C48" s="107">
        <v>1</v>
      </c>
      <c r="D48" s="108">
        <v>9</v>
      </c>
      <c r="E48" s="109">
        <v>1200000</v>
      </c>
      <c r="F48" s="110">
        <f t="shared" si="16"/>
        <v>62620</v>
      </c>
      <c r="G48" s="110">
        <f t="shared" si="17"/>
        <v>7827.5</v>
      </c>
      <c r="H48" s="111">
        <f t="shared" si="1"/>
        <v>24000</v>
      </c>
      <c r="I48" s="111">
        <f t="shared" si="2"/>
        <v>36000</v>
      </c>
      <c r="J48" s="111">
        <f t="shared" si="3"/>
        <v>48000</v>
      </c>
      <c r="K48" s="112">
        <f t="shared" si="18"/>
        <v>108000</v>
      </c>
      <c r="L48" s="112">
        <f t="shared" si="4"/>
        <v>102000.00000000001</v>
      </c>
      <c r="M48" s="112">
        <f t="shared" si="5"/>
        <v>48000</v>
      </c>
      <c r="N48" s="112">
        <f t="shared" si="6"/>
        <v>144000</v>
      </c>
      <c r="O48" s="111">
        <f t="shared" si="7"/>
        <v>48000</v>
      </c>
      <c r="P48" s="111">
        <f t="shared" si="8"/>
        <v>62640.000000000007</v>
      </c>
      <c r="Q48" s="111">
        <f t="shared" si="9"/>
        <v>12000</v>
      </c>
      <c r="R48" s="112">
        <f t="shared" si="19"/>
        <v>308640</v>
      </c>
      <c r="S48" s="112">
        <f t="shared" si="10"/>
        <v>99960</v>
      </c>
      <c r="T48" s="112">
        <f t="shared" si="11"/>
        <v>99960</v>
      </c>
      <c r="U48" s="112">
        <f t="shared" si="12"/>
        <v>50040</v>
      </c>
      <c r="V48" s="112">
        <f t="shared" si="13"/>
        <v>12000</v>
      </c>
      <c r="W48" s="112">
        <f t="shared" si="20"/>
        <v>261960</v>
      </c>
      <c r="X48" s="112">
        <f t="shared" si="14"/>
        <v>1878600</v>
      </c>
      <c r="Y48" s="111">
        <f t="shared" si="15"/>
        <v>16907400</v>
      </c>
    </row>
    <row r="49" spans="2:25" ht="15.6" x14ac:dyDescent="0.3">
      <c r="B49" s="106" t="s">
        <v>323</v>
      </c>
      <c r="C49" s="107">
        <v>2</v>
      </c>
      <c r="D49" s="108">
        <v>3</v>
      </c>
      <c r="E49" s="109">
        <v>1560000</v>
      </c>
      <c r="F49" s="110">
        <f t="shared" si="16"/>
        <v>81406</v>
      </c>
      <c r="G49" s="110">
        <f t="shared" si="17"/>
        <v>10175.75</v>
      </c>
      <c r="H49" s="111">
        <f t="shared" si="1"/>
        <v>31200</v>
      </c>
      <c r="I49" s="111">
        <f t="shared" si="2"/>
        <v>46800</v>
      </c>
      <c r="J49" s="111">
        <f t="shared" si="3"/>
        <v>62400</v>
      </c>
      <c r="K49" s="112">
        <f t="shared" si="18"/>
        <v>140400</v>
      </c>
      <c r="L49" s="112">
        <f t="shared" si="4"/>
        <v>132600</v>
      </c>
      <c r="M49" s="112">
        <f t="shared" si="5"/>
        <v>62400</v>
      </c>
      <c r="N49" s="112">
        <f t="shared" si="6"/>
        <v>187200</v>
      </c>
      <c r="O49" s="111">
        <f t="shared" si="7"/>
        <v>62400</v>
      </c>
      <c r="P49" s="111">
        <f t="shared" si="8"/>
        <v>81432</v>
      </c>
      <c r="Q49" s="111">
        <f t="shared" si="9"/>
        <v>15600</v>
      </c>
      <c r="R49" s="112">
        <f t="shared" si="19"/>
        <v>401232</v>
      </c>
      <c r="S49" s="112">
        <f t="shared" si="10"/>
        <v>129948</v>
      </c>
      <c r="T49" s="112">
        <f t="shared" si="11"/>
        <v>129948</v>
      </c>
      <c r="U49" s="112">
        <f t="shared" si="12"/>
        <v>65052</v>
      </c>
      <c r="V49" s="112">
        <f t="shared" si="13"/>
        <v>15600</v>
      </c>
      <c r="W49" s="112">
        <f t="shared" si="20"/>
        <v>340548</v>
      </c>
      <c r="X49" s="112">
        <f t="shared" si="14"/>
        <v>4884360</v>
      </c>
      <c r="Y49" s="111">
        <f t="shared" si="15"/>
        <v>14653080</v>
      </c>
    </row>
    <row r="50" spans="2:25" ht="15.6" x14ac:dyDescent="0.3">
      <c r="B50" s="106" t="s">
        <v>324</v>
      </c>
      <c r="C50" s="107">
        <v>4</v>
      </c>
      <c r="D50" s="108">
        <v>9</v>
      </c>
      <c r="E50" s="109">
        <v>1800000</v>
      </c>
      <c r="F50" s="110">
        <f t="shared" si="16"/>
        <v>93930</v>
      </c>
      <c r="G50" s="110">
        <f t="shared" si="17"/>
        <v>11741.25</v>
      </c>
      <c r="H50" s="111">
        <f t="shared" si="1"/>
        <v>36000</v>
      </c>
      <c r="I50" s="111">
        <f t="shared" si="2"/>
        <v>54000</v>
      </c>
      <c r="J50" s="111">
        <f t="shared" si="3"/>
        <v>72000</v>
      </c>
      <c r="K50" s="112">
        <f t="shared" si="18"/>
        <v>162000</v>
      </c>
      <c r="L50" s="112">
        <f t="shared" si="4"/>
        <v>153000</v>
      </c>
      <c r="M50" s="112">
        <f t="shared" si="5"/>
        <v>72000</v>
      </c>
      <c r="N50" s="112">
        <f t="shared" si="6"/>
        <v>216000</v>
      </c>
      <c r="O50" s="111">
        <f t="shared" si="7"/>
        <v>72000</v>
      </c>
      <c r="P50" s="111">
        <f t="shared" si="8"/>
        <v>93960</v>
      </c>
      <c r="Q50" s="111">
        <f t="shared" si="9"/>
        <v>18000</v>
      </c>
      <c r="R50" s="112">
        <f t="shared" si="19"/>
        <v>462960</v>
      </c>
      <c r="S50" s="112">
        <f t="shared" si="10"/>
        <v>149940</v>
      </c>
      <c r="T50" s="112">
        <f t="shared" si="11"/>
        <v>149940</v>
      </c>
      <c r="U50" s="112">
        <f t="shared" si="12"/>
        <v>75060</v>
      </c>
      <c r="V50" s="112">
        <f t="shared" si="13"/>
        <v>18000</v>
      </c>
      <c r="W50" s="112">
        <f t="shared" si="20"/>
        <v>392940</v>
      </c>
      <c r="X50" s="112">
        <f t="shared" si="14"/>
        <v>11271600</v>
      </c>
      <c r="Y50" s="111">
        <f t="shared" si="15"/>
        <v>101444400</v>
      </c>
    </row>
    <row r="51" spans="2:25" ht="27" customHeight="1" x14ac:dyDescent="0.3">
      <c r="B51" s="106" t="s">
        <v>325</v>
      </c>
      <c r="C51" s="107">
        <v>1</v>
      </c>
      <c r="D51" s="108">
        <v>13</v>
      </c>
      <c r="E51" s="109">
        <v>3500000</v>
      </c>
      <c r="F51" s="110">
        <f t="shared" si="16"/>
        <v>182641.66666666666</v>
      </c>
      <c r="G51" s="110">
        <f t="shared" si="17"/>
        <v>22830.208333333332</v>
      </c>
      <c r="H51" s="111">
        <f t="shared" si="1"/>
        <v>70000</v>
      </c>
      <c r="I51" s="111">
        <f t="shared" si="2"/>
        <v>105000</v>
      </c>
      <c r="J51" s="111">
        <f t="shared" si="3"/>
        <v>140000</v>
      </c>
      <c r="K51" s="112">
        <f t="shared" si="18"/>
        <v>315000</v>
      </c>
      <c r="L51" s="112">
        <f t="shared" si="4"/>
        <v>297500</v>
      </c>
      <c r="M51" s="112">
        <f t="shared" si="5"/>
        <v>140000</v>
      </c>
      <c r="N51" s="112">
        <f t="shared" si="6"/>
        <v>420000</v>
      </c>
      <c r="O51" s="111">
        <f t="shared" si="7"/>
        <v>140000</v>
      </c>
      <c r="P51" s="111">
        <f t="shared" si="8"/>
        <v>182700</v>
      </c>
      <c r="Q51" s="111">
        <f t="shared" si="9"/>
        <v>35000</v>
      </c>
      <c r="R51" s="112">
        <f t="shared" si="19"/>
        <v>900200</v>
      </c>
      <c r="S51" s="112">
        <f t="shared" si="10"/>
        <v>291550</v>
      </c>
      <c r="T51" s="112">
        <f t="shared" si="11"/>
        <v>291550</v>
      </c>
      <c r="U51" s="112">
        <f t="shared" si="12"/>
        <v>145950</v>
      </c>
      <c r="V51" s="112">
        <f t="shared" si="13"/>
        <v>35000</v>
      </c>
      <c r="W51" s="112">
        <f t="shared" si="20"/>
        <v>764050</v>
      </c>
      <c r="X51" s="112">
        <f t="shared" si="14"/>
        <v>5479250</v>
      </c>
      <c r="Y51" s="111">
        <f t="shared" si="15"/>
        <v>71230250</v>
      </c>
    </row>
    <row r="52" spans="2:25" ht="15.6" x14ac:dyDescent="0.3">
      <c r="B52" s="106" t="s">
        <v>326</v>
      </c>
      <c r="C52" s="107">
        <v>1</v>
      </c>
      <c r="D52" s="108">
        <v>13</v>
      </c>
      <c r="E52" s="109">
        <v>3500000</v>
      </c>
      <c r="F52" s="110">
        <f t="shared" si="16"/>
        <v>182641.66666666666</v>
      </c>
      <c r="G52" s="110">
        <f t="shared" si="17"/>
        <v>22830.208333333332</v>
      </c>
      <c r="H52" s="111">
        <f t="shared" si="1"/>
        <v>70000</v>
      </c>
      <c r="I52" s="111">
        <f t="shared" si="2"/>
        <v>105000</v>
      </c>
      <c r="J52" s="111">
        <f t="shared" si="3"/>
        <v>140000</v>
      </c>
      <c r="K52" s="112">
        <f t="shared" si="18"/>
        <v>315000</v>
      </c>
      <c r="L52" s="112">
        <f t="shared" si="4"/>
        <v>297500</v>
      </c>
      <c r="M52" s="112">
        <f t="shared" si="5"/>
        <v>140000</v>
      </c>
      <c r="N52" s="112">
        <f t="shared" si="6"/>
        <v>420000</v>
      </c>
      <c r="O52" s="111">
        <f t="shared" si="7"/>
        <v>140000</v>
      </c>
      <c r="P52" s="111">
        <f t="shared" si="8"/>
        <v>182700</v>
      </c>
      <c r="Q52" s="111">
        <f t="shared" si="9"/>
        <v>35000</v>
      </c>
      <c r="R52" s="112">
        <f t="shared" si="19"/>
        <v>900200</v>
      </c>
      <c r="S52" s="112">
        <f t="shared" si="10"/>
        <v>291550</v>
      </c>
      <c r="T52" s="112">
        <f t="shared" si="11"/>
        <v>291550</v>
      </c>
      <c r="U52" s="112">
        <f t="shared" si="12"/>
        <v>145950</v>
      </c>
      <c r="V52" s="112">
        <f t="shared" si="13"/>
        <v>35000</v>
      </c>
      <c r="W52" s="112">
        <f t="shared" si="20"/>
        <v>764050</v>
      </c>
      <c r="X52" s="112">
        <f t="shared" si="14"/>
        <v>5479250</v>
      </c>
      <c r="Y52" s="111">
        <f t="shared" si="15"/>
        <v>71230250</v>
      </c>
    </row>
    <row r="53" spans="2:25" ht="15.6" x14ac:dyDescent="0.3">
      <c r="B53" s="106" t="s">
        <v>327</v>
      </c>
      <c r="C53" s="107">
        <v>1</v>
      </c>
      <c r="D53" s="108">
        <v>9</v>
      </c>
      <c r="E53" s="109">
        <v>1450000</v>
      </c>
      <c r="F53" s="110">
        <f t="shared" si="16"/>
        <v>75665.833333333328</v>
      </c>
      <c r="G53" s="110">
        <f t="shared" si="17"/>
        <v>9458.2291666666661</v>
      </c>
      <c r="H53" s="111">
        <f t="shared" si="1"/>
        <v>29000</v>
      </c>
      <c r="I53" s="111">
        <f t="shared" si="2"/>
        <v>43500</v>
      </c>
      <c r="J53" s="111">
        <f t="shared" si="3"/>
        <v>58000</v>
      </c>
      <c r="K53" s="112">
        <f t="shared" si="18"/>
        <v>130500</v>
      </c>
      <c r="L53" s="112">
        <f t="shared" si="4"/>
        <v>123250.00000000001</v>
      </c>
      <c r="M53" s="112">
        <f t="shared" si="5"/>
        <v>58000</v>
      </c>
      <c r="N53" s="112">
        <f t="shared" si="6"/>
        <v>174000</v>
      </c>
      <c r="O53" s="111">
        <f t="shared" si="7"/>
        <v>58000</v>
      </c>
      <c r="P53" s="111">
        <f t="shared" si="8"/>
        <v>75690</v>
      </c>
      <c r="Q53" s="111">
        <f t="shared" si="9"/>
        <v>14500</v>
      </c>
      <c r="R53" s="112">
        <f t="shared" si="19"/>
        <v>372940</v>
      </c>
      <c r="S53" s="112">
        <f t="shared" si="10"/>
        <v>120785</v>
      </c>
      <c r="T53" s="112">
        <f t="shared" si="11"/>
        <v>120785</v>
      </c>
      <c r="U53" s="112">
        <f t="shared" si="12"/>
        <v>60465</v>
      </c>
      <c r="V53" s="112">
        <f t="shared" si="13"/>
        <v>14500</v>
      </c>
      <c r="W53" s="112">
        <f t="shared" si="20"/>
        <v>316535</v>
      </c>
      <c r="X53" s="112">
        <f t="shared" si="14"/>
        <v>2269975</v>
      </c>
      <c r="Y53" s="111">
        <f t="shared" si="15"/>
        <v>20429775</v>
      </c>
    </row>
    <row r="54" spans="2:25" ht="31.2" x14ac:dyDescent="0.3">
      <c r="B54" s="106" t="s">
        <v>328</v>
      </c>
      <c r="C54" s="107">
        <v>2</v>
      </c>
      <c r="D54" s="108">
        <v>13</v>
      </c>
      <c r="E54" s="109">
        <v>2000000</v>
      </c>
      <c r="F54" s="110">
        <f t="shared" si="16"/>
        <v>104366.66666666667</v>
      </c>
      <c r="G54" s="110">
        <f t="shared" si="17"/>
        <v>13045.833333333334</v>
      </c>
      <c r="H54" s="111">
        <f t="shared" si="1"/>
        <v>40000</v>
      </c>
      <c r="I54" s="111">
        <f t="shared" si="2"/>
        <v>60000</v>
      </c>
      <c r="J54" s="111">
        <f t="shared" si="3"/>
        <v>80000</v>
      </c>
      <c r="K54" s="112">
        <f t="shared" si="18"/>
        <v>180000</v>
      </c>
      <c r="L54" s="112">
        <f t="shared" si="4"/>
        <v>170000</v>
      </c>
      <c r="M54" s="112">
        <f t="shared" si="5"/>
        <v>80000</v>
      </c>
      <c r="N54" s="112">
        <f t="shared" si="6"/>
        <v>240000</v>
      </c>
      <c r="O54" s="111">
        <f t="shared" si="7"/>
        <v>80000</v>
      </c>
      <c r="P54" s="111">
        <f t="shared" si="8"/>
        <v>104400</v>
      </c>
      <c r="Q54" s="111">
        <f t="shared" si="9"/>
        <v>20000</v>
      </c>
      <c r="R54" s="112">
        <f t="shared" si="19"/>
        <v>514400</v>
      </c>
      <c r="S54" s="112">
        <f t="shared" si="10"/>
        <v>166600</v>
      </c>
      <c r="T54" s="112">
        <f t="shared" si="11"/>
        <v>166600</v>
      </c>
      <c r="U54" s="112">
        <f t="shared" si="12"/>
        <v>83400</v>
      </c>
      <c r="V54" s="112">
        <f t="shared" si="13"/>
        <v>20000</v>
      </c>
      <c r="W54" s="112">
        <f t="shared" si="20"/>
        <v>436600</v>
      </c>
      <c r="X54" s="112">
        <f t="shared" si="14"/>
        <v>6262000</v>
      </c>
      <c r="Y54" s="111">
        <f t="shared" si="15"/>
        <v>81406000</v>
      </c>
    </row>
    <row r="55" spans="2:25" ht="15.6" x14ac:dyDescent="0.3">
      <c r="B55" s="106" t="s">
        <v>329</v>
      </c>
      <c r="C55" s="107">
        <v>1</v>
      </c>
      <c r="D55" s="108">
        <v>2</v>
      </c>
      <c r="E55" s="109">
        <v>3200000</v>
      </c>
      <c r="F55" s="110">
        <f t="shared" si="16"/>
        <v>166986.66666666666</v>
      </c>
      <c r="G55" s="110">
        <f t="shared" si="17"/>
        <v>20873.333333333332</v>
      </c>
      <c r="H55" s="111">
        <f t="shared" si="1"/>
        <v>64000</v>
      </c>
      <c r="I55" s="111">
        <f t="shared" si="2"/>
        <v>96000</v>
      </c>
      <c r="J55" s="111">
        <f t="shared" si="3"/>
        <v>128000</v>
      </c>
      <c r="K55" s="112">
        <f t="shared" si="18"/>
        <v>288000</v>
      </c>
      <c r="L55" s="112">
        <f t="shared" si="4"/>
        <v>272000</v>
      </c>
      <c r="M55" s="112">
        <f t="shared" si="5"/>
        <v>128000</v>
      </c>
      <c r="N55" s="112">
        <f t="shared" si="6"/>
        <v>384000</v>
      </c>
      <c r="O55" s="111">
        <f t="shared" si="7"/>
        <v>128000</v>
      </c>
      <c r="P55" s="111">
        <f t="shared" si="8"/>
        <v>167040</v>
      </c>
      <c r="Q55" s="111">
        <f t="shared" si="9"/>
        <v>32000</v>
      </c>
      <c r="R55" s="112">
        <f t="shared" si="19"/>
        <v>823040</v>
      </c>
      <c r="S55" s="112">
        <f t="shared" si="10"/>
        <v>266560</v>
      </c>
      <c r="T55" s="112">
        <f t="shared" si="11"/>
        <v>266560</v>
      </c>
      <c r="U55" s="112">
        <f t="shared" si="12"/>
        <v>133440</v>
      </c>
      <c r="V55" s="112">
        <f t="shared" si="13"/>
        <v>32000</v>
      </c>
      <c r="W55" s="112">
        <f t="shared" si="20"/>
        <v>698560</v>
      </c>
      <c r="X55" s="112">
        <f t="shared" si="14"/>
        <v>5009600</v>
      </c>
      <c r="Y55" s="111">
        <f t="shared" si="15"/>
        <v>10019200</v>
      </c>
    </row>
    <row r="56" spans="2:25" ht="15.6" x14ac:dyDescent="0.3">
      <c r="B56" s="106" t="s">
        <v>330</v>
      </c>
      <c r="C56" s="107">
        <v>1</v>
      </c>
      <c r="D56" s="108">
        <v>2</v>
      </c>
      <c r="E56" s="109">
        <v>3000000</v>
      </c>
      <c r="F56" s="110">
        <f t="shared" si="16"/>
        <v>156550</v>
      </c>
      <c r="G56" s="110">
        <f t="shared" si="17"/>
        <v>19568.75</v>
      </c>
      <c r="H56" s="111">
        <f t="shared" si="1"/>
        <v>60000</v>
      </c>
      <c r="I56" s="111">
        <f t="shared" si="2"/>
        <v>90000</v>
      </c>
      <c r="J56" s="111">
        <f t="shared" si="3"/>
        <v>120000</v>
      </c>
      <c r="K56" s="112">
        <f t="shared" si="18"/>
        <v>270000</v>
      </c>
      <c r="L56" s="112">
        <f t="shared" si="4"/>
        <v>255000.00000000003</v>
      </c>
      <c r="M56" s="112">
        <f t="shared" si="5"/>
        <v>120000</v>
      </c>
      <c r="N56" s="112">
        <f t="shared" si="6"/>
        <v>360000</v>
      </c>
      <c r="O56" s="111">
        <f t="shared" si="7"/>
        <v>120000</v>
      </c>
      <c r="P56" s="111">
        <f t="shared" si="8"/>
        <v>156600</v>
      </c>
      <c r="Q56" s="111">
        <f t="shared" si="9"/>
        <v>30000</v>
      </c>
      <c r="R56" s="112">
        <f t="shared" si="19"/>
        <v>771600</v>
      </c>
      <c r="S56" s="112">
        <f t="shared" si="10"/>
        <v>249900</v>
      </c>
      <c r="T56" s="112">
        <f t="shared" si="11"/>
        <v>249900</v>
      </c>
      <c r="U56" s="112">
        <f t="shared" si="12"/>
        <v>125100</v>
      </c>
      <c r="V56" s="112">
        <f t="shared" si="13"/>
        <v>30000</v>
      </c>
      <c r="W56" s="112">
        <f t="shared" si="20"/>
        <v>654900</v>
      </c>
      <c r="X56" s="112">
        <f t="shared" si="14"/>
        <v>4696500</v>
      </c>
      <c r="Y56" s="111">
        <f t="shared" si="15"/>
        <v>9393000</v>
      </c>
    </row>
    <row r="57" spans="2:25" ht="15.6" x14ac:dyDescent="0.3">
      <c r="B57" s="106" t="s">
        <v>331</v>
      </c>
      <c r="C57" s="107">
        <v>1</v>
      </c>
      <c r="D57" s="108">
        <v>2</v>
      </c>
      <c r="E57" s="109">
        <v>3200000</v>
      </c>
      <c r="F57" s="110">
        <f t="shared" si="16"/>
        <v>166986.66666666666</v>
      </c>
      <c r="G57" s="110">
        <f t="shared" si="17"/>
        <v>20873.333333333332</v>
      </c>
      <c r="H57" s="111">
        <f t="shared" si="1"/>
        <v>64000</v>
      </c>
      <c r="I57" s="111">
        <f t="shared" si="2"/>
        <v>96000</v>
      </c>
      <c r="J57" s="111">
        <f t="shared" si="3"/>
        <v>128000</v>
      </c>
      <c r="K57" s="112">
        <f t="shared" si="18"/>
        <v>288000</v>
      </c>
      <c r="L57" s="112">
        <f t="shared" si="4"/>
        <v>272000</v>
      </c>
      <c r="M57" s="112">
        <f t="shared" si="5"/>
        <v>128000</v>
      </c>
      <c r="N57" s="112">
        <f t="shared" si="6"/>
        <v>384000</v>
      </c>
      <c r="O57" s="111">
        <f t="shared" si="7"/>
        <v>128000</v>
      </c>
      <c r="P57" s="111">
        <f t="shared" si="8"/>
        <v>167040</v>
      </c>
      <c r="Q57" s="111">
        <f t="shared" si="9"/>
        <v>32000</v>
      </c>
      <c r="R57" s="112">
        <f t="shared" si="19"/>
        <v>823040</v>
      </c>
      <c r="S57" s="112">
        <f t="shared" si="10"/>
        <v>266560</v>
      </c>
      <c r="T57" s="112">
        <f t="shared" si="11"/>
        <v>266560</v>
      </c>
      <c r="U57" s="112">
        <f t="shared" si="12"/>
        <v>133440</v>
      </c>
      <c r="V57" s="112">
        <f t="shared" si="13"/>
        <v>32000</v>
      </c>
      <c r="W57" s="112">
        <f t="shared" si="20"/>
        <v>698560</v>
      </c>
      <c r="X57" s="112">
        <f t="shared" si="14"/>
        <v>5009600</v>
      </c>
      <c r="Y57" s="111">
        <f t="shared" si="15"/>
        <v>10019200</v>
      </c>
    </row>
    <row r="58" spans="2:25" ht="15.6" x14ac:dyDescent="0.3">
      <c r="B58" s="106" t="s">
        <v>332</v>
      </c>
      <c r="C58" s="107">
        <v>2</v>
      </c>
      <c r="D58" s="108">
        <v>2</v>
      </c>
      <c r="E58" s="109">
        <v>1700000</v>
      </c>
      <c r="F58" s="110">
        <f t="shared" si="16"/>
        <v>88711.666666666672</v>
      </c>
      <c r="G58" s="110">
        <f t="shared" si="17"/>
        <v>11088.958333333334</v>
      </c>
      <c r="H58" s="111">
        <f t="shared" si="1"/>
        <v>34000</v>
      </c>
      <c r="I58" s="111">
        <f t="shared" si="2"/>
        <v>51000</v>
      </c>
      <c r="J58" s="111">
        <f t="shared" si="3"/>
        <v>68000</v>
      </c>
      <c r="K58" s="112">
        <f t="shared" si="18"/>
        <v>153000</v>
      </c>
      <c r="L58" s="112">
        <f t="shared" si="4"/>
        <v>144500</v>
      </c>
      <c r="M58" s="112">
        <f t="shared" si="5"/>
        <v>68000</v>
      </c>
      <c r="N58" s="112">
        <f t="shared" si="6"/>
        <v>204000</v>
      </c>
      <c r="O58" s="111">
        <f t="shared" si="7"/>
        <v>68000</v>
      </c>
      <c r="P58" s="111">
        <f t="shared" si="8"/>
        <v>88740</v>
      </c>
      <c r="Q58" s="111">
        <f t="shared" si="9"/>
        <v>17000</v>
      </c>
      <c r="R58" s="112">
        <f t="shared" si="19"/>
        <v>437240</v>
      </c>
      <c r="S58" s="112">
        <f t="shared" si="10"/>
        <v>141610</v>
      </c>
      <c r="T58" s="112">
        <f t="shared" si="11"/>
        <v>141610</v>
      </c>
      <c r="U58" s="112">
        <f t="shared" si="12"/>
        <v>70890</v>
      </c>
      <c r="V58" s="112">
        <f t="shared" si="13"/>
        <v>17000</v>
      </c>
      <c r="W58" s="112">
        <f t="shared" si="20"/>
        <v>371110</v>
      </c>
      <c r="X58" s="112">
        <f t="shared" si="14"/>
        <v>5322700</v>
      </c>
      <c r="Y58" s="111">
        <f t="shared" si="15"/>
        <v>10645400</v>
      </c>
    </row>
    <row r="59" spans="2:25" ht="15.6" x14ac:dyDescent="0.3">
      <c r="B59" s="99" t="s">
        <v>333</v>
      </c>
      <c r="C59" s="100">
        <v>3</v>
      </c>
      <c r="D59" s="98">
        <v>2</v>
      </c>
      <c r="E59" s="111">
        <v>1600000</v>
      </c>
      <c r="F59" s="113">
        <f t="shared" si="16"/>
        <v>83493.333333333328</v>
      </c>
      <c r="G59" s="112">
        <f t="shared" si="17"/>
        <v>10436.666666666666</v>
      </c>
      <c r="H59" s="111">
        <f t="shared" si="1"/>
        <v>32000</v>
      </c>
      <c r="I59" s="111">
        <f t="shared" si="2"/>
        <v>48000</v>
      </c>
      <c r="J59" s="111">
        <f t="shared" si="3"/>
        <v>64000</v>
      </c>
      <c r="K59" s="112">
        <f t="shared" si="18"/>
        <v>144000</v>
      </c>
      <c r="L59" s="112">
        <f t="shared" si="4"/>
        <v>136000</v>
      </c>
      <c r="M59" s="112">
        <f t="shared" si="5"/>
        <v>64000</v>
      </c>
      <c r="N59" s="112">
        <f t="shared" si="6"/>
        <v>192000</v>
      </c>
      <c r="O59" s="111">
        <f t="shared" si="7"/>
        <v>64000</v>
      </c>
      <c r="P59" s="111">
        <f t="shared" si="8"/>
        <v>83520</v>
      </c>
      <c r="Q59" s="111">
        <f t="shared" si="9"/>
        <v>16000</v>
      </c>
      <c r="R59" s="112">
        <f t="shared" si="19"/>
        <v>411520</v>
      </c>
      <c r="S59" s="112">
        <f t="shared" si="10"/>
        <v>133280</v>
      </c>
      <c r="T59" s="112">
        <f t="shared" si="11"/>
        <v>133280</v>
      </c>
      <c r="U59" s="112">
        <f t="shared" si="12"/>
        <v>66720</v>
      </c>
      <c r="V59" s="112">
        <f t="shared" si="13"/>
        <v>16000</v>
      </c>
      <c r="W59" s="112">
        <f t="shared" si="20"/>
        <v>349280</v>
      </c>
      <c r="X59" s="112">
        <f t="shared" si="14"/>
        <v>7514400</v>
      </c>
      <c r="Y59" s="111">
        <f t="shared" si="15"/>
        <v>15028800</v>
      </c>
    </row>
    <row r="60" spans="2:25" x14ac:dyDescent="0.3">
      <c r="Y60" s="114"/>
    </row>
  </sheetData>
  <mergeCells count="4">
    <mergeCell ref="D1:O1"/>
    <mergeCell ref="P1:AA1"/>
    <mergeCell ref="H32:K32"/>
    <mergeCell ref="L32:P3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E2:J27"/>
  <sheetViews>
    <sheetView topLeftCell="A4" workbookViewId="0">
      <selection activeCell="E15" sqref="E15"/>
    </sheetView>
  </sheetViews>
  <sheetFormatPr baseColWidth="10" defaultRowHeight="14.4" x14ac:dyDescent="0.3"/>
  <cols>
    <col min="5" max="5" width="23" customWidth="1"/>
    <col min="7" max="7" width="16.6640625" bestFit="1" customWidth="1"/>
    <col min="9" max="9" width="12" bestFit="1" customWidth="1"/>
    <col min="10" max="10" width="16.6640625" bestFit="1" customWidth="1"/>
  </cols>
  <sheetData>
    <row r="2" spans="5:10" x14ac:dyDescent="0.3">
      <c r="E2" t="s">
        <v>445</v>
      </c>
      <c r="F2" t="s">
        <v>443</v>
      </c>
      <c r="G2" t="s">
        <v>444</v>
      </c>
      <c r="H2" t="s">
        <v>47</v>
      </c>
    </row>
    <row r="3" spans="5:10" x14ac:dyDescent="0.3">
      <c r="E3" s="126">
        <v>402460000000</v>
      </c>
      <c r="F3" s="4">
        <v>0.2</v>
      </c>
      <c r="G3" s="127">
        <f>E3*F3</f>
        <v>80492000000</v>
      </c>
      <c r="H3">
        <v>12000</v>
      </c>
      <c r="I3" s="127">
        <f>G3/H3</f>
        <v>6707666.666666667</v>
      </c>
      <c r="J3" s="127">
        <f>I3*H3</f>
        <v>80492000000</v>
      </c>
    </row>
    <row r="4" spans="5:10" x14ac:dyDescent="0.3">
      <c r="H4">
        <v>10000</v>
      </c>
      <c r="I4" s="127">
        <v>5975966.666666667</v>
      </c>
      <c r="J4" s="127">
        <f>I4*H4</f>
        <v>59759666666.666672</v>
      </c>
    </row>
    <row r="6" spans="5:10" x14ac:dyDescent="0.3">
      <c r="E6" t="s">
        <v>446</v>
      </c>
      <c r="F6" t="s">
        <v>443</v>
      </c>
      <c r="G6" t="s">
        <v>447</v>
      </c>
      <c r="H6" t="s">
        <v>47</v>
      </c>
    </row>
    <row r="7" spans="5:10" x14ac:dyDescent="0.3">
      <c r="E7" s="126">
        <v>14830000000</v>
      </c>
      <c r="F7" s="4">
        <v>0.2</v>
      </c>
      <c r="G7" s="127">
        <f>E7*F7</f>
        <v>2966000000</v>
      </c>
      <c r="H7">
        <v>12000</v>
      </c>
      <c r="I7" s="127">
        <f>G7/H7</f>
        <v>247166.66666666666</v>
      </c>
      <c r="J7" s="127">
        <f>I7*H7</f>
        <v>2966000000</v>
      </c>
    </row>
    <row r="8" spans="5:10" x14ac:dyDescent="0.3">
      <c r="H8">
        <v>10000</v>
      </c>
      <c r="I8" s="127">
        <v>247166.66666666666</v>
      </c>
      <c r="J8" s="127">
        <f>I8*H8</f>
        <v>2471666666.6666665</v>
      </c>
    </row>
    <row r="10" spans="5:10" x14ac:dyDescent="0.3">
      <c r="E10" t="s">
        <v>448</v>
      </c>
      <c r="F10" t="s">
        <v>443</v>
      </c>
      <c r="G10" t="s">
        <v>447</v>
      </c>
      <c r="H10" t="s">
        <v>47</v>
      </c>
    </row>
    <row r="11" spans="5:10" x14ac:dyDescent="0.3">
      <c r="E11" s="126">
        <v>38631000000</v>
      </c>
      <c r="F11" s="4">
        <v>0.2</v>
      </c>
      <c r="G11" s="127">
        <f>E11*F11</f>
        <v>7726200000</v>
      </c>
      <c r="H11">
        <v>12000</v>
      </c>
      <c r="I11" s="127">
        <f>G11/H11</f>
        <v>643850</v>
      </c>
      <c r="J11" s="127">
        <f>I11*H11</f>
        <v>7726200000</v>
      </c>
    </row>
    <row r="12" spans="5:10" x14ac:dyDescent="0.3">
      <c r="H12">
        <v>10000</v>
      </c>
      <c r="I12" s="127">
        <v>643850</v>
      </c>
      <c r="J12" s="127">
        <f>I12*H12</f>
        <v>6438500000</v>
      </c>
    </row>
    <row r="14" spans="5:10" x14ac:dyDescent="0.3">
      <c r="E14" t="s">
        <v>448</v>
      </c>
      <c r="F14" t="s">
        <v>443</v>
      </c>
      <c r="G14" t="s">
        <v>447</v>
      </c>
      <c r="H14" t="s">
        <v>47</v>
      </c>
    </row>
    <row r="15" spans="5:10" x14ac:dyDescent="0.3">
      <c r="E15" s="126">
        <v>28052000000</v>
      </c>
      <c r="F15" s="4">
        <v>0.2</v>
      </c>
      <c r="G15" s="127">
        <f>E15*F15</f>
        <v>5610400000</v>
      </c>
      <c r="H15">
        <v>12000</v>
      </c>
      <c r="I15" s="127">
        <f>G15/H15</f>
        <v>467533.33333333331</v>
      </c>
      <c r="J15" s="127">
        <f>I15*H15</f>
        <v>5610400000</v>
      </c>
    </row>
    <row r="16" spans="5:10" x14ac:dyDescent="0.3">
      <c r="H16">
        <v>10000</v>
      </c>
      <c r="I16" s="127">
        <v>467533.33333333331</v>
      </c>
      <c r="J16" s="127">
        <f>I16*H16</f>
        <v>4675333333.333333</v>
      </c>
    </row>
    <row r="18" spans="5:10" x14ac:dyDescent="0.3">
      <c r="E18" t="s">
        <v>459</v>
      </c>
      <c r="F18" t="s">
        <v>443</v>
      </c>
      <c r="G18" t="s">
        <v>447</v>
      </c>
      <c r="H18" t="s">
        <v>47</v>
      </c>
    </row>
    <row r="19" spans="5:10" x14ac:dyDescent="0.3">
      <c r="E19">
        <v>66208000000</v>
      </c>
      <c r="F19" s="4">
        <v>0.2</v>
      </c>
      <c r="G19" s="127">
        <f>E19*F19</f>
        <v>13241600000</v>
      </c>
      <c r="H19">
        <v>12000</v>
      </c>
      <c r="I19" s="127">
        <f>G19/H19</f>
        <v>1103466.6666666667</v>
      </c>
      <c r="J19" s="127">
        <f>I19*H19</f>
        <v>13241600000</v>
      </c>
    </row>
    <row r="20" spans="5:10" x14ac:dyDescent="0.3">
      <c r="H20">
        <v>10000</v>
      </c>
      <c r="I20" s="127">
        <v>1103466.6666666667</v>
      </c>
      <c r="J20" s="127">
        <f>I20*H20</f>
        <v>11034666666.666668</v>
      </c>
    </row>
    <row r="21" spans="5:10" x14ac:dyDescent="0.3">
      <c r="E21" t="s">
        <v>458</v>
      </c>
      <c r="F21" t="s">
        <v>443</v>
      </c>
      <c r="G21" t="s">
        <v>447</v>
      </c>
      <c r="H21" t="s">
        <v>47</v>
      </c>
    </row>
    <row r="22" spans="5:10" x14ac:dyDescent="0.3">
      <c r="E22">
        <v>64374000000</v>
      </c>
      <c r="F22" s="4">
        <v>0.2</v>
      </c>
      <c r="G22" s="127">
        <f>E22*F22</f>
        <v>12874800000</v>
      </c>
      <c r="H22">
        <v>12000</v>
      </c>
      <c r="I22" s="127">
        <f>G22/H22</f>
        <v>1072900</v>
      </c>
      <c r="J22" s="127">
        <f>I22*H22</f>
        <v>12874800000</v>
      </c>
    </row>
    <row r="23" spans="5:10" x14ac:dyDescent="0.3">
      <c r="H23">
        <v>10000</v>
      </c>
      <c r="I23" s="127">
        <v>1072900</v>
      </c>
      <c r="J23" s="127">
        <f>I23*H23</f>
        <v>10729000000</v>
      </c>
    </row>
    <row r="25" spans="5:10" x14ac:dyDescent="0.3">
      <c r="E25" t="s">
        <v>457</v>
      </c>
      <c r="F25" t="s">
        <v>443</v>
      </c>
      <c r="G25" t="s">
        <v>447</v>
      </c>
      <c r="H25" t="s">
        <v>47</v>
      </c>
    </row>
    <row r="26" spans="5:10" x14ac:dyDescent="0.3">
      <c r="E26">
        <v>4499000000</v>
      </c>
      <c r="F26" s="4">
        <v>0.2</v>
      </c>
      <c r="G26" s="127">
        <f>E26*F26</f>
        <v>899800000</v>
      </c>
      <c r="H26">
        <v>12000</v>
      </c>
      <c r="I26" s="127">
        <f>G26/H26</f>
        <v>74983.333333333328</v>
      </c>
      <c r="J26" s="127">
        <f>I26*H26</f>
        <v>899800000</v>
      </c>
    </row>
    <row r="27" spans="5:10" x14ac:dyDescent="0.3">
      <c r="H27">
        <v>10000</v>
      </c>
      <c r="I27" s="127">
        <v>74983.333333333328</v>
      </c>
      <c r="J27" s="127">
        <f>I27*H27</f>
        <v>749833333.33333325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3:H35"/>
  <sheetViews>
    <sheetView topLeftCell="C7" workbookViewId="0">
      <selection activeCell="H31" sqref="H31"/>
    </sheetView>
  </sheetViews>
  <sheetFormatPr baseColWidth="10" defaultColWidth="11.44140625" defaultRowHeight="14.4" x14ac:dyDescent="0.3"/>
  <cols>
    <col min="1" max="1" width="5.5546875" customWidth="1"/>
    <col min="2" max="2" width="29.109375" customWidth="1"/>
    <col min="3" max="3" width="37.44140625" customWidth="1"/>
    <col min="4" max="4" width="58.88671875" customWidth="1"/>
    <col min="5" max="5" width="17.88671875" bestFit="1" customWidth="1"/>
    <col min="6" max="6" width="17.88671875" customWidth="1"/>
    <col min="7" max="7" width="17.88671875" bestFit="1" customWidth="1"/>
    <col min="8" max="8" width="18.88671875" bestFit="1" customWidth="1"/>
  </cols>
  <sheetData>
    <row r="3" spans="2:8" ht="24" x14ac:dyDescent="0.3">
      <c r="B3" s="166" t="s">
        <v>491</v>
      </c>
      <c r="C3" s="167" t="s">
        <v>492</v>
      </c>
      <c r="D3" s="167" t="s">
        <v>493</v>
      </c>
      <c r="E3" s="168" t="s">
        <v>494</v>
      </c>
      <c r="F3" s="168" t="s">
        <v>495</v>
      </c>
      <c r="G3" s="168" t="s">
        <v>496</v>
      </c>
      <c r="H3" s="168" t="s">
        <v>497</v>
      </c>
    </row>
    <row r="4" spans="2:8" s="58" customFormat="1" x14ac:dyDescent="0.3">
      <c r="B4" s="194" t="s">
        <v>498</v>
      </c>
      <c r="C4" s="169" t="s">
        <v>499</v>
      </c>
      <c r="D4" s="170" t="s">
        <v>500</v>
      </c>
      <c r="E4" s="171">
        <f>+'[1]$ paquete de trabajo'!H16*0.1</f>
        <v>76793.068883883228</v>
      </c>
      <c r="F4" s="171">
        <v>0</v>
      </c>
      <c r="G4" s="171">
        <f>+E4</f>
        <v>76793.068883883228</v>
      </c>
      <c r="H4" s="196">
        <f>SUM(G4:G11)</f>
        <v>767930.6888388322</v>
      </c>
    </row>
    <row r="5" spans="2:8" s="58" customFormat="1" x14ac:dyDescent="0.3">
      <c r="B5" s="194"/>
      <c r="C5" s="199" t="s">
        <v>501</v>
      </c>
      <c r="D5" s="170" t="s">
        <v>502</v>
      </c>
      <c r="E5" s="171">
        <f>+'[1]$ paquete de trabajo'!H16*0.05</f>
        <v>38396.534441941614</v>
      </c>
      <c r="F5" s="171">
        <v>0</v>
      </c>
      <c r="G5" s="196">
        <f>+E5+E6</f>
        <v>76793.068883883228</v>
      </c>
      <c r="H5" s="197"/>
    </row>
    <row r="6" spans="2:8" s="58" customFormat="1" x14ac:dyDescent="0.3">
      <c r="B6" s="194"/>
      <c r="C6" s="199"/>
      <c r="D6" s="170" t="s">
        <v>503</v>
      </c>
      <c r="E6" s="171">
        <f>+'[1]$ paquete de trabajo'!H16*0.05</f>
        <v>38396.534441941614</v>
      </c>
      <c r="F6" s="171">
        <v>0</v>
      </c>
      <c r="G6" s="200"/>
      <c r="H6" s="197"/>
    </row>
    <row r="7" spans="2:8" s="58" customFormat="1" x14ac:dyDescent="0.3">
      <c r="B7" s="194"/>
      <c r="C7" s="201" t="s">
        <v>504</v>
      </c>
      <c r="D7" s="170" t="s">
        <v>505</v>
      </c>
      <c r="E7" s="171">
        <f>+'[1]$ paquete de trabajo'!H16*0.3</f>
        <v>230379.20665164964</v>
      </c>
      <c r="F7" s="171">
        <f>+E7*0.15</f>
        <v>34556.880997747445</v>
      </c>
      <c r="G7" s="196">
        <f>+E7+E8</f>
        <v>307172.27553553286</v>
      </c>
      <c r="H7" s="197"/>
    </row>
    <row r="8" spans="2:8" s="58" customFormat="1" x14ac:dyDescent="0.3">
      <c r="B8" s="194"/>
      <c r="C8" s="202"/>
      <c r="D8" s="170" t="s">
        <v>506</v>
      </c>
      <c r="E8" s="171">
        <f>+'[1]$ paquete de trabajo'!H16*0.1</f>
        <v>76793.068883883228</v>
      </c>
      <c r="F8" s="171">
        <v>0</v>
      </c>
      <c r="G8" s="200"/>
      <c r="H8" s="197"/>
    </row>
    <row r="9" spans="2:8" s="58" customFormat="1" ht="27.6" x14ac:dyDescent="0.3">
      <c r="B9" s="194"/>
      <c r="C9" s="169" t="s">
        <v>507</v>
      </c>
      <c r="D9" s="170" t="s">
        <v>508</v>
      </c>
      <c r="E9" s="171">
        <f>+'[1]$ paquete de trabajo'!H16*0.2</f>
        <v>153586.13776776646</v>
      </c>
      <c r="F9" s="171">
        <v>0</v>
      </c>
      <c r="G9" s="171">
        <f t="shared" ref="G9:G22" si="0">+E9</f>
        <v>153586.13776776646</v>
      </c>
      <c r="H9" s="197"/>
    </row>
    <row r="10" spans="2:8" s="58" customFormat="1" ht="27.6" x14ac:dyDescent="0.3">
      <c r="B10" s="194"/>
      <c r="C10" s="169" t="s">
        <v>509</v>
      </c>
      <c r="D10" s="170" t="s">
        <v>510</v>
      </c>
      <c r="E10" s="171">
        <f>+'[1]$ paquete de trabajo'!H16*0.1</f>
        <v>76793.068883883228</v>
      </c>
      <c r="F10" s="171">
        <v>0</v>
      </c>
      <c r="G10" s="171">
        <f t="shared" si="0"/>
        <v>76793.068883883228</v>
      </c>
      <c r="H10" s="197"/>
    </row>
    <row r="11" spans="2:8" s="58" customFormat="1" ht="28.2" thickBot="1" x14ac:dyDescent="0.35">
      <c r="B11" s="195"/>
      <c r="C11" s="172" t="s">
        <v>511</v>
      </c>
      <c r="D11" s="173" t="s">
        <v>512</v>
      </c>
      <c r="E11" s="174">
        <f>+'[1]$ paquete de trabajo'!H16*0.1</f>
        <v>76793.068883883228</v>
      </c>
      <c r="F11" s="174">
        <v>0</v>
      </c>
      <c r="G11" s="174">
        <f t="shared" si="0"/>
        <v>76793.068883883228</v>
      </c>
      <c r="H11" s="198"/>
    </row>
    <row r="12" spans="2:8" s="58" customFormat="1" ht="28.2" thickTop="1" x14ac:dyDescent="0.3">
      <c r="B12" s="203" t="s">
        <v>513</v>
      </c>
      <c r="C12" s="175" t="s">
        <v>514</v>
      </c>
      <c r="D12" s="176" t="s">
        <v>515</v>
      </c>
      <c r="E12" s="177">
        <f>+'[1]$ paquete de trabajo'!O16*0.25</f>
        <v>13981012.5</v>
      </c>
      <c r="F12" s="178">
        <v>0</v>
      </c>
      <c r="G12" s="177">
        <f t="shared" si="0"/>
        <v>13981012.5</v>
      </c>
      <c r="H12" s="204">
        <f>SUM(G12:G16)</f>
        <v>55924050</v>
      </c>
    </row>
    <row r="13" spans="2:8" s="58" customFormat="1" ht="27.6" x14ac:dyDescent="0.3">
      <c r="B13" s="194"/>
      <c r="C13" s="169" t="s">
        <v>516</v>
      </c>
      <c r="D13" s="170" t="s">
        <v>517</v>
      </c>
      <c r="E13" s="171">
        <f>+'[1]$ paquete de trabajo'!O16*0.2</f>
        <v>11184810</v>
      </c>
      <c r="F13" s="171">
        <v>0</v>
      </c>
      <c r="G13" s="171">
        <f t="shared" si="0"/>
        <v>11184810</v>
      </c>
      <c r="H13" s="197"/>
    </row>
    <row r="14" spans="2:8" s="58" customFormat="1" x14ac:dyDescent="0.3">
      <c r="B14" s="194"/>
      <c r="C14" s="169" t="s">
        <v>518</v>
      </c>
      <c r="D14" s="170" t="s">
        <v>519</v>
      </c>
      <c r="E14" s="171">
        <f>+'[1]$ paquete de trabajo'!O16*0.15</f>
        <v>8388607.5</v>
      </c>
      <c r="F14" s="171">
        <f>+E14*0.1</f>
        <v>838860.75</v>
      </c>
      <c r="G14" s="171">
        <f t="shared" si="0"/>
        <v>8388607.5</v>
      </c>
      <c r="H14" s="197"/>
    </row>
    <row r="15" spans="2:8" s="58" customFormat="1" ht="27.6" x14ac:dyDescent="0.3">
      <c r="B15" s="194"/>
      <c r="C15" s="169" t="s">
        <v>520</v>
      </c>
      <c r="D15" s="170" t="s">
        <v>521</v>
      </c>
      <c r="E15" s="171">
        <f>+'[1]$ paquete de trabajo'!O16*0.2</f>
        <v>11184810</v>
      </c>
      <c r="F15" s="171">
        <v>0</v>
      </c>
      <c r="G15" s="171">
        <f t="shared" si="0"/>
        <v>11184810</v>
      </c>
      <c r="H15" s="197"/>
    </row>
    <row r="16" spans="2:8" s="58" customFormat="1" ht="28.2" thickBot="1" x14ac:dyDescent="0.35">
      <c r="B16" s="195"/>
      <c r="C16" s="172" t="s">
        <v>522</v>
      </c>
      <c r="D16" s="173" t="s">
        <v>523</v>
      </c>
      <c r="E16" s="171">
        <f>+'[1]$ paquete de trabajo'!O16*0.2</f>
        <v>11184810</v>
      </c>
      <c r="F16" s="174">
        <v>0</v>
      </c>
      <c r="G16" s="171">
        <f t="shared" si="0"/>
        <v>11184810</v>
      </c>
      <c r="H16" s="200"/>
    </row>
    <row r="17" spans="2:8" s="58" customFormat="1" ht="15" thickTop="1" x14ac:dyDescent="0.3">
      <c r="B17" s="203" t="s">
        <v>524</v>
      </c>
      <c r="C17" s="175" t="s">
        <v>525</v>
      </c>
      <c r="D17" s="176" t="s">
        <v>526</v>
      </c>
      <c r="E17" s="178">
        <f>+'[1]$ paquete de trabajo'!O36*0.45</f>
        <v>5307395737.5</v>
      </c>
      <c r="F17" s="178">
        <f>+E17*0.13</f>
        <v>689961445.875</v>
      </c>
      <c r="G17" s="178">
        <f t="shared" si="0"/>
        <v>5307395737.5</v>
      </c>
      <c r="H17" s="196">
        <f>SUM(G17:G19)</f>
        <v>11794212750</v>
      </c>
    </row>
    <row r="18" spans="2:8" s="58" customFormat="1" ht="27.6" x14ac:dyDescent="0.3">
      <c r="B18" s="194"/>
      <c r="C18" s="169" t="s">
        <v>527</v>
      </c>
      <c r="D18" s="170" t="s">
        <v>528</v>
      </c>
      <c r="E18" s="171">
        <f>+'[1]$ paquete de trabajo'!O36*0.4</f>
        <v>4717685100</v>
      </c>
      <c r="F18" s="171">
        <f>+E18*0.1</f>
        <v>471768510</v>
      </c>
      <c r="G18" s="171">
        <f t="shared" si="0"/>
        <v>4717685100</v>
      </c>
      <c r="H18" s="197"/>
    </row>
    <row r="19" spans="2:8" s="58" customFormat="1" ht="28.2" thickBot="1" x14ac:dyDescent="0.35">
      <c r="B19" s="195"/>
      <c r="C19" s="172" t="s">
        <v>529</v>
      </c>
      <c r="D19" s="173" t="s">
        <v>530</v>
      </c>
      <c r="E19" s="174">
        <f>+'[1]$ paquete de trabajo'!O36*0.15</f>
        <v>1769131912.5</v>
      </c>
      <c r="F19" s="174">
        <f>+E19*0.08</f>
        <v>141530553</v>
      </c>
      <c r="G19" s="174">
        <f t="shared" si="0"/>
        <v>1769131912.5</v>
      </c>
      <c r="H19" s="198"/>
    </row>
    <row r="20" spans="2:8" s="58" customFormat="1" ht="15" thickTop="1" x14ac:dyDescent="0.3">
      <c r="B20" s="203" t="s">
        <v>531</v>
      </c>
      <c r="C20" s="175" t="s">
        <v>532</v>
      </c>
      <c r="D20" s="176" t="s">
        <v>533</v>
      </c>
      <c r="E20" s="178">
        <f>+'[1]$ paquete de trabajo'!H76*0.45</f>
        <v>556432173</v>
      </c>
      <c r="F20" s="178">
        <f>+E20*0.05</f>
        <v>27821608.650000002</v>
      </c>
      <c r="G20" s="178">
        <f t="shared" si="0"/>
        <v>556432173</v>
      </c>
      <c r="H20" s="204">
        <f>SUM(G20:G22)</f>
        <v>1236515940</v>
      </c>
    </row>
    <row r="21" spans="2:8" s="58" customFormat="1" x14ac:dyDescent="0.3">
      <c r="B21" s="194"/>
      <c r="C21" s="169" t="s">
        <v>534</v>
      </c>
      <c r="D21" s="170" t="s">
        <v>535</v>
      </c>
      <c r="E21" s="171">
        <f>+'[1]$ paquete de trabajo'!H76*0.35</f>
        <v>432780579</v>
      </c>
      <c r="F21" s="171">
        <f>+E21*0.05</f>
        <v>21639028.950000003</v>
      </c>
      <c r="G21" s="171">
        <f t="shared" si="0"/>
        <v>432780579</v>
      </c>
      <c r="H21" s="197"/>
    </row>
    <row r="22" spans="2:8" s="58" customFormat="1" ht="28.2" thickBot="1" x14ac:dyDescent="0.35">
      <c r="B22" s="195"/>
      <c r="C22" s="172" t="s">
        <v>536</v>
      </c>
      <c r="D22" s="173" t="s">
        <v>537</v>
      </c>
      <c r="E22" s="174">
        <f>+'[1]$ paquete de trabajo'!H76*0.2</f>
        <v>247303188</v>
      </c>
      <c r="F22" s="174"/>
      <c r="G22" s="174">
        <f t="shared" si="0"/>
        <v>247303188</v>
      </c>
      <c r="H22" s="198"/>
    </row>
    <row r="23" spans="2:8" s="58" customFormat="1" ht="15" thickTop="1" x14ac:dyDescent="0.3">
      <c r="B23" s="203" t="s">
        <v>538</v>
      </c>
      <c r="C23" s="205" t="s">
        <v>539</v>
      </c>
      <c r="D23" s="176" t="s">
        <v>540</v>
      </c>
      <c r="E23" s="178">
        <f>+'[1]$ paquete de trabajo'!O64*0.6</f>
        <v>207739675</v>
      </c>
      <c r="F23" s="178">
        <f>+E23*0.05</f>
        <v>10386983.75</v>
      </c>
      <c r="G23" s="204">
        <f>+E23+E24</f>
        <v>276986233.33333337</v>
      </c>
      <c r="H23" s="204">
        <f>SUM(G23:G25)</f>
        <v>346232791.66666675</v>
      </c>
    </row>
    <row r="24" spans="2:8" s="58" customFormat="1" ht="27.6" x14ac:dyDescent="0.3">
      <c r="B24" s="194"/>
      <c r="C24" s="199"/>
      <c r="D24" s="170" t="s">
        <v>541</v>
      </c>
      <c r="E24" s="171">
        <f>+'[1]$ paquete de trabajo'!O64*0.2</f>
        <v>69246558.333333343</v>
      </c>
      <c r="F24" s="171">
        <f>+E24*0.05</f>
        <v>3462327.9166666674</v>
      </c>
      <c r="G24" s="200"/>
      <c r="H24" s="197"/>
    </row>
    <row r="25" spans="2:8" ht="28.2" thickBot="1" x14ac:dyDescent="0.35">
      <c r="B25" s="195"/>
      <c r="C25" s="172" t="s">
        <v>542</v>
      </c>
      <c r="D25" s="173" t="s">
        <v>543</v>
      </c>
      <c r="E25" s="174">
        <f>+'[1]$ paquete de trabajo'!O64*0.2</f>
        <v>69246558.333333343</v>
      </c>
      <c r="F25" s="174">
        <f>+E25*0.05</f>
        <v>3462327.9166666674</v>
      </c>
      <c r="G25" s="174">
        <f t="shared" ref="G25:G30" si="1">+E25</f>
        <v>69246558.333333343</v>
      </c>
      <c r="H25" s="198"/>
    </row>
    <row r="26" spans="2:8" ht="28.2" thickTop="1" x14ac:dyDescent="0.3">
      <c r="B26" s="203" t="s">
        <v>544</v>
      </c>
      <c r="C26" s="175" t="s">
        <v>545</v>
      </c>
      <c r="D26" s="176" t="s">
        <v>546</v>
      </c>
      <c r="E26" s="178">
        <f>+'[1]$ paquete de trabajo'!H96*0.3</f>
        <v>14532319</v>
      </c>
      <c r="F26" s="178">
        <f>+E26*0.1</f>
        <v>1453231.9000000001</v>
      </c>
      <c r="G26" s="178">
        <f t="shared" si="1"/>
        <v>14532319</v>
      </c>
      <c r="H26" s="204">
        <f>SUM(G26:G30)</f>
        <v>48441063.333333336</v>
      </c>
    </row>
    <row r="27" spans="2:8" x14ac:dyDescent="0.3">
      <c r="B27" s="194"/>
      <c r="C27" s="169" t="s">
        <v>547</v>
      </c>
      <c r="D27" s="170" t="s">
        <v>548</v>
      </c>
      <c r="E27" s="171">
        <f>+'[1]$ paquete de trabajo'!H96*0.1</f>
        <v>4844106.333333334</v>
      </c>
      <c r="F27" s="171"/>
      <c r="G27" s="171">
        <f t="shared" si="1"/>
        <v>4844106.333333334</v>
      </c>
      <c r="H27" s="197"/>
    </row>
    <row r="28" spans="2:8" ht="27.6" x14ac:dyDescent="0.3">
      <c r="B28" s="194"/>
      <c r="C28" s="169" t="s">
        <v>549</v>
      </c>
      <c r="D28" s="170" t="s">
        <v>550</v>
      </c>
      <c r="E28" s="171">
        <f>+'[1]$ paquete de trabajo'!H96*0.3</f>
        <v>14532319</v>
      </c>
      <c r="F28" s="171"/>
      <c r="G28" s="171">
        <f t="shared" si="1"/>
        <v>14532319</v>
      </c>
      <c r="H28" s="197"/>
    </row>
    <row r="29" spans="2:8" ht="27.6" x14ac:dyDescent="0.3">
      <c r="B29" s="194"/>
      <c r="C29" s="199" t="s">
        <v>551</v>
      </c>
      <c r="D29" s="170" t="s">
        <v>552</v>
      </c>
      <c r="E29" s="171">
        <f>+'[1]$ paquete de trabajo'!H96*0.2</f>
        <v>9688212.6666666679</v>
      </c>
      <c r="F29" s="171">
        <f>+E29*0.1</f>
        <v>968821.26666666684</v>
      </c>
      <c r="G29" s="171">
        <f t="shared" si="1"/>
        <v>9688212.6666666679</v>
      </c>
      <c r="H29" s="197"/>
    </row>
    <row r="30" spans="2:8" ht="28.2" thickBot="1" x14ac:dyDescent="0.35">
      <c r="B30" s="195"/>
      <c r="C30" s="206"/>
      <c r="D30" s="173" t="s">
        <v>553</v>
      </c>
      <c r="E30" s="174">
        <f>+'[1]$ paquete de trabajo'!H96*0.1</f>
        <v>4844106.333333334</v>
      </c>
      <c r="F30" s="174">
        <f>+E30*0.1</f>
        <v>484410.63333333342</v>
      </c>
      <c r="G30" s="174">
        <f t="shared" si="1"/>
        <v>4844106.333333334</v>
      </c>
      <c r="H30" s="198"/>
    </row>
    <row r="31" spans="2:8" ht="15" thickTop="1" x14ac:dyDescent="0.3">
      <c r="D31" s="207" t="s">
        <v>554</v>
      </c>
      <c r="E31" s="207"/>
      <c r="F31" s="207"/>
      <c r="G31" s="207"/>
      <c r="H31" s="179">
        <f>SUM(H4:H30)</f>
        <v>13482094525.688839</v>
      </c>
    </row>
    <row r="32" spans="2:8" x14ac:dyDescent="0.3">
      <c r="D32" s="207" t="s">
        <v>555</v>
      </c>
      <c r="E32" s="207"/>
      <c r="F32" s="207"/>
      <c r="G32" s="207"/>
      <c r="H32" s="179">
        <f>SUM(F4:F30)</f>
        <v>1373812667.4893315</v>
      </c>
    </row>
    <row r="33" spans="4:8" x14ac:dyDescent="0.3">
      <c r="D33" s="207" t="s">
        <v>556</v>
      </c>
      <c r="E33" s="207"/>
      <c r="F33" s="207"/>
      <c r="G33" s="207"/>
      <c r="H33" s="179">
        <f>H31+H32</f>
        <v>14855907193.178171</v>
      </c>
    </row>
    <row r="34" spans="4:8" x14ac:dyDescent="0.3">
      <c r="D34" s="207" t="s">
        <v>557</v>
      </c>
      <c r="E34" s="207"/>
      <c r="F34" s="207"/>
      <c r="G34" s="207"/>
      <c r="H34" s="179">
        <f>H33*7%</f>
        <v>1039913503.522472</v>
      </c>
    </row>
    <row r="35" spans="4:8" x14ac:dyDescent="0.3">
      <c r="D35" s="208" t="s">
        <v>558</v>
      </c>
      <c r="E35" s="208"/>
      <c r="F35" s="208"/>
      <c r="G35" s="208"/>
      <c r="H35" s="180">
        <f>H33+H34</f>
        <v>15895820696.700644</v>
      </c>
    </row>
  </sheetData>
  <mergeCells count="24">
    <mergeCell ref="D31:G31"/>
    <mergeCell ref="D32:G32"/>
    <mergeCell ref="D33:G33"/>
    <mergeCell ref="D34:G34"/>
    <mergeCell ref="D35:G35"/>
    <mergeCell ref="B23:B25"/>
    <mergeCell ref="C23:C24"/>
    <mergeCell ref="G23:G24"/>
    <mergeCell ref="H23:H25"/>
    <mergeCell ref="B26:B30"/>
    <mergeCell ref="H26:H30"/>
    <mergeCell ref="C29:C30"/>
    <mergeCell ref="B12:B16"/>
    <mergeCell ref="H12:H16"/>
    <mergeCell ref="B17:B19"/>
    <mergeCell ref="H17:H19"/>
    <mergeCell ref="B20:B22"/>
    <mergeCell ref="H20:H22"/>
    <mergeCell ref="B4:B11"/>
    <mergeCell ref="H4:H11"/>
    <mergeCell ref="C5:C6"/>
    <mergeCell ref="G5:G6"/>
    <mergeCell ref="C7:C8"/>
    <mergeCell ref="G7:G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26"/>
  <sheetViews>
    <sheetView workbookViewId="0"/>
  </sheetViews>
  <sheetFormatPr baseColWidth="10" defaultColWidth="10.6640625" defaultRowHeight="14.4" x14ac:dyDescent="0.3"/>
  <sheetData>
    <row r="1" spans="1:1" x14ac:dyDescent="0.3">
      <c r="A1" t="s">
        <v>67</v>
      </c>
    </row>
    <row r="2" spans="1:1" x14ac:dyDescent="0.3">
      <c r="A2" t="s">
        <v>68</v>
      </c>
    </row>
    <row r="3" spans="1:1" x14ac:dyDescent="0.3">
      <c r="A3" t="s">
        <v>69</v>
      </c>
    </row>
    <row r="4" spans="1:1" x14ac:dyDescent="0.3">
      <c r="A4" t="s">
        <v>70</v>
      </c>
    </row>
    <row r="5" spans="1:1" x14ac:dyDescent="0.3">
      <c r="A5" t="s">
        <v>71</v>
      </c>
    </row>
    <row r="6" spans="1:1" x14ac:dyDescent="0.3">
      <c r="A6" t="s">
        <v>72</v>
      </c>
    </row>
    <row r="7" spans="1:1" x14ac:dyDescent="0.3">
      <c r="A7" t="s">
        <v>73</v>
      </c>
    </row>
    <row r="8" spans="1:1" x14ac:dyDescent="0.3">
      <c r="A8" t="s">
        <v>74</v>
      </c>
    </row>
    <row r="9" spans="1:1" x14ac:dyDescent="0.3">
      <c r="A9" t="s">
        <v>75</v>
      </c>
    </row>
    <row r="10" spans="1:1" x14ac:dyDescent="0.3">
      <c r="A10" t="s">
        <v>76</v>
      </c>
    </row>
    <row r="11" spans="1:1" x14ac:dyDescent="0.3">
      <c r="A11" t="s">
        <v>77</v>
      </c>
    </row>
    <row r="12" spans="1:1" x14ac:dyDescent="0.3">
      <c r="A12" t="s">
        <v>78</v>
      </c>
    </row>
    <row r="13" spans="1:1" x14ac:dyDescent="0.3">
      <c r="A13" t="s">
        <v>79</v>
      </c>
    </row>
    <row r="14" spans="1:1" x14ac:dyDescent="0.3">
      <c r="A14" t="s">
        <v>80</v>
      </c>
    </row>
    <row r="15" spans="1:1" x14ac:dyDescent="0.3">
      <c r="A15" t="s">
        <v>81</v>
      </c>
    </row>
    <row r="16" spans="1:1" x14ac:dyDescent="0.3">
      <c r="A16" t="s">
        <v>82</v>
      </c>
    </row>
    <row r="17" spans="1:1" x14ac:dyDescent="0.3">
      <c r="A17" t="s">
        <v>83</v>
      </c>
    </row>
    <row r="18" spans="1:1" x14ac:dyDescent="0.3">
      <c r="A18" t="s">
        <v>84</v>
      </c>
    </row>
    <row r="19" spans="1:1" x14ac:dyDescent="0.3">
      <c r="A19" t="s">
        <v>85</v>
      </c>
    </row>
    <row r="20" spans="1:1" x14ac:dyDescent="0.3">
      <c r="A20" t="s">
        <v>86</v>
      </c>
    </row>
    <row r="21" spans="1:1" x14ac:dyDescent="0.3">
      <c r="A21" t="s">
        <v>87</v>
      </c>
    </row>
    <row r="22" spans="1:1" x14ac:dyDescent="0.3">
      <c r="A22" t="s">
        <v>88</v>
      </c>
    </row>
    <row r="23" spans="1:1" x14ac:dyDescent="0.3">
      <c r="A23" t="s">
        <v>89</v>
      </c>
    </row>
    <row r="24" spans="1:1" x14ac:dyDescent="0.3">
      <c r="A24" t="s">
        <v>90</v>
      </c>
    </row>
    <row r="25" spans="1:1" x14ac:dyDescent="0.3">
      <c r="A25" t="s">
        <v>91</v>
      </c>
    </row>
    <row r="26" spans="1:1" x14ac:dyDescent="0.3">
      <c r="A26" t="s">
        <v>92</v>
      </c>
    </row>
    <row r="27" spans="1:1" x14ac:dyDescent="0.3">
      <c r="A27" t="s">
        <v>93</v>
      </c>
    </row>
    <row r="28" spans="1:1" x14ac:dyDescent="0.3">
      <c r="A28" t="s">
        <v>94</v>
      </c>
    </row>
    <row r="29" spans="1:1" x14ac:dyDescent="0.3">
      <c r="A29" t="s">
        <v>95</v>
      </c>
    </row>
    <row r="30" spans="1:1" x14ac:dyDescent="0.3">
      <c r="A30" t="s">
        <v>96</v>
      </c>
    </row>
    <row r="31" spans="1:1" x14ac:dyDescent="0.3">
      <c r="A31" t="s">
        <v>97</v>
      </c>
    </row>
    <row r="32" spans="1:1" x14ac:dyDescent="0.3">
      <c r="A32" t="s">
        <v>98</v>
      </c>
    </row>
    <row r="33" spans="1:1" x14ac:dyDescent="0.3">
      <c r="A33" t="s">
        <v>99</v>
      </c>
    </row>
    <row r="34" spans="1:1" x14ac:dyDescent="0.3">
      <c r="A34" t="s">
        <v>100</v>
      </c>
    </row>
    <row r="35" spans="1:1" x14ac:dyDescent="0.3">
      <c r="A35" t="s">
        <v>101</v>
      </c>
    </row>
    <row r="36" spans="1:1" x14ac:dyDescent="0.3">
      <c r="A36" t="s">
        <v>102</v>
      </c>
    </row>
    <row r="37" spans="1:1" x14ac:dyDescent="0.3">
      <c r="A37" t="s">
        <v>103</v>
      </c>
    </row>
    <row r="38" spans="1:1" x14ac:dyDescent="0.3">
      <c r="A38" t="s">
        <v>104</v>
      </c>
    </row>
    <row r="39" spans="1:1" x14ac:dyDescent="0.3">
      <c r="A39" t="s">
        <v>105</v>
      </c>
    </row>
    <row r="40" spans="1:1" x14ac:dyDescent="0.3">
      <c r="A40" t="s">
        <v>106</v>
      </c>
    </row>
    <row r="41" spans="1:1" x14ac:dyDescent="0.3">
      <c r="A41" t="s">
        <v>107</v>
      </c>
    </row>
    <row r="42" spans="1:1" x14ac:dyDescent="0.3">
      <c r="A42" t="s">
        <v>108</v>
      </c>
    </row>
    <row r="43" spans="1:1" x14ac:dyDescent="0.3">
      <c r="A43" t="s">
        <v>109</v>
      </c>
    </row>
    <row r="44" spans="1:1" x14ac:dyDescent="0.3">
      <c r="A44" t="s">
        <v>110</v>
      </c>
    </row>
    <row r="45" spans="1:1" x14ac:dyDescent="0.3">
      <c r="A45" t="s">
        <v>111</v>
      </c>
    </row>
    <row r="46" spans="1:1" x14ac:dyDescent="0.3">
      <c r="A46" t="s">
        <v>112</v>
      </c>
    </row>
    <row r="47" spans="1:1" x14ac:dyDescent="0.3">
      <c r="A47" t="s">
        <v>113</v>
      </c>
    </row>
    <row r="48" spans="1:1" x14ac:dyDescent="0.3">
      <c r="A48" t="s">
        <v>114</v>
      </c>
    </row>
    <row r="49" spans="1:1" x14ac:dyDescent="0.3">
      <c r="A49" t="s">
        <v>115</v>
      </c>
    </row>
    <row r="50" spans="1:1" x14ac:dyDescent="0.3">
      <c r="A50" t="s">
        <v>116</v>
      </c>
    </row>
    <row r="51" spans="1:1" x14ac:dyDescent="0.3">
      <c r="A51" t="s">
        <v>117</v>
      </c>
    </row>
    <row r="52" spans="1:1" x14ac:dyDescent="0.3">
      <c r="A52" t="s">
        <v>118</v>
      </c>
    </row>
    <row r="53" spans="1:1" x14ac:dyDescent="0.3">
      <c r="A53" t="s">
        <v>119</v>
      </c>
    </row>
    <row r="54" spans="1:1" x14ac:dyDescent="0.3">
      <c r="A54" t="s">
        <v>120</v>
      </c>
    </row>
    <row r="55" spans="1:1" x14ac:dyDescent="0.3">
      <c r="A55" t="s">
        <v>121</v>
      </c>
    </row>
    <row r="56" spans="1:1" x14ac:dyDescent="0.3">
      <c r="A56" t="s">
        <v>122</v>
      </c>
    </row>
    <row r="57" spans="1:1" x14ac:dyDescent="0.3">
      <c r="A57" t="s">
        <v>123</v>
      </c>
    </row>
    <row r="58" spans="1:1" x14ac:dyDescent="0.3">
      <c r="A58" t="s">
        <v>124</v>
      </c>
    </row>
    <row r="59" spans="1:1" x14ac:dyDescent="0.3">
      <c r="A59" t="s">
        <v>125</v>
      </c>
    </row>
    <row r="60" spans="1:1" x14ac:dyDescent="0.3">
      <c r="A60" t="s">
        <v>126</v>
      </c>
    </row>
    <row r="61" spans="1:1" x14ac:dyDescent="0.3">
      <c r="A61" t="s">
        <v>127</v>
      </c>
    </row>
    <row r="62" spans="1:1" x14ac:dyDescent="0.3">
      <c r="A62" t="s">
        <v>128</v>
      </c>
    </row>
    <row r="63" spans="1:1" x14ac:dyDescent="0.3">
      <c r="A63" t="s">
        <v>129</v>
      </c>
    </row>
    <row r="64" spans="1:1" x14ac:dyDescent="0.3">
      <c r="A64" t="s">
        <v>130</v>
      </c>
    </row>
    <row r="65" spans="1:1" x14ac:dyDescent="0.3">
      <c r="A65" t="s">
        <v>131</v>
      </c>
    </row>
    <row r="66" spans="1:1" x14ac:dyDescent="0.3">
      <c r="A66" t="s">
        <v>132</v>
      </c>
    </row>
    <row r="67" spans="1:1" x14ac:dyDescent="0.3">
      <c r="A67" t="s">
        <v>133</v>
      </c>
    </row>
    <row r="68" spans="1:1" x14ac:dyDescent="0.3">
      <c r="A68" t="s">
        <v>134</v>
      </c>
    </row>
    <row r="69" spans="1:1" x14ac:dyDescent="0.3">
      <c r="A69" t="s">
        <v>135</v>
      </c>
    </row>
    <row r="70" spans="1:1" x14ac:dyDescent="0.3">
      <c r="A70" t="s">
        <v>136</v>
      </c>
    </row>
    <row r="71" spans="1:1" x14ac:dyDescent="0.3">
      <c r="A71" t="s">
        <v>137</v>
      </c>
    </row>
    <row r="72" spans="1:1" x14ac:dyDescent="0.3">
      <c r="A72" t="s">
        <v>138</v>
      </c>
    </row>
    <row r="73" spans="1:1" x14ac:dyDescent="0.3">
      <c r="A73" t="s">
        <v>139</v>
      </c>
    </row>
    <row r="74" spans="1:1" x14ac:dyDescent="0.3">
      <c r="A74" t="s">
        <v>140</v>
      </c>
    </row>
    <row r="75" spans="1:1" x14ac:dyDescent="0.3">
      <c r="A75" t="s">
        <v>141</v>
      </c>
    </row>
    <row r="76" spans="1:1" x14ac:dyDescent="0.3">
      <c r="A76" t="s">
        <v>142</v>
      </c>
    </row>
    <row r="77" spans="1:1" x14ac:dyDescent="0.3">
      <c r="A77" t="s">
        <v>143</v>
      </c>
    </row>
    <row r="78" spans="1:1" x14ac:dyDescent="0.3">
      <c r="A78" t="s">
        <v>144</v>
      </c>
    </row>
    <row r="79" spans="1:1" x14ac:dyDescent="0.3">
      <c r="A79" t="s">
        <v>145</v>
      </c>
    </row>
    <row r="80" spans="1:1" x14ac:dyDescent="0.3">
      <c r="A80" t="s">
        <v>146</v>
      </c>
    </row>
    <row r="81" spans="1:1" x14ac:dyDescent="0.3">
      <c r="A81" t="s">
        <v>147</v>
      </c>
    </row>
    <row r="82" spans="1:1" x14ac:dyDescent="0.3">
      <c r="A82" t="s">
        <v>148</v>
      </c>
    </row>
    <row r="83" spans="1:1" x14ac:dyDescent="0.3">
      <c r="A83" t="s">
        <v>149</v>
      </c>
    </row>
    <row r="84" spans="1:1" x14ac:dyDescent="0.3">
      <c r="A84" t="s">
        <v>150</v>
      </c>
    </row>
    <row r="85" spans="1:1" x14ac:dyDescent="0.3">
      <c r="A85" t="s">
        <v>151</v>
      </c>
    </row>
    <row r="86" spans="1:1" x14ac:dyDescent="0.3">
      <c r="A86" t="s">
        <v>152</v>
      </c>
    </row>
    <row r="87" spans="1:1" x14ac:dyDescent="0.3">
      <c r="A87" t="s">
        <v>153</v>
      </c>
    </row>
    <row r="88" spans="1:1" x14ac:dyDescent="0.3">
      <c r="A88" t="s">
        <v>154</v>
      </c>
    </row>
    <row r="89" spans="1:1" x14ac:dyDescent="0.3">
      <c r="A89" t="s">
        <v>155</v>
      </c>
    </row>
    <row r="90" spans="1:1" x14ac:dyDescent="0.3">
      <c r="A90" t="s">
        <v>156</v>
      </c>
    </row>
    <row r="91" spans="1:1" x14ac:dyDescent="0.3">
      <c r="A91" t="s">
        <v>157</v>
      </c>
    </row>
    <row r="92" spans="1:1" x14ac:dyDescent="0.3">
      <c r="A92" t="s">
        <v>158</v>
      </c>
    </row>
    <row r="93" spans="1:1" x14ac:dyDescent="0.3">
      <c r="A93" t="s">
        <v>159</v>
      </c>
    </row>
    <row r="94" spans="1:1" x14ac:dyDescent="0.3">
      <c r="A94" t="s">
        <v>160</v>
      </c>
    </row>
    <row r="95" spans="1:1" x14ac:dyDescent="0.3">
      <c r="A95" t="s">
        <v>161</v>
      </c>
    </row>
    <row r="96" spans="1:1" x14ac:dyDescent="0.3">
      <c r="A96" t="s">
        <v>162</v>
      </c>
    </row>
    <row r="97" spans="1:1" x14ac:dyDescent="0.3">
      <c r="A97" t="s">
        <v>163</v>
      </c>
    </row>
    <row r="98" spans="1:1" x14ac:dyDescent="0.3">
      <c r="A98" t="s">
        <v>164</v>
      </c>
    </row>
    <row r="99" spans="1:1" x14ac:dyDescent="0.3">
      <c r="A99" t="s">
        <v>165</v>
      </c>
    </row>
    <row r="100" spans="1:1" x14ac:dyDescent="0.3">
      <c r="A100" t="s">
        <v>166</v>
      </c>
    </row>
    <row r="101" spans="1:1" x14ac:dyDescent="0.3">
      <c r="A101" t="s">
        <v>167</v>
      </c>
    </row>
    <row r="102" spans="1:1" x14ac:dyDescent="0.3">
      <c r="A102" t="s">
        <v>168</v>
      </c>
    </row>
    <row r="103" spans="1:1" x14ac:dyDescent="0.3">
      <c r="A103" t="s">
        <v>169</v>
      </c>
    </row>
    <row r="104" spans="1:1" x14ac:dyDescent="0.3">
      <c r="A104" t="s">
        <v>170</v>
      </c>
    </row>
    <row r="105" spans="1:1" x14ac:dyDescent="0.3">
      <c r="A105" t="s">
        <v>171</v>
      </c>
    </row>
    <row r="106" spans="1:1" x14ac:dyDescent="0.3">
      <c r="A106" t="s">
        <v>172</v>
      </c>
    </row>
    <row r="107" spans="1:1" x14ac:dyDescent="0.3">
      <c r="A107" t="s">
        <v>173</v>
      </c>
    </row>
    <row r="108" spans="1:1" x14ac:dyDescent="0.3">
      <c r="A108" t="s">
        <v>174</v>
      </c>
    </row>
    <row r="109" spans="1:1" x14ac:dyDescent="0.3">
      <c r="A109" t="s">
        <v>175</v>
      </c>
    </row>
    <row r="110" spans="1:1" x14ac:dyDescent="0.3">
      <c r="A110" t="s">
        <v>176</v>
      </c>
    </row>
    <row r="111" spans="1:1" x14ac:dyDescent="0.3">
      <c r="A111" t="s">
        <v>177</v>
      </c>
    </row>
    <row r="112" spans="1:1" x14ac:dyDescent="0.3">
      <c r="A112" t="s">
        <v>178</v>
      </c>
    </row>
    <row r="113" spans="1:1" x14ac:dyDescent="0.3">
      <c r="A113" t="s">
        <v>179</v>
      </c>
    </row>
    <row r="114" spans="1:1" x14ac:dyDescent="0.3">
      <c r="A114" t="s">
        <v>180</v>
      </c>
    </row>
    <row r="115" spans="1:1" x14ac:dyDescent="0.3">
      <c r="A115" t="s">
        <v>181</v>
      </c>
    </row>
    <row r="116" spans="1:1" x14ac:dyDescent="0.3">
      <c r="A116" t="s">
        <v>182</v>
      </c>
    </row>
    <row r="117" spans="1:1" x14ac:dyDescent="0.3">
      <c r="A117" t="s">
        <v>183</v>
      </c>
    </row>
    <row r="118" spans="1:1" x14ac:dyDescent="0.3">
      <c r="A118" t="s">
        <v>184</v>
      </c>
    </row>
    <row r="119" spans="1:1" x14ac:dyDescent="0.3">
      <c r="A119" t="s">
        <v>185</v>
      </c>
    </row>
    <row r="120" spans="1:1" x14ac:dyDescent="0.3">
      <c r="A120" t="s">
        <v>186</v>
      </c>
    </row>
    <row r="121" spans="1:1" x14ac:dyDescent="0.3">
      <c r="A121" t="s">
        <v>187</v>
      </c>
    </row>
    <row r="122" spans="1:1" x14ac:dyDescent="0.3">
      <c r="A122" t="s">
        <v>188</v>
      </c>
    </row>
    <row r="123" spans="1:1" x14ac:dyDescent="0.3">
      <c r="A123" t="s">
        <v>189</v>
      </c>
    </row>
    <row r="124" spans="1:1" x14ac:dyDescent="0.3">
      <c r="A124" t="s">
        <v>190</v>
      </c>
    </row>
    <row r="125" spans="1:1" x14ac:dyDescent="0.3">
      <c r="A125" t="s">
        <v>191</v>
      </c>
    </row>
    <row r="126" spans="1:1" x14ac:dyDescent="0.3">
      <c r="A126" t="s">
        <v>192</v>
      </c>
    </row>
    <row r="127" spans="1:1" x14ac:dyDescent="0.3">
      <c r="A127" t="s">
        <v>193</v>
      </c>
    </row>
    <row r="128" spans="1:1" x14ac:dyDescent="0.3">
      <c r="A128" t="s">
        <v>194</v>
      </c>
    </row>
    <row r="129" spans="1:1" x14ac:dyDescent="0.3">
      <c r="A129" t="s">
        <v>195</v>
      </c>
    </row>
    <row r="130" spans="1:1" x14ac:dyDescent="0.3">
      <c r="A130" t="s">
        <v>196</v>
      </c>
    </row>
    <row r="131" spans="1:1" x14ac:dyDescent="0.3">
      <c r="A131" t="s">
        <v>197</v>
      </c>
    </row>
    <row r="132" spans="1:1" x14ac:dyDescent="0.3">
      <c r="A132" t="s">
        <v>198</v>
      </c>
    </row>
    <row r="133" spans="1:1" x14ac:dyDescent="0.3">
      <c r="A133" t="s">
        <v>199</v>
      </c>
    </row>
    <row r="134" spans="1:1" x14ac:dyDescent="0.3">
      <c r="A134" t="s">
        <v>200</v>
      </c>
    </row>
    <row r="135" spans="1:1" x14ac:dyDescent="0.3">
      <c r="A135" t="s">
        <v>201</v>
      </c>
    </row>
    <row r="136" spans="1:1" x14ac:dyDescent="0.3">
      <c r="A136" t="s">
        <v>202</v>
      </c>
    </row>
    <row r="137" spans="1:1" x14ac:dyDescent="0.3">
      <c r="A137" t="s">
        <v>203</v>
      </c>
    </row>
    <row r="138" spans="1:1" x14ac:dyDescent="0.3">
      <c r="A138" t="s">
        <v>204</v>
      </c>
    </row>
    <row r="139" spans="1:1" x14ac:dyDescent="0.3">
      <c r="A139" t="s">
        <v>205</v>
      </c>
    </row>
    <row r="140" spans="1:1" x14ac:dyDescent="0.3">
      <c r="A140" t="s">
        <v>206</v>
      </c>
    </row>
    <row r="141" spans="1:1" x14ac:dyDescent="0.3">
      <c r="A141" t="s">
        <v>207</v>
      </c>
    </row>
    <row r="142" spans="1:1" x14ac:dyDescent="0.3">
      <c r="A142" t="s">
        <v>208</v>
      </c>
    </row>
    <row r="143" spans="1:1" x14ac:dyDescent="0.3">
      <c r="A143" t="s">
        <v>209</v>
      </c>
    </row>
    <row r="144" spans="1:1" x14ac:dyDescent="0.3">
      <c r="A144" t="s">
        <v>210</v>
      </c>
    </row>
    <row r="145" spans="1:1" x14ac:dyDescent="0.3">
      <c r="A145" t="s">
        <v>211</v>
      </c>
    </row>
    <row r="146" spans="1:1" x14ac:dyDescent="0.3">
      <c r="A146" t="s">
        <v>212</v>
      </c>
    </row>
    <row r="147" spans="1:1" x14ac:dyDescent="0.3">
      <c r="A147" t="s">
        <v>213</v>
      </c>
    </row>
    <row r="148" spans="1:1" x14ac:dyDescent="0.3">
      <c r="A148" t="s">
        <v>214</v>
      </c>
    </row>
    <row r="149" spans="1:1" x14ac:dyDescent="0.3">
      <c r="A149" t="s">
        <v>215</v>
      </c>
    </row>
    <row r="150" spans="1:1" x14ac:dyDescent="0.3">
      <c r="A150" t="s">
        <v>216</v>
      </c>
    </row>
    <row r="151" spans="1:1" x14ac:dyDescent="0.3">
      <c r="A151" t="s">
        <v>217</v>
      </c>
    </row>
    <row r="152" spans="1:1" x14ac:dyDescent="0.3">
      <c r="A152" t="s">
        <v>218</v>
      </c>
    </row>
    <row r="153" spans="1:1" x14ac:dyDescent="0.3">
      <c r="A153" t="s">
        <v>219</v>
      </c>
    </row>
    <row r="154" spans="1:1" x14ac:dyDescent="0.3">
      <c r="A154" t="s">
        <v>220</v>
      </c>
    </row>
    <row r="155" spans="1:1" x14ac:dyDescent="0.3">
      <c r="A155" t="s">
        <v>221</v>
      </c>
    </row>
    <row r="156" spans="1:1" x14ac:dyDescent="0.3">
      <c r="A156" t="s">
        <v>222</v>
      </c>
    </row>
    <row r="157" spans="1:1" x14ac:dyDescent="0.3">
      <c r="A157" t="s">
        <v>223</v>
      </c>
    </row>
    <row r="158" spans="1:1" x14ac:dyDescent="0.3">
      <c r="A158" t="s">
        <v>224</v>
      </c>
    </row>
    <row r="159" spans="1:1" x14ac:dyDescent="0.3">
      <c r="A159" t="s">
        <v>225</v>
      </c>
    </row>
    <row r="160" spans="1:1" x14ac:dyDescent="0.3">
      <c r="A160" t="s">
        <v>226</v>
      </c>
    </row>
    <row r="161" spans="1:1" x14ac:dyDescent="0.3">
      <c r="A161" t="s">
        <v>227</v>
      </c>
    </row>
    <row r="162" spans="1:1" x14ac:dyDescent="0.3">
      <c r="A162" t="s">
        <v>228</v>
      </c>
    </row>
    <row r="163" spans="1:1" x14ac:dyDescent="0.3">
      <c r="A163" t="s">
        <v>229</v>
      </c>
    </row>
    <row r="164" spans="1:1" x14ac:dyDescent="0.3">
      <c r="A164" t="s">
        <v>230</v>
      </c>
    </row>
    <row r="165" spans="1:1" x14ac:dyDescent="0.3">
      <c r="A165" t="s">
        <v>231</v>
      </c>
    </row>
    <row r="166" spans="1:1" x14ac:dyDescent="0.3">
      <c r="A166" t="s">
        <v>232</v>
      </c>
    </row>
    <row r="167" spans="1:1" x14ac:dyDescent="0.3">
      <c r="A167" t="s">
        <v>233</v>
      </c>
    </row>
    <row r="168" spans="1:1" x14ac:dyDescent="0.3">
      <c r="A168" t="s">
        <v>234</v>
      </c>
    </row>
    <row r="169" spans="1:1" x14ac:dyDescent="0.3">
      <c r="A169" t="s">
        <v>235</v>
      </c>
    </row>
    <row r="170" spans="1:1" x14ac:dyDescent="0.3">
      <c r="A170" t="s">
        <v>236</v>
      </c>
    </row>
    <row r="171" spans="1:1" x14ac:dyDescent="0.3">
      <c r="A171" t="s">
        <v>237</v>
      </c>
    </row>
    <row r="172" spans="1:1" x14ac:dyDescent="0.3">
      <c r="A172" t="s">
        <v>238</v>
      </c>
    </row>
    <row r="173" spans="1:1" x14ac:dyDescent="0.3">
      <c r="A173" t="s">
        <v>239</v>
      </c>
    </row>
    <row r="174" spans="1:1" x14ac:dyDescent="0.3">
      <c r="A174" t="s">
        <v>240</v>
      </c>
    </row>
    <row r="175" spans="1:1" x14ac:dyDescent="0.3">
      <c r="A175" t="s">
        <v>241</v>
      </c>
    </row>
    <row r="176" spans="1:1" x14ac:dyDescent="0.3">
      <c r="A176" t="s">
        <v>242</v>
      </c>
    </row>
    <row r="177" spans="1:1" x14ac:dyDescent="0.3">
      <c r="A177" t="s">
        <v>243</v>
      </c>
    </row>
    <row r="178" spans="1:1" x14ac:dyDescent="0.3">
      <c r="A178" t="s">
        <v>244</v>
      </c>
    </row>
    <row r="179" spans="1:1" x14ac:dyDescent="0.3">
      <c r="A179" t="s">
        <v>245</v>
      </c>
    </row>
    <row r="180" spans="1:1" x14ac:dyDescent="0.3">
      <c r="A180" t="s">
        <v>246</v>
      </c>
    </row>
    <row r="181" spans="1:1" x14ac:dyDescent="0.3">
      <c r="A181" t="s">
        <v>247</v>
      </c>
    </row>
    <row r="182" spans="1:1" x14ac:dyDescent="0.3">
      <c r="A182" t="s">
        <v>248</v>
      </c>
    </row>
    <row r="183" spans="1:1" x14ac:dyDescent="0.3">
      <c r="A183" t="s">
        <v>249</v>
      </c>
    </row>
    <row r="184" spans="1:1" x14ac:dyDescent="0.3">
      <c r="A184" t="s">
        <v>250</v>
      </c>
    </row>
    <row r="185" spans="1:1" x14ac:dyDescent="0.3">
      <c r="A185" t="s">
        <v>251</v>
      </c>
    </row>
    <row r="186" spans="1:1" x14ac:dyDescent="0.3">
      <c r="A186" t="s">
        <v>252</v>
      </c>
    </row>
    <row r="187" spans="1:1" x14ac:dyDescent="0.3">
      <c r="A187" t="s">
        <v>253</v>
      </c>
    </row>
    <row r="188" spans="1:1" x14ac:dyDescent="0.3">
      <c r="A188" t="s">
        <v>254</v>
      </c>
    </row>
    <row r="189" spans="1:1" x14ac:dyDescent="0.3">
      <c r="A189" t="s">
        <v>255</v>
      </c>
    </row>
    <row r="190" spans="1:1" x14ac:dyDescent="0.3">
      <c r="A190" t="s">
        <v>256</v>
      </c>
    </row>
    <row r="191" spans="1:1" x14ac:dyDescent="0.3">
      <c r="A191" t="s">
        <v>257</v>
      </c>
    </row>
    <row r="192" spans="1:1" x14ac:dyDescent="0.3">
      <c r="A192" t="s">
        <v>258</v>
      </c>
    </row>
    <row r="193" spans="1:1" x14ac:dyDescent="0.3">
      <c r="A193" t="s">
        <v>259</v>
      </c>
    </row>
    <row r="194" spans="1:1" x14ac:dyDescent="0.3">
      <c r="A194" t="s">
        <v>260</v>
      </c>
    </row>
    <row r="195" spans="1:1" x14ac:dyDescent="0.3">
      <c r="A195" t="s">
        <v>261</v>
      </c>
    </row>
    <row r="196" spans="1:1" x14ac:dyDescent="0.3">
      <c r="A196" t="s">
        <v>262</v>
      </c>
    </row>
    <row r="197" spans="1:1" x14ac:dyDescent="0.3">
      <c r="A197" t="s">
        <v>263</v>
      </c>
    </row>
    <row r="198" spans="1:1" x14ac:dyDescent="0.3">
      <c r="A198" t="s">
        <v>264</v>
      </c>
    </row>
    <row r="199" spans="1:1" x14ac:dyDescent="0.3">
      <c r="A199" t="s">
        <v>265</v>
      </c>
    </row>
    <row r="200" spans="1:1" x14ac:dyDescent="0.3">
      <c r="A200" t="s">
        <v>266</v>
      </c>
    </row>
    <row r="201" spans="1:1" x14ac:dyDescent="0.3">
      <c r="A201" t="s">
        <v>267</v>
      </c>
    </row>
    <row r="202" spans="1:1" x14ac:dyDescent="0.3">
      <c r="A202" t="s">
        <v>268</v>
      </c>
    </row>
    <row r="203" spans="1:1" x14ac:dyDescent="0.3">
      <c r="A203" t="s">
        <v>269</v>
      </c>
    </row>
    <row r="204" spans="1:1" x14ac:dyDescent="0.3">
      <c r="A204" t="s">
        <v>270</v>
      </c>
    </row>
    <row r="205" spans="1:1" x14ac:dyDescent="0.3">
      <c r="A205" t="s">
        <v>271</v>
      </c>
    </row>
    <row r="206" spans="1:1" x14ac:dyDescent="0.3">
      <c r="A206" t="s">
        <v>272</v>
      </c>
    </row>
    <row r="207" spans="1:1" x14ac:dyDescent="0.3">
      <c r="A207" t="s">
        <v>273</v>
      </c>
    </row>
    <row r="208" spans="1:1" x14ac:dyDescent="0.3">
      <c r="A208" t="s">
        <v>274</v>
      </c>
    </row>
    <row r="209" spans="1:1" x14ac:dyDescent="0.3">
      <c r="A209" t="s">
        <v>275</v>
      </c>
    </row>
    <row r="210" spans="1:1" x14ac:dyDescent="0.3">
      <c r="A210" t="s">
        <v>276</v>
      </c>
    </row>
    <row r="211" spans="1:1" x14ac:dyDescent="0.3">
      <c r="A211" t="s">
        <v>277</v>
      </c>
    </row>
    <row r="212" spans="1:1" x14ac:dyDescent="0.3">
      <c r="A212" t="s">
        <v>278</v>
      </c>
    </row>
    <row r="213" spans="1:1" x14ac:dyDescent="0.3">
      <c r="A213" t="s">
        <v>279</v>
      </c>
    </row>
    <row r="214" spans="1:1" x14ac:dyDescent="0.3">
      <c r="A214" t="s">
        <v>280</v>
      </c>
    </row>
    <row r="215" spans="1:1" x14ac:dyDescent="0.3">
      <c r="A215" t="s">
        <v>281</v>
      </c>
    </row>
    <row r="216" spans="1:1" x14ac:dyDescent="0.3">
      <c r="A216" t="s">
        <v>282</v>
      </c>
    </row>
    <row r="217" spans="1:1" x14ac:dyDescent="0.3">
      <c r="A217" t="s">
        <v>283</v>
      </c>
    </row>
    <row r="218" spans="1:1" x14ac:dyDescent="0.3">
      <c r="A218" t="s">
        <v>284</v>
      </c>
    </row>
    <row r="219" spans="1:1" x14ac:dyDescent="0.3">
      <c r="A219" t="s">
        <v>285</v>
      </c>
    </row>
    <row r="220" spans="1:1" x14ac:dyDescent="0.3">
      <c r="A220" t="s">
        <v>286</v>
      </c>
    </row>
    <row r="221" spans="1:1" x14ac:dyDescent="0.3">
      <c r="A221" t="s">
        <v>287</v>
      </c>
    </row>
    <row r="222" spans="1:1" x14ac:dyDescent="0.3">
      <c r="A222" t="s">
        <v>288</v>
      </c>
    </row>
    <row r="223" spans="1:1" x14ac:dyDescent="0.3">
      <c r="A223" t="s">
        <v>289</v>
      </c>
    </row>
    <row r="224" spans="1:1" x14ac:dyDescent="0.3">
      <c r="A224" t="s">
        <v>290</v>
      </c>
    </row>
    <row r="225" spans="1:1" x14ac:dyDescent="0.3">
      <c r="A225" t="s">
        <v>291</v>
      </c>
    </row>
    <row r="226" spans="1:1" x14ac:dyDescent="0.3">
      <c r="A226" t="s">
        <v>292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Generalidades</vt:lpstr>
      <vt:lpstr>FCL</vt:lpstr>
      <vt:lpstr>Insumos</vt:lpstr>
      <vt:lpstr>Maquinaria</vt:lpstr>
      <vt:lpstr>Recursos Tecnologicos</vt:lpstr>
      <vt:lpstr>Recurso Humano</vt:lpstr>
      <vt:lpstr>Hoja6</vt:lpstr>
      <vt:lpstr>PAQUETE DE TRABAJO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lab financiero</dc:creator>
  <cp:lastModifiedBy>Anderson Soto Vera</cp:lastModifiedBy>
  <dcterms:created xsi:type="dcterms:W3CDTF">2017-02-18T13:13:59Z</dcterms:created>
  <dcterms:modified xsi:type="dcterms:W3CDTF">2021-04-18T16:55:47Z</dcterms:modified>
</cp:coreProperties>
</file>