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o\Documents\Especialización GSS4\Proyecto Final\Entrega final\"/>
    </mc:Choice>
  </mc:AlternateContent>
  <xr:revisionPtr revIDLastSave="0" documentId="13_ncr:1_{3FE413B4-C904-4EDD-90A4-00D863E64584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Presupuesto" sheetId="1" r:id="rId1"/>
    <sheet name="Hoja1" sheetId="3" r:id="rId2"/>
  </sheets>
  <externalReferences>
    <externalReference r:id="rId3"/>
    <externalReference r:id="rId4"/>
    <externalReference r:id="rId5"/>
  </externalReferences>
  <definedNames>
    <definedName name="Actcontrol" localSheetId="0">#REF!</definedName>
    <definedName name="Actcontrol">#REF!</definedName>
    <definedName name="Asignacionresp" localSheetId="0">#REF!</definedName>
    <definedName name="Asignacionresp">#REF!</definedName>
    <definedName name="Autoridadresp" localSheetId="0">#REF!</definedName>
    <definedName name="Autoridadresp">#REF!</definedName>
    <definedName name="Causafactor3" localSheetId="0">#REF!</definedName>
    <definedName name="Causafactor3">#REF!</definedName>
    <definedName name="clase" localSheetId="0">#REF!</definedName>
    <definedName name="clase">#REF!</definedName>
    <definedName name="desviaciones" localSheetId="0">#REF!</definedName>
    <definedName name="desviaciones">#REF!</definedName>
    <definedName name="dis" localSheetId="0">#REF!,#REF!</definedName>
    <definedName name="dis">#REF!,#REF!</definedName>
    <definedName name="discua" localSheetId="0">#REF!</definedName>
    <definedName name="discua">#REF!</definedName>
    <definedName name="discuadrante" localSheetId="0">#REF!</definedName>
    <definedName name="discuadrante">#REF!</definedName>
    <definedName name="discuadraprob" localSheetId="0">#REF!,#REF!</definedName>
    <definedName name="discuadraprob">#REF!,#REF!</definedName>
    <definedName name="ejecucioncontrol" localSheetId="0">#REF!</definedName>
    <definedName name="ejecucioncontrol">#REF!</definedName>
    <definedName name="Evidencia" localSheetId="0">#REF!</definedName>
    <definedName name="Evidencia">#REF!</definedName>
    <definedName name="HolidayTable">[1]Tablas!$A$4:$C$35</definedName>
    <definedName name="impacto">[2]Hoja2!$M$3:$M$7</definedName>
    <definedName name="Periodicidad" localSheetId="0">#REF!</definedName>
    <definedName name="Periodicidad">#REF!</definedName>
    <definedName name="Proposito" localSheetId="0">#REF!</definedName>
    <definedName name="Proposito">#REF!</definedName>
    <definedName name="RANDBETWEEN_1_2">[3]Lang!$K$2</definedName>
    <definedName name="RANDBETWEEN_3_4">[3]Lang!$K$4</definedName>
    <definedName name="RiesgoClase3" localSheetId="0">#REF!</definedName>
    <definedName name="RiesgoClase3">#REF!</definedName>
  </definedNames>
  <calcPr calcId="191029" iterate="1" iterateCount="5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3" l="1"/>
  <c r="E41" i="3" s="1"/>
  <c r="E38" i="3"/>
  <c r="E29" i="3"/>
  <c r="E19" i="3"/>
  <c r="E17" i="3"/>
  <c r="E15" i="3"/>
  <c r="E14" i="3"/>
  <c r="E13" i="3"/>
  <c r="E12" i="3"/>
  <c r="E10" i="3"/>
  <c r="E9" i="3"/>
  <c r="E8" i="3"/>
  <c r="E7" i="3"/>
  <c r="E6" i="3"/>
  <c r="E20" i="3" s="1"/>
  <c r="E5" i="3"/>
  <c r="E2" i="3"/>
  <c r="E3" i="3" s="1"/>
  <c r="E42" i="3" s="1"/>
  <c r="F11" i="1"/>
  <c r="H12" i="1"/>
  <c r="G12" i="1" s="1"/>
  <c r="F12" i="1"/>
  <c r="K36" i="1"/>
  <c r="L36" i="1"/>
  <c r="M36" i="1"/>
  <c r="N36" i="1"/>
  <c r="O36" i="1"/>
  <c r="P36" i="1"/>
  <c r="Q36" i="1"/>
  <c r="R36" i="1"/>
  <c r="S36" i="1"/>
  <c r="J36" i="1"/>
  <c r="I36" i="1"/>
  <c r="H10" i="1"/>
  <c r="F10" i="1"/>
  <c r="G10" i="1" s="1"/>
  <c r="F43" i="1"/>
  <c r="G43" i="1" s="1"/>
  <c r="F6" i="1"/>
  <c r="P13" i="1"/>
  <c r="L13" i="1"/>
  <c r="H13" i="1"/>
  <c r="F13" i="1"/>
  <c r="F14" i="1"/>
  <c r="G8" i="1"/>
  <c r="G15" i="1"/>
  <c r="G20" i="1"/>
  <c r="G22" i="1"/>
  <c r="G25" i="1"/>
  <c r="G26" i="1"/>
  <c r="G27" i="1"/>
  <c r="G28" i="1"/>
  <c r="G29" i="1"/>
  <c r="G30" i="1"/>
  <c r="G31" i="1"/>
  <c r="G32" i="1"/>
  <c r="G34" i="1"/>
  <c r="G35" i="1"/>
  <c r="G36" i="1"/>
  <c r="G37" i="1"/>
  <c r="G38" i="1"/>
  <c r="G39" i="1"/>
  <c r="G40" i="1"/>
  <c r="G41" i="1"/>
  <c r="G44" i="1"/>
  <c r="F7" i="1"/>
  <c r="H6" i="1"/>
  <c r="G6" i="1" s="1"/>
  <c r="K34" i="1"/>
  <c r="G13" i="1" l="1"/>
  <c r="K43" i="1"/>
  <c r="H45" i="1" l="1"/>
  <c r="I45" i="1"/>
  <c r="J45" i="1"/>
  <c r="K45" i="1"/>
  <c r="L45" i="1"/>
  <c r="M45" i="1"/>
  <c r="N45" i="1"/>
  <c r="O45" i="1"/>
  <c r="P45" i="1"/>
  <c r="Q45" i="1"/>
  <c r="R45" i="1"/>
  <c r="S45" i="1"/>
  <c r="I42" i="1"/>
  <c r="L42" i="1"/>
  <c r="M42" i="1"/>
  <c r="N42" i="1"/>
  <c r="O42" i="1"/>
  <c r="P42" i="1"/>
  <c r="Q42" i="1"/>
  <c r="R42" i="1"/>
  <c r="S42" i="1"/>
  <c r="S24" i="1"/>
  <c r="H9" i="1"/>
  <c r="I9" i="1"/>
  <c r="J9" i="1"/>
  <c r="L9" i="1"/>
  <c r="M9" i="1"/>
  <c r="N9" i="1"/>
  <c r="O9" i="1"/>
  <c r="P9" i="1"/>
  <c r="Q9" i="1"/>
  <c r="R9" i="1"/>
  <c r="S9" i="1"/>
  <c r="J41" i="1"/>
  <c r="F19" i="1"/>
  <c r="J19" i="1" l="1"/>
  <c r="J24" i="1" s="1"/>
  <c r="G19" i="1"/>
  <c r="H42" i="1" l="1"/>
  <c r="F45" i="1" l="1"/>
  <c r="G45" i="1" s="1"/>
  <c r="J35" i="1" l="1"/>
  <c r="J42" i="1" s="1"/>
  <c r="R24" i="1"/>
  <c r="F23" i="1"/>
  <c r="K23" i="1" s="1"/>
  <c r="F21" i="1"/>
  <c r="K9" i="1"/>
  <c r="I20" i="1"/>
  <c r="F18" i="1"/>
  <c r="L18" i="1" s="1"/>
  <c r="F17" i="1"/>
  <c r="G17" i="1" s="1"/>
  <c r="F16" i="1"/>
  <c r="M14" i="1"/>
  <c r="P11" i="1"/>
  <c r="K21" i="1" l="1"/>
  <c r="G21" i="1"/>
  <c r="O16" i="1"/>
  <c r="G16" i="1"/>
  <c r="K42" i="1"/>
  <c r="P24" i="1"/>
  <c r="I24" i="1"/>
  <c r="R33" i="1"/>
  <c r="J33" i="1"/>
  <c r="P33" i="1"/>
  <c r="N33" i="1"/>
  <c r="L33" i="1"/>
  <c r="Q24" i="1"/>
  <c r="H33" i="1"/>
  <c r="S33" i="1"/>
  <c r="I33" i="1"/>
  <c r="Q33" i="1"/>
  <c r="O33" i="1"/>
  <c r="M33" i="1"/>
  <c r="K33" i="1"/>
  <c r="H18" i="1"/>
  <c r="G18" i="1" s="1"/>
  <c r="F42" i="1"/>
  <c r="G42" i="1" s="1"/>
  <c r="O23" i="1"/>
  <c r="O24" i="1" s="1"/>
  <c r="H23" i="1"/>
  <c r="G23" i="1" s="1"/>
  <c r="K17" i="1"/>
  <c r="H14" i="1"/>
  <c r="G14" i="1" s="1"/>
  <c r="H11" i="1"/>
  <c r="G11" i="1" s="1"/>
  <c r="L11" i="1"/>
  <c r="L24" i="1" s="1"/>
  <c r="N24" i="1"/>
  <c r="K24" i="1" l="1"/>
  <c r="M24" i="1"/>
  <c r="H7" i="1" l="1"/>
  <c r="G7" i="1" s="1"/>
  <c r="H24" i="1"/>
  <c r="F33" i="1"/>
  <c r="F24" i="1"/>
  <c r="F46" i="1" s="1"/>
  <c r="F9" i="1"/>
  <c r="G9" i="1" s="1"/>
  <c r="S6" i="1"/>
  <c r="S7" i="1" s="1"/>
  <c r="R6" i="1"/>
  <c r="R7" i="1" s="1"/>
  <c r="Q6" i="1"/>
  <c r="Q7" i="1" s="1"/>
  <c r="P6" i="1"/>
  <c r="P7" i="1" s="1"/>
  <c r="O6" i="1"/>
  <c r="O7" i="1" s="1"/>
  <c r="N6" i="1"/>
  <c r="N7" i="1" s="1"/>
  <c r="M6" i="1"/>
  <c r="M7" i="1" s="1"/>
  <c r="L6" i="1"/>
  <c r="L7" i="1" s="1"/>
  <c r="K6" i="1"/>
  <c r="K7" i="1" s="1"/>
  <c r="J6" i="1"/>
  <c r="J7" i="1" s="1"/>
  <c r="I6" i="1"/>
  <c r="I7" i="1" s="1"/>
  <c r="G33" i="1" l="1"/>
  <c r="G24" i="1"/>
</calcChain>
</file>

<file path=xl/sharedStrings.xml><?xml version="1.0" encoding="utf-8"?>
<sst xmlns="http://schemas.openxmlformats.org/spreadsheetml/2006/main" count="143" uniqueCount="73">
  <si>
    <t>GRUPO</t>
  </si>
  <si>
    <t>ACTIVIDAD</t>
  </si>
  <si>
    <t>RECURSO</t>
  </si>
  <si>
    <t>CANTIDAD</t>
  </si>
  <si>
    <t xml:space="preserve">TOTAL PROGRAMADO DEL AÑO </t>
  </si>
  <si>
    <t>% DE EJECUCCION</t>
  </si>
  <si>
    <t>Septiembre</t>
  </si>
  <si>
    <t>Octubre</t>
  </si>
  <si>
    <t>Noviembre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</si>
  <si>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</si>
  <si>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</si>
  <si>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</si>
  <si>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</si>
  <si>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</si>
  <si>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</si>
  <si>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</si>
  <si>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</si>
  <si>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</si>
  <si>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Subtotal</t>
  </si>
  <si>
    <t xml:space="preserve"> HIGIENE INDUSTRIAL</t>
  </si>
  <si>
    <t xml:space="preserve"> MEDICINA  DEL TRABAJO </t>
  </si>
  <si>
    <t xml:space="preserve">Capacitación al Copasst </t>
  </si>
  <si>
    <t>RECURSOS HUMANO</t>
  </si>
  <si>
    <t>Botas de caucho</t>
  </si>
  <si>
    <t>Gafas de seguridad antiempañante lente claro, certificadas</t>
  </si>
  <si>
    <t>Recarga de Extintores</t>
  </si>
  <si>
    <t>Profesional en SST</t>
  </si>
  <si>
    <t xml:space="preserve">Exámenes Ocupacionales </t>
  </si>
  <si>
    <t>Exámenes Médicos Ocupacionales de ingreso</t>
  </si>
  <si>
    <t>Exámenes Médicos Ocupacionales periódicos</t>
  </si>
  <si>
    <t>Exámenes Médicos Ocupacionales de  egreso (retiro)</t>
  </si>
  <si>
    <t>Exámenes Médicos Ocupacionales post-incapacidad</t>
  </si>
  <si>
    <t>Exámenes Médicos Ocupacionales programadas o por cambio de ocupación</t>
  </si>
  <si>
    <t>Versión: 01</t>
  </si>
  <si>
    <t>Mantenimiento</t>
  </si>
  <si>
    <t>Extintores ABC 20 Libras</t>
  </si>
  <si>
    <t>Botiquín de emergencias tipo A</t>
  </si>
  <si>
    <t>Botiquín de emergencias tipo B</t>
  </si>
  <si>
    <t>Señalización</t>
  </si>
  <si>
    <t xml:space="preserve">Auditoria Interna del SG-SST </t>
  </si>
  <si>
    <t>Computador</t>
  </si>
  <si>
    <t xml:space="preserve">Acciones correctivas y preventivas </t>
  </si>
  <si>
    <t>Programa de Prevención y Promoción</t>
  </si>
  <si>
    <t>Compra y mantenimiento de Equipos de Seguridad</t>
  </si>
  <si>
    <t>Educación y capacitación</t>
  </si>
  <si>
    <t>Programa pausas activas</t>
  </si>
  <si>
    <t>Semana de la salud</t>
  </si>
  <si>
    <t>Inspecciones de puestos de
trabajo</t>
  </si>
  <si>
    <t>CONTROL DEL SG-SST</t>
  </si>
  <si>
    <t xml:space="preserve">Equipo Auditor </t>
  </si>
  <si>
    <t>Señalización en la Funeraria Gaviria</t>
  </si>
  <si>
    <t>Control de condiciones locativas</t>
  </si>
  <si>
    <t>Escritorio y  silla</t>
  </si>
  <si>
    <t>Etiquetas</t>
  </si>
  <si>
    <t>Afiches divulgativos</t>
  </si>
  <si>
    <t>Diseño de la pagina web</t>
  </si>
  <si>
    <t xml:space="preserve"> IMPLEMENTACION DEL PROGRAMA </t>
  </si>
  <si>
    <t>TOTAL</t>
  </si>
  <si>
    <t>Fecha de Emisión
15-01-2022</t>
  </si>
  <si>
    <t>Elementos de Protección Personal</t>
  </si>
  <si>
    <t>Contrato del análisis</t>
  </si>
  <si>
    <t>Análisis de exposición a contaminantes químicos.</t>
  </si>
  <si>
    <t>SEGURIDAD Y SALUD EN EL TRABAJO</t>
  </si>
  <si>
    <t>Traje Tybeck</t>
  </si>
  <si>
    <t>Par de filtros para vapores orgánicos y ácidos</t>
  </si>
  <si>
    <t xml:space="preserve"> PRESUPUESTO GESTIÓN DEL RIESGO QUIMICO 
GRUPO GAVIRIA S.A.S.</t>
  </si>
  <si>
    <t>Camilla, férula espinal larga con inmovilizador de cabeza</t>
  </si>
  <si>
    <t>Implementación del proyecto Sistema de Gestión Armonizado Grupo Gaviria</t>
  </si>
  <si>
    <t xml:space="preserve">Inducción y Divulgación de la política de SST </t>
  </si>
  <si>
    <t>Capacitación Integral para Equipo de Brigada (Funciones y responsabilidades)</t>
  </si>
  <si>
    <t>Mascara full face 3M 6800</t>
  </si>
  <si>
    <t>Guantes nitrilo calibre 12</t>
  </si>
  <si>
    <t>Administración Proyecto manejo riesgo químico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</si>
</sst>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64" formatCode="&quot;$&quot;\ #,##0;[Red]\-&quot;$&quot;\ #,##0"/>
    <numFmt numFmtId="165" formatCode="_-&quot;$&quot;\ * #,##0.00_-;\-&quot;$&quot;\ * #,##0.00_-;_-&quot;$&quot;\ * &quot;-&quot;??_-;_-@_-"/>
    <numFmt numFmtId="166" formatCode="General_)"/>
    <numFmt numFmtId="167" formatCode="_([$$-240A]\ * #,##0_);_([$$-240A]\ * \(#,##0\);_([$$-240A]\ * &quot;-&quot;??_);_(@_)"/>
    <numFmt numFmtId="168" formatCode="0.0%"/>
    <numFmt numFmtId="169" formatCode="_-&quot;$&quot;\ * #,##0_-;\-&quot;$&quot;\ * #,##0_-;_-&quot;$&quot;\ * &quot;-&quot;??_-;_-@_-"/>
    <numFmt numFmtId="170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Cambria"/>
      <family val="2"/>
      <scheme val="major"/>
    </font>
    <font>
      <sz val="10"/>
      <color theme="1"/>
      <name val="Cambria"/>
      <family val="2"/>
      <scheme val="major"/>
    </font>
    <font>
      <sz val="10"/>
      <color rgb="FF000000"/>
      <name val="Cambria"/>
      <family val="2"/>
      <scheme val="major"/>
    </font>
    <font>
      <b/>
      <sz val="10"/>
      <color theme="1"/>
      <name val="Cambria"/>
      <family val="2"/>
      <scheme val="major"/>
    </font>
    <font>
      <b/>
      <sz val="10"/>
      <name val="Cambria"/>
      <family val="2"/>
      <scheme val="major"/>
    </font>
    <font>
      <b/>
      <sz val="10"/>
      <color rgb="FF00B050"/>
      <name val="Cambria"/>
      <family val="2"/>
      <scheme val="major"/>
    </font>
    <font>
      <sz val="10"/>
      <name val="Cambria"/>
      <family val="2"/>
      <scheme val="maj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26"/>
      <color rgb="FFBBE0E1"/>
      <name val="Palatino Linotype"/>
      <family val="1"/>
    </font>
    <font>
      <b/>
      <sz val="10"/>
      <name val="Palatino Linotype"/>
      <family val="1"/>
    </font>
    <font>
      <b/>
      <sz val="10"/>
      <color theme="1"/>
      <name val="Cambria"/>
      <family val="1"/>
      <scheme val="major"/>
    </font>
    <font>
      <b/>
      <sz val="10"/>
      <name val="Cambria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92A3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70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1" fillId="0" borderId="0"/>
  </cellStyleXfs>
  <cellXfs count="92">
    <xf numFmtId="0" fontId="0" fillId="0" borderId="0" xfId="0"/>
    <xf numFmtId="0" fontId="4" fillId="0" borderId="0" xfId="0" applyFont="1"/>
    <xf numFmtId="166" fontId="4" fillId="0" borderId="2" xfId="0" applyNumberFormat="1" applyFont="1" applyBorder="1" applyAlignment="1">
      <alignment vertical="center" wrapText="1"/>
    </xf>
    <xf numFmtId="167" fontId="7" fillId="2" borderId="2" xfId="1" applyNumberFormat="1" applyFont="1" applyFill="1" applyBorder="1" applyAlignment="1">
      <alignment vertical="center"/>
    </xf>
    <xf numFmtId="168" fontId="8" fillId="0" borderId="2" xfId="3" applyNumberFormat="1" applyFont="1" applyFill="1" applyBorder="1" applyAlignment="1">
      <alignment horizontal="center" vertical="center"/>
    </xf>
    <xf numFmtId="169" fontId="4" fillId="0" borderId="2" xfId="2" applyNumberFormat="1" applyFont="1" applyFill="1" applyBorder="1" applyAlignment="1">
      <alignment vertical="center"/>
    </xf>
    <xf numFmtId="166" fontId="4" fillId="3" borderId="2" xfId="0" applyNumberFormat="1" applyFont="1" applyFill="1" applyBorder="1" applyAlignment="1">
      <alignment vertical="center" wrapText="1"/>
    </xf>
    <xf numFmtId="167" fontId="7" fillId="4" borderId="2" xfId="5" applyNumberFormat="1" applyFont="1" applyFill="1" applyBorder="1" applyAlignment="1">
      <alignment vertical="center"/>
    </xf>
    <xf numFmtId="169" fontId="4" fillId="3" borderId="2" xfId="2" applyNumberFormat="1" applyFont="1" applyFill="1" applyBorder="1" applyAlignment="1">
      <alignment vertical="center"/>
    </xf>
    <xf numFmtId="166" fontId="4" fillId="0" borderId="12" xfId="0" applyNumberFormat="1" applyFont="1" applyBorder="1" applyAlignment="1">
      <alignment vertical="center" wrapText="1"/>
    </xf>
    <xf numFmtId="167" fontId="7" fillId="2" borderId="2" xfId="5" applyNumberFormat="1" applyFont="1" applyFill="1" applyBorder="1" applyAlignment="1">
      <alignment vertical="center"/>
    </xf>
    <xf numFmtId="169" fontId="4" fillId="0" borderId="2" xfId="2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3" borderId="2" xfId="0" applyFont="1" applyFill="1" applyBorder="1" applyAlignment="1">
      <alignment vertical="center" wrapText="1"/>
    </xf>
    <xf numFmtId="0" fontId="9" fillId="0" borderId="2" xfId="4" applyFont="1" applyBorder="1" applyAlignment="1">
      <alignment vertical="center" wrapText="1"/>
    </xf>
    <xf numFmtId="167" fontId="7" fillId="4" borderId="2" xfId="1" applyNumberFormat="1" applyFont="1" applyFill="1" applyBorder="1" applyAlignment="1">
      <alignment vertical="center"/>
    </xf>
    <xf numFmtId="169" fontId="4" fillId="0" borderId="2" xfId="2" applyNumberFormat="1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4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9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/>
    <xf numFmtId="169" fontId="4" fillId="7" borderId="2" xfId="2" applyNumberFormat="1" applyFont="1" applyFill="1" applyBorder="1" applyAlignment="1">
      <alignment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4" fillId="7" borderId="2" xfId="4" applyFont="1" applyFill="1" applyBorder="1" applyAlignment="1">
      <alignment vertical="center" wrapText="1"/>
    </xf>
    <xf numFmtId="167" fontId="7" fillId="7" borderId="2" xfId="4" applyNumberFormat="1" applyFont="1" applyFill="1" applyBorder="1" applyAlignment="1">
      <alignment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4" fillId="7" borderId="10" xfId="4" applyFont="1" applyFill="1" applyBorder="1" applyAlignment="1">
      <alignment vertical="center" wrapText="1"/>
    </xf>
    <xf numFmtId="167" fontId="7" fillId="7" borderId="10" xfId="4" applyNumberFormat="1" applyFont="1" applyFill="1" applyBorder="1" applyAlignment="1">
      <alignment vertical="center" wrapText="1"/>
    </xf>
    <xf numFmtId="166" fontId="13" fillId="6" borderId="2" xfId="0" applyNumberFormat="1" applyFont="1" applyFill="1" applyBorder="1" applyAlignment="1">
      <alignment horizontal="center" vertical="center" wrapText="1"/>
    </xf>
    <xf numFmtId="166" fontId="4" fillId="3" borderId="0" xfId="0" applyNumberFormat="1" applyFont="1" applyFill="1" applyBorder="1" applyAlignment="1">
      <alignment vertical="center" wrapText="1"/>
    </xf>
    <xf numFmtId="0" fontId="4" fillId="0" borderId="2" xfId="0" applyFont="1" applyBorder="1"/>
    <xf numFmtId="169" fontId="4" fillId="0" borderId="2" xfId="2" applyNumberFormat="1" applyFont="1" applyBorder="1"/>
    <xf numFmtId="0" fontId="4" fillId="3" borderId="10" xfId="4" applyFont="1" applyFill="1" applyBorder="1" applyAlignment="1">
      <alignment vertical="center" wrapText="1"/>
    </xf>
    <xf numFmtId="167" fontId="7" fillId="4" borderId="10" xfId="1" applyNumberFormat="1" applyFont="1" applyFill="1" applyBorder="1" applyAlignment="1">
      <alignment vertical="center"/>
    </xf>
    <xf numFmtId="169" fontId="4" fillId="3" borderId="10" xfId="2" applyNumberFormat="1" applyFont="1" applyFill="1" applyBorder="1" applyAlignment="1">
      <alignment vertical="center"/>
    </xf>
    <xf numFmtId="169" fontId="4" fillId="0" borderId="10" xfId="2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3" xfId="0" applyFont="1" applyBorder="1" applyAlignment="1">
      <alignment vertical="center"/>
    </xf>
    <xf numFmtId="0" fontId="4" fillId="3" borderId="11" xfId="4" applyFont="1" applyFill="1" applyBorder="1" applyAlignment="1">
      <alignment vertical="center" wrapText="1"/>
    </xf>
    <xf numFmtId="167" fontId="7" fillId="4" borderId="11" xfId="1" applyNumberFormat="1" applyFont="1" applyFill="1" applyBorder="1" applyAlignment="1">
      <alignment vertical="center"/>
    </xf>
    <xf numFmtId="166" fontId="4" fillId="0" borderId="10" xfId="0" applyNumberFormat="1" applyFont="1" applyBorder="1" applyAlignment="1">
      <alignment horizontal="left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wrapText="1"/>
    </xf>
    <xf numFmtId="0" fontId="4" fillId="6" borderId="15" xfId="0" applyFont="1" applyFill="1" applyBorder="1" applyAlignment="1">
      <alignment wrapText="1"/>
    </xf>
    <xf numFmtId="0" fontId="4" fillId="6" borderId="15" xfId="0" applyFont="1" applyFill="1" applyBorder="1" applyAlignment="1">
      <alignment horizontal="center"/>
    </xf>
    <xf numFmtId="0" fontId="4" fillId="6" borderId="15" xfId="0" applyFont="1" applyFill="1" applyBorder="1"/>
    <xf numFmtId="0" fontId="4" fillId="6" borderId="16" xfId="0" applyFont="1" applyFill="1" applyBorder="1"/>
    <xf numFmtId="168" fontId="8" fillId="7" borderId="2" xfId="3" applyNumberFormat="1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 wrapText="1"/>
    </xf>
    <xf numFmtId="164" fontId="15" fillId="6" borderId="2" xfId="0" applyNumberFormat="1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 wrapText="1"/>
    </xf>
    <xf numFmtId="166" fontId="4" fillId="0" borderId="10" xfId="0" applyNumberFormat="1" applyFont="1" applyBorder="1" applyAlignment="1">
      <alignment horizontal="left" vertical="center" wrapText="1"/>
    </xf>
    <xf numFmtId="167" fontId="9" fillId="0" borderId="0" xfId="0" applyNumberFormat="1" applyFont="1"/>
    <xf numFmtId="164" fontId="9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5" fillId="0" borderId="0" xfId="4" applyFont="1" applyAlignment="1">
      <alignment horizontal="center" vertical="center" wrapText="1"/>
    </xf>
    <xf numFmtId="166" fontId="4" fillId="0" borderId="10" xfId="0" applyNumberFormat="1" applyFont="1" applyBorder="1" applyAlignment="1">
      <alignment horizontal="left" vertical="center" wrapText="1"/>
    </xf>
    <xf numFmtId="166" fontId="4" fillId="0" borderId="11" xfId="0" applyNumberFormat="1" applyFont="1" applyBorder="1" applyAlignment="1">
      <alignment horizontal="left" vertical="center" wrapText="1"/>
    </xf>
    <xf numFmtId="166" fontId="4" fillId="3" borderId="10" xfId="0" applyNumberFormat="1" applyFont="1" applyFill="1" applyBorder="1" applyAlignment="1">
      <alignment horizontal="left" vertical="center" wrapText="1"/>
    </xf>
    <xf numFmtId="166" fontId="4" fillId="3" borderId="11" xfId="0" applyNumberFormat="1" applyFont="1" applyFill="1" applyBorder="1" applyAlignment="1">
      <alignment horizontal="left" vertical="center" wrapText="1"/>
    </xf>
    <xf numFmtId="166" fontId="4" fillId="3" borderId="13" xfId="0" applyNumberFormat="1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4" fillId="3" borderId="11" xfId="4" applyFont="1" applyFill="1" applyBorder="1" applyAlignment="1">
      <alignment horizontal="left" vertical="center" wrapText="1"/>
    </xf>
    <xf numFmtId="0" fontId="4" fillId="3" borderId="13" xfId="4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166" fontId="4" fillId="0" borderId="13" xfId="0" applyNumberFormat="1" applyFont="1" applyBorder="1" applyAlignment="1">
      <alignment horizontal="left" vertical="center" wrapText="1"/>
    </xf>
    <xf numFmtId="0" fontId="5" fillId="0" borderId="0" xfId="4" applyFont="1" applyAlignment="1">
      <alignment horizontal="center" wrapText="1"/>
    </xf>
    <xf numFmtId="0" fontId="3" fillId="0" borderId="3" xfId="4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vertical="center" wrapText="1"/>
    </xf>
    <xf numFmtId="0" fontId="3" fillId="0" borderId="6" xfId="4" applyFont="1" applyBorder="1" applyAlignment="1">
      <alignment horizontal="center" vertical="center" wrapText="1"/>
    </xf>
    <xf numFmtId="0" fontId="3" fillId="0" borderId="8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/>
    </xf>
    <xf numFmtId="0" fontId="3" fillId="0" borderId="17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19" xfId="4" applyFont="1" applyBorder="1" applyAlignment="1">
      <alignment horizontal="center" vertical="center"/>
    </xf>
    <xf numFmtId="0" fontId="12" fillId="5" borderId="17" xfId="4" applyFont="1" applyFill="1" applyBorder="1" applyAlignment="1">
      <alignment horizontal="center" vertical="center" wrapText="1"/>
    </xf>
    <xf numFmtId="0" fontId="12" fillId="5" borderId="18" xfId="4" applyFont="1" applyFill="1" applyBorder="1" applyAlignment="1">
      <alignment horizontal="center" vertical="center" wrapText="1"/>
    </xf>
    <xf numFmtId="0" fontId="12" fillId="5" borderId="0" xfId="4" applyFont="1" applyFill="1" applyBorder="1" applyAlignment="1">
      <alignment horizontal="center" vertical="center" wrapText="1"/>
    </xf>
    <xf numFmtId="0" fontId="12" fillId="5" borderId="14" xfId="4" applyFont="1" applyFill="1" applyBorder="1" applyAlignment="1">
      <alignment horizontal="center" vertical="center" wrapText="1"/>
    </xf>
    <xf numFmtId="0" fontId="12" fillId="5" borderId="19" xfId="4" applyFont="1" applyFill="1" applyBorder="1" applyAlignment="1">
      <alignment horizontal="center" vertical="center" wrapText="1"/>
    </xf>
    <xf numFmtId="0" fontId="12" fillId="5" borderId="20" xfId="4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wrapText="1"/>
    </xf>
  </cellXfs>
  <cellStyles count="9">
    <cellStyle name="Hipervínculo 2" xfId="6" xr:uid="{00000000-0005-0000-0000-000003000000}"/>
    <cellStyle name="Millares [0]" xfId="1" builtinId="6"/>
    <cellStyle name="Moneda" xfId="2" builtinId="4"/>
    <cellStyle name="Moneda 2" xfId="5" xr:uid="{00000000-0005-0000-0000-000004000000}"/>
    <cellStyle name="Normal" xfId="0" builtinId="0"/>
    <cellStyle name="Normal 2" xfId="4" xr:uid="{00000000-0005-0000-0000-000006000000}"/>
    <cellStyle name="Normal 2 2" xfId="7" xr:uid="{00000000-0005-0000-0000-000007000000}"/>
    <cellStyle name="Normal 2 4" xfId="8" xr:uid="{00000000-0005-0000-0000-000008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653142</xdr:colOff>
      <xdr:row>0</xdr:row>
      <xdr:rowOff>0</xdr:rowOff>
    </xdr:from>
    <xdr:to>
      <xdr:col>2</xdr:col>
      <xdr:colOff>3196317</xdr:colOff>
      <xdr:row>2</xdr:row>
      <xdr:rowOff>333375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0B8A76F-427E-4778-AAE4-47F99871C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035" y="0"/>
          <a:ext cx="4162425" cy="10953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:/SIGC%202019/0.%20PLAN%20DE%20TRABAJO/SIGC%202019/0.%20PLAN%20DE%20TRABAJO/Plan%20de%20Trabajo/0.%20PLAN%20DE%20TRABAJO/PROGRAMACI&#211;N-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NIPILOTO/GERENCIA%20ESTRATEGICA%20SST/2021/HERRAMIENTA%20TALLER%20EMPRESA%20FOOD%20SOLUTIONS%20ok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:/Users/Administrator/Google%20Drive/d/WinCalendar/GenerateAl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s"/>
      <sheetName val="Calendario"/>
      <sheetName val="Listado de Tareas"/>
      <sheetName val="Hoja1"/>
      <sheetName val="Hoja2"/>
      <sheetName val="130518 200418"/>
      <sheetName val="LEMA"/>
      <sheetName val="Hoja3"/>
    </sheetNames>
    <sheetDataSet>
      <sheetData sheetId="0">
        <row r="4">
          <cell r="A4">
            <v>43101</v>
          </cell>
          <cell r="B4">
            <v>43101</v>
          </cell>
          <cell r="C4" t="str">
            <v>Año nuevo</v>
          </cell>
        </row>
        <row r="5">
          <cell r="A5">
            <v>43106</v>
          </cell>
          <cell r="B5">
            <v>43106</v>
          </cell>
          <cell r="C5" t="str">
            <v>Epifania del Señor</v>
          </cell>
        </row>
        <row r="6">
          <cell r="A6">
            <v>43189</v>
          </cell>
          <cell r="B6">
            <v>43189</v>
          </cell>
          <cell r="C6" t="str">
            <v>Viernes Santo</v>
          </cell>
        </row>
        <row r="7">
          <cell r="A7">
            <v>43192</v>
          </cell>
          <cell r="B7">
            <v>43192</v>
          </cell>
          <cell r="C7" t="str">
            <v>Lunes de Pasqua</v>
          </cell>
        </row>
        <row r="8">
          <cell r="A8">
            <v>43221</v>
          </cell>
          <cell r="B8">
            <v>43221</v>
          </cell>
          <cell r="C8" t="str">
            <v>Fiesta del Trabajo</v>
          </cell>
        </row>
        <row r="9">
          <cell r="A9">
            <v>43327</v>
          </cell>
          <cell r="B9">
            <v>43327</v>
          </cell>
          <cell r="C9" t="str">
            <v>Asunción de la Virgen</v>
          </cell>
        </row>
        <row r="10">
          <cell r="A10">
            <v>43385</v>
          </cell>
          <cell r="B10">
            <v>43385</v>
          </cell>
          <cell r="C10" t="str">
            <v>Fiesta de la Hispanidad</v>
          </cell>
        </row>
        <row r="11">
          <cell r="A11">
            <v>43405</v>
          </cell>
          <cell r="B11">
            <v>43405</v>
          </cell>
          <cell r="C11" t="str">
            <v>Todos los Santos</v>
          </cell>
        </row>
        <row r="12">
          <cell r="A12">
            <v>43440</v>
          </cell>
          <cell r="B12">
            <v>43440</v>
          </cell>
          <cell r="C12" t="str">
            <v>Día de la Constitución</v>
          </cell>
        </row>
        <row r="13">
          <cell r="A13">
            <v>43442</v>
          </cell>
          <cell r="B13">
            <v>43442</v>
          </cell>
          <cell r="C13" t="str">
            <v>La Inmaculada Concepción</v>
          </cell>
        </row>
        <row r="14">
          <cell r="A14">
            <v>43459</v>
          </cell>
          <cell r="B14">
            <v>43459</v>
          </cell>
          <cell r="C14" t="str">
            <v>Navidad</v>
          </cell>
        </row>
        <row r="15">
          <cell r="A15">
            <v>43466</v>
          </cell>
          <cell r="B15">
            <v>43466</v>
          </cell>
          <cell r="C15" t="str">
            <v>Año nuevo</v>
          </cell>
        </row>
        <row r="16">
          <cell r="A16">
            <v>43471</v>
          </cell>
          <cell r="B16">
            <v>43471</v>
          </cell>
          <cell r="C16" t="str">
            <v>Epifania del Señor</v>
          </cell>
        </row>
        <row r="17">
          <cell r="A17">
            <v>43574</v>
          </cell>
          <cell r="B17">
            <v>43574</v>
          </cell>
          <cell r="C17" t="str">
            <v>Viernes Santo</v>
          </cell>
        </row>
        <row r="18">
          <cell r="A18">
            <v>43577</v>
          </cell>
          <cell r="B18">
            <v>43577</v>
          </cell>
          <cell r="C18" t="str">
            <v>Lunes de Pasqua</v>
          </cell>
        </row>
        <row r="19">
          <cell r="A19">
            <v>43586</v>
          </cell>
          <cell r="B19">
            <v>43586</v>
          </cell>
          <cell r="C19" t="str">
            <v>Fiesta del Trabajo</v>
          </cell>
        </row>
        <row r="20">
          <cell r="A20">
            <v>43692</v>
          </cell>
          <cell r="B20">
            <v>43692</v>
          </cell>
          <cell r="C20" t="str">
            <v>Asunción de la Virgen</v>
          </cell>
        </row>
        <row r="21">
          <cell r="A21">
            <v>43750</v>
          </cell>
          <cell r="B21">
            <v>43750</v>
          </cell>
          <cell r="C21" t="str">
            <v>Fiesta de la Hispanidad</v>
          </cell>
        </row>
        <row r="22">
          <cell r="A22">
            <v>43770</v>
          </cell>
          <cell r="B22">
            <v>43770</v>
          </cell>
          <cell r="C22" t="str">
            <v>Todos los Santos</v>
          </cell>
        </row>
        <row r="23">
          <cell r="A23">
            <v>43805</v>
          </cell>
          <cell r="B23">
            <v>43805</v>
          </cell>
          <cell r="C23" t="str">
            <v>Día de la Constitución</v>
          </cell>
        </row>
        <row r="24">
          <cell r="A24">
            <v>43807</v>
          </cell>
          <cell r="B24">
            <v>43807</v>
          </cell>
          <cell r="C24" t="str">
            <v>La Inmaculada Concepción</v>
          </cell>
        </row>
        <row r="25">
          <cell r="A25">
            <v>43824</v>
          </cell>
          <cell r="B25">
            <v>43824</v>
          </cell>
          <cell r="C25" t="str">
            <v>Navidad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de Contenido"/>
      <sheetName val="Brochure"/>
      <sheetName val="Contexto"/>
      <sheetName val="Matriz Partes Interesadas"/>
      <sheetName val="Directrices Estratégicas"/>
      <sheetName val="Mapa de Procesos"/>
      <sheetName val="Caracterización de Proceso"/>
      <sheetName val="Planta de Personal "/>
      <sheetName val="Nomina"/>
      <sheetName val="OTROS COSTOS"/>
      <sheetName val="Hoja2"/>
      <sheetName val="Politica SST"/>
      <sheetName val="Matriz de Riesgos"/>
      <sheetName val="Autoevaluación SST"/>
      <sheetName val="Plan de Trabajo Anual"/>
      <sheetName val="Presupuesto"/>
      <sheetName val="Matriz IPERC"/>
      <sheetName val="Programa de Auditoria"/>
      <sheetName val="Plan de Auditoria"/>
      <sheetName val="Lista de Verificación"/>
      <sheetName val="Informe de Auditoria"/>
      <sheetName val="Revisión por la Dirección"/>
      <sheetName val="Indicador de Estructura"/>
      <sheetName val="Indicador de Proceso"/>
      <sheetName val="Indicador de Resultado"/>
      <sheetName val="Indicadores Mini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M3" t="str">
            <v>Insignificante</v>
          </cell>
        </row>
        <row r="4">
          <cell r="M4" t="str">
            <v>Menor</v>
          </cell>
        </row>
        <row r="5">
          <cell r="M5" t="str">
            <v>Moderado</v>
          </cell>
        </row>
        <row r="6">
          <cell r="M6" t="str">
            <v>Mayor</v>
          </cell>
        </row>
        <row r="7">
          <cell r="M7" t="str">
            <v>Catastrofico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YYY Holidays"/>
      <sheetName val="TodaySched"/>
      <sheetName val="CountryMap"/>
      <sheetName val="JS"/>
      <sheetName val="Hol_Imgs"/>
      <sheetName val="India"/>
      <sheetName val="Mob Menu"/>
      <sheetName val="EachDayFacts"/>
      <sheetName val="Ads"/>
      <sheetName val="AdsFunFacts"/>
      <sheetName val="Fun Facts"/>
      <sheetName val="HTML Pages"/>
      <sheetName val="MultiDayObs"/>
      <sheetName val="LeftNavNS"/>
      <sheetName val="All_All"/>
      <sheetName val="Link Stradegy"/>
      <sheetName val="HTML2"/>
      <sheetName val="HTML"/>
      <sheetName val="PAdverts"/>
      <sheetName val="Lang"/>
      <sheetName val="Country"/>
      <sheetName val="Batch Mgr"/>
      <sheetName val="Log"/>
      <sheetName val="Ad Chanl"/>
      <sheetName val="Soc Media"/>
      <sheetName val="Soc Media MH"/>
      <sheetName val="Val_Pages"/>
      <sheetName val="2010_Cal"/>
      <sheetName val="2011_Cal"/>
      <sheetName val="2012_Cal"/>
      <sheetName val="2013_Cal"/>
      <sheetName val="2014_Cal"/>
      <sheetName val="2015_Cal"/>
      <sheetName val="2016_Cal"/>
      <sheetName val="2017_Cal"/>
      <sheetName val="2018_Cal"/>
      <sheetName val="2019_Cal"/>
      <sheetName val="2020_Cal"/>
      <sheetName val="2021_Cal"/>
      <sheetName val="2022_Cal"/>
      <sheetName val="2023_Cal"/>
      <sheetName val="2024_Cal"/>
      <sheetName val="2025_Cal"/>
      <sheetName val="2026_Cal"/>
      <sheetName val="2027_Cal"/>
      <sheetName val="2028_Cal"/>
      <sheetName val="2029_Cal"/>
      <sheetName val="2030_Cal"/>
      <sheetName val="2031_Cal"/>
      <sheetName val="2032_Cal"/>
      <sheetName val="2033_Cal"/>
      <sheetName val="2034_Cal"/>
      <sheetName val="2035_Cal"/>
      <sheetName val="2036_Cal"/>
      <sheetName val="2037_Cal"/>
      <sheetName val="2038_Cal"/>
      <sheetName val="2039_Cal"/>
      <sheetName val="2040_Cal"/>
      <sheetName val="2041_Cal"/>
      <sheetName val="2042_Cal"/>
      <sheetName val="2043_Cal"/>
      <sheetName val="2044_Cal"/>
      <sheetName val="2045_Cal"/>
      <sheetName val="2046_Cal"/>
      <sheetName val="2047_Cal"/>
      <sheetName val="2048_Cal"/>
      <sheetName val="2049_Cal"/>
      <sheetName val="2050_C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K2">
            <v>1</v>
          </cell>
        </row>
        <row r="4">
          <cell r="K4">
            <v>3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7C275"/>
  </sheetPr>
  <dimension ref="B1:U50"/>
  <sheetViews>
    <sheetView showGridLines="0" topLeftCell="A32" zoomScale="70" zoomScaleNormal="70" workbookViewId="0">
      <selection activeCell="F46" sqref="B5:F46"/>
    </sheetView>
  </sheetViews>
  <sheetFormatPr baseColWidth="10" defaultColWidth="11.42578125" defaultRowHeight="12.75" x14ac:dyDescent="0.2"/>
  <cols>
    <col min="1" max="1" width="2.7109375" style="1" customWidth="1"/>
    <col min="2" max="2" width="24.28515625" style="19" customWidth="1"/>
    <col min="3" max="3" width="64.42578125" style="19" bestFit="1" customWidth="1"/>
    <col min="4" max="4" width="35.7109375" style="19" bestFit="1" customWidth="1"/>
    <col min="5" max="5" width="13.85546875" style="19" hidden="1" customWidth="1"/>
    <col min="6" max="6" width="21.42578125" style="20" customWidth="1"/>
    <col min="7" max="7" width="23.28515625" style="21" bestFit="1" customWidth="1"/>
    <col min="8" max="8" width="17.5703125" style="1" bestFit="1" customWidth="1"/>
    <col min="9" max="12" width="16.5703125" style="1" bestFit="1" customWidth="1"/>
    <col min="13" max="13" width="17" style="1" bestFit="1" customWidth="1"/>
    <col min="14" max="14" width="16.28515625" style="1" bestFit="1" customWidth="1"/>
    <col min="15" max="15" width="16.5703125" style="1" bestFit="1" customWidth="1"/>
    <col min="16" max="16" width="16.140625" style="1" bestFit="1" customWidth="1"/>
    <col min="17" max="17" width="17" style="1" bestFit="1" customWidth="1"/>
    <col min="18" max="18" width="16.140625" style="1" bestFit="1" customWidth="1"/>
    <col min="19" max="19" width="16.28515625" style="1" bestFit="1" customWidth="1"/>
    <col min="20" max="20" width="11.42578125" style="1"/>
    <col min="21" max="21" width="12.42578125" style="1" bestFit="1" customWidth="1"/>
    <col min="22" max="22" width="13.85546875" style="1" bestFit="1" customWidth="1"/>
    <col min="23" max="16384" width="11.42578125" style="1"/>
  </cols>
  <sheetData>
    <row r="1" spans="2:21" ht="30" customHeight="1" x14ac:dyDescent="0.2">
      <c r="B1" s="79"/>
      <c r="C1" s="80"/>
      <c r="D1" s="85" t="s">
        <v>65</v>
      </c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6"/>
      <c r="R1" s="73"/>
      <c r="S1" s="74"/>
    </row>
    <row r="2" spans="2:21" ht="30" customHeight="1" x14ac:dyDescent="0.2">
      <c r="B2" s="81"/>
      <c r="C2" s="82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8"/>
      <c r="R2" s="75" t="s">
        <v>33</v>
      </c>
      <c r="S2" s="76"/>
    </row>
    <row r="3" spans="2:21" ht="30" customHeight="1" thickBot="1" x14ac:dyDescent="0.25">
      <c r="B3" s="83"/>
      <c r="C3" s="84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90"/>
      <c r="R3" s="77" t="s">
        <v>58</v>
      </c>
      <c r="S3" s="78"/>
    </row>
    <row r="4" spans="2:21" ht="15" customHeight="1" x14ac:dyDescent="0.2"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</row>
    <row r="5" spans="2:21" ht="45" x14ac:dyDescent="0.2">
      <c r="B5" s="30" t="s">
        <v>0</v>
      </c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0" t="s">
        <v>10</v>
      </c>
      <c r="I5" s="30" t="s">
        <v>11</v>
      </c>
      <c r="J5" s="30" t="s">
        <v>12</v>
      </c>
      <c r="K5" s="30" t="s">
        <v>13</v>
      </c>
      <c r="L5" s="30" t="s">
        <v>14</v>
      </c>
      <c r="M5" s="30" t="s">
        <v>15</v>
      </c>
      <c r="N5" s="30" t="s">
        <v>16</v>
      </c>
      <c r="O5" s="30" t="s">
        <v>17</v>
      </c>
      <c r="P5" s="30" t="s">
        <v>6</v>
      </c>
      <c r="Q5" s="30" t="s">
        <v>7</v>
      </c>
      <c r="R5" s="30" t="s">
        <v>8</v>
      </c>
      <c r="S5" s="30" t="s">
        <v>9</v>
      </c>
    </row>
    <row r="6" spans="2:21" ht="30" customHeight="1" x14ac:dyDescent="0.2">
      <c r="B6" s="44" t="s">
        <v>22</v>
      </c>
      <c r="C6" s="2" t="s">
        <v>72</v>
      </c>
      <c r="D6" s="2" t="s">
        <v>26</v>
      </c>
      <c r="E6" s="2">
        <v>1</v>
      </c>
      <c r="F6" s="7">
        <f>26400000*20%</f>
        <v>5280000</v>
      </c>
      <c r="G6" s="4">
        <f>(H6)/F6</f>
        <v>8.3333333333333329E-2</v>
      </c>
      <c r="H6" s="5">
        <f>$F$6/12</f>
        <v>440000</v>
      </c>
      <c r="I6" s="5">
        <f t="shared" ref="I6:S6" si="0">$F$6/12</f>
        <v>440000</v>
      </c>
      <c r="J6" s="5">
        <f t="shared" si="0"/>
        <v>440000</v>
      </c>
      <c r="K6" s="5">
        <f t="shared" si="0"/>
        <v>440000</v>
      </c>
      <c r="L6" s="5">
        <f t="shared" si="0"/>
        <v>440000</v>
      </c>
      <c r="M6" s="5">
        <f t="shared" si="0"/>
        <v>440000</v>
      </c>
      <c r="N6" s="5">
        <f t="shared" si="0"/>
        <v>440000</v>
      </c>
      <c r="O6" s="5">
        <f t="shared" si="0"/>
        <v>440000</v>
      </c>
      <c r="P6" s="5">
        <f t="shared" si="0"/>
        <v>440000</v>
      </c>
      <c r="Q6" s="5">
        <f t="shared" si="0"/>
        <v>440000</v>
      </c>
      <c r="R6" s="5">
        <f t="shared" si="0"/>
        <v>440000</v>
      </c>
      <c r="S6" s="5">
        <f t="shared" si="0"/>
        <v>440000</v>
      </c>
    </row>
    <row r="7" spans="2:21" ht="15" customHeight="1" x14ac:dyDescent="0.2">
      <c r="B7" s="24" t="s">
        <v>18</v>
      </c>
      <c r="C7" s="25"/>
      <c r="D7" s="25"/>
      <c r="E7" s="25"/>
      <c r="F7" s="26">
        <f>SUM(F6:F6)</f>
        <v>5280000</v>
      </c>
      <c r="G7" s="50">
        <f t="shared" ref="G7:G45" si="1">(H7)/F7</f>
        <v>8.3333333333333329E-2</v>
      </c>
      <c r="H7" s="26">
        <f t="shared" ref="H7:S7" si="2">SUM(H6:H6)</f>
        <v>440000</v>
      </c>
      <c r="I7" s="26">
        <f t="shared" si="2"/>
        <v>440000</v>
      </c>
      <c r="J7" s="26">
        <f t="shared" si="2"/>
        <v>440000</v>
      </c>
      <c r="K7" s="26">
        <f t="shared" si="2"/>
        <v>440000</v>
      </c>
      <c r="L7" s="26">
        <f t="shared" si="2"/>
        <v>440000</v>
      </c>
      <c r="M7" s="26">
        <f t="shared" si="2"/>
        <v>440000</v>
      </c>
      <c r="N7" s="26">
        <f t="shared" si="2"/>
        <v>440000</v>
      </c>
      <c r="O7" s="26">
        <f t="shared" si="2"/>
        <v>440000</v>
      </c>
      <c r="P7" s="26">
        <f t="shared" si="2"/>
        <v>440000</v>
      </c>
      <c r="Q7" s="26">
        <f t="shared" si="2"/>
        <v>440000</v>
      </c>
      <c r="R7" s="26">
        <f t="shared" si="2"/>
        <v>440000</v>
      </c>
      <c r="S7" s="26">
        <f t="shared" si="2"/>
        <v>440000</v>
      </c>
    </row>
    <row r="8" spans="2:21" ht="30" customHeight="1" x14ac:dyDescent="0.2">
      <c r="B8" s="44" t="s">
        <v>19</v>
      </c>
      <c r="C8" s="43" t="s">
        <v>61</v>
      </c>
      <c r="D8" s="2" t="s">
        <v>60</v>
      </c>
      <c r="E8" s="2">
        <v>1</v>
      </c>
      <c r="F8" s="3">
        <v>1400000</v>
      </c>
      <c r="G8" s="4">
        <f t="shared" si="1"/>
        <v>0</v>
      </c>
      <c r="H8" s="5"/>
      <c r="I8" s="5">
        <v>1400000</v>
      </c>
      <c r="K8" s="5"/>
      <c r="L8" s="5"/>
      <c r="M8" s="5"/>
      <c r="N8" s="5"/>
      <c r="O8" s="5"/>
      <c r="P8" s="5"/>
      <c r="Q8" s="5"/>
      <c r="R8" s="5"/>
      <c r="S8" s="5"/>
      <c r="U8" s="22"/>
    </row>
    <row r="9" spans="2:21" x14ac:dyDescent="0.2">
      <c r="B9" s="24" t="s">
        <v>18</v>
      </c>
      <c r="C9" s="25"/>
      <c r="D9" s="25"/>
      <c r="E9" s="25"/>
      <c r="F9" s="26">
        <f>SUM(F8:F8)</f>
        <v>1400000</v>
      </c>
      <c r="G9" s="50">
        <f t="shared" si="1"/>
        <v>0</v>
      </c>
      <c r="H9" s="26">
        <f t="shared" ref="H9:S9" si="3">SUM(H8:H8)</f>
        <v>0</v>
      </c>
      <c r="I9" s="26">
        <f t="shared" si="3"/>
        <v>1400000</v>
      </c>
      <c r="J9" s="26">
        <f t="shared" si="3"/>
        <v>0</v>
      </c>
      <c r="K9" s="26">
        <f t="shared" si="3"/>
        <v>0</v>
      </c>
      <c r="L9" s="26">
        <f t="shared" si="3"/>
        <v>0</v>
      </c>
      <c r="M9" s="26">
        <f t="shared" si="3"/>
        <v>0</v>
      </c>
      <c r="N9" s="26">
        <f t="shared" si="3"/>
        <v>0</v>
      </c>
      <c r="O9" s="26">
        <f t="shared" si="3"/>
        <v>0</v>
      </c>
      <c r="P9" s="26">
        <f t="shared" si="3"/>
        <v>0</v>
      </c>
      <c r="Q9" s="26">
        <f t="shared" si="3"/>
        <v>0</v>
      </c>
      <c r="R9" s="26">
        <f t="shared" si="3"/>
        <v>0</v>
      </c>
      <c r="S9" s="26">
        <f t="shared" si="3"/>
        <v>0</v>
      </c>
    </row>
    <row r="10" spans="2:21" ht="30" customHeight="1" x14ac:dyDescent="0.2">
      <c r="B10" s="59" t="s">
        <v>62</v>
      </c>
      <c r="C10" s="64" t="s">
        <v>59</v>
      </c>
      <c r="D10" s="6" t="s">
        <v>24</v>
      </c>
      <c r="E10" s="6">
        <v>24</v>
      </c>
      <c r="F10" s="7">
        <f>11000*E10</f>
        <v>264000</v>
      </c>
      <c r="G10" s="4">
        <f>(H10)/F10</f>
        <v>1</v>
      </c>
      <c r="H10" s="8">
        <f>F10</f>
        <v>264000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2:21" ht="30" customHeight="1" x14ac:dyDescent="0.2">
      <c r="B11" s="59"/>
      <c r="C11" s="64"/>
      <c r="D11" s="6" t="s">
        <v>71</v>
      </c>
      <c r="E11" s="6">
        <v>12</v>
      </c>
      <c r="F11" s="7">
        <f>481600</f>
        <v>481600</v>
      </c>
      <c r="G11" s="4">
        <f t="shared" si="1"/>
        <v>0.5</v>
      </c>
      <c r="H11" s="8">
        <f t="shared" ref="H11" si="4">F11*0.5</f>
        <v>240800</v>
      </c>
      <c r="I11" s="8"/>
      <c r="J11" s="8"/>
      <c r="K11" s="8"/>
      <c r="L11" s="8">
        <f t="shared" ref="L11" si="5">F11*0.25</f>
        <v>120400</v>
      </c>
      <c r="M11" s="8"/>
      <c r="N11" s="8"/>
      <c r="O11" s="8"/>
      <c r="P11" s="8">
        <f t="shared" ref="P11" si="6">F11*0.25</f>
        <v>120400</v>
      </c>
      <c r="Q11" s="8"/>
      <c r="R11" s="8"/>
      <c r="S11" s="8"/>
    </row>
    <row r="12" spans="2:21" ht="30" customHeight="1" x14ac:dyDescent="0.2">
      <c r="B12" s="59"/>
      <c r="C12" s="64"/>
      <c r="D12" s="6" t="s">
        <v>70</v>
      </c>
      <c r="E12" s="6">
        <v>6</v>
      </c>
      <c r="F12" s="7">
        <f>368700*E12</f>
        <v>2212200</v>
      </c>
      <c r="G12" s="4">
        <f t="shared" si="1"/>
        <v>1</v>
      </c>
      <c r="H12" s="8">
        <f>F12</f>
        <v>2212200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2:21" ht="30" customHeight="1" x14ac:dyDescent="0.2">
      <c r="B13" s="59"/>
      <c r="C13" s="64"/>
      <c r="D13" s="6" t="s">
        <v>64</v>
      </c>
      <c r="E13" s="6">
        <v>30</v>
      </c>
      <c r="F13" s="7">
        <f>E13*57900</f>
        <v>1737000</v>
      </c>
      <c r="G13" s="4">
        <f t="shared" si="1"/>
        <v>0.33333333333333331</v>
      </c>
      <c r="H13" s="8">
        <f>57900*10</f>
        <v>579000</v>
      </c>
      <c r="I13" s="8"/>
      <c r="J13" s="8"/>
      <c r="K13" s="8"/>
      <c r="L13" s="8">
        <f>57900*10</f>
        <v>579000</v>
      </c>
      <c r="M13" s="8"/>
      <c r="N13" s="8"/>
      <c r="O13" s="8"/>
      <c r="P13" s="8">
        <f>57900*10</f>
        <v>579000</v>
      </c>
      <c r="Q13" s="8"/>
      <c r="R13" s="8"/>
      <c r="S13" s="8"/>
    </row>
    <row r="14" spans="2:21" ht="30" customHeight="1" x14ac:dyDescent="0.2">
      <c r="B14" s="59"/>
      <c r="C14" s="64"/>
      <c r="D14" s="6" t="s">
        <v>23</v>
      </c>
      <c r="E14" s="6">
        <v>10</v>
      </c>
      <c r="F14" s="7">
        <f>29900*E14</f>
        <v>299000</v>
      </c>
      <c r="G14" s="4">
        <f t="shared" si="1"/>
        <v>0.5</v>
      </c>
      <c r="H14" s="8">
        <f>F14*50%</f>
        <v>149500</v>
      </c>
      <c r="I14" s="8"/>
      <c r="J14" s="8"/>
      <c r="K14" s="8"/>
      <c r="L14" s="8"/>
      <c r="M14" s="8">
        <f>F14*0.5</f>
        <v>149500</v>
      </c>
      <c r="N14" s="8"/>
      <c r="O14" s="8"/>
      <c r="P14" s="8"/>
      <c r="Q14" s="8"/>
      <c r="R14" s="8"/>
      <c r="S14" s="8"/>
    </row>
    <row r="15" spans="2:21" ht="30" customHeight="1" x14ac:dyDescent="0.2">
      <c r="B15" s="59"/>
      <c r="C15" s="64"/>
      <c r="D15" s="6" t="s">
        <v>63</v>
      </c>
      <c r="E15" s="6">
        <v>10</v>
      </c>
      <c r="F15" s="7">
        <v>960000</v>
      </c>
      <c r="G15" s="4">
        <f t="shared" si="1"/>
        <v>0.33333333333333331</v>
      </c>
      <c r="H15" s="8">
        <v>320000</v>
      </c>
      <c r="I15" s="8"/>
      <c r="J15" s="8"/>
      <c r="K15" s="8"/>
      <c r="L15" s="8"/>
      <c r="M15" s="8">
        <v>320000</v>
      </c>
      <c r="N15" s="8"/>
      <c r="O15" s="8"/>
      <c r="P15" s="8"/>
      <c r="Q15" s="8">
        <v>320000</v>
      </c>
      <c r="R15" s="8"/>
      <c r="S15" s="8">
        <v>320000</v>
      </c>
    </row>
    <row r="16" spans="2:21" ht="30" customHeight="1" x14ac:dyDescent="0.2">
      <c r="B16" s="59"/>
      <c r="C16" s="63" t="s">
        <v>43</v>
      </c>
      <c r="D16" s="31" t="s">
        <v>35</v>
      </c>
      <c r="E16" s="6">
        <v>3</v>
      </c>
      <c r="F16" s="7">
        <f>54000*E16</f>
        <v>162000</v>
      </c>
      <c r="G16" s="4">
        <f t="shared" si="1"/>
        <v>0</v>
      </c>
      <c r="H16" s="8"/>
      <c r="I16" s="8"/>
      <c r="J16" s="8"/>
      <c r="K16" s="8"/>
      <c r="L16" s="8"/>
      <c r="M16" s="8"/>
      <c r="N16" s="8"/>
      <c r="O16" s="8">
        <f>F16</f>
        <v>162000</v>
      </c>
      <c r="P16" s="8"/>
      <c r="Q16" s="8"/>
      <c r="R16" s="8"/>
      <c r="S16" s="8"/>
    </row>
    <row r="17" spans="2:19" ht="30" customHeight="1" x14ac:dyDescent="0.2">
      <c r="B17" s="59"/>
      <c r="C17" s="64"/>
      <c r="D17" s="6" t="s">
        <v>25</v>
      </c>
      <c r="E17" s="6">
        <v>3</v>
      </c>
      <c r="F17" s="7">
        <f>35000*E17</f>
        <v>105000</v>
      </c>
      <c r="G17" s="4">
        <f t="shared" si="1"/>
        <v>0</v>
      </c>
      <c r="H17" s="8"/>
      <c r="I17" s="8"/>
      <c r="J17" s="8"/>
      <c r="K17" s="8">
        <f>F17</f>
        <v>105000</v>
      </c>
      <c r="L17" s="8"/>
      <c r="M17" s="8"/>
      <c r="N17" s="8"/>
      <c r="O17" s="8"/>
      <c r="P17" s="8"/>
      <c r="Q17" s="8"/>
      <c r="R17" s="8"/>
      <c r="S17" s="8"/>
    </row>
    <row r="18" spans="2:19" ht="30" customHeight="1" x14ac:dyDescent="0.2">
      <c r="B18" s="59"/>
      <c r="C18" s="64"/>
      <c r="D18" s="6" t="s">
        <v>66</v>
      </c>
      <c r="E18" s="6">
        <v>2</v>
      </c>
      <c r="F18" s="7">
        <f>E18*145000</f>
        <v>290000</v>
      </c>
      <c r="G18" s="4">
        <f t="shared" si="1"/>
        <v>0.5</v>
      </c>
      <c r="H18" s="8">
        <f>F18*0.5</f>
        <v>145000</v>
      </c>
      <c r="I18" s="8"/>
      <c r="J18" s="8"/>
      <c r="L18" s="8">
        <f>F18*0.5</f>
        <v>145000</v>
      </c>
      <c r="M18" s="8"/>
      <c r="N18" s="8"/>
      <c r="O18" s="33"/>
      <c r="P18" s="8"/>
      <c r="Q18" s="8"/>
      <c r="R18" s="8"/>
      <c r="S18" s="8"/>
    </row>
    <row r="19" spans="2:19" ht="30" customHeight="1" x14ac:dyDescent="0.2">
      <c r="B19" s="59"/>
      <c r="C19" s="64"/>
      <c r="D19" s="6" t="s">
        <v>36</v>
      </c>
      <c r="E19" s="6">
        <v>2</v>
      </c>
      <c r="F19" s="7">
        <f>E19*135000</f>
        <v>270000</v>
      </c>
      <c r="G19" s="4">
        <f t="shared" si="1"/>
        <v>0</v>
      </c>
      <c r="I19" s="8"/>
      <c r="J19" s="8">
        <f>F19</f>
        <v>270000</v>
      </c>
      <c r="K19" s="8"/>
      <c r="L19" s="8"/>
      <c r="M19" s="8"/>
      <c r="O19" s="33"/>
      <c r="P19" s="8"/>
      <c r="Q19" s="8"/>
      <c r="R19" s="8"/>
      <c r="S19" s="8"/>
    </row>
    <row r="20" spans="2:19" ht="30" customHeight="1" x14ac:dyDescent="0.2">
      <c r="B20" s="59"/>
      <c r="C20" s="65"/>
      <c r="D20" s="6" t="s">
        <v>37</v>
      </c>
      <c r="E20" s="6">
        <v>1</v>
      </c>
      <c r="F20" s="7">
        <v>545000</v>
      </c>
      <c r="G20" s="4">
        <f t="shared" si="1"/>
        <v>0</v>
      </c>
      <c r="H20" s="8"/>
      <c r="I20" s="8">
        <f>F20</f>
        <v>545000</v>
      </c>
      <c r="J20" s="8"/>
      <c r="K20" s="33"/>
      <c r="L20" s="8"/>
      <c r="M20" s="8"/>
      <c r="N20" s="8"/>
      <c r="O20" s="33"/>
      <c r="P20" s="8"/>
      <c r="Q20" s="8"/>
      <c r="R20" s="8"/>
      <c r="S20" s="8"/>
    </row>
    <row r="21" spans="2:19" ht="30" customHeight="1" x14ac:dyDescent="0.2">
      <c r="B21" s="59"/>
      <c r="C21" s="63" t="s">
        <v>51</v>
      </c>
      <c r="D21" s="6" t="s">
        <v>38</v>
      </c>
      <c r="E21" s="6">
        <v>20</v>
      </c>
      <c r="F21" s="7">
        <f>16500/10*E21</f>
        <v>33000</v>
      </c>
      <c r="G21" s="4">
        <f t="shared" si="1"/>
        <v>0</v>
      </c>
      <c r="I21" s="8"/>
      <c r="J21" s="8"/>
      <c r="K21" s="8">
        <f>$F$21</f>
        <v>33000</v>
      </c>
      <c r="M21" s="8"/>
      <c r="O21" s="8"/>
      <c r="P21" s="8"/>
      <c r="Q21" s="8"/>
      <c r="R21" s="8"/>
      <c r="S21" s="8"/>
    </row>
    <row r="22" spans="2:19" ht="30" customHeight="1" x14ac:dyDescent="0.2">
      <c r="B22" s="59"/>
      <c r="C22" s="65"/>
      <c r="D22" s="6" t="s">
        <v>34</v>
      </c>
      <c r="E22" s="6">
        <v>1</v>
      </c>
      <c r="F22" s="7">
        <v>1000000</v>
      </c>
      <c r="G22" s="4">
        <f t="shared" si="1"/>
        <v>0.5</v>
      </c>
      <c r="H22" s="8">
        <v>500000</v>
      </c>
      <c r="I22" s="8"/>
      <c r="J22" s="8"/>
      <c r="K22" s="8"/>
      <c r="L22" s="8"/>
      <c r="M22" s="8"/>
      <c r="N22" s="8"/>
      <c r="O22" s="8"/>
      <c r="P22" s="8">
        <v>500000</v>
      </c>
      <c r="Q22" s="8"/>
      <c r="R22" s="8"/>
      <c r="S22" s="8"/>
    </row>
    <row r="23" spans="2:19" ht="30" customHeight="1" x14ac:dyDescent="0.2">
      <c r="B23" s="59"/>
      <c r="C23" s="39" t="s">
        <v>50</v>
      </c>
      <c r="D23" s="6" t="s">
        <v>38</v>
      </c>
      <c r="E23" s="6">
        <v>90</v>
      </c>
      <c r="F23" s="7">
        <f t="shared" ref="F23" si="7">16500/10*E23</f>
        <v>148500</v>
      </c>
      <c r="G23" s="4">
        <f t="shared" si="1"/>
        <v>0.33333000000000002</v>
      </c>
      <c r="H23" s="8">
        <f>F23*0.33333</f>
        <v>49499.505000000005</v>
      </c>
      <c r="I23" s="8"/>
      <c r="J23" s="8"/>
      <c r="K23" s="8">
        <f>F23*0.33333</f>
        <v>49499.505000000005</v>
      </c>
      <c r="L23" s="32"/>
      <c r="M23" s="8"/>
      <c r="N23" s="32"/>
      <c r="O23" s="8">
        <f>F23*0.33333</f>
        <v>49499.505000000005</v>
      </c>
      <c r="P23" s="32"/>
      <c r="Q23" s="8"/>
      <c r="R23" s="8"/>
      <c r="S23" s="8"/>
    </row>
    <row r="24" spans="2:19" x14ac:dyDescent="0.2">
      <c r="B24" s="24" t="s">
        <v>18</v>
      </c>
      <c r="C24" s="25"/>
      <c r="D24" s="25"/>
      <c r="E24" s="25"/>
      <c r="F24" s="26">
        <f>SUM(F10:F23)</f>
        <v>8507300</v>
      </c>
      <c r="G24" s="50">
        <f t="shared" si="1"/>
        <v>0.52425558108918224</v>
      </c>
      <c r="H24" s="26">
        <f t="shared" ref="H24:S24" si="8">SUM(H10:H23)</f>
        <v>4459999.5049999999</v>
      </c>
      <c r="I24" s="26">
        <f t="shared" si="8"/>
        <v>545000</v>
      </c>
      <c r="J24" s="26">
        <f t="shared" si="8"/>
        <v>270000</v>
      </c>
      <c r="K24" s="26">
        <f t="shared" si="8"/>
        <v>187499.505</v>
      </c>
      <c r="L24" s="26">
        <f t="shared" si="8"/>
        <v>844400</v>
      </c>
      <c r="M24" s="26">
        <f t="shared" si="8"/>
        <v>469500</v>
      </c>
      <c r="N24" s="26">
        <f t="shared" si="8"/>
        <v>0</v>
      </c>
      <c r="O24" s="26">
        <f t="shared" si="8"/>
        <v>211499.505</v>
      </c>
      <c r="P24" s="26">
        <f t="shared" si="8"/>
        <v>1199400</v>
      </c>
      <c r="Q24" s="26">
        <f t="shared" si="8"/>
        <v>320000</v>
      </c>
      <c r="R24" s="26">
        <f t="shared" si="8"/>
        <v>0</v>
      </c>
      <c r="S24" s="26">
        <f t="shared" si="8"/>
        <v>320000</v>
      </c>
    </row>
    <row r="25" spans="2:19" ht="30" customHeight="1" x14ac:dyDescent="0.2">
      <c r="B25" s="58" t="s">
        <v>20</v>
      </c>
      <c r="C25" s="61" t="s">
        <v>27</v>
      </c>
      <c r="D25" s="9" t="s">
        <v>28</v>
      </c>
      <c r="E25" s="9">
        <v>4</v>
      </c>
      <c r="F25" s="10">
        <v>200000</v>
      </c>
      <c r="G25" s="4">
        <f t="shared" si="1"/>
        <v>0.5</v>
      </c>
      <c r="H25" s="8">
        <v>100000</v>
      </c>
      <c r="I25" s="8"/>
      <c r="J25" s="8"/>
      <c r="K25" s="8"/>
      <c r="L25" s="8"/>
      <c r="M25" s="8">
        <v>100000</v>
      </c>
      <c r="N25" s="8"/>
      <c r="O25" s="8"/>
      <c r="P25" s="8"/>
      <c r="Q25" s="8"/>
      <c r="R25" s="8"/>
      <c r="S25" s="8"/>
    </row>
    <row r="26" spans="2:19" ht="30" customHeight="1" x14ac:dyDescent="0.2">
      <c r="B26" s="59"/>
      <c r="C26" s="62"/>
      <c r="D26" s="9" t="s">
        <v>29</v>
      </c>
      <c r="E26" s="9">
        <v>10</v>
      </c>
      <c r="F26" s="10">
        <v>500000</v>
      </c>
      <c r="G26" s="4">
        <f t="shared" si="1"/>
        <v>0.4</v>
      </c>
      <c r="H26" s="8">
        <v>200000</v>
      </c>
      <c r="I26" s="8"/>
      <c r="J26" s="8"/>
      <c r="K26" s="8"/>
      <c r="L26" s="8"/>
      <c r="M26" s="8">
        <v>200000</v>
      </c>
      <c r="O26" s="8"/>
      <c r="P26" s="8"/>
      <c r="Q26" s="8"/>
      <c r="R26" s="8">
        <v>100000</v>
      </c>
      <c r="S26" s="8"/>
    </row>
    <row r="27" spans="2:19" ht="30" customHeight="1" x14ac:dyDescent="0.2">
      <c r="B27" s="59"/>
      <c r="C27" s="62"/>
      <c r="D27" s="9" t="s">
        <v>30</v>
      </c>
      <c r="E27" s="9">
        <v>4</v>
      </c>
      <c r="F27" s="10">
        <v>300000</v>
      </c>
      <c r="G27" s="4">
        <f t="shared" si="1"/>
        <v>0.16666666666666666</v>
      </c>
      <c r="H27" s="8">
        <v>50000</v>
      </c>
      <c r="I27" s="8"/>
      <c r="J27" s="8"/>
      <c r="K27" s="8"/>
      <c r="L27" s="8"/>
      <c r="M27" s="8">
        <v>100000</v>
      </c>
      <c r="N27" s="8"/>
      <c r="O27" s="8"/>
      <c r="P27" s="8"/>
      <c r="Q27" s="8">
        <v>50000</v>
      </c>
      <c r="R27" s="8"/>
      <c r="S27" s="8"/>
    </row>
    <row r="28" spans="2:19" ht="30" customHeight="1" x14ac:dyDescent="0.2">
      <c r="B28" s="59"/>
      <c r="C28" s="62"/>
      <c r="D28" s="9" t="s">
        <v>31</v>
      </c>
      <c r="E28" s="9">
        <v>2</v>
      </c>
      <c r="F28" s="10">
        <v>100000</v>
      </c>
      <c r="G28" s="4">
        <f t="shared" si="1"/>
        <v>0</v>
      </c>
      <c r="H28" s="8"/>
      <c r="I28" s="8">
        <v>50000</v>
      </c>
      <c r="J28" s="8"/>
      <c r="K28" s="8"/>
      <c r="L28" s="8"/>
      <c r="M28" s="8"/>
      <c r="N28" s="8"/>
      <c r="O28" s="8"/>
      <c r="P28" s="8"/>
      <c r="Q28" s="8"/>
      <c r="R28" s="8"/>
      <c r="S28" s="8">
        <v>50000</v>
      </c>
    </row>
    <row r="29" spans="2:19" ht="45.75" customHeight="1" x14ac:dyDescent="0.2">
      <c r="B29" s="59"/>
      <c r="C29" s="62"/>
      <c r="D29" s="9" t="s">
        <v>32</v>
      </c>
      <c r="E29" s="9">
        <v>1</v>
      </c>
      <c r="F29" s="10">
        <v>50000</v>
      </c>
      <c r="G29" s="4">
        <f t="shared" si="1"/>
        <v>0</v>
      </c>
      <c r="H29" s="8"/>
      <c r="I29" s="8"/>
      <c r="J29" s="8"/>
      <c r="K29" s="8"/>
      <c r="L29" s="8"/>
      <c r="M29" s="8"/>
      <c r="N29" s="8"/>
      <c r="O29" s="8"/>
      <c r="P29" s="8"/>
      <c r="Q29" s="8">
        <v>50000</v>
      </c>
      <c r="R29" s="8"/>
      <c r="S29" s="8"/>
    </row>
    <row r="30" spans="2:19" ht="33.75" customHeight="1" x14ac:dyDescent="0.2">
      <c r="B30" s="59"/>
      <c r="C30" s="61" t="s">
        <v>42</v>
      </c>
      <c r="D30" s="9" t="s">
        <v>45</v>
      </c>
      <c r="E30" s="9">
        <v>1</v>
      </c>
      <c r="F30" s="10">
        <v>200000</v>
      </c>
      <c r="G30" s="4">
        <f t="shared" si="1"/>
        <v>0</v>
      </c>
      <c r="H30" s="8"/>
      <c r="I30" s="8">
        <v>50000</v>
      </c>
      <c r="J30" s="8"/>
      <c r="K30" s="8">
        <v>50000</v>
      </c>
      <c r="L30" s="8"/>
      <c r="M30" s="8">
        <v>50000</v>
      </c>
      <c r="N30" s="8"/>
      <c r="O30" s="8">
        <v>50000</v>
      </c>
      <c r="P30" s="8"/>
      <c r="Q30" s="8"/>
      <c r="R30" s="8"/>
      <c r="S30" s="8"/>
    </row>
    <row r="31" spans="2:19" ht="42" customHeight="1" x14ac:dyDescent="0.2">
      <c r="B31" s="59"/>
      <c r="C31" s="62"/>
      <c r="D31" s="9" t="s">
        <v>46</v>
      </c>
      <c r="E31" s="9">
        <v>2</v>
      </c>
      <c r="F31" s="10">
        <v>200000</v>
      </c>
      <c r="G31" s="4">
        <f t="shared" si="1"/>
        <v>0</v>
      </c>
      <c r="H31" s="8"/>
      <c r="I31" s="8"/>
      <c r="J31" s="8"/>
      <c r="K31" s="8">
        <v>100000</v>
      </c>
      <c r="L31" s="8"/>
      <c r="M31" s="8"/>
      <c r="N31" s="8"/>
      <c r="O31" s="8"/>
      <c r="P31" s="8"/>
      <c r="Q31" s="8">
        <v>100000</v>
      </c>
      <c r="R31" s="8"/>
      <c r="S31" s="8"/>
    </row>
    <row r="32" spans="2:19" ht="30" customHeight="1" x14ac:dyDescent="0.2">
      <c r="B32" s="59"/>
      <c r="C32" s="71"/>
      <c r="D32" s="9" t="s">
        <v>47</v>
      </c>
      <c r="E32" s="9">
        <v>3</v>
      </c>
      <c r="F32" s="10">
        <v>300000</v>
      </c>
      <c r="G32" s="4">
        <f t="shared" si="1"/>
        <v>0</v>
      </c>
      <c r="H32" s="8"/>
      <c r="I32" s="8"/>
      <c r="J32" s="8">
        <v>100000</v>
      </c>
      <c r="K32" s="8"/>
      <c r="L32" s="8"/>
      <c r="M32" s="8">
        <v>100000</v>
      </c>
      <c r="O32" s="8"/>
      <c r="P32" s="8">
        <v>100000</v>
      </c>
      <c r="Q32" s="8"/>
      <c r="R32" s="8"/>
      <c r="S32" s="8"/>
    </row>
    <row r="33" spans="2:19" x14ac:dyDescent="0.2">
      <c r="B33" s="24" t="s">
        <v>18</v>
      </c>
      <c r="C33" s="25"/>
      <c r="D33" s="25"/>
      <c r="E33" s="25"/>
      <c r="F33" s="26">
        <f>SUM(F25:F32)</f>
        <v>1850000</v>
      </c>
      <c r="G33" s="50">
        <f t="shared" si="1"/>
        <v>0.1891891891891892</v>
      </c>
      <c r="H33" s="26">
        <f t="shared" ref="H33:S33" si="9">SUM(H25:H32)</f>
        <v>350000</v>
      </c>
      <c r="I33" s="26">
        <f t="shared" si="9"/>
        <v>100000</v>
      </c>
      <c r="J33" s="26">
        <f t="shared" si="9"/>
        <v>100000</v>
      </c>
      <c r="K33" s="26">
        <f t="shared" si="9"/>
        <v>150000</v>
      </c>
      <c r="L33" s="26">
        <f t="shared" si="9"/>
        <v>0</v>
      </c>
      <c r="M33" s="26">
        <f t="shared" si="9"/>
        <v>550000</v>
      </c>
      <c r="N33" s="26">
        <f t="shared" si="9"/>
        <v>0</v>
      </c>
      <c r="O33" s="26">
        <f t="shared" si="9"/>
        <v>50000</v>
      </c>
      <c r="P33" s="26">
        <f t="shared" si="9"/>
        <v>100000</v>
      </c>
      <c r="Q33" s="26">
        <f t="shared" si="9"/>
        <v>200000</v>
      </c>
      <c r="R33" s="26">
        <f t="shared" si="9"/>
        <v>100000</v>
      </c>
      <c r="S33" s="26">
        <f t="shared" si="9"/>
        <v>50000</v>
      </c>
    </row>
    <row r="34" spans="2:19" s="12" customFormat="1" ht="30" customHeight="1" x14ac:dyDescent="0.25">
      <c r="B34" s="58" t="s">
        <v>56</v>
      </c>
      <c r="C34" s="57" t="s">
        <v>67</v>
      </c>
      <c r="D34" s="12" t="s">
        <v>40</v>
      </c>
      <c r="E34" s="14">
        <v>1</v>
      </c>
      <c r="F34" s="15">
        <v>1850000</v>
      </c>
      <c r="G34" s="4">
        <f t="shared" si="1"/>
        <v>0</v>
      </c>
      <c r="H34" s="16"/>
      <c r="I34" s="16"/>
      <c r="J34" s="16"/>
      <c r="K34" s="16">
        <f>F34</f>
        <v>1850000</v>
      </c>
      <c r="L34" s="16"/>
      <c r="M34" s="16"/>
      <c r="N34" s="16"/>
      <c r="O34" s="16"/>
      <c r="P34" s="16"/>
      <c r="Q34" s="16"/>
      <c r="R34" s="16"/>
      <c r="S34" s="16"/>
    </row>
    <row r="35" spans="2:19" s="12" customFormat="1" ht="30" customHeight="1" x14ac:dyDescent="0.25">
      <c r="B35" s="59"/>
      <c r="C35" s="57"/>
      <c r="D35" s="14" t="s">
        <v>52</v>
      </c>
      <c r="E35" s="14">
        <v>4</v>
      </c>
      <c r="F35" s="15">
        <v>200000</v>
      </c>
      <c r="G35" s="4">
        <f t="shared" si="1"/>
        <v>0</v>
      </c>
      <c r="H35" s="16"/>
      <c r="I35" s="16"/>
      <c r="J35" s="16">
        <f>F35</f>
        <v>200000</v>
      </c>
      <c r="K35" s="16"/>
      <c r="L35" s="16"/>
      <c r="M35" s="16"/>
      <c r="N35" s="16"/>
      <c r="O35" s="16"/>
      <c r="P35" s="16"/>
      <c r="Q35" s="16"/>
      <c r="R35" s="16"/>
      <c r="S35" s="16"/>
    </row>
    <row r="36" spans="2:19" s="12" customFormat="1" ht="30" customHeight="1" x14ac:dyDescent="0.25">
      <c r="B36" s="59"/>
      <c r="C36" s="57"/>
      <c r="D36" s="14" t="s">
        <v>53</v>
      </c>
      <c r="E36" s="14">
        <v>100</v>
      </c>
      <c r="F36" s="15">
        <v>800000</v>
      </c>
      <c r="G36" s="4">
        <f t="shared" si="1"/>
        <v>0</v>
      </c>
      <c r="H36" s="16"/>
      <c r="I36" s="16">
        <f>F36*40%</f>
        <v>320000</v>
      </c>
      <c r="J36" s="16">
        <f>$F$36*60%/10</f>
        <v>48000</v>
      </c>
      <c r="K36" s="16">
        <f t="shared" ref="K36:S36" si="10">$F$36*60%/10</f>
        <v>48000</v>
      </c>
      <c r="L36" s="16">
        <f t="shared" si="10"/>
        <v>48000</v>
      </c>
      <c r="M36" s="16">
        <f t="shared" si="10"/>
        <v>48000</v>
      </c>
      <c r="N36" s="16">
        <f t="shared" si="10"/>
        <v>48000</v>
      </c>
      <c r="O36" s="16">
        <f t="shared" si="10"/>
        <v>48000</v>
      </c>
      <c r="P36" s="16">
        <f t="shared" si="10"/>
        <v>48000</v>
      </c>
      <c r="Q36" s="16">
        <f t="shared" si="10"/>
        <v>48000</v>
      </c>
      <c r="R36" s="16">
        <f t="shared" si="10"/>
        <v>48000</v>
      </c>
      <c r="S36" s="16">
        <f t="shared" si="10"/>
        <v>48000</v>
      </c>
    </row>
    <row r="37" spans="2:19" s="12" customFormat="1" ht="30" customHeight="1" x14ac:dyDescent="0.25">
      <c r="B37" s="59"/>
      <c r="C37" s="57"/>
      <c r="D37" s="14" t="s">
        <v>54</v>
      </c>
      <c r="E37" s="14">
        <v>30</v>
      </c>
      <c r="F37" s="15">
        <v>400000</v>
      </c>
      <c r="G37" s="4">
        <f t="shared" si="1"/>
        <v>0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2:19" s="12" customFormat="1" ht="30" customHeight="1" x14ac:dyDescent="0.25">
      <c r="B38" s="59"/>
      <c r="C38" s="57"/>
      <c r="D38" s="14" t="s">
        <v>55</v>
      </c>
      <c r="E38" s="14">
        <v>1</v>
      </c>
      <c r="F38" s="15">
        <v>340000</v>
      </c>
      <c r="G38" s="4">
        <f t="shared" si="1"/>
        <v>0</v>
      </c>
      <c r="H38" s="16"/>
      <c r="I38" s="16">
        <v>200000</v>
      </c>
      <c r="J38" s="16">
        <v>140000</v>
      </c>
      <c r="K38" s="16"/>
      <c r="L38" s="16"/>
      <c r="M38" s="16"/>
      <c r="N38" s="16"/>
      <c r="O38" s="16"/>
      <c r="P38" s="16"/>
      <c r="Q38" s="16"/>
      <c r="R38" s="16"/>
      <c r="S38" s="16"/>
    </row>
    <row r="39" spans="2:19" s="12" customFormat="1" ht="30" customHeight="1" x14ac:dyDescent="0.25">
      <c r="B39" s="59"/>
      <c r="C39" s="69" t="s">
        <v>44</v>
      </c>
      <c r="D39" s="13" t="s">
        <v>68</v>
      </c>
      <c r="E39" s="13">
        <v>3</v>
      </c>
      <c r="F39" s="15">
        <v>200000</v>
      </c>
      <c r="G39" s="4">
        <f t="shared" si="1"/>
        <v>0</v>
      </c>
      <c r="H39" s="8"/>
      <c r="I39" s="8"/>
      <c r="J39" s="8">
        <v>200000</v>
      </c>
      <c r="K39" s="8"/>
      <c r="L39" s="8"/>
      <c r="M39" s="8"/>
      <c r="O39" s="8"/>
      <c r="P39" s="8"/>
      <c r="R39" s="8"/>
      <c r="S39" s="8"/>
    </row>
    <row r="40" spans="2:19" s="12" customFormat="1" ht="39" customHeight="1" x14ac:dyDescent="0.25">
      <c r="B40" s="59"/>
      <c r="C40" s="70"/>
      <c r="D40" s="17" t="s">
        <v>69</v>
      </c>
      <c r="E40" s="17">
        <v>1</v>
      </c>
      <c r="F40" s="15">
        <v>300000</v>
      </c>
      <c r="G40" s="4">
        <f t="shared" si="1"/>
        <v>0</v>
      </c>
      <c r="H40" s="11"/>
      <c r="I40" s="11"/>
      <c r="J40" s="11"/>
      <c r="K40" s="11">
        <v>500000</v>
      </c>
      <c r="L40" s="11"/>
      <c r="M40" s="11"/>
      <c r="N40" s="11"/>
      <c r="O40" s="11"/>
      <c r="P40" s="11"/>
      <c r="Q40" s="11"/>
      <c r="R40" s="11"/>
      <c r="S40" s="11"/>
    </row>
    <row r="41" spans="2:19" s="12" customFormat="1" ht="30" customHeight="1" x14ac:dyDescent="0.25">
      <c r="B41" s="59"/>
      <c r="C41" s="70"/>
      <c r="D41" s="6" t="s">
        <v>21</v>
      </c>
      <c r="E41" s="6">
        <v>1</v>
      </c>
      <c r="F41" s="15">
        <v>200000</v>
      </c>
      <c r="G41" s="4">
        <f t="shared" si="1"/>
        <v>0</v>
      </c>
      <c r="H41" s="8"/>
      <c r="I41" s="8"/>
      <c r="J41" s="8">
        <f>F41</f>
        <v>200000</v>
      </c>
      <c r="K41" s="8"/>
      <c r="L41" s="8"/>
      <c r="M41" s="5"/>
      <c r="N41" s="5"/>
      <c r="O41" s="8"/>
      <c r="P41" s="8"/>
      <c r="Q41" s="8"/>
      <c r="R41" s="8"/>
      <c r="S41" s="8"/>
    </row>
    <row r="42" spans="2:19" s="12" customFormat="1" x14ac:dyDescent="0.25">
      <c r="B42" s="24" t="s">
        <v>18</v>
      </c>
      <c r="C42" s="23"/>
      <c r="D42" s="23"/>
      <c r="E42" s="23"/>
      <c r="F42" s="26">
        <f>SUM(F34:F41)</f>
        <v>4290000</v>
      </c>
      <c r="G42" s="50">
        <f t="shared" si="1"/>
        <v>0</v>
      </c>
      <c r="H42" s="29">
        <f t="shared" ref="H42:S42" si="11">SUM(H34:H41)</f>
        <v>0</v>
      </c>
      <c r="I42" s="29">
        <f t="shared" si="11"/>
        <v>520000</v>
      </c>
      <c r="J42" s="29">
        <f t="shared" si="11"/>
        <v>788000</v>
      </c>
      <c r="K42" s="29">
        <f t="shared" si="11"/>
        <v>2398000</v>
      </c>
      <c r="L42" s="29">
        <f t="shared" si="11"/>
        <v>48000</v>
      </c>
      <c r="M42" s="29">
        <f t="shared" si="11"/>
        <v>48000</v>
      </c>
      <c r="N42" s="29">
        <f t="shared" si="11"/>
        <v>48000</v>
      </c>
      <c r="O42" s="29">
        <f t="shared" si="11"/>
        <v>48000</v>
      </c>
      <c r="P42" s="29">
        <f t="shared" si="11"/>
        <v>48000</v>
      </c>
      <c r="Q42" s="29">
        <f t="shared" si="11"/>
        <v>48000</v>
      </c>
      <c r="R42" s="29">
        <f t="shared" si="11"/>
        <v>48000</v>
      </c>
      <c r="S42" s="29">
        <f t="shared" si="11"/>
        <v>48000</v>
      </c>
    </row>
    <row r="43" spans="2:19" s="12" customFormat="1" ht="30" customHeight="1" x14ac:dyDescent="0.25">
      <c r="B43" s="59" t="s">
        <v>48</v>
      </c>
      <c r="C43" s="67" t="s">
        <v>39</v>
      </c>
      <c r="D43" s="40" t="s">
        <v>49</v>
      </c>
      <c r="E43" s="41">
        <v>1</v>
      </c>
      <c r="F43" s="42">
        <f>4000000*25%</f>
        <v>1000000</v>
      </c>
      <c r="G43" s="4">
        <f t="shared" si="1"/>
        <v>0</v>
      </c>
      <c r="H43" s="36"/>
      <c r="I43" s="36"/>
      <c r="J43" s="38"/>
      <c r="K43" s="36">
        <f>F43</f>
        <v>1000000</v>
      </c>
      <c r="L43" s="36"/>
      <c r="M43" s="36"/>
      <c r="N43" s="36"/>
      <c r="O43" s="36"/>
      <c r="P43" s="37"/>
      <c r="Q43" s="36"/>
      <c r="R43" s="36"/>
      <c r="S43" s="36"/>
    </row>
    <row r="44" spans="2:19" s="12" customFormat="1" ht="30" customHeight="1" x14ac:dyDescent="0.25">
      <c r="B44" s="66"/>
      <c r="C44" s="68"/>
      <c r="D44" s="38" t="s">
        <v>41</v>
      </c>
      <c r="E44" s="34">
        <v>1</v>
      </c>
      <c r="F44" s="35">
        <v>600000</v>
      </c>
      <c r="G44" s="4">
        <f t="shared" si="1"/>
        <v>0</v>
      </c>
      <c r="H44" s="36"/>
      <c r="I44" s="36"/>
      <c r="J44" s="36"/>
      <c r="K44" s="36">
        <v>600000</v>
      </c>
      <c r="L44" s="36"/>
      <c r="M44" s="36"/>
      <c r="N44" s="36"/>
      <c r="O44" s="36"/>
      <c r="P44" s="37"/>
      <c r="Q44" s="36"/>
      <c r="R44" s="36"/>
      <c r="S44" s="36"/>
    </row>
    <row r="45" spans="2:19" s="12" customFormat="1" x14ac:dyDescent="0.25">
      <c r="B45" s="27" t="s">
        <v>18</v>
      </c>
      <c r="C45" s="28"/>
      <c r="D45" s="28"/>
      <c r="E45" s="28"/>
      <c r="F45" s="29">
        <f>SUM(F43:F44)</f>
        <v>1600000</v>
      </c>
      <c r="G45" s="50">
        <f t="shared" si="1"/>
        <v>0</v>
      </c>
      <c r="H45" s="29">
        <f t="shared" ref="H45:S45" si="12">SUM(H43:H44)</f>
        <v>0</v>
      </c>
      <c r="I45" s="29">
        <f t="shared" si="12"/>
        <v>0</v>
      </c>
      <c r="J45" s="29">
        <f t="shared" si="12"/>
        <v>0</v>
      </c>
      <c r="K45" s="29">
        <f>SUM(K43:K44)</f>
        <v>1600000</v>
      </c>
      <c r="L45" s="29">
        <f t="shared" si="12"/>
        <v>0</v>
      </c>
      <c r="M45" s="29">
        <f t="shared" si="12"/>
        <v>0</v>
      </c>
      <c r="N45" s="29">
        <f t="shared" si="12"/>
        <v>0</v>
      </c>
      <c r="O45" s="29">
        <f t="shared" si="12"/>
        <v>0</v>
      </c>
      <c r="P45" s="29">
        <f t="shared" si="12"/>
        <v>0</v>
      </c>
      <c r="Q45" s="29">
        <f t="shared" si="12"/>
        <v>0</v>
      </c>
      <c r="R45" s="29">
        <f t="shared" si="12"/>
        <v>0</v>
      </c>
      <c r="S45" s="29">
        <f t="shared" si="12"/>
        <v>0</v>
      </c>
    </row>
    <row r="46" spans="2:19" ht="24.75" customHeight="1" x14ac:dyDescent="0.2">
      <c r="B46" s="45"/>
      <c r="C46" s="46"/>
      <c r="D46" s="46"/>
      <c r="E46" s="51" t="s">
        <v>57</v>
      </c>
      <c r="F46" s="52">
        <f>F7+F9+F24+F33+F42+F45</f>
        <v>22927300</v>
      </c>
      <c r="G46" s="47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9"/>
    </row>
    <row r="47" spans="2:19" x14ac:dyDescent="0.2">
      <c r="B47" s="60"/>
      <c r="C47" s="60"/>
      <c r="D47" s="60"/>
      <c r="E47" s="60"/>
      <c r="F47" s="60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2:19" x14ac:dyDescent="0.2">
      <c r="F48" s="55"/>
    </row>
    <row r="50" spans="6:6" x14ac:dyDescent="0.2">
      <c r="F50" s="56"/>
    </row>
  </sheetData>
  <mergeCells count="19">
    <mergeCell ref="B4:S4"/>
    <mergeCell ref="R1:S1"/>
    <mergeCell ref="R2:S2"/>
    <mergeCell ref="R3:S3"/>
    <mergeCell ref="B1:C3"/>
    <mergeCell ref="D1:Q3"/>
    <mergeCell ref="C34:C38"/>
    <mergeCell ref="B34:B41"/>
    <mergeCell ref="B47:F47"/>
    <mergeCell ref="B10:B23"/>
    <mergeCell ref="B25:B32"/>
    <mergeCell ref="C25:C29"/>
    <mergeCell ref="C16:C20"/>
    <mergeCell ref="C21:C22"/>
    <mergeCell ref="C10:C15"/>
    <mergeCell ref="B43:B44"/>
    <mergeCell ref="C43:C44"/>
    <mergeCell ref="C39:C41"/>
    <mergeCell ref="C30:C3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E4536-08C3-40BB-BDF3-194C8EA3CC2D}">
  <dimension ref="A1:E42"/>
  <sheetViews>
    <sheetView tabSelected="1" workbookViewId="0">
      <selection sqref="A1:E1"/>
    </sheetView>
  </sheetViews>
  <sheetFormatPr baseColWidth="10" defaultRowHeight="15" x14ac:dyDescent="0.25"/>
  <cols>
    <col min="1" max="1" width="24.28515625" customWidth="1"/>
    <col min="2" max="2" width="64.42578125" bestFit="1" customWidth="1"/>
    <col min="3" max="3" width="39.42578125" bestFit="1" customWidth="1"/>
    <col min="4" max="4" width="0" hidden="1" customWidth="1"/>
    <col min="5" max="5" width="21.42578125" customWidth="1"/>
  </cols>
  <sheetData>
    <row r="1" spans="1:5" ht="45" x14ac:dyDescent="0.25">
      <c r="A1" s="30" t="s">
        <v>0</v>
      </c>
      <c r="B1" s="30" t="s">
        <v>1</v>
      </c>
      <c r="C1" s="30" t="s">
        <v>2</v>
      </c>
      <c r="D1" s="30" t="s">
        <v>3</v>
      </c>
      <c r="E1" s="30" t="s">
        <v>4</v>
      </c>
    </row>
    <row r="2" spans="1:5" x14ac:dyDescent="0.25">
      <c r="A2" s="53" t="s">
        <v>22</v>
      </c>
      <c r="B2" s="2" t="s">
        <v>72</v>
      </c>
      <c r="C2" s="2" t="s">
        <v>26</v>
      </c>
      <c r="D2" s="2">
        <v>1</v>
      </c>
      <c r="E2" s="7">
        <f>26400000*20%</f>
        <v>5280000</v>
      </c>
    </row>
    <row r="3" spans="1:5" x14ac:dyDescent="0.25">
      <c r="A3" s="24" t="s">
        <v>18</v>
      </c>
      <c r="B3" s="25"/>
      <c r="C3" s="25"/>
      <c r="D3" s="25"/>
      <c r="E3" s="26">
        <f>SUM(E2:E2)</f>
        <v>5280000</v>
      </c>
    </row>
    <row r="4" spans="1:5" x14ac:dyDescent="0.25">
      <c r="A4" s="53" t="s">
        <v>19</v>
      </c>
      <c r="B4" s="54" t="s">
        <v>61</v>
      </c>
      <c r="C4" s="2" t="s">
        <v>60</v>
      </c>
      <c r="D4" s="2">
        <v>1</v>
      </c>
      <c r="E4" s="3">
        <v>1400000</v>
      </c>
    </row>
    <row r="5" spans="1:5" x14ac:dyDescent="0.25">
      <c r="A5" s="24" t="s">
        <v>18</v>
      </c>
      <c r="B5" s="25"/>
      <c r="C5" s="25"/>
      <c r="D5" s="25"/>
      <c r="E5" s="26">
        <f>SUM(E4:E4)</f>
        <v>1400000</v>
      </c>
    </row>
    <row r="6" spans="1:5" ht="25.5" x14ac:dyDescent="0.25">
      <c r="A6" s="59" t="s">
        <v>62</v>
      </c>
      <c r="B6" s="64" t="s">
        <v>59</v>
      </c>
      <c r="C6" s="6" t="s">
        <v>24</v>
      </c>
      <c r="D6" s="6">
        <v>24</v>
      </c>
      <c r="E6" s="7">
        <f>11000*D6</f>
        <v>264000</v>
      </c>
    </row>
    <row r="7" spans="1:5" x14ac:dyDescent="0.25">
      <c r="A7" s="59"/>
      <c r="B7" s="64"/>
      <c r="C7" s="6" t="s">
        <v>71</v>
      </c>
      <c r="D7" s="6">
        <v>12</v>
      </c>
      <c r="E7" s="7">
        <f>481600</f>
        <v>481600</v>
      </c>
    </row>
    <row r="8" spans="1:5" x14ac:dyDescent="0.25">
      <c r="A8" s="59"/>
      <c r="B8" s="64"/>
      <c r="C8" s="6" t="s">
        <v>70</v>
      </c>
      <c r="D8" s="6">
        <v>6</v>
      </c>
      <c r="E8" s="7">
        <f>368700*D8</f>
        <v>2212200</v>
      </c>
    </row>
    <row r="9" spans="1:5" ht="25.5" x14ac:dyDescent="0.25">
      <c r="A9" s="59"/>
      <c r="B9" s="64"/>
      <c r="C9" s="6" t="s">
        <v>64</v>
      </c>
      <c r="D9" s="6">
        <v>30</v>
      </c>
      <c r="E9" s="7">
        <f>D9*57900</f>
        <v>1737000</v>
      </c>
    </row>
    <row r="10" spans="1:5" x14ac:dyDescent="0.25">
      <c r="A10" s="59"/>
      <c r="B10" s="64"/>
      <c r="C10" s="6" t="s">
        <v>23</v>
      </c>
      <c r="D10" s="6">
        <v>10</v>
      </c>
      <c r="E10" s="7">
        <f>29900*D10</f>
        <v>299000</v>
      </c>
    </row>
    <row r="11" spans="1:5" x14ac:dyDescent="0.25">
      <c r="A11" s="59"/>
      <c r="B11" s="64"/>
      <c r="C11" s="6" t="s">
        <v>63</v>
      </c>
      <c r="D11" s="6">
        <v>10</v>
      </c>
      <c r="E11" s="7">
        <v>960000</v>
      </c>
    </row>
    <row r="12" spans="1:5" x14ac:dyDescent="0.25">
      <c r="A12" s="59"/>
      <c r="B12" s="63" t="s">
        <v>43</v>
      </c>
      <c r="C12" s="31" t="s">
        <v>35</v>
      </c>
      <c r="D12" s="6">
        <v>3</v>
      </c>
      <c r="E12" s="7">
        <f>54000*D12</f>
        <v>162000</v>
      </c>
    </row>
    <row r="13" spans="1:5" x14ac:dyDescent="0.25">
      <c r="A13" s="59"/>
      <c r="B13" s="64"/>
      <c r="C13" s="6" t="s">
        <v>25</v>
      </c>
      <c r="D13" s="6">
        <v>3</v>
      </c>
      <c r="E13" s="7">
        <f>35000*D13</f>
        <v>105000</v>
      </c>
    </row>
    <row r="14" spans="1:5" ht="25.5" x14ac:dyDescent="0.25">
      <c r="A14" s="59"/>
      <c r="B14" s="64"/>
      <c r="C14" s="6" t="s">
        <v>66</v>
      </c>
      <c r="D14" s="6">
        <v>2</v>
      </c>
      <c r="E14" s="7">
        <f>D14*145000</f>
        <v>290000</v>
      </c>
    </row>
    <row r="15" spans="1:5" x14ac:dyDescent="0.25">
      <c r="A15" s="59"/>
      <c r="B15" s="64"/>
      <c r="C15" s="6" t="s">
        <v>36</v>
      </c>
      <c r="D15" s="6">
        <v>2</v>
      </c>
      <c r="E15" s="7">
        <f>D15*135000</f>
        <v>270000</v>
      </c>
    </row>
    <row r="16" spans="1:5" x14ac:dyDescent="0.25">
      <c r="A16" s="59"/>
      <c r="B16" s="65"/>
      <c r="C16" s="6" t="s">
        <v>37</v>
      </c>
      <c r="D16" s="6">
        <v>1</v>
      </c>
      <c r="E16" s="7">
        <v>545000</v>
      </c>
    </row>
    <row r="17" spans="1:5" x14ac:dyDescent="0.25">
      <c r="A17" s="59"/>
      <c r="B17" s="63" t="s">
        <v>51</v>
      </c>
      <c r="C17" s="6" t="s">
        <v>38</v>
      </c>
      <c r="D17" s="6">
        <v>20</v>
      </c>
      <c r="E17" s="7">
        <f>16500/10*D17</f>
        <v>33000</v>
      </c>
    </row>
    <row r="18" spans="1:5" x14ac:dyDescent="0.25">
      <c r="A18" s="59"/>
      <c r="B18" s="65"/>
      <c r="C18" s="6" t="s">
        <v>34</v>
      </c>
      <c r="D18" s="6">
        <v>1</v>
      </c>
      <c r="E18" s="7">
        <v>1000000</v>
      </c>
    </row>
    <row r="19" spans="1:5" x14ac:dyDescent="0.25">
      <c r="A19" s="59"/>
      <c r="B19" s="39" t="s">
        <v>50</v>
      </c>
      <c r="C19" s="6" t="s">
        <v>38</v>
      </c>
      <c r="D19" s="6">
        <v>90</v>
      </c>
      <c r="E19" s="7">
        <f t="shared" ref="E19" si="0">16500/10*D19</f>
        <v>148500</v>
      </c>
    </row>
    <row r="20" spans="1:5" x14ac:dyDescent="0.25">
      <c r="A20" s="24" t="s">
        <v>18</v>
      </c>
      <c r="B20" s="25"/>
      <c r="C20" s="25"/>
      <c r="D20" s="25"/>
      <c r="E20" s="26">
        <f>SUM(E6:E19)</f>
        <v>8507300</v>
      </c>
    </row>
    <row r="21" spans="1:5" ht="25.5" x14ac:dyDescent="0.25">
      <c r="A21" s="58" t="s">
        <v>20</v>
      </c>
      <c r="B21" s="61" t="s">
        <v>27</v>
      </c>
      <c r="C21" s="9" t="s">
        <v>28</v>
      </c>
      <c r="D21" s="9">
        <v>4</v>
      </c>
      <c r="E21" s="10">
        <v>200000</v>
      </c>
    </row>
    <row r="22" spans="1:5" ht="25.5" x14ac:dyDescent="0.25">
      <c r="A22" s="59"/>
      <c r="B22" s="62"/>
      <c r="C22" s="9" t="s">
        <v>29</v>
      </c>
      <c r="D22" s="9">
        <v>10</v>
      </c>
      <c r="E22" s="10">
        <v>500000</v>
      </c>
    </row>
    <row r="23" spans="1:5" ht="25.5" x14ac:dyDescent="0.25">
      <c r="A23" s="59"/>
      <c r="B23" s="62"/>
      <c r="C23" s="9" t="s">
        <v>30</v>
      </c>
      <c r="D23" s="9">
        <v>4</v>
      </c>
      <c r="E23" s="10">
        <v>300000</v>
      </c>
    </row>
    <row r="24" spans="1:5" ht="25.5" x14ac:dyDescent="0.25">
      <c r="A24" s="59"/>
      <c r="B24" s="62"/>
      <c r="C24" s="9" t="s">
        <v>31</v>
      </c>
      <c r="D24" s="9">
        <v>2</v>
      </c>
      <c r="E24" s="10">
        <v>100000</v>
      </c>
    </row>
    <row r="25" spans="1:5" ht="25.5" x14ac:dyDescent="0.25">
      <c r="A25" s="59"/>
      <c r="B25" s="62"/>
      <c r="C25" s="9" t="s">
        <v>32</v>
      </c>
      <c r="D25" s="9">
        <v>1</v>
      </c>
      <c r="E25" s="10">
        <v>50000</v>
      </c>
    </row>
    <row r="26" spans="1:5" x14ac:dyDescent="0.25">
      <c r="A26" s="59"/>
      <c r="B26" s="61" t="s">
        <v>42</v>
      </c>
      <c r="C26" s="9" t="s">
        <v>45</v>
      </c>
      <c r="D26" s="9">
        <v>1</v>
      </c>
      <c r="E26" s="10">
        <v>200000</v>
      </c>
    </row>
    <row r="27" spans="1:5" x14ac:dyDescent="0.25">
      <c r="A27" s="59"/>
      <c r="B27" s="62"/>
      <c r="C27" s="9" t="s">
        <v>46</v>
      </c>
      <c r="D27" s="9">
        <v>2</v>
      </c>
      <c r="E27" s="10">
        <v>200000</v>
      </c>
    </row>
    <row r="28" spans="1:5" ht="25.5" x14ac:dyDescent="0.25">
      <c r="A28" s="59"/>
      <c r="B28" s="71"/>
      <c r="C28" s="9" t="s">
        <v>47</v>
      </c>
      <c r="D28" s="9">
        <v>3</v>
      </c>
      <c r="E28" s="10">
        <v>300000</v>
      </c>
    </row>
    <row r="29" spans="1:5" x14ac:dyDescent="0.25">
      <c r="A29" s="24" t="s">
        <v>18</v>
      </c>
      <c r="B29" s="25"/>
      <c r="C29" s="25"/>
      <c r="D29" s="25"/>
      <c r="E29" s="26">
        <f>SUM(E21:E28)</f>
        <v>1850000</v>
      </c>
    </row>
    <row r="30" spans="1:5" x14ac:dyDescent="0.25">
      <c r="A30" s="58" t="s">
        <v>56</v>
      </c>
      <c r="B30" s="57" t="s">
        <v>67</v>
      </c>
      <c r="C30" s="12" t="s">
        <v>40</v>
      </c>
      <c r="D30" s="14">
        <v>1</v>
      </c>
      <c r="E30" s="15">
        <v>1850000</v>
      </c>
    </row>
    <row r="31" spans="1:5" x14ac:dyDescent="0.25">
      <c r="A31" s="59"/>
      <c r="B31" s="57"/>
      <c r="C31" s="14" t="s">
        <v>52</v>
      </c>
      <c r="D31" s="14">
        <v>4</v>
      </c>
      <c r="E31" s="15">
        <v>200000</v>
      </c>
    </row>
    <row r="32" spans="1:5" x14ac:dyDescent="0.25">
      <c r="A32" s="59"/>
      <c r="B32" s="57"/>
      <c r="C32" s="14" t="s">
        <v>53</v>
      </c>
      <c r="D32" s="14">
        <v>100</v>
      </c>
      <c r="E32" s="15">
        <v>800000</v>
      </c>
    </row>
    <row r="33" spans="1:5" x14ac:dyDescent="0.25">
      <c r="A33" s="59"/>
      <c r="B33" s="57"/>
      <c r="C33" s="14" t="s">
        <v>54</v>
      </c>
      <c r="D33" s="14">
        <v>30</v>
      </c>
      <c r="E33" s="15">
        <v>400000</v>
      </c>
    </row>
    <row r="34" spans="1:5" x14ac:dyDescent="0.25">
      <c r="A34" s="59"/>
      <c r="B34" s="57"/>
      <c r="C34" s="14" t="s">
        <v>55</v>
      </c>
      <c r="D34" s="14">
        <v>1</v>
      </c>
      <c r="E34" s="15">
        <v>340000</v>
      </c>
    </row>
    <row r="35" spans="1:5" x14ac:dyDescent="0.25">
      <c r="A35" s="59"/>
      <c r="B35" s="69" t="s">
        <v>44</v>
      </c>
      <c r="C35" s="13" t="s">
        <v>68</v>
      </c>
      <c r="D35" s="13">
        <v>3</v>
      </c>
      <c r="E35" s="15">
        <v>200000</v>
      </c>
    </row>
    <row r="36" spans="1:5" ht="25.5" x14ac:dyDescent="0.25">
      <c r="A36" s="59"/>
      <c r="B36" s="70"/>
      <c r="C36" s="17" t="s">
        <v>69</v>
      </c>
      <c r="D36" s="17">
        <v>1</v>
      </c>
      <c r="E36" s="15">
        <v>300000</v>
      </c>
    </row>
    <row r="37" spans="1:5" x14ac:dyDescent="0.25">
      <c r="A37" s="59"/>
      <c r="B37" s="70"/>
      <c r="C37" s="6" t="s">
        <v>21</v>
      </c>
      <c r="D37" s="6">
        <v>1</v>
      </c>
      <c r="E37" s="15">
        <v>200000</v>
      </c>
    </row>
    <row r="38" spans="1:5" x14ac:dyDescent="0.25">
      <c r="A38" s="24" t="s">
        <v>18</v>
      </c>
      <c r="B38" s="23"/>
      <c r="C38" s="23"/>
      <c r="D38" s="23"/>
      <c r="E38" s="26">
        <f>SUM(E30:E37)</f>
        <v>4290000</v>
      </c>
    </row>
    <row r="39" spans="1:5" x14ac:dyDescent="0.25">
      <c r="A39" s="59" t="s">
        <v>48</v>
      </c>
      <c r="B39" s="67" t="s">
        <v>39</v>
      </c>
      <c r="C39" s="40" t="s">
        <v>49</v>
      </c>
      <c r="D39" s="41">
        <v>1</v>
      </c>
      <c r="E39" s="42">
        <f>4000000*25%</f>
        <v>1000000</v>
      </c>
    </row>
    <row r="40" spans="1:5" x14ac:dyDescent="0.25">
      <c r="A40" s="66"/>
      <c r="B40" s="68"/>
      <c r="C40" s="38" t="s">
        <v>41</v>
      </c>
      <c r="D40" s="34">
        <v>1</v>
      </c>
      <c r="E40" s="35">
        <v>600000</v>
      </c>
    </row>
    <row r="41" spans="1:5" x14ac:dyDescent="0.25">
      <c r="A41" s="27" t="s">
        <v>18</v>
      </c>
      <c r="B41" s="28"/>
      <c r="C41" s="28"/>
      <c r="D41" s="28"/>
      <c r="E41" s="29">
        <f>SUM(E39:E40)</f>
        <v>1600000</v>
      </c>
    </row>
    <row r="42" spans="1:5" x14ac:dyDescent="0.25">
      <c r="A42" s="45"/>
      <c r="B42" s="46"/>
      <c r="C42" s="91" t="s">
        <v>57</v>
      </c>
      <c r="D42" s="51" t="s">
        <v>57</v>
      </c>
      <c r="E42" s="52">
        <f>E3+E5+E20+E29+E38+E41</f>
        <v>22927300</v>
      </c>
    </row>
  </sheetData>
  <mergeCells count="12">
    <mergeCell ref="A30:A37"/>
    <mergeCell ref="B30:B34"/>
    <mergeCell ref="B35:B37"/>
    <mergeCell ref="A39:A40"/>
    <mergeCell ref="B39:B40"/>
    <mergeCell ref="A6:A19"/>
    <mergeCell ref="B6:B11"/>
    <mergeCell ref="B12:B16"/>
    <mergeCell ref="B17:B18"/>
    <mergeCell ref="A21:A28"/>
    <mergeCell ref="B21:B25"/>
    <mergeCell ref="B26:B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Presupuesto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2021-03-09T22:51:41Z</dcterms:created>
  <dcterms:modified xsi:type="dcterms:W3CDTF">2022-02-09T22:48:10Z</dcterms:modified>
</cp:coreProperties>
</file>