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ECURITY\Downloads\"/>
    </mc:Choice>
  </mc:AlternateContent>
  <bookViews>
    <workbookView xWindow="0" yWindow="0" windowWidth="28800" windowHeight="12345"/>
  </bookViews>
  <sheets>
    <sheet name="BUDGET" sheetId="1" r:id="rId1"/>
    <sheet name="Horas hombre"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Actcontrol" localSheetId="1">#REF!</definedName>
    <definedName name="Actcontrol">#REF!</definedName>
    <definedName name="Asignacionresp" localSheetId="1">#REF!</definedName>
    <definedName name="Asignacionresp">#REF!</definedName>
    <definedName name="Autoridadresp" localSheetId="1">#REF!</definedName>
    <definedName name="Autoridadresp">#REF!</definedName>
    <definedName name="Causafactor3" localSheetId="1">#REF!</definedName>
    <definedName name="Causafactor3">#REF!</definedName>
    <definedName name="clase" localSheetId="1">#REF!</definedName>
    <definedName name="clase">#REF!</definedName>
    <definedName name="desviaciones" localSheetId="1">#REF!</definedName>
    <definedName name="desviaciones">#REF!</definedName>
    <definedName name="dis" localSheetId="1">#REF!,#REF!</definedName>
    <definedName name="dis">#REF!,#REF!</definedName>
    <definedName name="discua" localSheetId="1">#REF!</definedName>
    <definedName name="discua">#REF!</definedName>
    <definedName name="discuadrante" localSheetId="1">#REF!</definedName>
    <definedName name="discuadrante">#REF!</definedName>
    <definedName name="discuadraprob" localSheetId="1">#REF!,#REF!</definedName>
    <definedName name="discuadraprob">#REF!,#REF!</definedName>
    <definedName name="ejecucioncontrol" localSheetId="1">#REF!</definedName>
    <definedName name="ejecucioncontrol">#REF!</definedName>
    <definedName name="Evidencia" localSheetId="1">#REF!</definedName>
    <definedName name="Evidencia">#REF!</definedName>
    <definedName name="HolidayTable" localSheetId="1">[7]Tablas!$A$4:$C$35</definedName>
    <definedName name="HolidayTable">[2]Tablas!$A$4:$C$35</definedName>
    <definedName name="impacto" localSheetId="1">[8]Hoja2!$M$3:$M$7</definedName>
    <definedName name="impacto">[3]Hoja2!$M$3:$M$7</definedName>
    <definedName name="IPEVR" localSheetId="1">#REF!</definedName>
    <definedName name="IPEVR">#REF!</definedName>
    <definedName name="Periodicidad" localSheetId="1">#REF!</definedName>
    <definedName name="Periodicidad">#REF!</definedName>
    <definedName name="Posibilidad" localSheetId="1">[9]Hoja2!$H$3:$H$7</definedName>
    <definedName name="Posibilidad">[4]Hoja2!$H$3:$H$7</definedName>
    <definedName name="Proposito" localSheetId="1">#REF!</definedName>
    <definedName name="Proposito">#REF!</definedName>
    <definedName name="RANDBETWEEN_1_2" localSheetId="1">[10]Lang!$K$2</definedName>
    <definedName name="RANDBETWEEN_1_2">[5]Lang!$K$2</definedName>
    <definedName name="RANDBETWEEN_3_4" localSheetId="1">[10]Lang!$K$4</definedName>
    <definedName name="RANDBETWEEN_3_4">[5]Lang!$K$4</definedName>
    <definedName name="RiesgoClase3" localSheetId="1">#REF!</definedName>
    <definedName name="RiesgoClase3">#REF!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50" i="1" l="1"/>
  <c r="R7" i="1"/>
  <c r="Q7" i="1"/>
  <c r="P7" i="1"/>
  <c r="O7" i="1"/>
  <c r="N7" i="1"/>
  <c r="M7" i="1"/>
  <c r="L7" i="1"/>
  <c r="K7" i="1"/>
  <c r="J7" i="1"/>
  <c r="I7" i="1"/>
  <c r="H7" i="1"/>
  <c r="G7" i="1"/>
  <c r="F7" i="1"/>
  <c r="K21" i="2" l="1"/>
  <c r="D20" i="2"/>
  <c r="Q10" i="2"/>
  <c r="N10" i="2"/>
  <c r="K10" i="2"/>
  <c r="H10" i="2"/>
  <c r="E10" i="2"/>
  <c r="B10" i="2"/>
  <c r="Q9" i="2"/>
  <c r="N9" i="2"/>
  <c r="K9" i="2"/>
  <c r="H9" i="2"/>
  <c r="E9" i="2"/>
  <c r="B9" i="2"/>
  <c r="Q8" i="2"/>
  <c r="N8" i="2"/>
  <c r="K8" i="2"/>
  <c r="H8" i="2"/>
  <c r="E8" i="2"/>
  <c r="B8" i="2"/>
  <c r="Q7" i="2"/>
  <c r="N7" i="2"/>
  <c r="K7" i="2"/>
  <c r="H7" i="2"/>
  <c r="E7" i="2"/>
  <c r="B7" i="2"/>
  <c r="Q6" i="2"/>
  <c r="N6" i="2"/>
  <c r="K6" i="2"/>
  <c r="H6" i="2"/>
  <c r="E6" i="2"/>
  <c r="B6" i="2"/>
  <c r="N5" i="2"/>
  <c r="K5" i="2"/>
  <c r="B5" i="2"/>
  <c r="Q4" i="2"/>
  <c r="Q5" i="2" s="1"/>
  <c r="N4" i="2"/>
  <c r="K4" i="2"/>
  <c r="H4" i="2"/>
  <c r="H5" i="2" s="1"/>
  <c r="E4" i="2"/>
  <c r="E5" i="2" s="1"/>
  <c r="B4" i="2"/>
  <c r="Q3" i="2"/>
  <c r="N3" i="2"/>
  <c r="N11" i="2" s="1"/>
  <c r="O11" i="2" s="1"/>
  <c r="K3" i="2"/>
  <c r="K11" i="2" s="1"/>
  <c r="L11" i="2" s="1"/>
  <c r="H3" i="2"/>
  <c r="E3" i="2"/>
  <c r="B3" i="2"/>
  <c r="B11" i="2" s="1"/>
  <c r="R48" i="1"/>
  <c r="Q48" i="1"/>
  <c r="P48" i="1"/>
  <c r="O48" i="1"/>
  <c r="N48" i="1"/>
  <c r="M48" i="1"/>
  <c r="L48" i="1"/>
  <c r="K48" i="1"/>
  <c r="J48" i="1"/>
  <c r="I48" i="1"/>
  <c r="H48" i="1"/>
  <c r="G48" i="1"/>
  <c r="F48" i="1"/>
  <c r="R46" i="1"/>
  <c r="Q46" i="1"/>
  <c r="P46" i="1"/>
  <c r="O46" i="1"/>
  <c r="N46" i="1"/>
  <c r="M46" i="1"/>
  <c r="L46" i="1"/>
  <c r="K46" i="1"/>
  <c r="J46" i="1"/>
  <c r="I46" i="1"/>
  <c r="H46" i="1"/>
  <c r="G46" i="1"/>
  <c r="F46" i="1"/>
  <c r="R33" i="1"/>
  <c r="Q33" i="1"/>
  <c r="P33" i="1"/>
  <c r="O33" i="1"/>
  <c r="N33" i="1"/>
  <c r="M33" i="1"/>
  <c r="L33" i="1"/>
  <c r="K33" i="1"/>
  <c r="J33" i="1"/>
  <c r="I33" i="1"/>
  <c r="H33" i="1"/>
  <c r="G33" i="1"/>
  <c r="F33" i="1"/>
  <c r="R28" i="1"/>
  <c r="Q28" i="1"/>
  <c r="P28" i="1"/>
  <c r="O28" i="1"/>
  <c r="N28" i="1"/>
  <c r="M28" i="1"/>
  <c r="L28" i="1"/>
  <c r="K28" i="1"/>
  <c r="J28" i="1"/>
  <c r="I28" i="1"/>
  <c r="H28" i="1"/>
  <c r="G28" i="1"/>
  <c r="F28" i="1"/>
  <c r="R25" i="1"/>
  <c r="Q25" i="1"/>
  <c r="P25" i="1"/>
  <c r="O25" i="1"/>
  <c r="N25" i="1"/>
  <c r="M25" i="1"/>
  <c r="L25" i="1"/>
  <c r="K25" i="1"/>
  <c r="J25" i="1"/>
  <c r="I25" i="1"/>
  <c r="H25" i="1"/>
  <c r="G25" i="1"/>
  <c r="F25" i="1"/>
  <c r="R21" i="1"/>
  <c r="Q21" i="1"/>
  <c r="P21" i="1"/>
  <c r="O21" i="1"/>
  <c r="N21" i="1"/>
  <c r="M21" i="1"/>
  <c r="L21" i="1"/>
  <c r="K21" i="1"/>
  <c r="J21" i="1"/>
  <c r="I21" i="1"/>
  <c r="H21" i="1"/>
  <c r="G21" i="1"/>
  <c r="F21" i="1"/>
  <c r="R16" i="1"/>
  <c r="Q16" i="1"/>
  <c r="P16" i="1"/>
  <c r="O16" i="1"/>
  <c r="N16" i="1"/>
  <c r="M16" i="1"/>
  <c r="L16" i="1"/>
  <c r="K16" i="1"/>
  <c r="J16" i="1"/>
  <c r="I16" i="1"/>
  <c r="H16" i="1"/>
  <c r="G16" i="1"/>
  <c r="F16" i="1"/>
  <c r="D47" i="1"/>
  <c r="E47" i="1" s="1"/>
  <c r="D45" i="1"/>
  <c r="E45" i="1" s="1"/>
  <c r="D44" i="1"/>
  <c r="E44" i="1" s="1"/>
  <c r="D43" i="1"/>
  <c r="E43" i="1" s="1"/>
  <c r="D42" i="1"/>
  <c r="E42" i="1" s="1"/>
  <c r="D41" i="1"/>
  <c r="E41" i="1" s="1"/>
  <c r="D40" i="1"/>
  <c r="E40" i="1" s="1"/>
  <c r="D39" i="1"/>
  <c r="E39" i="1" s="1"/>
  <c r="D38" i="1"/>
  <c r="E38" i="1" s="1"/>
  <c r="D37" i="1"/>
  <c r="E37" i="1" s="1"/>
  <c r="D36" i="1"/>
  <c r="E36" i="1" s="1"/>
  <c r="D35" i="1"/>
  <c r="E35" i="1" s="1"/>
  <c r="D34" i="1"/>
  <c r="E34" i="1" s="1"/>
  <c r="D27" i="1"/>
  <c r="E27" i="1" s="1"/>
  <c r="D26" i="1"/>
  <c r="D24" i="1"/>
  <c r="E24" i="1" s="1"/>
  <c r="D23" i="1"/>
  <c r="E23" i="1" s="1"/>
  <c r="D22" i="1"/>
  <c r="E22" i="1" s="1"/>
  <c r="D20" i="1"/>
  <c r="E20" i="1" s="1"/>
  <c r="D19" i="1"/>
  <c r="E19" i="1" s="1"/>
  <c r="D18" i="1"/>
  <c r="E18" i="1" s="1"/>
  <c r="D17" i="1"/>
  <c r="E17" i="1" s="1"/>
  <c r="D15" i="1"/>
  <c r="E15" i="1" s="1"/>
  <c r="D14" i="1"/>
  <c r="E14" i="1" s="1"/>
  <c r="D13" i="1"/>
  <c r="E13" i="1" s="1"/>
  <c r="D11" i="1"/>
  <c r="E11" i="1" s="1"/>
  <c r="D10" i="1"/>
  <c r="E10" i="1" s="1"/>
  <c r="D9" i="1"/>
  <c r="E9" i="1" s="1"/>
  <c r="D8" i="1"/>
  <c r="E8" i="1" s="1"/>
  <c r="D6" i="1"/>
  <c r="E6" i="1" s="1"/>
  <c r="D5" i="1"/>
  <c r="R12" i="1"/>
  <c r="Q12" i="1"/>
  <c r="O12" i="1"/>
  <c r="N12" i="1"/>
  <c r="M12" i="1"/>
  <c r="K12" i="1"/>
  <c r="J12" i="1"/>
  <c r="I12" i="1"/>
  <c r="G12" i="1"/>
  <c r="D32" i="1"/>
  <c r="E32" i="1" s="1"/>
  <c r="E31" i="1"/>
  <c r="E30" i="1"/>
  <c r="E29" i="1"/>
  <c r="D28" i="1" l="1"/>
  <c r="G49" i="1"/>
  <c r="G50" i="1" s="1"/>
  <c r="K49" i="1"/>
  <c r="K50" i="1" s="1"/>
  <c r="O49" i="1"/>
  <c r="O50" i="1" s="1"/>
  <c r="I49" i="1"/>
  <c r="I50" i="1" s="1"/>
  <c r="M49" i="1"/>
  <c r="M50" i="1" s="1"/>
  <c r="Q49" i="1"/>
  <c r="Q50" i="1" s="1"/>
  <c r="J49" i="1"/>
  <c r="J50" i="1" s="1"/>
  <c r="N49" i="1"/>
  <c r="N50" i="1" s="1"/>
  <c r="R49" i="1"/>
  <c r="R50" i="1" s="1"/>
  <c r="H12" i="1"/>
  <c r="H49" i="1" s="1"/>
  <c r="H50" i="1" s="1"/>
  <c r="L12" i="1"/>
  <c r="L49" i="1" s="1"/>
  <c r="L50" i="1" s="1"/>
  <c r="P12" i="1"/>
  <c r="P49" i="1" s="1"/>
  <c r="P50" i="1" s="1"/>
  <c r="D7" i="1"/>
  <c r="E7" i="1" s="1"/>
  <c r="B18" i="2"/>
  <c r="B22" i="2" s="1"/>
  <c r="C11" i="2"/>
  <c r="B12" i="2"/>
  <c r="B13" i="2" s="1"/>
  <c r="Q11" i="2"/>
  <c r="R11" i="2" s="1"/>
  <c r="E11" i="2"/>
  <c r="H11" i="2"/>
  <c r="I11" i="2" s="1"/>
  <c r="F12" i="1"/>
  <c r="F49" i="1" s="1"/>
  <c r="F50" i="1" s="1"/>
  <c r="D46" i="1"/>
  <c r="D16" i="1"/>
  <c r="D48" i="1"/>
  <c r="D25" i="1"/>
  <c r="D33" i="1"/>
  <c r="D21" i="1"/>
  <c r="E26" i="1"/>
  <c r="E5" i="1"/>
  <c r="D12" i="1" l="1"/>
  <c r="D49" i="1" s="1"/>
  <c r="F14" i="2"/>
  <c r="G14" i="2" s="1"/>
  <c r="H14" i="2" s="1"/>
  <c r="I14" i="2" s="1"/>
  <c r="F11" i="2"/>
  <c r="E22" i="2"/>
  <c r="E24" i="2" s="1"/>
</calcChain>
</file>

<file path=xl/comments1.xml><?xml version="1.0" encoding="utf-8"?>
<comments xmlns="http://schemas.openxmlformats.org/spreadsheetml/2006/main">
  <authors>
    <author>SECURITY</author>
    <author>JENNI CAROLINA</author>
  </authors>
  <commentList>
    <comment ref="C7" authorId="0" shapeId="0">
      <text>
        <r>
          <rPr>
            <b/>
            <sz val="9"/>
            <color indexed="81"/>
            <rFont val="Tahoma"/>
            <family val="2"/>
          </rPr>
          <t>Seguimiento de los indicadores y cumplimiento del SGSST</t>
        </r>
      </text>
    </comment>
    <comment ref="C8" authorId="0" shapeId="0">
      <text>
        <r>
          <rPr>
            <b/>
            <sz val="9"/>
            <color indexed="81"/>
            <rFont val="Tahoma"/>
            <family val="2"/>
          </rPr>
          <t>SECURITY:</t>
        </r>
        <r>
          <rPr>
            <sz val="9"/>
            <color indexed="81"/>
            <rFont val="Tahoma"/>
            <family val="2"/>
          </rPr>
          <t xml:space="preserve">
3 HORAS DEL EQUIPO DE TRABAJO</t>
        </r>
      </text>
    </comment>
    <comment ref="C9" authorId="0" shapeId="0">
      <text>
        <r>
          <rPr>
            <b/>
            <sz val="9"/>
            <color indexed="81"/>
            <rFont val="Tahoma"/>
            <family val="2"/>
          </rPr>
          <t>SECURITY:</t>
        </r>
        <r>
          <rPr>
            <sz val="9"/>
            <color indexed="81"/>
            <rFont val="Tahoma"/>
            <family val="2"/>
          </rPr>
          <t xml:space="preserve">
2 HORAS DEL EQUIPO DE TRABAJO</t>
        </r>
      </text>
    </comment>
    <comment ref="C10" authorId="0" shapeId="0">
      <text>
        <r>
          <rPr>
            <b/>
            <sz val="9"/>
            <color indexed="81"/>
            <rFont val="Tahoma"/>
            <family val="2"/>
          </rPr>
          <t>SECURITY:</t>
        </r>
        <r>
          <rPr>
            <sz val="9"/>
            <color indexed="81"/>
            <rFont val="Tahoma"/>
            <family val="2"/>
          </rPr>
          <t xml:space="preserve">
3 HORAS DEL EQUIPO DE TRABAJO
</t>
        </r>
      </text>
    </comment>
    <comment ref="C11" authorId="0" shapeId="0">
      <text>
        <r>
          <rPr>
            <b/>
            <sz val="9"/>
            <color indexed="81"/>
            <rFont val="Tahoma"/>
            <family val="2"/>
          </rPr>
          <t>SECURITY:</t>
        </r>
        <r>
          <rPr>
            <sz val="9"/>
            <color indexed="81"/>
            <rFont val="Tahoma"/>
            <family val="2"/>
          </rPr>
          <t xml:space="preserve">
14 HORAS DEL EQUIPO DE TRABAJO</t>
        </r>
      </text>
    </comment>
    <comment ref="B13" authorId="0" shapeId="0">
      <text>
        <r>
          <rPr>
            <b/>
            <sz val="9"/>
            <color indexed="81"/>
            <rFont val="Tahoma"/>
            <family val="2"/>
          </rPr>
          <t>EL DESARROLLO DE LA APLICACIÓN ES COSTEADO DIRECTAMENTE POR EL EQUIPO DE TRABAJO. YA QUE SE VENDERÁ ES LA MANUTENCIÓN POR USO DE LA APP.</t>
        </r>
      </text>
    </comment>
    <comment ref="C19" authorId="0" shapeId="0">
      <text>
        <r>
          <rPr>
            <b/>
            <sz val="9"/>
            <color indexed="81"/>
            <rFont val="Tahoma"/>
            <family val="2"/>
          </rPr>
          <t>Costo por 8 horas del responsable del SGSST</t>
        </r>
      </text>
    </comment>
    <comment ref="C29" authorId="0" shapeId="0">
      <text>
        <r>
          <rPr>
            <sz val="9"/>
            <color indexed="81"/>
            <rFont val="Tahoma"/>
            <family val="2"/>
          </rPr>
          <t xml:space="preserve">EMPRESA Y EQUIPO DE TRABAJO POR DOS HORAS
</t>
        </r>
      </text>
    </comment>
    <comment ref="D29" authorId="0" shapeId="0">
      <text>
        <r>
          <rPr>
            <b/>
            <sz val="9"/>
            <color indexed="81"/>
            <rFont val="Tahoma"/>
            <family val="2"/>
          </rPr>
          <t>COSTO DE DOS HORAS POR COSTO PROMEDIO DE HORA TRABAJADO EN PUNZONAR S.A.</t>
        </r>
      </text>
    </comment>
    <comment ref="C30" authorId="0" shapeId="0">
      <text>
        <r>
          <rPr>
            <b/>
            <sz val="9"/>
            <color indexed="81"/>
            <rFont val="Tahoma"/>
            <family val="2"/>
          </rPr>
          <t>SE CALCULAN DOS (2) PIEZAS, POR VALOR UNITARIO DE $130,000</t>
        </r>
      </text>
    </comment>
    <comment ref="C31" authorId="0" shapeId="0">
      <text>
        <r>
          <rPr>
            <b/>
            <sz val="9"/>
            <color indexed="81"/>
            <rFont val="Tahoma"/>
            <family val="2"/>
          </rPr>
          <t>COMPRA DE 3 CELULARES PARA RIFARLOS EN EL LANZAMIENTO</t>
        </r>
      </text>
    </comment>
    <comment ref="C32" authorId="0" shapeId="0">
      <text>
        <r>
          <rPr>
            <b/>
            <sz val="9"/>
            <color indexed="81"/>
            <rFont val="Tahoma"/>
            <family val="2"/>
          </rPr>
          <t>El presupuesto debe agregarse al programa de bienestar</t>
        </r>
      </text>
    </comment>
    <comment ref="C43" authorId="0" shapeId="0">
      <text>
        <r>
          <rPr>
            <b/>
            <sz val="9"/>
            <color indexed="81"/>
            <rFont val="Tahoma"/>
            <family val="2"/>
          </rPr>
          <t>Costo de 6 horas por parte del responsable del SGSST</t>
        </r>
      </text>
    </comment>
    <comment ref="C44" authorId="1" shapeId="0">
      <text>
        <r>
          <rPr>
            <sz val="9"/>
            <color indexed="81"/>
            <rFont val="Tahoma"/>
            <family val="2"/>
          </rPr>
          <t>Se contempla para todos los colaboradores</t>
        </r>
      </text>
    </comment>
    <comment ref="C45" authorId="1" shapeId="0">
      <text>
        <r>
          <rPr>
            <sz val="9"/>
            <color indexed="81"/>
            <rFont val="Tahoma"/>
            <family val="2"/>
          </rPr>
          <t>Se proyecta para 50 trabajadores con un promedio de salario de 2.524.781 y 2 horas por persona</t>
        </r>
      </text>
    </comment>
  </commentList>
</comments>
</file>

<file path=xl/sharedStrings.xml><?xml version="1.0" encoding="utf-8"?>
<sst xmlns="http://schemas.openxmlformats.org/spreadsheetml/2006/main" count="109" uniqueCount="92">
  <si>
    <t>GRUPO</t>
  </si>
  <si>
    <t>ACTIVIDAD</t>
  </si>
  <si>
    <t xml:space="preserve">TOTAL PROGRAMADO DEL AÑO </t>
  </si>
  <si>
    <t>% DE EJECUCCION</t>
  </si>
  <si>
    <t>Febrero</t>
  </si>
  <si>
    <t>Marzo</t>
  </si>
  <si>
    <t>Abril</t>
  </si>
  <si>
    <t>Mayo</t>
  </si>
  <si>
    <t>Junio</t>
  </si>
  <si>
    <t>Julio</t>
  </si>
  <si>
    <t>Agosto</t>
  </si>
  <si>
    <t>Septiembre</t>
  </si>
  <si>
    <t>Octubre</t>
  </si>
  <si>
    <t>Noviembre</t>
  </si>
  <si>
    <t>Diciembre</t>
  </si>
  <si>
    <t>Enero</t>
  </si>
  <si>
    <t xml:space="preserve">Responsable del SG-SST (profesional- mín 1 año de experiencia) </t>
  </si>
  <si>
    <t>Subtotal</t>
  </si>
  <si>
    <t xml:space="preserve"> MEDICINA  DEL TRABAJO </t>
  </si>
  <si>
    <t>Examenes médicos Ocupacionales</t>
  </si>
  <si>
    <t>Examenes de Laboratorio - perfil básico (Titulación de anticuerpos, visiometría, hemograma, glicemia)</t>
  </si>
  <si>
    <t>Propramas de Prevención y Promoción</t>
  </si>
  <si>
    <t>PSICOSOCIAL</t>
  </si>
  <si>
    <t>Batería de riesgos psicosociales</t>
  </si>
  <si>
    <t>Actividades de mitigación de estrés laboral</t>
  </si>
  <si>
    <t>Actividades  de  Integración y motivación</t>
  </si>
  <si>
    <t>Capacitación manejo de estrés</t>
  </si>
  <si>
    <t>Inducción - reinducción al SG-SST</t>
  </si>
  <si>
    <t xml:space="preserve">RETORNO DE LA ARL 
REINVERSIÓN </t>
  </si>
  <si>
    <t>TOTAL</t>
  </si>
  <si>
    <t>Elaboró</t>
  </si>
  <si>
    <t>Revisó</t>
  </si>
  <si>
    <t>Aprobó</t>
  </si>
  <si>
    <t>Gerente General</t>
  </si>
  <si>
    <t>Equipo de trabajo</t>
  </si>
  <si>
    <t>Responsable SGSST</t>
  </si>
  <si>
    <t>DD/MM/AAAA</t>
  </si>
  <si>
    <t>DESARROLLO DEL PROGRAMA DE HABITOS Y ESTILOS DE VIDA SALUDABLES</t>
  </si>
  <si>
    <t>IMPLEMENTACIÓN Y MANUTENCIÓN DE LA APP #BEHEALTHY</t>
  </si>
  <si>
    <t>RECURSO HUMANO
PUNZONAR S.A.</t>
  </si>
  <si>
    <t>RECURSO HUMANO
DIAGNÓSTICO PARA DEFINICIÓN DEL PROYECTO</t>
  </si>
  <si>
    <t>Establecer problemática y antecedentes para el proyecto</t>
  </si>
  <si>
    <t>Realizar y socializar a la empresa la encuesta FANTASTICO</t>
  </si>
  <si>
    <t>Diagnóstico: Solicitud de documentos para el levantamiento de información,  elaboración de documento diagnóstico</t>
  </si>
  <si>
    <t>Reunión inIcial con la empresa Punzonar S.A para evaluación de la problemática a intervenir</t>
  </si>
  <si>
    <r>
      <t xml:space="preserve">Versión: </t>
    </r>
    <r>
      <rPr>
        <b/>
        <sz val="10"/>
        <color theme="1"/>
        <rFont val="Century Gothic"/>
        <family val="2"/>
      </rPr>
      <t>001</t>
    </r>
    <r>
      <rPr>
        <sz val="10"/>
        <color theme="1"/>
        <rFont val="Century Gothic"/>
        <family val="2"/>
      </rPr>
      <t xml:space="preserve">
Página </t>
    </r>
    <r>
      <rPr>
        <b/>
        <sz val="10"/>
        <color theme="1"/>
        <rFont val="Century Gothic"/>
        <family val="2"/>
      </rPr>
      <t>1</t>
    </r>
    <r>
      <rPr>
        <sz val="10"/>
        <color theme="1"/>
        <rFont val="Century Gothic"/>
        <family val="2"/>
      </rPr>
      <t xml:space="preserve"> de </t>
    </r>
    <r>
      <rPr>
        <b/>
        <sz val="10"/>
        <color theme="1"/>
        <rFont val="Century Gothic"/>
        <family val="2"/>
      </rPr>
      <t>2</t>
    </r>
    <r>
      <rPr>
        <sz val="10"/>
        <color theme="1"/>
        <rFont val="Century Gothic"/>
        <family val="2"/>
      </rPr>
      <t xml:space="preserve">
Fecha de Aprobación
</t>
    </r>
    <r>
      <rPr>
        <b/>
        <sz val="10"/>
        <color theme="1"/>
        <rFont val="Century Gothic"/>
        <family val="2"/>
      </rPr>
      <t>DD/MM/AAAA</t>
    </r>
  </si>
  <si>
    <t>DESARROLLO DE LA APLICACIÓN #BEHEALTHY</t>
  </si>
  <si>
    <t>Costo de la aplicación</t>
  </si>
  <si>
    <t>Desarrollos adicionales (modificaciones)</t>
  </si>
  <si>
    <t>Branding para posicionamiento</t>
  </si>
  <si>
    <t>Adquisición de la licencia anual App #BeHealthy hasta 50 trabajadores</t>
  </si>
  <si>
    <t>Acceso anual a cuenta Amazon web services</t>
  </si>
  <si>
    <r>
      <t xml:space="preserve">Administracion del SG-SST/ Auxiliar SST (aprendiz sena) // Responsable de la administración de la aplicación.
</t>
    </r>
    <r>
      <rPr>
        <sz val="8"/>
        <color theme="1"/>
        <rFont val="Century Gothic"/>
        <family val="2"/>
      </rPr>
      <t>** Se calcula que la administración requiera la inversión de 4 horas por semana</t>
    </r>
  </si>
  <si>
    <t>Diciembre
2021</t>
  </si>
  <si>
    <t>ESTRATEGIA DE FIDELIZACIÓN PARA USO DE LA APP</t>
  </si>
  <si>
    <t xml:space="preserve">Elaboración de piezas de campaña para la sensibilización </t>
  </si>
  <si>
    <r>
      <t xml:space="preserve">Reunión de lanzamiento de la App
</t>
    </r>
    <r>
      <rPr>
        <sz val="9"/>
        <color rgb="FF000000"/>
        <rFont val="Century Gothic"/>
        <family val="2"/>
      </rPr>
      <t>* Este costo es el correspondiente a las horas invertidas por los 33 trabajadores en el lanzamiento</t>
    </r>
  </si>
  <si>
    <t>Compra de celulares Android</t>
  </si>
  <si>
    <t>Bonificaciones / regalos por uso de la APP</t>
  </si>
  <si>
    <t>Diseño del programa de hábitos y estilos de vida saludables</t>
  </si>
  <si>
    <t>Revisión y Comunicación de la Política de prevención de consumo de alcohol, tabaco y sustancias psicoactivas</t>
  </si>
  <si>
    <t>Campaña 4: "La salud mental también va contigo"</t>
  </si>
  <si>
    <t>Campaña 5: "Cuanto sabes del daño que causa en tu vida el consumo de alcohol, tabaco y SPA"</t>
  </si>
  <si>
    <t>Seguimiento a recomendaciones Individuales resultante de los EMO periódicos (cartas de seguimiento a colaboradores)</t>
  </si>
  <si>
    <t>Medición de Indicadores, actualización de Ficha de Indicadores y tendencias. Análisis.</t>
  </si>
  <si>
    <r>
      <t xml:space="preserve">Socialización del PG Estilos Vida saludable (Pilares Preventivos)
</t>
    </r>
    <r>
      <rPr>
        <sz val="9"/>
        <color rgb="FF000000"/>
        <rFont val="Century Gothic"/>
        <family val="2"/>
      </rPr>
      <t>* Se tiene en cuenta el número de horas invertido por el responsable SG-SST en la preparación de la actividad y en el tiempo de ejecución</t>
    </r>
  </si>
  <si>
    <r>
      <t xml:space="preserve">Campaña 1: "Activando nuestro cuerpo"
</t>
    </r>
    <r>
      <rPr>
        <sz val="9"/>
        <color rgb="FF000000"/>
        <rFont val="Century Gothic"/>
        <family val="2"/>
      </rPr>
      <t>* El costo de esta actividad se manejaría como parte de la reinvención que se tiene por los aportes realizados a la ARL y con el uso de la APP por ello solo se contemplan las horas invertidas por el responsable del SG-SST en la planación, ejecución y seguimiento</t>
    </r>
  </si>
  <si>
    <r>
      <t xml:space="preserve">Campaña 2: "Regálate 10 minutos"
</t>
    </r>
    <r>
      <rPr>
        <sz val="9"/>
        <color rgb="FF000000"/>
        <rFont val="Century Gothic"/>
        <family val="2"/>
      </rPr>
      <t>* El costo de esta actividad se manejaría como parte de la reinvención que se tiene por los aportes realizados a la ARL y con el uso de la APP por ello solo se contemplan las horas invertidas por el responsable del SG-SST en la planación, ejecución y seguimiento</t>
    </r>
  </si>
  <si>
    <r>
      <t xml:space="preserve">Campaña 3: "Apuestale al bienestar, vitalidad y productividad"
</t>
    </r>
    <r>
      <rPr>
        <sz val="9"/>
        <color rgb="FF000000"/>
        <rFont val="Century Gothic"/>
        <family val="2"/>
      </rPr>
      <t xml:space="preserve">
* El costo de esta actividad se manejaría como parte de la reinvención que se tiene por los aportes realizados a la ARL y con el uso de la APP por ello solo se contemplan las horas invertidas por el responsable del SG-SST en la planación, ejecución y seguimiento</t>
    </r>
  </si>
  <si>
    <r>
      <t xml:space="preserve">Día de la familia
</t>
    </r>
    <r>
      <rPr>
        <sz val="9"/>
        <color rgb="FF000000"/>
        <rFont val="Century Gothic"/>
        <family val="2"/>
      </rPr>
      <t>* Para esta actividad se contempla que una parte sea asumida por la caja como la reinversión y otro valor por la Empresa, razón por la cual aquí se refleja este último</t>
    </r>
  </si>
  <si>
    <t>-</t>
  </si>
  <si>
    <t>SMLV</t>
  </si>
  <si>
    <t>Auxilio de transporte</t>
  </si>
  <si>
    <t>Prima</t>
  </si>
  <si>
    <t>Cesantías</t>
  </si>
  <si>
    <t xml:space="preserve">Interéses </t>
  </si>
  <si>
    <t>Vacaciones</t>
  </si>
  <si>
    <t>Salud</t>
  </si>
  <si>
    <t>Pensión</t>
  </si>
  <si>
    <t>ARL</t>
  </si>
  <si>
    <t>Caja</t>
  </si>
  <si>
    <t>Concepto</t>
  </si>
  <si>
    <t>Valor unitario</t>
  </si>
  <si>
    <t>Hora consultoría</t>
  </si>
  <si>
    <t>Costo licencia anual App #BeHealthy hasta 50 trabajadores</t>
  </si>
  <si>
    <t>Costo mensual del responsable de SG-SST</t>
  </si>
  <si>
    <t>Costo promedio de hora de trabajo en Punzonar S.A.</t>
  </si>
  <si>
    <t>Costo promedio de pieza de diseño</t>
  </si>
  <si>
    <t>Subtotal (Sin retorno de la ARL)</t>
  </si>
  <si>
    <t>Jornadas de pausas activas
Capacitación Autocuidado, actos y condiciones inseguras
Capacitación COPASST
Asesoria del plan de orden y el aseo.
Capacitacion de hábitos y estilos de vida Saludable 
Charlas de nutrición
Foros / charlas de cultura en salud 
Charla del sindrome metabólico
Charlas de enfermedades por transmisión sexual
Programa de higiene del sueño
Programa de fatiga
Charlas preventivas riesgo ergonómico
Charla No consumo de alcohol
Charla anti-tabaquismo
Promoción actividades deportivas</t>
  </si>
  <si>
    <t>COPASST (valor de 2 horas de 4 colaboradores)</t>
  </si>
  <si>
    <t>PRESUPUESTO GENERAL DEL PROYECTO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</si>
</sst>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1" formatCode="_-* #,##0_-;\-* #,##0_-;_-* &quot;-&quot;_-;_-@_-"/>
    <numFmt numFmtId="44" formatCode="_-&quot;$&quot;* #,##0.00_-;\-&quot;$&quot;* #,##0.00_-;_-&quot;$&quot;* &quot;-&quot;??_-;_-@_-"/>
    <numFmt numFmtId="43" formatCode="_-* #,##0.00_-;\-* #,##0.00_-;_-* &quot;-&quot;??_-;_-@_-"/>
    <numFmt numFmtId="164" formatCode="[$$-240A]\ #,##0_ ;\-[$$-240A]\ #,##0\ "/>
    <numFmt numFmtId="165" formatCode="General_)"/>
    <numFmt numFmtId="166" formatCode="0.0%"/>
    <numFmt numFmtId="167" formatCode="_-&quot;$&quot;\ * #,##0_-;\-&quot;$&quot;\ * #,##0_-;_-&quot;$&quot;\ * &quot;-&quot;??_-;_-@_-"/>
    <numFmt numFmtId="171" formatCode="[$$-240A]\ #,##0;\-[$$-240A]\ #,##0"/>
  </numFmts>
  <fonts count="20" x14ac:knownFonts="1">
    <font>
      <sz val="11"/>
      <color theme="1"/>
      <name val="Calibri"/>
      <family val="2"/>
      <scheme val="minor"/>
    </font>
    <font>
      <sz val="11"/>
      <color theme="1"/>
      <name val="Calibri"/>
      <family val="2"/>
      <scheme val="minor"/>
    </font>
    <font>
      <b/>
      <sz val="16"/>
      <color theme="1"/>
      <name val="Century Gothic"/>
      <family val="2"/>
    </font>
    <font>
      <sz val="10"/>
      <color theme="1"/>
      <name val="Century Gothic"/>
      <family val="2"/>
    </font>
    <font>
      <b/>
      <sz val="10"/>
      <color theme="1"/>
      <name val="Century Gothic"/>
      <family val="2"/>
    </font>
    <font>
      <b/>
      <sz val="10"/>
      <name val="Century Gothic"/>
      <family val="2"/>
    </font>
    <font>
      <b/>
      <sz val="10"/>
      <color rgb="FF00B050"/>
      <name val="Century Gothic"/>
      <family val="2"/>
    </font>
    <font>
      <sz val="10"/>
      <color rgb="FF000000"/>
      <name val="Arial"/>
      <family val="2"/>
    </font>
    <font>
      <b/>
      <sz val="12"/>
      <name val="Century Gothic"/>
      <family val="2"/>
    </font>
    <font>
      <b/>
      <sz val="11"/>
      <color theme="1"/>
      <name val="Century Gothic"/>
      <family val="2"/>
    </font>
    <font>
      <sz val="11"/>
      <color theme="1"/>
      <name val="Century Gothic"/>
      <family val="2"/>
    </font>
    <font>
      <b/>
      <sz val="9"/>
      <color indexed="81"/>
      <name val="Tahoma"/>
      <family val="2"/>
    </font>
    <font>
      <sz val="9"/>
      <color indexed="81"/>
      <name val="Tahoma"/>
      <family val="2"/>
    </font>
    <font>
      <sz val="9"/>
      <color rgb="FF000000"/>
      <name val="Century Gothic"/>
      <family val="2"/>
    </font>
    <font>
      <sz val="8"/>
      <color theme="1"/>
      <name val="Century Gothic"/>
      <family val="2"/>
    </font>
    <font>
      <sz val="11"/>
      <name val="Calibri"/>
      <family val="2"/>
    </font>
    <font>
      <sz val="10"/>
      <name val="Century Gothic"/>
      <family val="2"/>
    </font>
    <font>
      <sz val="10"/>
      <color rgb="FF000000"/>
      <name val="Century Gothic"/>
      <family val="2"/>
    </font>
    <font>
      <b/>
      <sz val="10"/>
      <color rgb="FF000000"/>
      <name val="Century Gothic"/>
      <family val="2"/>
    </font>
    <font>
      <sz val="10"/>
      <color theme="1"/>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7" tint="0.59999389629810485"/>
        <bgColor indexed="64"/>
      </patternFill>
    </fill>
    <fill>
      <patternFill patternType="solid">
        <fgColor theme="0" tint="-0.34998626667073579"/>
        <bgColor indexed="64"/>
      </patternFill>
    </fill>
    <fill>
      <patternFill patternType="solid">
        <fgColor rgb="FFD8D8D8"/>
        <bgColor indexed="64"/>
      </patternFill>
    </fill>
    <fill>
      <patternFill patternType="solid">
        <fgColor theme="5" tint="0.79998168889431442"/>
        <bgColor indexed="64"/>
      </patternFill>
    </fill>
  </fills>
  <borders count="1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7">
    <xf numFmtId="164"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164" fontId="7" fillId="0" borderId="0"/>
    <xf numFmtId="164" fontId="15" fillId="0" borderId="0">
      <alignment vertical="center"/>
    </xf>
  </cellStyleXfs>
  <cellXfs count="61">
    <xf numFmtId="164" fontId="0" fillId="0" borderId="0" xfId="0"/>
    <xf numFmtId="164" fontId="0" fillId="2" borderId="0" xfId="0" applyFill="1"/>
    <xf numFmtId="165" fontId="3" fillId="0" borderId="3" xfId="0" applyNumberFormat="1" applyFont="1" applyBorder="1" applyAlignment="1">
      <alignment vertical="center" wrapText="1"/>
    </xf>
    <xf numFmtId="164" fontId="5" fillId="3" borderId="3" xfId="2" applyNumberFormat="1" applyFont="1" applyFill="1" applyBorder="1" applyAlignment="1">
      <alignment vertical="center"/>
    </xf>
    <xf numFmtId="166" fontId="6" fillId="0" borderId="3" xfId="3" applyNumberFormat="1" applyFont="1" applyFill="1" applyBorder="1" applyAlignment="1">
      <alignment horizontal="center" vertical="center"/>
    </xf>
    <xf numFmtId="167" fontId="3" fillId="0" borderId="3" xfId="4" applyNumberFormat="1" applyFont="1" applyFill="1" applyBorder="1" applyAlignment="1">
      <alignment vertical="center"/>
    </xf>
    <xf numFmtId="164" fontId="5" fillId="4" borderId="3" xfId="5" applyNumberFormat="1" applyFont="1" applyFill="1" applyBorder="1" applyAlignment="1">
      <alignment vertical="center" wrapText="1"/>
    </xf>
    <xf numFmtId="165" fontId="3" fillId="2" borderId="3" xfId="0" applyNumberFormat="1" applyFont="1" applyFill="1" applyBorder="1" applyAlignment="1">
      <alignment vertical="center" wrapText="1"/>
    </xf>
    <xf numFmtId="167" fontId="3" fillId="2" borderId="3" xfId="4" applyNumberFormat="1" applyFont="1" applyFill="1" applyBorder="1" applyAlignment="1">
      <alignment vertical="center"/>
    </xf>
    <xf numFmtId="165" fontId="3" fillId="0" borderId="1" xfId="0" applyNumberFormat="1" applyFont="1" applyBorder="1" applyAlignment="1">
      <alignment vertical="center" wrapText="1"/>
    </xf>
    <xf numFmtId="164" fontId="3" fillId="2" borderId="3" xfId="0" applyFont="1" applyFill="1" applyBorder="1" applyAlignment="1">
      <alignment vertical="center" wrapText="1"/>
    </xf>
    <xf numFmtId="164" fontId="5" fillId="4" borderId="4" xfId="5" applyNumberFormat="1" applyFont="1" applyFill="1" applyBorder="1" applyAlignment="1">
      <alignment vertical="center" wrapText="1"/>
    </xf>
    <xf numFmtId="164" fontId="3" fillId="0" borderId="3" xfId="0" applyFont="1" applyBorder="1" applyAlignment="1">
      <alignment vertical="center" wrapText="1"/>
    </xf>
    <xf numFmtId="167" fontId="3" fillId="2" borderId="4" xfId="4" applyNumberFormat="1" applyFont="1" applyFill="1" applyBorder="1" applyAlignment="1">
      <alignment vertical="center"/>
    </xf>
    <xf numFmtId="164" fontId="3" fillId="2" borderId="4" xfId="5" applyFont="1" applyFill="1" applyBorder="1" applyAlignment="1">
      <alignment vertical="center" wrapText="1"/>
    </xf>
    <xf numFmtId="167" fontId="3" fillId="0" borderId="4" xfId="4" applyNumberFormat="1" applyFont="1" applyBorder="1" applyAlignment="1">
      <alignment vertical="center"/>
    </xf>
    <xf numFmtId="164" fontId="9" fillId="2" borderId="0" xfId="0" applyFont="1" applyFill="1" applyBorder="1" applyAlignment="1">
      <alignment horizontal="center" vertical="center"/>
    </xf>
    <xf numFmtId="164" fontId="9" fillId="2" borderId="0" xfId="0" applyFont="1" applyFill="1" applyBorder="1" applyAlignment="1">
      <alignment horizontal="center" vertical="center"/>
    </xf>
    <xf numFmtId="164" fontId="9" fillId="2" borderId="0" xfId="0" applyFont="1" applyFill="1" applyBorder="1" applyAlignment="1">
      <alignment horizontal="center" vertical="center" wrapText="1"/>
    </xf>
    <xf numFmtId="164" fontId="10" fillId="2" borderId="0" xfId="0" applyFont="1" applyFill="1" applyBorder="1" applyAlignment="1">
      <alignment horizontal="center" vertical="center"/>
    </xf>
    <xf numFmtId="164" fontId="10" fillId="2" borderId="7" xfId="0" applyFont="1" applyFill="1" applyBorder="1" applyAlignment="1">
      <alignment vertical="center"/>
    </xf>
    <xf numFmtId="164" fontId="10" fillId="2" borderId="7" xfId="0" applyFont="1" applyFill="1" applyBorder="1" applyAlignment="1">
      <alignment horizontal="center" vertical="center"/>
    </xf>
    <xf numFmtId="164" fontId="10" fillId="2" borderId="8" xfId="0" applyFont="1" applyFill="1" applyBorder="1" applyAlignment="1">
      <alignment horizontal="center" vertical="center"/>
    </xf>
    <xf numFmtId="164" fontId="10" fillId="2" borderId="0" xfId="0" applyFont="1" applyFill="1" applyBorder="1" applyAlignment="1">
      <alignment horizontal="center" vertical="center"/>
    </xf>
    <xf numFmtId="0" fontId="10" fillId="2" borderId="0" xfId="0" applyNumberFormat="1" applyFont="1" applyFill="1" applyBorder="1" applyAlignment="1">
      <alignment horizontal="center" vertical="center"/>
    </xf>
    <xf numFmtId="0" fontId="10" fillId="2" borderId="0" xfId="0" applyNumberFormat="1" applyFont="1" applyFill="1" applyBorder="1" applyAlignment="1">
      <alignment horizontal="center" vertical="center"/>
    </xf>
    <xf numFmtId="0" fontId="0" fillId="2" borderId="0" xfId="0" applyNumberFormat="1" applyFill="1"/>
    <xf numFmtId="14" fontId="10" fillId="2" borderId="0" xfId="0" applyNumberFormat="1" applyFont="1" applyFill="1" applyBorder="1" applyAlignment="1">
      <alignment horizontal="center" vertical="center"/>
    </xf>
    <xf numFmtId="14" fontId="10" fillId="2" borderId="0" xfId="0" applyNumberFormat="1" applyFont="1" applyFill="1" applyBorder="1" applyAlignment="1">
      <alignment horizontal="center" vertical="center"/>
    </xf>
    <xf numFmtId="166" fontId="6" fillId="0" borderId="4" xfId="3" applyNumberFormat="1" applyFont="1" applyFill="1" applyBorder="1" applyAlignment="1">
      <alignment horizontal="center" vertical="center"/>
    </xf>
    <xf numFmtId="164" fontId="3" fillId="2" borderId="4" xfId="0" applyFont="1" applyFill="1" applyBorder="1" applyAlignment="1">
      <alignment vertical="center" wrapText="1"/>
    </xf>
    <xf numFmtId="164" fontId="5" fillId="3" borderId="4" xfId="2" applyNumberFormat="1" applyFont="1" applyFill="1" applyBorder="1" applyAlignment="1">
      <alignment vertical="center"/>
    </xf>
    <xf numFmtId="164" fontId="4" fillId="4" borderId="1" xfId="0" applyFont="1" applyFill="1" applyBorder="1" applyAlignment="1">
      <alignment horizontal="center" vertical="center" wrapText="1"/>
    </xf>
    <xf numFmtId="164" fontId="4" fillId="4" borderId="2" xfId="0" applyFont="1" applyFill="1" applyBorder="1" applyAlignment="1">
      <alignment horizontal="center" vertical="center" wrapText="1"/>
    </xf>
    <xf numFmtId="0" fontId="5" fillId="4" borderId="3" xfId="3" applyNumberFormat="1" applyFont="1" applyFill="1" applyBorder="1" applyAlignment="1">
      <alignment horizontal="center" vertical="center" wrapText="1"/>
    </xf>
    <xf numFmtId="164" fontId="8" fillId="7" borderId="1" xfId="0" applyFont="1" applyFill="1" applyBorder="1" applyAlignment="1">
      <alignment horizontal="center" vertical="center" wrapText="1"/>
    </xf>
    <xf numFmtId="164" fontId="8" fillId="7" borderId="2" xfId="0" applyFont="1" applyFill="1" applyBorder="1" applyAlignment="1">
      <alignment horizontal="center" vertical="center" wrapText="1"/>
    </xf>
    <xf numFmtId="164" fontId="8" fillId="7" borderId="3" xfId="1" applyNumberFormat="1" applyFont="1" applyFill="1" applyBorder="1" applyAlignment="1">
      <alignment horizontal="center" vertical="center"/>
    </xf>
    <xf numFmtId="164" fontId="0" fillId="2" borderId="3" xfId="0" applyFill="1" applyBorder="1" applyAlignment="1">
      <alignment horizontal="center"/>
    </xf>
    <xf numFmtId="164" fontId="2" fillId="2" borderId="3" xfId="0" applyFont="1" applyFill="1" applyBorder="1" applyAlignment="1">
      <alignment horizontal="center" vertical="center" wrapText="1"/>
    </xf>
    <xf numFmtId="164" fontId="3" fillId="2" borderId="3" xfId="0" applyFont="1" applyFill="1" applyBorder="1" applyAlignment="1">
      <alignment horizontal="center" vertical="center" wrapText="1"/>
    </xf>
    <xf numFmtId="165" fontId="4" fillId="8" borderId="3" xfId="0" applyNumberFormat="1" applyFont="1" applyFill="1" applyBorder="1" applyAlignment="1">
      <alignment horizontal="center" vertical="center" wrapText="1"/>
    </xf>
    <xf numFmtId="164" fontId="4" fillId="5" borderId="4" xfId="0" applyFont="1" applyFill="1" applyBorder="1" applyAlignment="1">
      <alignment horizontal="center" vertical="center" wrapText="1"/>
    </xf>
    <xf numFmtId="164" fontId="4" fillId="5" borderId="5" xfId="0" applyFont="1" applyFill="1" applyBorder="1" applyAlignment="1">
      <alignment horizontal="center" vertical="center" wrapText="1"/>
    </xf>
    <xf numFmtId="164" fontId="4" fillId="5" borderId="3" xfId="0" applyFont="1" applyFill="1" applyBorder="1" applyAlignment="1">
      <alignment horizontal="center" vertical="center" wrapText="1"/>
    </xf>
    <xf numFmtId="164" fontId="4" fillId="5" borderId="6" xfId="0" applyFont="1" applyFill="1" applyBorder="1" applyAlignment="1">
      <alignment horizontal="center" vertical="center" wrapText="1"/>
    </xf>
    <xf numFmtId="164" fontId="4" fillId="5" borderId="3" xfId="0" applyFont="1" applyFill="1" applyBorder="1" applyAlignment="1">
      <alignment horizontal="center" vertical="center" wrapText="1"/>
    </xf>
    <xf numFmtId="164" fontId="15" fillId="0" borderId="0" xfId="6">
      <alignment vertical="center"/>
    </xf>
    <xf numFmtId="164" fontId="16" fillId="0" borderId="0" xfId="6" applyFont="1">
      <alignment vertical="center"/>
    </xf>
    <xf numFmtId="3" fontId="17" fillId="0" borderId="0" xfId="6" applyNumberFormat="1" applyFont="1" applyAlignment="1"/>
    <xf numFmtId="164" fontId="18" fillId="9" borderId="10" xfId="0" applyFont="1" applyFill="1" applyBorder="1" applyAlignment="1">
      <alignment horizontal="center" vertical="center"/>
    </xf>
    <xf numFmtId="164" fontId="18" fillId="9" borderId="11" xfId="0" applyFont="1" applyFill="1" applyBorder="1" applyAlignment="1">
      <alignment horizontal="center" vertical="center"/>
    </xf>
    <xf numFmtId="164" fontId="17" fillId="6" borderId="12" xfId="0" applyFont="1" applyFill="1" applyBorder="1" applyAlignment="1">
      <alignment horizontal="justify" vertical="center" wrapText="1"/>
    </xf>
    <xf numFmtId="171" fontId="17" fillId="6" borderId="9" xfId="0" applyNumberFormat="1" applyFont="1" applyFill="1" applyBorder="1" applyAlignment="1">
      <alignment horizontal="left" vertical="center"/>
    </xf>
    <xf numFmtId="164" fontId="17" fillId="6" borderId="13" xfId="0" applyFont="1" applyFill="1" applyBorder="1" applyAlignment="1">
      <alignment horizontal="justify" vertical="center" wrapText="1"/>
    </xf>
    <xf numFmtId="171" fontId="17" fillId="6" borderId="14" xfId="0" applyNumberFormat="1" applyFont="1" applyFill="1" applyBorder="1" applyAlignment="1">
      <alignment horizontal="left" vertical="center"/>
    </xf>
    <xf numFmtId="164" fontId="5" fillId="7" borderId="1" xfId="0" applyFont="1" applyFill="1" applyBorder="1" applyAlignment="1">
      <alignment horizontal="center" vertical="center" wrapText="1"/>
    </xf>
    <xf numFmtId="164" fontId="5" fillId="7" borderId="2" xfId="0" applyFont="1" applyFill="1" applyBorder="1" applyAlignment="1">
      <alignment horizontal="center" vertical="center" wrapText="1"/>
    </xf>
    <xf numFmtId="164" fontId="5" fillId="7" borderId="3" xfId="1" applyNumberFormat="1" applyFont="1" applyFill="1" applyBorder="1" applyAlignment="1">
      <alignment horizontal="center" vertical="center"/>
    </xf>
    <xf numFmtId="164" fontId="19" fillId="2" borderId="0" xfId="0" applyFont="1" applyFill="1"/>
    <xf numFmtId="164" fontId="4" fillId="10" borderId="3" xfId="0" applyFont="1" applyFill="1" applyBorder="1" applyAlignment="1">
      <alignment horizontal="center" vertical="center" wrapText="1"/>
    </xf>
  </cellXfs>
  <cellStyles count="7">
    <cellStyle name="Millares" xfId="1" builtinId="3"/>
    <cellStyle name="Millares [0]" xfId="2" builtinId="6"/>
    <cellStyle name="Moneda 2" xfId="4"/>
    <cellStyle name="Normal" xfId="0" builtinId="0"/>
    <cellStyle name="Normal 2" xfId="5"/>
    <cellStyle name="Normal 3" xfId="6"/>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theme" Target="theme/theme1.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sharedStrings" Target="sharedStrings.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aller%20final%20-%20Massada.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E:/Users/Administrator/Google%2520Drive/d/WinCalendar/GenerateAll.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SIGC%202019/0.%20PLAN%20DE%20TRABAJO/SIGC%202019/0.%20PLAN%20DE%20TRABAJO/Plan%20de%20Trabajo/0.%20PLAN%20DE%20TRABAJO/PROGRAMACI&#211;N-2018.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UNIPILOTO\GERENCIA%20ESTRATEGICA%20SST\2021\HERRAMIENTA%20TALLER%20EMPRESA%20FOOD%20SOLUTIONS%20ok.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rotalora/Downloads/GESTI&#211;N%20DEL%20RIESGO%20actualizadov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E:/Users/Administrator/Google%20Drive/d/WinCalendar/GenerateAll.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ANEXO%2003%20-%20PRESUPUESTO.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E:/SIGC%25202019/0.%2520PLAN%2520DE%2520TRABAJO/SIGC%25202019/0.%2520PLAN%2520DE%2520TRABAJO/Plan%2520de%2520Trabajo/0.%2520PLAN%2520DE%2520TRABAJO/PROGRAMACI&#211;N-2018.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NIPILOTO/GERENCIA%2520ESTRATEGICA%2520SST/2021/HERRAMIENTA%2520TALLER%2520EMPRESA%2520FOOD%2520SOLUTIONS%2520ok.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rotalora/Downloads/GESTI&#211;N%2520DEL%2520RIESGO%2520actualizado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ual del SG-SST"/>
      <sheetName val="GC-OD-01"/>
      <sheetName val="GA-OD-01"/>
      <sheetName val="GA-OD-02"/>
      <sheetName val="GE-OD-01"/>
      <sheetName val="GE-OD-02"/>
      <sheetName val="GCS-OD-02"/>
      <sheetName val="GE-OD-03"/>
      <sheetName val="GCS-OD-03"/>
      <sheetName val="GCS-RE-01"/>
      <sheetName val="GCS-RE-01 (ANEXO)"/>
      <sheetName val="GCS-OD-04"/>
      <sheetName val="GCS-RE-03"/>
      <sheetName val="GCS-RE-04"/>
      <sheetName val="GCS-RE-05"/>
      <sheetName val="GCS-RE-06"/>
      <sheetName val="GCS-RE-07"/>
      <sheetName val="GCS-RE-08"/>
      <sheetName val="GCS-RE-09"/>
      <sheetName val="GCS-RE-10"/>
      <sheetName val="GCS-OD-05"/>
      <sheetName val="GCS-RE-11 - KPIs 0312"/>
      <sheetName val="GCS-RE-11 - KPIs ESTRUCTURA"/>
      <sheetName val="GCS-RE-11 - KPIs PROCESO"/>
      <sheetName val="GCS-RE-11 - KPIs RESULTAD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YYY Holidays"/>
      <sheetName val="TodaySched"/>
      <sheetName val="CountryMap"/>
      <sheetName val="JS"/>
      <sheetName val="Hol_Imgs"/>
      <sheetName val="India"/>
      <sheetName val="Mob Menu"/>
      <sheetName val="EachDayFacts"/>
      <sheetName val="Ads"/>
      <sheetName val="AdsFunFacts"/>
      <sheetName val="Fun Facts"/>
      <sheetName val="HTML Pages"/>
      <sheetName val="MultiDayObs"/>
      <sheetName val="LeftNavNS"/>
      <sheetName val="All_All"/>
      <sheetName val="Link Stradegy"/>
      <sheetName val="HTML2"/>
      <sheetName val="HTML"/>
      <sheetName val="PAdverts"/>
      <sheetName val="Lang"/>
      <sheetName val="Country"/>
      <sheetName val="Batch Mgr"/>
      <sheetName val="Log"/>
      <sheetName val="Ad Chanl"/>
      <sheetName val="Soc Media"/>
      <sheetName val="Soc Media MH"/>
      <sheetName val="Val_Pages"/>
      <sheetName val="2010_Cal"/>
      <sheetName val="2011_Cal"/>
      <sheetName val="2012_Cal"/>
      <sheetName val="2013_Cal"/>
      <sheetName val="2014_Cal"/>
      <sheetName val="2015_Cal"/>
      <sheetName val="2016_Cal"/>
      <sheetName val="2017_Cal"/>
      <sheetName val="2018_Cal"/>
      <sheetName val="2019_Cal"/>
      <sheetName val="2020_Cal"/>
      <sheetName val="2021_Cal"/>
      <sheetName val="2022_Cal"/>
      <sheetName val="2023_Cal"/>
      <sheetName val="2024_Cal"/>
      <sheetName val="2025_Cal"/>
      <sheetName val="2026_Cal"/>
      <sheetName val="2027_Cal"/>
      <sheetName val="2028_Cal"/>
      <sheetName val="2029_Cal"/>
      <sheetName val="2030_Cal"/>
      <sheetName val="2031_Cal"/>
      <sheetName val="2032_Cal"/>
      <sheetName val="2033_Cal"/>
      <sheetName val="2034_Cal"/>
      <sheetName val="2035_Cal"/>
      <sheetName val="2036_Cal"/>
      <sheetName val="2037_Cal"/>
      <sheetName val="2038_Cal"/>
      <sheetName val="2039_Cal"/>
      <sheetName val="2040_Cal"/>
      <sheetName val="2041_Cal"/>
      <sheetName val="2042_Cal"/>
      <sheetName val="2043_Cal"/>
      <sheetName val="2044_Cal"/>
      <sheetName val="2045_Cal"/>
      <sheetName val="2046_Cal"/>
      <sheetName val="2047_Cal"/>
      <sheetName val="2048_Cal"/>
      <sheetName val="2049_Cal"/>
      <sheetName val="2050_C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2">
          <cell r="K2">
            <v>1</v>
          </cell>
        </row>
        <row r="4">
          <cell r="K4">
            <v>3</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sheetName val="Calendario"/>
      <sheetName val="Listado de Tareas"/>
      <sheetName val="Hoja1"/>
      <sheetName val="Hoja2"/>
      <sheetName val="130518 200418"/>
      <sheetName val="LEMA"/>
      <sheetName val="Hoja3"/>
    </sheetNames>
    <sheetDataSet>
      <sheetData sheetId="0">
        <row r="4">
          <cell r="A4">
            <v>43101</v>
          </cell>
          <cell r="B4">
            <v>43101</v>
          </cell>
          <cell r="C4" t="str">
            <v>Año nuevo</v>
          </cell>
        </row>
        <row r="5">
          <cell r="A5">
            <v>43106</v>
          </cell>
          <cell r="B5">
            <v>43106</v>
          </cell>
          <cell r="C5" t="str">
            <v>Epifania del Señor</v>
          </cell>
        </row>
        <row r="6">
          <cell r="A6">
            <v>43189</v>
          </cell>
          <cell r="B6">
            <v>43189</v>
          </cell>
          <cell r="C6" t="str">
            <v>Viernes Santo</v>
          </cell>
        </row>
        <row r="7">
          <cell r="A7">
            <v>43192</v>
          </cell>
          <cell r="B7">
            <v>43192</v>
          </cell>
          <cell r="C7" t="str">
            <v>Lunes de Pasqua</v>
          </cell>
        </row>
        <row r="8">
          <cell r="A8">
            <v>43221</v>
          </cell>
          <cell r="B8">
            <v>43221</v>
          </cell>
          <cell r="C8" t="str">
            <v>Fiesta del Trabajo</v>
          </cell>
        </row>
        <row r="9">
          <cell r="A9">
            <v>43327</v>
          </cell>
          <cell r="B9">
            <v>43327</v>
          </cell>
          <cell r="C9" t="str">
            <v>Asunción de la Virgen</v>
          </cell>
        </row>
        <row r="10">
          <cell r="A10">
            <v>43385</v>
          </cell>
          <cell r="B10">
            <v>43385</v>
          </cell>
          <cell r="C10" t="str">
            <v>Fiesta de la Hispanidad</v>
          </cell>
        </row>
        <row r="11">
          <cell r="A11">
            <v>43405</v>
          </cell>
          <cell r="B11">
            <v>43405</v>
          </cell>
          <cell r="C11" t="str">
            <v>Todos los Santos</v>
          </cell>
        </row>
        <row r="12">
          <cell r="A12">
            <v>43440</v>
          </cell>
          <cell r="B12">
            <v>43440</v>
          </cell>
          <cell r="C12" t="str">
            <v>Día de la Constitución</v>
          </cell>
        </row>
        <row r="13">
          <cell r="A13">
            <v>43442</v>
          </cell>
          <cell r="B13">
            <v>43442</v>
          </cell>
          <cell r="C13" t="str">
            <v>La Inmaculada Concepción</v>
          </cell>
        </row>
        <row r="14">
          <cell r="A14">
            <v>43459</v>
          </cell>
          <cell r="B14">
            <v>43459</v>
          </cell>
          <cell r="C14" t="str">
            <v>Navidad</v>
          </cell>
        </row>
        <row r="15">
          <cell r="A15">
            <v>43466</v>
          </cell>
          <cell r="B15">
            <v>43466</v>
          </cell>
          <cell r="C15" t="str">
            <v>Año nuevo</v>
          </cell>
        </row>
        <row r="16">
          <cell r="A16">
            <v>43471</v>
          </cell>
          <cell r="B16">
            <v>43471</v>
          </cell>
          <cell r="C16" t="str">
            <v>Epifania del Señor</v>
          </cell>
        </row>
        <row r="17">
          <cell r="A17">
            <v>43574</v>
          </cell>
          <cell r="B17">
            <v>43574</v>
          </cell>
          <cell r="C17" t="str">
            <v>Viernes Santo</v>
          </cell>
        </row>
        <row r="18">
          <cell r="A18">
            <v>43577</v>
          </cell>
          <cell r="B18">
            <v>43577</v>
          </cell>
          <cell r="C18" t="str">
            <v>Lunes de Pasqua</v>
          </cell>
        </row>
        <row r="19">
          <cell r="A19">
            <v>43586</v>
          </cell>
          <cell r="B19">
            <v>43586</v>
          </cell>
          <cell r="C19" t="str">
            <v>Fiesta del Trabajo</v>
          </cell>
        </row>
        <row r="20">
          <cell r="A20">
            <v>43692</v>
          </cell>
          <cell r="B20">
            <v>43692</v>
          </cell>
          <cell r="C20" t="str">
            <v>Asunción de la Virgen</v>
          </cell>
        </row>
        <row r="21">
          <cell r="A21">
            <v>43750</v>
          </cell>
          <cell r="B21">
            <v>43750</v>
          </cell>
          <cell r="C21" t="str">
            <v>Fiesta de la Hispanidad</v>
          </cell>
        </row>
        <row r="22">
          <cell r="A22">
            <v>43770</v>
          </cell>
          <cell r="B22">
            <v>43770</v>
          </cell>
          <cell r="C22" t="str">
            <v>Todos los Santos</v>
          </cell>
        </row>
        <row r="23">
          <cell r="A23">
            <v>43805</v>
          </cell>
          <cell r="B23">
            <v>43805</v>
          </cell>
          <cell r="C23" t="str">
            <v>Día de la Constitución</v>
          </cell>
        </row>
        <row r="24">
          <cell r="A24">
            <v>43807</v>
          </cell>
          <cell r="B24">
            <v>43807</v>
          </cell>
          <cell r="C24" t="str">
            <v>La Inmaculada Concepción</v>
          </cell>
        </row>
        <row r="25">
          <cell r="A25">
            <v>43824</v>
          </cell>
          <cell r="B25">
            <v>43824</v>
          </cell>
          <cell r="C25" t="str">
            <v>Navidad</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de Contenido"/>
      <sheetName val="Brochure"/>
      <sheetName val="Contexto"/>
      <sheetName val="Matriz Partes Interesadas"/>
      <sheetName val="Directrices Estratégicas"/>
      <sheetName val="Mapa de Procesos"/>
      <sheetName val="Caracterización de Proceso"/>
      <sheetName val="Planta de Personal "/>
      <sheetName val="Nomina"/>
      <sheetName val="OTROS COSTOS"/>
      <sheetName val="Hoja2"/>
      <sheetName val="Politica SST"/>
      <sheetName val="Matriz de Riesgos"/>
      <sheetName val="Autoevaluación SST"/>
      <sheetName val="Plan de Trabajo Anual"/>
      <sheetName val="Presupuesto"/>
      <sheetName val="Matriz IPERC"/>
      <sheetName val="Programa de Auditoria"/>
      <sheetName val="Plan de Auditoria"/>
      <sheetName val="Lista de Verificación"/>
      <sheetName val="Informe de Auditoria"/>
      <sheetName val="Revisión por la Dirección"/>
      <sheetName val="Indicador de Estructura"/>
      <sheetName val="Indicador de Proceso"/>
      <sheetName val="Indicador de Resultado"/>
      <sheetName val="Indicadores Minimos"/>
    </sheetNames>
    <sheetDataSet>
      <sheetData sheetId="0"/>
      <sheetData sheetId="1"/>
      <sheetData sheetId="2"/>
      <sheetData sheetId="3"/>
      <sheetData sheetId="4"/>
      <sheetData sheetId="5"/>
      <sheetData sheetId="6"/>
      <sheetData sheetId="7"/>
      <sheetData sheetId="8"/>
      <sheetData sheetId="9"/>
      <sheetData sheetId="10">
        <row r="3">
          <cell r="M3" t="str">
            <v>Insignificante</v>
          </cell>
        </row>
        <row r="4">
          <cell r="M4" t="str">
            <v>Menor</v>
          </cell>
        </row>
        <row r="5">
          <cell r="M5" t="str">
            <v>Moderado</v>
          </cell>
        </row>
        <row r="6">
          <cell r="M6" t="str">
            <v>Mayor</v>
          </cell>
        </row>
        <row r="7">
          <cell r="M7" t="str">
            <v>Catastrofico</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esgos de Gestión"/>
      <sheetName val="Calificación probabilidad"/>
      <sheetName val="Explicación de los campos"/>
      <sheetName val="Hoja2"/>
    </sheetNames>
    <sheetDataSet>
      <sheetData sheetId="0"/>
      <sheetData sheetId="1"/>
      <sheetData sheetId="2"/>
      <sheetData sheetId="3">
        <row r="3">
          <cell r="H3" t="str">
            <v>1-Rara vez</v>
          </cell>
        </row>
        <row r="4">
          <cell r="H4" t="str">
            <v>2-Improbable</v>
          </cell>
        </row>
        <row r="5">
          <cell r="H5" t="str">
            <v>3-Posible</v>
          </cell>
        </row>
        <row r="6">
          <cell r="H6" t="str">
            <v>4-Probable</v>
          </cell>
        </row>
        <row r="7">
          <cell r="H7" t="str">
            <v>5-Casi seguro</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YYY Holidays"/>
      <sheetName val="TodaySched"/>
      <sheetName val="CountryMap"/>
      <sheetName val="JS"/>
      <sheetName val="Hol_Imgs"/>
      <sheetName val="India"/>
      <sheetName val="Mob Menu"/>
      <sheetName val="EachDayFacts"/>
      <sheetName val="Ads"/>
      <sheetName val="AdsFunFacts"/>
      <sheetName val="Fun Facts"/>
      <sheetName val="HTML Pages"/>
      <sheetName val="MultiDayObs"/>
      <sheetName val="LeftNavNS"/>
      <sheetName val="All_All"/>
      <sheetName val="Link Stradegy"/>
      <sheetName val="HTML2"/>
      <sheetName val="HTML"/>
      <sheetName val="PAdverts"/>
      <sheetName val="Lang"/>
      <sheetName val="Country"/>
      <sheetName val="Batch Mgr"/>
      <sheetName val="Log"/>
      <sheetName val="Ad Chanl"/>
      <sheetName val="Soc Media"/>
      <sheetName val="Soc Media MH"/>
      <sheetName val="Val_Pages"/>
      <sheetName val="2010_Cal"/>
      <sheetName val="2011_Cal"/>
      <sheetName val="2012_Cal"/>
      <sheetName val="2013_Cal"/>
      <sheetName val="2014_Cal"/>
      <sheetName val="2015_Cal"/>
      <sheetName val="2016_Cal"/>
      <sheetName val="2017_Cal"/>
      <sheetName val="2018_Cal"/>
      <sheetName val="2019_Cal"/>
      <sheetName val="2020_Cal"/>
      <sheetName val="2021_Cal"/>
      <sheetName val="2022_Cal"/>
      <sheetName val="2023_Cal"/>
      <sheetName val="2024_Cal"/>
      <sheetName val="2025_Cal"/>
      <sheetName val="2026_Cal"/>
      <sheetName val="2027_Cal"/>
      <sheetName val="2028_Cal"/>
      <sheetName val="2029_Cal"/>
      <sheetName val="2030_Cal"/>
      <sheetName val="2031_Cal"/>
      <sheetName val="2032_Cal"/>
      <sheetName val="2033_Cal"/>
      <sheetName val="2034_Cal"/>
      <sheetName val="2035_Cal"/>
      <sheetName val="2036_Cal"/>
      <sheetName val="2037_Cal"/>
      <sheetName val="2038_Cal"/>
      <sheetName val="2039_Cal"/>
      <sheetName val="2040_Cal"/>
      <sheetName val="2041_Cal"/>
      <sheetName val="2042_Cal"/>
      <sheetName val="2043_Cal"/>
      <sheetName val="2044_Cal"/>
      <sheetName val="2045_Cal"/>
      <sheetName val="2046_Cal"/>
      <sheetName val="2047_Cal"/>
      <sheetName val="2048_Cal"/>
      <sheetName val="2049_Cal"/>
      <sheetName val="2050_C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2">
          <cell r="K2">
            <v>1</v>
          </cell>
        </row>
        <row r="4">
          <cell r="K4">
            <v>3</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Hoja1"/>
    </sheetNames>
    <sheetDataSet>
      <sheetData sheetId="0" refreshError="1"/>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s"/>
      <sheetName val="Calendario"/>
      <sheetName val="Listado de Tareas"/>
      <sheetName val="Hoja1"/>
      <sheetName val="Hoja2"/>
      <sheetName val="130518 200418"/>
      <sheetName val="LEMA"/>
      <sheetName val="Hoja3"/>
    </sheetNames>
    <sheetDataSet>
      <sheetData sheetId="0">
        <row r="4">
          <cell r="A4">
            <v>43101</v>
          </cell>
          <cell r="B4">
            <v>43101</v>
          </cell>
          <cell r="C4" t="str">
            <v>Año nuevo</v>
          </cell>
        </row>
        <row r="5">
          <cell r="A5">
            <v>43106</v>
          </cell>
          <cell r="B5">
            <v>43106</v>
          </cell>
          <cell r="C5" t="str">
            <v>Epifania del Señor</v>
          </cell>
        </row>
        <row r="6">
          <cell r="A6">
            <v>43189</v>
          </cell>
          <cell r="B6">
            <v>43189</v>
          </cell>
          <cell r="C6" t="str">
            <v>Viernes Santo</v>
          </cell>
        </row>
        <row r="7">
          <cell r="A7">
            <v>43192</v>
          </cell>
          <cell r="B7">
            <v>43192</v>
          </cell>
          <cell r="C7" t="str">
            <v>Lunes de Pasqua</v>
          </cell>
        </row>
        <row r="8">
          <cell r="A8">
            <v>43221</v>
          </cell>
          <cell r="B8">
            <v>43221</v>
          </cell>
          <cell r="C8" t="str">
            <v>Fiesta del Trabajo</v>
          </cell>
        </row>
        <row r="9">
          <cell r="A9">
            <v>43327</v>
          </cell>
          <cell r="B9">
            <v>43327</v>
          </cell>
          <cell r="C9" t="str">
            <v>Asunción de la Virgen</v>
          </cell>
        </row>
        <row r="10">
          <cell r="A10">
            <v>43385</v>
          </cell>
          <cell r="B10">
            <v>43385</v>
          </cell>
          <cell r="C10" t="str">
            <v>Fiesta de la Hispanidad</v>
          </cell>
        </row>
        <row r="11">
          <cell r="A11">
            <v>43405</v>
          </cell>
          <cell r="B11">
            <v>43405</v>
          </cell>
          <cell r="C11" t="str">
            <v>Todos los Santos</v>
          </cell>
        </row>
        <row r="12">
          <cell r="A12">
            <v>43440</v>
          </cell>
          <cell r="B12">
            <v>43440</v>
          </cell>
          <cell r="C12" t="str">
            <v>Día de la Constitución</v>
          </cell>
        </row>
        <row r="13">
          <cell r="A13">
            <v>43442</v>
          </cell>
          <cell r="B13">
            <v>43442</v>
          </cell>
          <cell r="C13" t="str">
            <v>La Inmaculada Concepción</v>
          </cell>
        </row>
        <row r="14">
          <cell r="A14">
            <v>43459</v>
          </cell>
          <cell r="B14">
            <v>43459</v>
          </cell>
          <cell r="C14" t="str">
            <v>Navidad</v>
          </cell>
        </row>
        <row r="15">
          <cell r="A15">
            <v>43466</v>
          </cell>
          <cell r="B15">
            <v>43466</v>
          </cell>
          <cell r="C15" t="str">
            <v>Año nuevo</v>
          </cell>
        </row>
        <row r="16">
          <cell r="A16">
            <v>43471</v>
          </cell>
          <cell r="B16">
            <v>43471</v>
          </cell>
          <cell r="C16" t="str">
            <v>Epifania del Señor</v>
          </cell>
        </row>
        <row r="17">
          <cell r="A17">
            <v>43574</v>
          </cell>
          <cell r="B17">
            <v>43574</v>
          </cell>
          <cell r="C17" t="str">
            <v>Viernes Santo</v>
          </cell>
        </row>
        <row r="18">
          <cell r="A18">
            <v>43577</v>
          </cell>
          <cell r="B18">
            <v>43577</v>
          </cell>
          <cell r="C18" t="str">
            <v>Lunes de Pasqua</v>
          </cell>
        </row>
        <row r="19">
          <cell r="A19">
            <v>43586</v>
          </cell>
          <cell r="B19">
            <v>43586</v>
          </cell>
          <cell r="C19" t="str">
            <v>Fiesta del Trabajo</v>
          </cell>
        </row>
        <row r="20">
          <cell r="A20">
            <v>43692</v>
          </cell>
          <cell r="B20">
            <v>43692</v>
          </cell>
          <cell r="C20" t="str">
            <v>Asunción de la Virgen</v>
          </cell>
        </row>
        <row r="21">
          <cell r="A21">
            <v>43750</v>
          </cell>
          <cell r="B21">
            <v>43750</v>
          </cell>
          <cell r="C21" t="str">
            <v>Fiesta de la Hispanidad</v>
          </cell>
        </row>
        <row r="22">
          <cell r="A22">
            <v>43770</v>
          </cell>
          <cell r="B22">
            <v>43770</v>
          </cell>
          <cell r="C22" t="str">
            <v>Todos los Santos</v>
          </cell>
        </row>
        <row r="23">
          <cell r="A23">
            <v>43805</v>
          </cell>
          <cell r="B23">
            <v>43805</v>
          </cell>
          <cell r="C23" t="str">
            <v>Día de la Constitución</v>
          </cell>
        </row>
        <row r="24">
          <cell r="A24">
            <v>43807</v>
          </cell>
          <cell r="B24">
            <v>43807</v>
          </cell>
          <cell r="C24" t="str">
            <v>La Inmaculada Concepción</v>
          </cell>
        </row>
        <row r="25">
          <cell r="A25">
            <v>43824</v>
          </cell>
          <cell r="B25">
            <v>43824</v>
          </cell>
          <cell r="C25" t="str">
            <v>Navidad</v>
          </cell>
        </row>
      </sheetData>
      <sheetData sheetId="1"/>
      <sheetData sheetId="2"/>
      <sheetData sheetId="3"/>
      <sheetData sheetId="4"/>
      <sheetData sheetId="5"/>
      <sheetData sheetId="6"/>
      <sheetData sheetId="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de Contenido"/>
      <sheetName val="Brochure"/>
      <sheetName val="Contexto"/>
      <sheetName val="Matriz Partes Interesadas"/>
      <sheetName val="Directrices Estratégicas"/>
      <sheetName val="Mapa de Procesos"/>
      <sheetName val="Caracterización de Proceso"/>
      <sheetName val="Planta de Personal "/>
      <sheetName val="Nomina"/>
      <sheetName val="OTROS COSTOS"/>
      <sheetName val="Hoja2"/>
      <sheetName val="Politica SST"/>
      <sheetName val="Matriz de Riesgos"/>
      <sheetName val="Autoevaluación SST"/>
      <sheetName val="Plan de Trabajo Anual"/>
      <sheetName val="Presupuesto"/>
      <sheetName val="Matriz IPERC"/>
      <sheetName val="Programa de Auditoria"/>
      <sheetName val="Plan de Auditoria"/>
      <sheetName val="Lista de Verificación"/>
      <sheetName val="Informe de Auditoria"/>
      <sheetName val="Revisión por la Dirección"/>
      <sheetName val="Indicador de Estructura"/>
      <sheetName val="Indicador de Proceso"/>
      <sheetName val="Indicador de Resultado"/>
      <sheetName val="Indicadores Minimos"/>
    </sheetNames>
    <sheetDataSet>
      <sheetData sheetId="0"/>
      <sheetData sheetId="1"/>
      <sheetData sheetId="2"/>
      <sheetData sheetId="3"/>
      <sheetData sheetId="4"/>
      <sheetData sheetId="5"/>
      <sheetData sheetId="6"/>
      <sheetData sheetId="7"/>
      <sheetData sheetId="8"/>
      <sheetData sheetId="9"/>
      <sheetData sheetId="10">
        <row r="3">
          <cell r="M3" t="str">
            <v>Insignificante</v>
          </cell>
        </row>
        <row r="4">
          <cell r="M4" t="str">
            <v>Menor</v>
          </cell>
        </row>
        <row r="5">
          <cell r="M5" t="str">
            <v>Moderado</v>
          </cell>
        </row>
        <row r="6">
          <cell r="M6" t="str">
            <v>Mayor</v>
          </cell>
        </row>
        <row r="7">
          <cell r="M7" t="str">
            <v>Catastrofico</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esgos de Gestión"/>
      <sheetName val="Calificación probabilidad"/>
      <sheetName val="Explicación de los campos"/>
      <sheetName val="Hoja2"/>
    </sheetNames>
    <sheetDataSet>
      <sheetData sheetId="0"/>
      <sheetData sheetId="1"/>
      <sheetData sheetId="2"/>
      <sheetData sheetId="3">
        <row r="3">
          <cell r="H3" t="str">
            <v>1-Rara vez</v>
          </cell>
        </row>
        <row r="4">
          <cell r="H4" t="str">
            <v>2-Improbable</v>
          </cell>
        </row>
        <row r="5">
          <cell r="H5" t="str">
            <v>3-Posible</v>
          </cell>
        </row>
        <row r="6">
          <cell r="H6" t="str">
            <v>4-Probable</v>
          </cell>
        </row>
        <row r="7">
          <cell r="H7" t="str">
            <v>5-Casi seguro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sheetPr>
  <dimension ref="B2:R60"/>
  <sheetViews>
    <sheetView tabSelected="1" zoomScale="80" zoomScaleNormal="80" workbookViewId="0">
      <selection activeCell="B2" sqref="B2:C2"/>
    </sheetView>
  </sheetViews>
  <sheetFormatPr baseColWidth="10" defaultColWidth="0" defaultRowHeight="15" x14ac:dyDescent="0.25"/>
  <cols>
    <col min="1" max="1" width="3.5703125" style="1" customWidth="1"/>
    <col min="2" max="2" width="25.140625" style="1" bestFit="1" customWidth="1"/>
    <col min="3" max="3" width="44.140625" style="1" customWidth="1"/>
    <col min="4" max="4" width="18.28515625" style="1" customWidth="1"/>
    <col min="5" max="7" width="14.140625" style="1" customWidth="1"/>
    <col min="8" max="18" width="18" style="1" customWidth="1"/>
    <col min="19" max="19" width="3.7109375" style="1" customWidth="1"/>
    <col min="20" max="16384" width="11.42578125" style="1" hidden="1"/>
  </cols>
  <sheetData>
    <row r="2" spans="2:18" ht="70.900000000000006" customHeight="1" x14ac:dyDescent="0.25">
      <c r="B2" s="38"/>
      <c r="C2" s="38"/>
      <c r="D2" s="39" t="s">
        <v>91</v>
      </c>
      <c r="E2" s="39"/>
      <c r="F2" s="39"/>
      <c r="G2" s="39"/>
      <c r="H2" s="39"/>
      <c r="I2" s="39"/>
      <c r="J2" s="39"/>
      <c r="K2" s="39"/>
      <c r="L2" s="39"/>
      <c r="M2" s="39"/>
      <c r="N2" s="39"/>
      <c r="O2" s="39"/>
      <c r="P2" s="39"/>
      <c r="Q2" s="40" t="s">
        <v>45</v>
      </c>
      <c r="R2" s="40"/>
    </row>
    <row r="4" spans="2:18" ht="38.25" x14ac:dyDescent="0.25">
      <c r="B4" s="41" t="s">
        <v>0</v>
      </c>
      <c r="C4" s="41" t="s">
        <v>1</v>
      </c>
      <c r="D4" s="41" t="s">
        <v>2</v>
      </c>
      <c r="E4" s="41" t="s">
        <v>3</v>
      </c>
      <c r="F4" s="41" t="s">
        <v>53</v>
      </c>
      <c r="G4" s="41" t="s">
        <v>15</v>
      </c>
      <c r="H4" s="41" t="s">
        <v>4</v>
      </c>
      <c r="I4" s="41" t="s">
        <v>5</v>
      </c>
      <c r="J4" s="41" t="s">
        <v>6</v>
      </c>
      <c r="K4" s="41" t="s">
        <v>7</v>
      </c>
      <c r="L4" s="41" t="s">
        <v>8</v>
      </c>
      <c r="M4" s="41" t="s">
        <v>9</v>
      </c>
      <c r="N4" s="41" t="s">
        <v>10</v>
      </c>
      <c r="O4" s="41" t="s">
        <v>11</v>
      </c>
      <c r="P4" s="41" t="s">
        <v>12</v>
      </c>
      <c r="Q4" s="41" t="s">
        <v>13</v>
      </c>
      <c r="R4" s="41" t="s">
        <v>14</v>
      </c>
    </row>
    <row r="5" spans="2:18" ht="27" x14ac:dyDescent="0.25">
      <c r="B5" s="42" t="s">
        <v>39</v>
      </c>
      <c r="C5" s="2" t="s">
        <v>16</v>
      </c>
      <c r="D5" s="3">
        <f>+SUM(F5:R5)</f>
        <v>41135536</v>
      </c>
      <c r="E5" s="4">
        <f>IF(D5="arl","",SUM(F5)/D5)</f>
        <v>7.6923076923076927E-2</v>
      </c>
      <c r="F5" s="5">
        <v>3164272</v>
      </c>
      <c r="G5" s="5">
        <v>3164272</v>
      </c>
      <c r="H5" s="5">
        <v>3164272</v>
      </c>
      <c r="I5" s="5">
        <v>3164272</v>
      </c>
      <c r="J5" s="5">
        <v>3164272</v>
      </c>
      <c r="K5" s="5">
        <v>3164272</v>
      </c>
      <c r="L5" s="5">
        <v>3164272</v>
      </c>
      <c r="M5" s="5">
        <v>3164272</v>
      </c>
      <c r="N5" s="5">
        <v>3164272</v>
      </c>
      <c r="O5" s="5">
        <v>3164272</v>
      </c>
      <c r="P5" s="5">
        <v>3164272</v>
      </c>
      <c r="Q5" s="5">
        <v>3164272</v>
      </c>
      <c r="R5" s="5">
        <v>3164272</v>
      </c>
    </row>
    <row r="6" spans="2:18" ht="102.75" customHeight="1" x14ac:dyDescent="0.25">
      <c r="B6" s="43"/>
      <c r="C6" s="2" t="s">
        <v>52</v>
      </c>
      <c r="D6" s="3">
        <f>+SUM(F6:R6)</f>
        <v>21380581.384656001</v>
      </c>
      <c r="E6" s="4">
        <f>IF(D6="arl","",SUM(F6)/D6)</f>
        <v>7.6923076923076927E-2</v>
      </c>
      <c r="F6" s="5">
        <v>1644660.1065120001</v>
      </c>
      <c r="G6" s="5">
        <v>1644660.1065120001</v>
      </c>
      <c r="H6" s="5">
        <v>1644660.1065120001</v>
      </c>
      <c r="I6" s="5">
        <v>1644660.1065120001</v>
      </c>
      <c r="J6" s="5">
        <v>1644660.1065120001</v>
      </c>
      <c r="K6" s="5">
        <v>1644660.1065120001</v>
      </c>
      <c r="L6" s="5">
        <v>1644660.1065120001</v>
      </c>
      <c r="M6" s="5">
        <v>1644660.1065120001</v>
      </c>
      <c r="N6" s="5">
        <v>1644660.1065120001</v>
      </c>
      <c r="O6" s="5">
        <v>1644660.1065120001</v>
      </c>
      <c r="P6" s="5">
        <v>1644660.1065120001</v>
      </c>
      <c r="Q6" s="5">
        <v>1644660.1065120001</v>
      </c>
      <c r="R6" s="5">
        <v>1644660.1065120001</v>
      </c>
    </row>
    <row r="7" spans="2:18" ht="27" x14ac:dyDescent="0.25">
      <c r="B7" s="43"/>
      <c r="C7" s="2" t="s">
        <v>90</v>
      </c>
      <c r="D7" s="3">
        <f>+SUM(F7:R7)</f>
        <v>1069224</v>
      </c>
      <c r="E7" s="4">
        <f>IF(D7="arl","",SUM(F7)/D7)</f>
        <v>7.6923076923076927E-2</v>
      </c>
      <c r="F7" s="5">
        <f>10281*2*4</f>
        <v>82248</v>
      </c>
      <c r="G7" s="5">
        <f t="shared" ref="G7:R7" si="0">10281*2*4</f>
        <v>82248</v>
      </c>
      <c r="H7" s="5">
        <f t="shared" si="0"/>
        <v>82248</v>
      </c>
      <c r="I7" s="5">
        <f t="shared" si="0"/>
        <v>82248</v>
      </c>
      <c r="J7" s="5">
        <f t="shared" si="0"/>
        <v>82248</v>
      </c>
      <c r="K7" s="5">
        <f t="shared" si="0"/>
        <v>82248</v>
      </c>
      <c r="L7" s="5">
        <f t="shared" si="0"/>
        <v>82248</v>
      </c>
      <c r="M7" s="5">
        <f t="shared" si="0"/>
        <v>82248</v>
      </c>
      <c r="N7" s="5">
        <f t="shared" si="0"/>
        <v>82248</v>
      </c>
      <c r="O7" s="5">
        <f t="shared" si="0"/>
        <v>82248</v>
      </c>
      <c r="P7" s="5">
        <f t="shared" si="0"/>
        <v>82248</v>
      </c>
      <c r="Q7" s="5">
        <f t="shared" si="0"/>
        <v>82248</v>
      </c>
      <c r="R7" s="5">
        <f t="shared" si="0"/>
        <v>82248</v>
      </c>
    </row>
    <row r="8" spans="2:18" ht="40.5" x14ac:dyDescent="0.25">
      <c r="B8" s="44" t="s">
        <v>40</v>
      </c>
      <c r="C8" s="2" t="s">
        <v>44</v>
      </c>
      <c r="D8" s="3">
        <f>+SUM(F8:R8)</f>
        <v>480000</v>
      </c>
      <c r="E8" s="4">
        <f>IF(D8="arl","",SUM(F8)/D8)</f>
        <v>1</v>
      </c>
      <c r="F8" s="5">
        <v>480000</v>
      </c>
      <c r="G8" s="5">
        <v>0</v>
      </c>
      <c r="H8" s="5">
        <v>0</v>
      </c>
      <c r="I8" s="5">
        <v>0</v>
      </c>
      <c r="J8" s="5">
        <v>0</v>
      </c>
      <c r="K8" s="5">
        <v>0</v>
      </c>
      <c r="L8" s="5">
        <v>0</v>
      </c>
      <c r="M8" s="5">
        <v>0</v>
      </c>
      <c r="N8" s="5">
        <v>0</v>
      </c>
      <c r="O8" s="5">
        <v>0</v>
      </c>
      <c r="P8" s="5">
        <v>0</v>
      </c>
      <c r="Q8" s="5">
        <v>0</v>
      </c>
      <c r="R8" s="5">
        <v>0</v>
      </c>
    </row>
    <row r="9" spans="2:18" ht="27" x14ac:dyDescent="0.25">
      <c r="B9" s="44"/>
      <c r="C9" s="2" t="s">
        <v>41</v>
      </c>
      <c r="D9" s="3">
        <f>+SUM(F9:R9)</f>
        <v>320000</v>
      </c>
      <c r="E9" s="4">
        <f>IF(D9="arl","",SUM(F9)/D9)</f>
        <v>1</v>
      </c>
      <c r="F9" s="5">
        <v>320000</v>
      </c>
      <c r="G9" s="5">
        <v>0</v>
      </c>
      <c r="H9" s="5">
        <v>0</v>
      </c>
      <c r="I9" s="5">
        <v>0</v>
      </c>
      <c r="J9" s="5">
        <v>0</v>
      </c>
      <c r="K9" s="5">
        <v>0</v>
      </c>
      <c r="L9" s="5">
        <v>0</v>
      </c>
      <c r="M9" s="5">
        <v>0</v>
      </c>
      <c r="N9" s="5">
        <v>0</v>
      </c>
      <c r="O9" s="5">
        <v>0</v>
      </c>
      <c r="P9" s="5">
        <v>0</v>
      </c>
      <c r="Q9" s="5">
        <v>0</v>
      </c>
      <c r="R9" s="5">
        <v>0</v>
      </c>
    </row>
    <row r="10" spans="2:18" ht="27" x14ac:dyDescent="0.25">
      <c r="B10" s="44"/>
      <c r="C10" s="2" t="s">
        <v>42</v>
      </c>
      <c r="D10" s="3">
        <f>+SUM(F10:R10)</f>
        <v>480000</v>
      </c>
      <c r="E10" s="4">
        <f>IF(D10="arl","",SUM(F10)/D10)</f>
        <v>0</v>
      </c>
      <c r="F10" s="5">
        <v>0</v>
      </c>
      <c r="G10" s="5">
        <v>480000</v>
      </c>
      <c r="H10" s="5">
        <v>0</v>
      </c>
      <c r="I10" s="5">
        <v>0</v>
      </c>
      <c r="J10" s="5">
        <v>0</v>
      </c>
      <c r="K10" s="5">
        <v>0</v>
      </c>
      <c r="L10" s="5">
        <v>0</v>
      </c>
      <c r="M10" s="5">
        <v>0</v>
      </c>
      <c r="N10" s="5">
        <v>0</v>
      </c>
      <c r="O10" s="5">
        <v>0</v>
      </c>
      <c r="P10" s="5">
        <v>0</v>
      </c>
      <c r="Q10" s="5">
        <v>0</v>
      </c>
      <c r="R10" s="5">
        <v>0</v>
      </c>
    </row>
    <row r="11" spans="2:18" ht="54" x14ac:dyDescent="0.25">
      <c r="B11" s="44"/>
      <c r="C11" s="2" t="s">
        <v>43</v>
      </c>
      <c r="D11" s="3">
        <f>+SUM(F11:R11)</f>
        <v>2240000</v>
      </c>
      <c r="E11" s="4">
        <f>IF(D11="arl","",SUM(F11)/D11)</f>
        <v>0</v>
      </c>
      <c r="F11" s="5">
        <v>0</v>
      </c>
      <c r="G11" s="5">
        <v>2240000</v>
      </c>
      <c r="H11" s="5">
        <v>0</v>
      </c>
      <c r="I11" s="5">
        <v>0</v>
      </c>
      <c r="J11" s="5">
        <v>0</v>
      </c>
      <c r="K11" s="5">
        <v>0</v>
      </c>
      <c r="L11" s="5">
        <v>0</v>
      </c>
      <c r="M11" s="5">
        <v>0</v>
      </c>
      <c r="N11" s="5">
        <v>0</v>
      </c>
      <c r="O11" s="5">
        <v>0</v>
      </c>
      <c r="P11" s="5">
        <v>0</v>
      </c>
      <c r="Q11" s="5">
        <v>0</v>
      </c>
      <c r="R11" s="5">
        <v>0</v>
      </c>
    </row>
    <row r="12" spans="2:18" x14ac:dyDescent="0.25">
      <c r="B12" s="32" t="s">
        <v>17</v>
      </c>
      <c r="C12" s="33"/>
      <c r="D12" s="6">
        <f>SUM(D5:D11)</f>
        <v>67105341.384655997</v>
      </c>
      <c r="E12" s="34" t="s">
        <v>70</v>
      </c>
      <c r="F12" s="6">
        <f>SUM(F5:F11)</f>
        <v>5691180.1065119999</v>
      </c>
      <c r="G12" s="6">
        <f>SUM(G5:G11)</f>
        <v>7611180.1065119999</v>
      </c>
      <c r="H12" s="6">
        <f>SUM(H5:H11)</f>
        <v>4891180.1065119999</v>
      </c>
      <c r="I12" s="6">
        <f>SUM(I5:I11)</f>
        <v>4891180.1065119999</v>
      </c>
      <c r="J12" s="6">
        <f>SUM(J5:J11)</f>
        <v>4891180.1065119999</v>
      </c>
      <c r="K12" s="6">
        <f>SUM(K5:K11)</f>
        <v>4891180.1065119999</v>
      </c>
      <c r="L12" s="6">
        <f>SUM(L5:L11)</f>
        <v>4891180.1065119999</v>
      </c>
      <c r="M12" s="6">
        <f>SUM(M5:M11)</f>
        <v>4891180.1065119999</v>
      </c>
      <c r="N12" s="6">
        <f>SUM(N5:N11)</f>
        <v>4891180.1065119999</v>
      </c>
      <c r="O12" s="6">
        <f>SUM(O5:O11)</f>
        <v>4891180.1065119999</v>
      </c>
      <c r="P12" s="6">
        <f>SUM(P5:P11)</f>
        <v>4891180.1065119999</v>
      </c>
      <c r="Q12" s="6">
        <f>SUM(Q5:Q11)</f>
        <v>4891180.1065119999</v>
      </c>
      <c r="R12" s="6">
        <f>SUM(R5:R11)</f>
        <v>4891180.1065119999</v>
      </c>
    </row>
    <row r="13" spans="2:18" ht="15" customHeight="1" x14ac:dyDescent="0.25">
      <c r="B13" s="60" t="s">
        <v>46</v>
      </c>
      <c r="C13" s="7" t="s">
        <v>47</v>
      </c>
      <c r="D13" s="3">
        <f>+SUM(F13:R13)</f>
        <v>35000000</v>
      </c>
      <c r="E13" s="4">
        <f t="shared" ref="E13:E27" si="1">IF(D13="arl","",SUM(F13)/D13)</f>
        <v>0</v>
      </c>
      <c r="F13" s="5">
        <v>0</v>
      </c>
      <c r="G13" s="5">
        <v>0</v>
      </c>
      <c r="H13" s="8">
        <v>35000000</v>
      </c>
      <c r="I13" s="5">
        <v>0</v>
      </c>
      <c r="J13" s="5">
        <v>0</v>
      </c>
      <c r="K13" s="5">
        <v>0</v>
      </c>
      <c r="L13" s="5">
        <v>0</v>
      </c>
      <c r="M13" s="5">
        <v>0</v>
      </c>
      <c r="N13" s="5">
        <v>0</v>
      </c>
      <c r="O13" s="5">
        <v>0</v>
      </c>
      <c r="P13" s="5">
        <v>0</v>
      </c>
      <c r="Q13" s="5">
        <v>0</v>
      </c>
      <c r="R13" s="5">
        <v>0</v>
      </c>
    </row>
    <row r="14" spans="2:18" ht="27" x14ac:dyDescent="0.25">
      <c r="B14" s="60"/>
      <c r="C14" s="7" t="s">
        <v>48</v>
      </c>
      <c r="D14" s="3">
        <f>+SUM(F14:R14)</f>
        <v>5000000</v>
      </c>
      <c r="E14" s="4">
        <f t="shared" si="1"/>
        <v>0</v>
      </c>
      <c r="F14" s="5">
        <v>0</v>
      </c>
      <c r="G14" s="5">
        <v>0</v>
      </c>
      <c r="H14" s="5">
        <v>0</v>
      </c>
      <c r="I14" s="8">
        <v>1000000</v>
      </c>
      <c r="J14" s="5">
        <v>0</v>
      </c>
      <c r="K14" s="8">
        <v>1000000</v>
      </c>
      <c r="L14" s="5">
        <v>0</v>
      </c>
      <c r="M14" s="8">
        <v>1000000</v>
      </c>
      <c r="N14" s="5">
        <v>0</v>
      </c>
      <c r="O14" s="8">
        <v>1000000</v>
      </c>
      <c r="P14" s="5">
        <v>0</v>
      </c>
      <c r="Q14" s="8">
        <v>1000000</v>
      </c>
      <c r="R14" s="5">
        <v>0</v>
      </c>
    </row>
    <row r="15" spans="2:18" x14ac:dyDescent="0.25">
      <c r="B15" s="60"/>
      <c r="C15" s="7" t="s">
        <v>49</v>
      </c>
      <c r="D15" s="3">
        <f>+SUM(F15:R15)</f>
        <v>2000000</v>
      </c>
      <c r="E15" s="4">
        <f t="shared" si="1"/>
        <v>0</v>
      </c>
      <c r="F15" s="5">
        <v>0</v>
      </c>
      <c r="G15" s="5">
        <v>0</v>
      </c>
      <c r="H15" s="8">
        <v>500000</v>
      </c>
      <c r="I15" s="5">
        <v>0</v>
      </c>
      <c r="J15" s="5">
        <v>0</v>
      </c>
      <c r="K15" s="8">
        <v>500000</v>
      </c>
      <c r="L15" s="5">
        <v>0</v>
      </c>
      <c r="M15" s="5">
        <v>0</v>
      </c>
      <c r="N15" s="8">
        <v>500000</v>
      </c>
      <c r="O15" s="5">
        <v>0</v>
      </c>
      <c r="P15" s="5">
        <v>0</v>
      </c>
      <c r="Q15" s="8">
        <v>500000</v>
      </c>
      <c r="R15" s="5">
        <v>0</v>
      </c>
    </row>
    <row r="16" spans="2:18" x14ac:dyDescent="0.25">
      <c r="B16" s="32" t="s">
        <v>17</v>
      </c>
      <c r="C16" s="33"/>
      <c r="D16" s="6">
        <f>SUM(D13:D15)</f>
        <v>42000000</v>
      </c>
      <c r="E16" s="34" t="s">
        <v>70</v>
      </c>
      <c r="F16" s="6">
        <f t="shared" ref="F16:R16" si="2">SUM(F13:F15)</f>
        <v>0</v>
      </c>
      <c r="G16" s="6">
        <f t="shared" si="2"/>
        <v>0</v>
      </c>
      <c r="H16" s="6">
        <f t="shared" si="2"/>
        <v>35500000</v>
      </c>
      <c r="I16" s="6">
        <f t="shared" si="2"/>
        <v>1000000</v>
      </c>
      <c r="J16" s="6">
        <f t="shared" si="2"/>
        <v>0</v>
      </c>
      <c r="K16" s="6">
        <f t="shared" si="2"/>
        <v>1500000</v>
      </c>
      <c r="L16" s="6">
        <f t="shared" si="2"/>
        <v>0</v>
      </c>
      <c r="M16" s="6">
        <f t="shared" si="2"/>
        <v>1000000</v>
      </c>
      <c r="N16" s="6">
        <f t="shared" si="2"/>
        <v>500000</v>
      </c>
      <c r="O16" s="6">
        <f t="shared" si="2"/>
        <v>1000000</v>
      </c>
      <c r="P16" s="6">
        <f t="shared" si="2"/>
        <v>0</v>
      </c>
      <c r="Q16" s="6">
        <f t="shared" si="2"/>
        <v>1500000</v>
      </c>
      <c r="R16" s="6">
        <f t="shared" si="2"/>
        <v>0</v>
      </c>
    </row>
    <row r="17" spans="2:18" x14ac:dyDescent="0.25">
      <c r="B17" s="42" t="s">
        <v>18</v>
      </c>
      <c r="C17" s="9" t="s">
        <v>19</v>
      </c>
      <c r="D17" s="3">
        <f>+SUM(F17:R17)</f>
        <v>1815400</v>
      </c>
      <c r="E17" s="4">
        <f t="shared" si="1"/>
        <v>0</v>
      </c>
      <c r="F17" s="5">
        <v>0</v>
      </c>
      <c r="G17" s="5">
        <v>0</v>
      </c>
      <c r="H17" s="5">
        <v>0</v>
      </c>
      <c r="I17" s="8">
        <v>907700</v>
      </c>
      <c r="J17" s="5">
        <v>0</v>
      </c>
      <c r="K17" s="5">
        <v>0</v>
      </c>
      <c r="L17" s="5">
        <v>0</v>
      </c>
      <c r="M17" s="5">
        <v>0</v>
      </c>
      <c r="N17" s="5">
        <v>0</v>
      </c>
      <c r="O17" s="8">
        <v>907700</v>
      </c>
      <c r="P17" s="5">
        <v>0</v>
      </c>
      <c r="Q17" s="5">
        <v>0</v>
      </c>
      <c r="R17" s="5">
        <v>0</v>
      </c>
    </row>
    <row r="18" spans="2:18" ht="40.5" x14ac:dyDescent="0.25">
      <c r="B18" s="43"/>
      <c r="C18" s="9" t="s">
        <v>20</v>
      </c>
      <c r="D18" s="3">
        <f>+SUM(F18:R18)</f>
        <v>3600000</v>
      </c>
      <c r="E18" s="4">
        <f t="shared" si="1"/>
        <v>0</v>
      </c>
      <c r="F18" s="5">
        <v>0</v>
      </c>
      <c r="G18" s="5">
        <v>0</v>
      </c>
      <c r="H18" s="8">
        <v>3600000</v>
      </c>
      <c r="I18" s="5">
        <v>0</v>
      </c>
      <c r="J18" s="5">
        <v>0</v>
      </c>
      <c r="K18" s="5">
        <v>0</v>
      </c>
      <c r="L18" s="5">
        <v>0</v>
      </c>
      <c r="M18" s="5">
        <v>0</v>
      </c>
      <c r="N18" s="5">
        <v>0</v>
      </c>
      <c r="O18" s="5">
        <v>0</v>
      </c>
      <c r="P18" s="5">
        <v>0</v>
      </c>
      <c r="Q18" s="5">
        <v>0</v>
      </c>
      <c r="R18" s="5">
        <v>0</v>
      </c>
    </row>
    <row r="19" spans="2:18" ht="54" x14ac:dyDescent="0.25">
      <c r="B19" s="43"/>
      <c r="C19" s="30" t="s">
        <v>63</v>
      </c>
      <c r="D19" s="3">
        <f>+SUM(F19:R19)</f>
        <v>210952</v>
      </c>
      <c r="E19" s="4">
        <f t="shared" si="1"/>
        <v>0</v>
      </c>
      <c r="F19" s="5">
        <v>0</v>
      </c>
      <c r="G19" s="5">
        <v>0</v>
      </c>
      <c r="H19" s="5">
        <v>0</v>
      </c>
      <c r="I19" s="8"/>
      <c r="J19" s="8">
        <v>105476</v>
      </c>
      <c r="K19" s="5">
        <v>0</v>
      </c>
      <c r="L19" s="5">
        <v>0</v>
      </c>
      <c r="M19" s="5">
        <v>0</v>
      </c>
      <c r="N19" s="5">
        <v>0</v>
      </c>
      <c r="O19" s="5">
        <v>0</v>
      </c>
      <c r="P19" s="8">
        <v>105476</v>
      </c>
      <c r="Q19" s="5">
        <v>0</v>
      </c>
      <c r="R19" s="5">
        <v>0</v>
      </c>
    </row>
    <row r="20" spans="2:18" ht="27" x14ac:dyDescent="0.25">
      <c r="B20" s="43"/>
      <c r="C20" s="9" t="s">
        <v>21</v>
      </c>
      <c r="D20" s="3">
        <f>+SUM(F20:R20)</f>
        <v>1650000</v>
      </c>
      <c r="E20" s="4">
        <f t="shared" si="1"/>
        <v>0</v>
      </c>
      <c r="F20" s="5">
        <v>0</v>
      </c>
      <c r="G20" s="5">
        <v>0</v>
      </c>
      <c r="H20" s="8">
        <v>150000</v>
      </c>
      <c r="I20" s="8">
        <v>150000</v>
      </c>
      <c r="J20" s="8">
        <v>150000</v>
      </c>
      <c r="K20" s="8">
        <v>150000</v>
      </c>
      <c r="L20" s="8">
        <v>150000</v>
      </c>
      <c r="M20" s="8">
        <v>150000</v>
      </c>
      <c r="N20" s="8">
        <v>150000</v>
      </c>
      <c r="O20" s="8">
        <v>150000</v>
      </c>
      <c r="P20" s="8">
        <v>150000</v>
      </c>
      <c r="Q20" s="8">
        <v>150000</v>
      </c>
      <c r="R20" s="8">
        <v>150000</v>
      </c>
    </row>
    <row r="21" spans="2:18" x14ac:dyDescent="0.25">
      <c r="B21" s="32" t="s">
        <v>17</v>
      </c>
      <c r="C21" s="33"/>
      <c r="D21" s="6">
        <f>SUM(D17:D20)</f>
        <v>7276352</v>
      </c>
      <c r="E21" s="34" t="s">
        <v>70</v>
      </c>
      <c r="F21" s="6">
        <f t="shared" ref="F21:R21" si="3">SUM(F17:F20)</f>
        <v>0</v>
      </c>
      <c r="G21" s="6">
        <f t="shared" si="3"/>
        <v>0</v>
      </c>
      <c r="H21" s="6">
        <f t="shared" si="3"/>
        <v>3750000</v>
      </c>
      <c r="I21" s="6">
        <f t="shared" si="3"/>
        <v>1057700</v>
      </c>
      <c r="J21" s="6">
        <f t="shared" si="3"/>
        <v>255476</v>
      </c>
      <c r="K21" s="6">
        <f t="shared" si="3"/>
        <v>150000</v>
      </c>
      <c r="L21" s="6">
        <f t="shared" si="3"/>
        <v>150000</v>
      </c>
      <c r="M21" s="6">
        <f t="shared" si="3"/>
        <v>150000</v>
      </c>
      <c r="N21" s="6">
        <f t="shared" si="3"/>
        <v>150000</v>
      </c>
      <c r="O21" s="6">
        <f t="shared" si="3"/>
        <v>1057700</v>
      </c>
      <c r="P21" s="6">
        <f t="shared" si="3"/>
        <v>255476</v>
      </c>
      <c r="Q21" s="6">
        <f t="shared" si="3"/>
        <v>150000</v>
      </c>
      <c r="R21" s="6">
        <f t="shared" si="3"/>
        <v>150000</v>
      </c>
    </row>
    <row r="22" spans="2:18" x14ac:dyDescent="0.25">
      <c r="B22" s="42" t="s">
        <v>22</v>
      </c>
      <c r="C22" s="2" t="s">
        <v>23</v>
      </c>
      <c r="D22" s="3">
        <f>+SUM(F22:R22)</f>
        <v>2500000</v>
      </c>
      <c r="E22" s="4">
        <f t="shared" si="1"/>
        <v>0</v>
      </c>
      <c r="F22" s="5">
        <v>0</v>
      </c>
      <c r="G22" s="5">
        <v>0</v>
      </c>
      <c r="H22" s="5">
        <v>0</v>
      </c>
      <c r="I22" s="5">
        <v>0</v>
      </c>
      <c r="J22" s="5">
        <v>0</v>
      </c>
      <c r="K22" s="5">
        <v>0</v>
      </c>
      <c r="L22" s="5">
        <v>0</v>
      </c>
      <c r="M22" s="5">
        <v>0</v>
      </c>
      <c r="N22" s="5">
        <v>0</v>
      </c>
      <c r="O22" s="8">
        <v>2500000</v>
      </c>
      <c r="P22" s="5">
        <v>0</v>
      </c>
      <c r="Q22" s="5">
        <v>0</v>
      </c>
      <c r="R22" s="5">
        <v>0</v>
      </c>
    </row>
    <row r="23" spans="2:18" ht="27" x14ac:dyDescent="0.25">
      <c r="B23" s="43"/>
      <c r="C23" s="2" t="s">
        <v>24</v>
      </c>
      <c r="D23" s="3">
        <f>+SUM(F23:R23)</f>
        <v>1500000</v>
      </c>
      <c r="E23" s="4">
        <f t="shared" si="1"/>
        <v>0</v>
      </c>
      <c r="F23" s="5">
        <v>0</v>
      </c>
      <c r="G23" s="5">
        <v>0</v>
      </c>
      <c r="H23" s="8">
        <v>250000</v>
      </c>
      <c r="I23" s="5">
        <v>0</v>
      </c>
      <c r="J23" s="8">
        <v>250000</v>
      </c>
      <c r="K23" s="5">
        <v>0</v>
      </c>
      <c r="L23" s="8">
        <v>250000</v>
      </c>
      <c r="M23" s="5">
        <v>0</v>
      </c>
      <c r="N23" s="8">
        <v>250000</v>
      </c>
      <c r="O23" s="5">
        <v>0</v>
      </c>
      <c r="P23" s="8">
        <v>250000</v>
      </c>
      <c r="Q23" s="5">
        <v>0</v>
      </c>
      <c r="R23" s="8">
        <v>250000</v>
      </c>
    </row>
    <row r="24" spans="2:18" ht="27" x14ac:dyDescent="0.25">
      <c r="B24" s="45"/>
      <c r="C24" s="10" t="s">
        <v>25</v>
      </c>
      <c r="D24" s="3">
        <f>+SUM(F24:R24)</f>
        <v>2500000</v>
      </c>
      <c r="E24" s="4">
        <f t="shared" si="1"/>
        <v>0</v>
      </c>
      <c r="F24" s="5">
        <v>0</v>
      </c>
      <c r="G24" s="5">
        <v>0</v>
      </c>
      <c r="H24" s="5">
        <v>0</v>
      </c>
      <c r="I24" s="8">
        <v>250000</v>
      </c>
      <c r="J24" s="8">
        <v>250000</v>
      </c>
      <c r="K24" s="8">
        <v>250000</v>
      </c>
      <c r="L24" s="8">
        <v>250000</v>
      </c>
      <c r="M24" s="8">
        <v>250000</v>
      </c>
      <c r="N24" s="8">
        <v>250000</v>
      </c>
      <c r="O24" s="8">
        <v>250000</v>
      </c>
      <c r="P24" s="8">
        <v>250000</v>
      </c>
      <c r="Q24" s="8">
        <v>250000</v>
      </c>
      <c r="R24" s="8">
        <v>250000</v>
      </c>
    </row>
    <row r="25" spans="2:18" x14ac:dyDescent="0.25">
      <c r="B25" s="32" t="s">
        <v>17</v>
      </c>
      <c r="C25" s="33"/>
      <c r="D25" s="6">
        <f>SUM(D22:D24)</f>
        <v>6500000</v>
      </c>
      <c r="E25" s="34" t="s">
        <v>70</v>
      </c>
      <c r="F25" s="6">
        <f t="shared" ref="F25:R25" si="4">SUM(F22:F24)</f>
        <v>0</v>
      </c>
      <c r="G25" s="6">
        <f t="shared" si="4"/>
        <v>0</v>
      </c>
      <c r="H25" s="6">
        <f t="shared" si="4"/>
        <v>250000</v>
      </c>
      <c r="I25" s="6">
        <f t="shared" si="4"/>
        <v>250000</v>
      </c>
      <c r="J25" s="6">
        <f t="shared" si="4"/>
        <v>500000</v>
      </c>
      <c r="K25" s="6">
        <f t="shared" si="4"/>
        <v>250000</v>
      </c>
      <c r="L25" s="6">
        <f t="shared" si="4"/>
        <v>500000</v>
      </c>
      <c r="M25" s="6">
        <f t="shared" si="4"/>
        <v>250000</v>
      </c>
      <c r="N25" s="6">
        <f t="shared" si="4"/>
        <v>500000</v>
      </c>
      <c r="O25" s="6">
        <f t="shared" si="4"/>
        <v>2750000</v>
      </c>
      <c r="P25" s="6">
        <f t="shared" si="4"/>
        <v>500000</v>
      </c>
      <c r="Q25" s="6">
        <f t="shared" si="4"/>
        <v>250000</v>
      </c>
      <c r="R25" s="6">
        <f t="shared" si="4"/>
        <v>500000</v>
      </c>
    </row>
    <row r="26" spans="2:18" ht="27" x14ac:dyDescent="0.25">
      <c r="B26" s="42" t="s">
        <v>38</v>
      </c>
      <c r="C26" s="10" t="s">
        <v>50</v>
      </c>
      <c r="D26" s="3">
        <f>+SUM(F26:R26)</f>
        <v>2800000</v>
      </c>
      <c r="E26" s="4">
        <f t="shared" si="1"/>
        <v>0</v>
      </c>
      <c r="F26" s="5">
        <v>0</v>
      </c>
      <c r="G26" s="5">
        <v>0</v>
      </c>
      <c r="H26" s="8">
        <v>0</v>
      </c>
      <c r="I26" s="8">
        <v>2800000</v>
      </c>
      <c r="J26" s="5">
        <v>0</v>
      </c>
      <c r="K26" s="5">
        <v>0</v>
      </c>
      <c r="L26" s="5">
        <v>0</v>
      </c>
      <c r="M26" s="5">
        <v>0</v>
      </c>
      <c r="N26" s="5">
        <v>0</v>
      </c>
      <c r="O26" s="5">
        <v>0</v>
      </c>
      <c r="P26" s="5">
        <v>0</v>
      </c>
      <c r="Q26" s="5">
        <v>0</v>
      </c>
      <c r="R26" s="5">
        <v>0</v>
      </c>
    </row>
    <row r="27" spans="2:18" ht="27" x14ac:dyDescent="0.25">
      <c r="B27" s="43"/>
      <c r="C27" s="10" t="s">
        <v>51</v>
      </c>
      <c r="D27" s="3">
        <f>+SUM(F27:R27)</f>
        <v>980000</v>
      </c>
      <c r="E27" s="4">
        <f t="shared" si="1"/>
        <v>0</v>
      </c>
      <c r="F27" s="5">
        <v>0</v>
      </c>
      <c r="G27" s="5">
        <v>0</v>
      </c>
      <c r="H27" s="5">
        <v>0</v>
      </c>
      <c r="I27" s="8">
        <v>980000</v>
      </c>
      <c r="J27" s="5">
        <v>0</v>
      </c>
      <c r="K27" s="5">
        <v>0</v>
      </c>
      <c r="L27" s="5">
        <v>0</v>
      </c>
      <c r="M27" s="5">
        <v>0</v>
      </c>
      <c r="N27" s="5">
        <v>0</v>
      </c>
      <c r="O27" s="5">
        <v>0</v>
      </c>
      <c r="P27" s="5">
        <v>0</v>
      </c>
      <c r="Q27" s="5">
        <v>0</v>
      </c>
      <c r="R27" s="5">
        <v>0</v>
      </c>
    </row>
    <row r="28" spans="2:18" x14ac:dyDescent="0.25">
      <c r="B28" s="32" t="s">
        <v>17</v>
      </c>
      <c r="C28" s="33"/>
      <c r="D28" s="11">
        <f>SUM(D26:D27)</f>
        <v>3780000</v>
      </c>
      <c r="E28" s="34" t="s">
        <v>70</v>
      </c>
      <c r="F28" s="11">
        <f t="shared" ref="F28:R28" si="5">SUM(F26:F27)</f>
        <v>0</v>
      </c>
      <c r="G28" s="11">
        <f t="shared" si="5"/>
        <v>0</v>
      </c>
      <c r="H28" s="11">
        <f t="shared" si="5"/>
        <v>0</v>
      </c>
      <c r="I28" s="11">
        <f t="shared" si="5"/>
        <v>3780000</v>
      </c>
      <c r="J28" s="11">
        <f t="shared" si="5"/>
        <v>0</v>
      </c>
      <c r="K28" s="11">
        <f t="shared" si="5"/>
        <v>0</v>
      </c>
      <c r="L28" s="11">
        <f t="shared" si="5"/>
        <v>0</v>
      </c>
      <c r="M28" s="11">
        <f t="shared" si="5"/>
        <v>0</v>
      </c>
      <c r="N28" s="11">
        <f t="shared" si="5"/>
        <v>0</v>
      </c>
      <c r="O28" s="11">
        <f t="shared" si="5"/>
        <v>0</v>
      </c>
      <c r="P28" s="11">
        <f t="shared" si="5"/>
        <v>0</v>
      </c>
      <c r="Q28" s="11">
        <f t="shared" si="5"/>
        <v>0</v>
      </c>
      <c r="R28" s="11">
        <f t="shared" si="5"/>
        <v>0</v>
      </c>
    </row>
    <row r="29" spans="2:18" ht="69.75" x14ac:dyDescent="0.25">
      <c r="B29" s="42" t="s">
        <v>54</v>
      </c>
      <c r="C29" s="10" t="s">
        <v>56</v>
      </c>
      <c r="D29" s="3">
        <v>678546</v>
      </c>
      <c r="E29" s="4">
        <f>IF(D29="arl","",SUM(H29)/D29)</f>
        <v>0</v>
      </c>
      <c r="F29" s="5">
        <v>0</v>
      </c>
      <c r="G29" s="5">
        <v>0</v>
      </c>
      <c r="H29" s="5">
        <v>0</v>
      </c>
      <c r="I29" s="8">
        <v>678546</v>
      </c>
      <c r="J29" s="5">
        <v>0</v>
      </c>
      <c r="K29" s="5">
        <v>0</v>
      </c>
      <c r="L29" s="5">
        <v>0</v>
      </c>
      <c r="M29" s="5">
        <v>0</v>
      </c>
      <c r="N29" s="5">
        <v>0</v>
      </c>
      <c r="O29" s="5">
        <v>0</v>
      </c>
      <c r="P29" s="5">
        <v>0</v>
      </c>
      <c r="Q29" s="5">
        <v>0</v>
      </c>
      <c r="R29" s="5">
        <v>0</v>
      </c>
    </row>
    <row r="30" spans="2:18" ht="27" x14ac:dyDescent="0.25">
      <c r="B30" s="43"/>
      <c r="C30" s="10" t="s">
        <v>55</v>
      </c>
      <c r="D30" s="3">
        <v>260000</v>
      </c>
      <c r="E30" s="4">
        <f>IF(D30="arl","",SUM(H30)/D30)</f>
        <v>0</v>
      </c>
      <c r="F30" s="5">
        <v>0</v>
      </c>
      <c r="G30" s="5">
        <v>0</v>
      </c>
      <c r="H30" s="5">
        <v>0</v>
      </c>
      <c r="I30" s="8">
        <v>260000</v>
      </c>
      <c r="J30" s="5">
        <v>0</v>
      </c>
      <c r="K30" s="5">
        <v>0</v>
      </c>
      <c r="L30" s="5">
        <v>0</v>
      </c>
      <c r="M30" s="5">
        <v>0</v>
      </c>
      <c r="N30" s="5">
        <v>0</v>
      </c>
      <c r="O30" s="5">
        <v>0</v>
      </c>
      <c r="P30" s="5">
        <v>0</v>
      </c>
      <c r="Q30" s="5">
        <v>0</v>
      </c>
      <c r="R30" s="5">
        <v>0</v>
      </c>
    </row>
    <row r="31" spans="2:18" x14ac:dyDescent="0.25">
      <c r="B31" s="43"/>
      <c r="C31" s="30" t="s">
        <v>57</v>
      </c>
      <c r="D31" s="31">
        <v>4000000</v>
      </c>
      <c r="E31" s="29">
        <f>IF(D31="arl","",SUM(H31)/D31)</f>
        <v>0</v>
      </c>
      <c r="F31" s="5">
        <v>0</v>
      </c>
      <c r="G31" s="5">
        <v>0</v>
      </c>
      <c r="H31" s="5">
        <v>0</v>
      </c>
      <c r="I31" s="5">
        <v>4000000</v>
      </c>
      <c r="J31" s="5">
        <v>0</v>
      </c>
      <c r="K31" s="5">
        <v>0</v>
      </c>
      <c r="L31" s="5">
        <v>0</v>
      </c>
      <c r="M31" s="5">
        <v>0</v>
      </c>
      <c r="N31" s="5">
        <v>0</v>
      </c>
      <c r="O31" s="5">
        <v>0</v>
      </c>
      <c r="P31" s="5">
        <v>0</v>
      </c>
      <c r="Q31" s="5">
        <v>0</v>
      </c>
      <c r="R31" s="5">
        <v>0</v>
      </c>
    </row>
    <row r="32" spans="2:18" ht="27" x14ac:dyDescent="0.25">
      <c r="B32" s="45"/>
      <c r="C32" s="30" t="s">
        <v>58</v>
      </c>
      <c r="D32" s="3">
        <f>+SUM(H32:R32)</f>
        <v>4000000</v>
      </c>
      <c r="E32" s="4">
        <f>IF(D32="arl","",SUM(H32)/D32)</f>
        <v>0</v>
      </c>
      <c r="F32" s="5">
        <v>0</v>
      </c>
      <c r="G32" s="5">
        <v>0</v>
      </c>
      <c r="H32" s="5">
        <v>0</v>
      </c>
      <c r="I32" s="5">
        <v>0</v>
      </c>
      <c r="J32" s="13">
        <v>800000</v>
      </c>
      <c r="K32" s="13">
        <v>800000</v>
      </c>
      <c r="L32" s="13">
        <v>800000</v>
      </c>
      <c r="M32" s="5">
        <v>0</v>
      </c>
      <c r="N32" s="5">
        <v>0</v>
      </c>
      <c r="O32" s="13">
        <v>800000</v>
      </c>
      <c r="P32" s="5">
        <v>0</v>
      </c>
      <c r="Q32" s="5">
        <v>0</v>
      </c>
      <c r="R32" s="13">
        <v>800000</v>
      </c>
    </row>
    <row r="33" spans="2:18" x14ac:dyDescent="0.25">
      <c r="B33" s="32" t="s">
        <v>17</v>
      </c>
      <c r="C33" s="33"/>
      <c r="D33" s="11">
        <f>SUM(D29:D32)</f>
        <v>8938546</v>
      </c>
      <c r="E33" s="34" t="s">
        <v>70</v>
      </c>
      <c r="F33" s="11">
        <f t="shared" ref="F33:R33" si="6">SUM(F29:F32)</f>
        <v>0</v>
      </c>
      <c r="G33" s="11">
        <f t="shared" si="6"/>
        <v>0</v>
      </c>
      <c r="H33" s="11">
        <f t="shared" si="6"/>
        <v>0</v>
      </c>
      <c r="I33" s="11">
        <f t="shared" si="6"/>
        <v>4938546</v>
      </c>
      <c r="J33" s="11">
        <f t="shared" si="6"/>
        <v>800000</v>
      </c>
      <c r="K33" s="11">
        <f t="shared" si="6"/>
        <v>800000</v>
      </c>
      <c r="L33" s="11">
        <f t="shared" si="6"/>
        <v>800000</v>
      </c>
      <c r="M33" s="11">
        <f t="shared" si="6"/>
        <v>0</v>
      </c>
      <c r="N33" s="11">
        <f t="shared" si="6"/>
        <v>0</v>
      </c>
      <c r="O33" s="11">
        <f t="shared" si="6"/>
        <v>800000</v>
      </c>
      <c r="P33" s="11">
        <f t="shared" si="6"/>
        <v>0</v>
      </c>
      <c r="Q33" s="11">
        <f t="shared" si="6"/>
        <v>0</v>
      </c>
      <c r="R33" s="11">
        <f t="shared" si="6"/>
        <v>800000</v>
      </c>
    </row>
    <row r="34" spans="2:18" ht="27" x14ac:dyDescent="0.25">
      <c r="B34" s="42" t="s">
        <v>37</v>
      </c>
      <c r="C34" s="30" t="s">
        <v>59</v>
      </c>
      <c r="D34" s="3">
        <f>+SUM(F34:R34)</f>
        <v>2380000</v>
      </c>
      <c r="E34" s="4">
        <f t="shared" ref="E34:E47" si="7">IF(D34="arl","",SUM(F34)/D34)</f>
        <v>0</v>
      </c>
      <c r="F34" s="5">
        <v>0</v>
      </c>
      <c r="G34" s="5">
        <v>0</v>
      </c>
      <c r="H34" s="8">
        <v>2380000</v>
      </c>
      <c r="I34" s="5">
        <v>0</v>
      </c>
      <c r="J34" s="5">
        <v>0</v>
      </c>
      <c r="K34" s="5">
        <v>0</v>
      </c>
      <c r="L34" s="5">
        <v>0</v>
      </c>
      <c r="M34" s="5">
        <v>0</v>
      </c>
      <c r="N34" s="5">
        <v>0</v>
      </c>
      <c r="O34" s="5">
        <v>0</v>
      </c>
      <c r="P34" s="5">
        <v>0</v>
      </c>
      <c r="Q34" s="5">
        <v>0</v>
      </c>
      <c r="R34" s="5">
        <v>0</v>
      </c>
    </row>
    <row r="35" spans="2:18" ht="97.5" x14ac:dyDescent="0.25">
      <c r="B35" s="43"/>
      <c r="C35" s="30" t="s">
        <v>65</v>
      </c>
      <c r="D35" s="3">
        <f>+SUM(F35:R35)</f>
        <v>79107</v>
      </c>
      <c r="E35" s="4">
        <f t="shared" si="7"/>
        <v>0</v>
      </c>
      <c r="F35" s="5">
        <v>0</v>
      </c>
      <c r="G35" s="5">
        <v>0</v>
      </c>
      <c r="H35" s="5">
        <v>0</v>
      </c>
      <c r="I35" s="13">
        <v>79107</v>
      </c>
      <c r="J35" s="5">
        <v>0</v>
      </c>
      <c r="K35" s="5">
        <v>0</v>
      </c>
      <c r="L35" s="5">
        <v>0</v>
      </c>
      <c r="M35" s="5">
        <v>0</v>
      </c>
      <c r="N35" s="5">
        <v>0</v>
      </c>
      <c r="O35" s="5">
        <v>0</v>
      </c>
      <c r="P35" s="5">
        <v>0</v>
      </c>
      <c r="Q35" s="5">
        <v>0</v>
      </c>
      <c r="R35" s="5">
        <v>0</v>
      </c>
    </row>
    <row r="36" spans="2:18" ht="54" x14ac:dyDescent="0.25">
      <c r="B36" s="43"/>
      <c r="C36" s="30" t="s">
        <v>60</v>
      </c>
      <c r="D36" s="3">
        <f>+SUM(F36:R36)</f>
        <v>65922</v>
      </c>
      <c r="E36" s="4">
        <f t="shared" si="7"/>
        <v>0</v>
      </c>
      <c r="F36" s="5">
        <v>0</v>
      </c>
      <c r="G36" s="5">
        <v>0</v>
      </c>
      <c r="H36" s="5">
        <v>0</v>
      </c>
      <c r="I36" s="13">
        <v>65922</v>
      </c>
      <c r="J36" s="5">
        <v>0</v>
      </c>
      <c r="K36" s="5">
        <v>0</v>
      </c>
      <c r="L36" s="5">
        <v>0</v>
      </c>
      <c r="M36" s="5">
        <v>0</v>
      </c>
      <c r="N36" s="5">
        <v>0</v>
      </c>
      <c r="O36" s="5">
        <v>0</v>
      </c>
      <c r="P36" s="5">
        <v>0</v>
      </c>
      <c r="Q36" s="5">
        <v>0</v>
      </c>
      <c r="R36" s="5">
        <v>0</v>
      </c>
    </row>
    <row r="37" spans="2:18" ht="112.5" x14ac:dyDescent="0.25">
      <c r="B37" s="43"/>
      <c r="C37" s="30" t="s">
        <v>66</v>
      </c>
      <c r="D37" s="3">
        <f>+SUM(F37:R37)</f>
        <v>131845</v>
      </c>
      <c r="E37" s="4">
        <f t="shared" si="7"/>
        <v>0</v>
      </c>
      <c r="F37" s="5">
        <v>0</v>
      </c>
      <c r="G37" s="5">
        <v>0</v>
      </c>
      <c r="H37" s="5">
        <v>0</v>
      </c>
      <c r="I37" s="13">
        <v>131845</v>
      </c>
      <c r="J37" s="5">
        <v>0</v>
      </c>
      <c r="K37" s="5">
        <v>0</v>
      </c>
      <c r="L37" s="5">
        <v>0</v>
      </c>
      <c r="M37" s="5">
        <v>0</v>
      </c>
      <c r="N37" s="5">
        <v>0</v>
      </c>
      <c r="O37" s="5">
        <v>0</v>
      </c>
      <c r="P37" s="5">
        <v>0</v>
      </c>
      <c r="Q37" s="5">
        <v>0</v>
      </c>
      <c r="R37" s="5">
        <v>0</v>
      </c>
    </row>
    <row r="38" spans="2:18" ht="112.5" x14ac:dyDescent="0.25">
      <c r="B38" s="43"/>
      <c r="C38" s="30" t="s">
        <v>67</v>
      </c>
      <c r="D38" s="3">
        <f>+SUM(F38:R38)</f>
        <v>158214</v>
      </c>
      <c r="E38" s="4">
        <f t="shared" si="7"/>
        <v>0</v>
      </c>
      <c r="F38" s="5">
        <v>0</v>
      </c>
      <c r="G38" s="5">
        <v>0</v>
      </c>
      <c r="H38" s="5">
        <v>0</v>
      </c>
      <c r="I38" s="5">
        <v>0</v>
      </c>
      <c r="J38" s="5">
        <v>0</v>
      </c>
      <c r="K38" s="13">
        <v>158214</v>
      </c>
      <c r="L38" s="5">
        <v>0</v>
      </c>
      <c r="M38" s="5">
        <v>0</v>
      </c>
      <c r="N38" s="5">
        <v>0</v>
      </c>
      <c r="O38" s="5">
        <v>0</v>
      </c>
      <c r="P38" s="5">
        <v>0</v>
      </c>
      <c r="Q38" s="5">
        <v>0</v>
      </c>
      <c r="R38" s="5">
        <v>0</v>
      </c>
    </row>
    <row r="39" spans="2:18" ht="141" x14ac:dyDescent="0.25">
      <c r="B39" s="43"/>
      <c r="C39" s="30" t="s">
        <v>68</v>
      </c>
      <c r="D39" s="3">
        <f>+SUM(F39:R39)</f>
        <v>131845</v>
      </c>
      <c r="E39" s="4">
        <f t="shared" si="7"/>
        <v>0</v>
      </c>
      <c r="F39" s="5">
        <v>0</v>
      </c>
      <c r="G39" s="5">
        <v>0</v>
      </c>
      <c r="H39" s="5">
        <v>0</v>
      </c>
      <c r="I39" s="5">
        <v>0</v>
      </c>
      <c r="J39" s="5">
        <v>0</v>
      </c>
      <c r="K39" s="5">
        <v>0</v>
      </c>
      <c r="L39" s="5">
        <v>0</v>
      </c>
      <c r="M39" s="13">
        <v>131845</v>
      </c>
      <c r="N39" s="5">
        <v>0</v>
      </c>
      <c r="O39" s="5">
        <v>0</v>
      </c>
      <c r="P39" s="5">
        <v>0</v>
      </c>
      <c r="Q39" s="5">
        <v>0</v>
      </c>
      <c r="R39" s="5">
        <v>0</v>
      </c>
    </row>
    <row r="40" spans="2:18" ht="27" x14ac:dyDescent="0.25">
      <c r="B40" s="43"/>
      <c r="C40" s="30" t="s">
        <v>61</v>
      </c>
      <c r="D40" s="3">
        <f>+SUM(F40:R40)</f>
        <v>184583</v>
      </c>
      <c r="E40" s="4">
        <f t="shared" si="7"/>
        <v>0</v>
      </c>
      <c r="F40" s="5">
        <v>0</v>
      </c>
      <c r="G40" s="5">
        <v>0</v>
      </c>
      <c r="H40" s="5">
        <v>0</v>
      </c>
      <c r="I40" s="5">
        <v>0</v>
      </c>
      <c r="J40" s="5">
        <v>0</v>
      </c>
      <c r="K40" s="5">
        <v>0</v>
      </c>
      <c r="L40" s="5">
        <v>0</v>
      </c>
      <c r="M40" s="5">
        <v>0</v>
      </c>
      <c r="N40" s="5">
        <v>0</v>
      </c>
      <c r="O40" s="13">
        <v>184583</v>
      </c>
      <c r="P40" s="5">
        <v>0</v>
      </c>
      <c r="Q40" s="5">
        <v>0</v>
      </c>
      <c r="R40" s="5">
        <v>0</v>
      </c>
    </row>
    <row r="41" spans="2:18" ht="40.5" x14ac:dyDescent="0.25">
      <c r="B41" s="43"/>
      <c r="C41" s="30" t="s">
        <v>62</v>
      </c>
      <c r="D41" s="3">
        <f>+SUM(F41:R41)</f>
        <v>158214</v>
      </c>
      <c r="E41" s="4">
        <f t="shared" si="7"/>
        <v>0</v>
      </c>
      <c r="F41" s="5">
        <v>0</v>
      </c>
      <c r="G41" s="5">
        <v>0</v>
      </c>
      <c r="H41" s="5">
        <v>0</v>
      </c>
      <c r="I41" s="5">
        <v>0</v>
      </c>
      <c r="J41" s="5">
        <v>0</v>
      </c>
      <c r="K41" s="5">
        <v>0</v>
      </c>
      <c r="L41" s="5">
        <v>0</v>
      </c>
      <c r="M41" s="5">
        <v>0</v>
      </c>
      <c r="N41" s="5">
        <v>0</v>
      </c>
      <c r="O41" s="5">
        <v>0</v>
      </c>
      <c r="P41" s="5">
        <v>0</v>
      </c>
      <c r="Q41" s="13">
        <v>158214</v>
      </c>
      <c r="R41" s="5">
        <v>0</v>
      </c>
    </row>
    <row r="42" spans="2:18" ht="84" x14ac:dyDescent="0.25">
      <c r="B42" s="43"/>
      <c r="C42" s="30" t="s">
        <v>69</v>
      </c>
      <c r="D42" s="3">
        <f>+SUM(F42:R42)</f>
        <v>4000000</v>
      </c>
      <c r="E42" s="4">
        <f t="shared" si="7"/>
        <v>0</v>
      </c>
      <c r="F42" s="5">
        <v>0</v>
      </c>
      <c r="G42" s="5">
        <v>0</v>
      </c>
      <c r="H42" s="5">
        <v>0</v>
      </c>
      <c r="I42" s="5">
        <v>0</v>
      </c>
      <c r="J42" s="5">
        <v>0</v>
      </c>
      <c r="K42" s="5">
        <v>0</v>
      </c>
      <c r="L42" s="13">
        <v>2000000</v>
      </c>
      <c r="M42" s="5">
        <v>0</v>
      </c>
      <c r="N42" s="5">
        <v>0</v>
      </c>
      <c r="O42" s="5">
        <v>0</v>
      </c>
      <c r="P42" s="5">
        <v>0</v>
      </c>
      <c r="Q42" s="5">
        <v>0</v>
      </c>
      <c r="R42" s="13">
        <v>2000000</v>
      </c>
    </row>
    <row r="43" spans="2:18" ht="40.5" x14ac:dyDescent="0.25">
      <c r="B43" s="43"/>
      <c r="C43" s="30" t="s">
        <v>64</v>
      </c>
      <c r="D43" s="3">
        <f>+SUM(F43:R43)</f>
        <v>158214</v>
      </c>
      <c r="E43" s="4">
        <f t="shared" si="7"/>
        <v>0</v>
      </c>
      <c r="F43" s="5">
        <v>0</v>
      </c>
      <c r="G43" s="5">
        <v>0</v>
      </c>
      <c r="H43" s="5">
        <v>0</v>
      </c>
      <c r="I43" s="5">
        <v>0</v>
      </c>
      <c r="J43" s="5">
        <v>0</v>
      </c>
      <c r="K43" s="5">
        <v>0</v>
      </c>
      <c r="L43" s="13">
        <v>79107</v>
      </c>
      <c r="M43" s="5">
        <v>0</v>
      </c>
      <c r="N43" s="5">
        <v>0</v>
      </c>
      <c r="O43" s="5">
        <v>0</v>
      </c>
      <c r="P43" s="5">
        <v>0</v>
      </c>
      <c r="Q43" s="5">
        <v>0</v>
      </c>
      <c r="R43" s="13">
        <v>79107</v>
      </c>
    </row>
    <row r="44" spans="2:18" x14ac:dyDescent="0.25">
      <c r="B44" s="43"/>
      <c r="C44" s="14" t="s">
        <v>26</v>
      </c>
      <c r="D44" s="3">
        <f>+SUM(F44:R44)</f>
        <v>470000</v>
      </c>
      <c r="E44" s="4">
        <f t="shared" si="7"/>
        <v>0</v>
      </c>
      <c r="F44" s="5">
        <v>0</v>
      </c>
      <c r="G44" s="5">
        <v>0</v>
      </c>
      <c r="H44" s="13">
        <v>0</v>
      </c>
      <c r="I44" s="13"/>
      <c r="J44" s="13">
        <v>235000</v>
      </c>
      <c r="K44" s="13">
        <v>0</v>
      </c>
      <c r="L44" s="13">
        <v>0</v>
      </c>
      <c r="M44" s="13">
        <v>0</v>
      </c>
      <c r="N44" s="13">
        <v>0</v>
      </c>
      <c r="O44" s="13">
        <v>0</v>
      </c>
      <c r="P44" s="15">
        <v>0</v>
      </c>
      <c r="Q44" s="13">
        <v>235000</v>
      </c>
      <c r="R44" s="13">
        <v>0</v>
      </c>
    </row>
    <row r="45" spans="2:18" x14ac:dyDescent="0.25">
      <c r="B45" s="45"/>
      <c r="C45" s="14" t="s">
        <v>27</v>
      </c>
      <c r="D45" s="3">
        <f>+SUM(F45:R45)</f>
        <v>1139658</v>
      </c>
      <c r="E45" s="4">
        <f t="shared" si="7"/>
        <v>7.6923076923076927E-2</v>
      </c>
      <c r="F45" s="13">
        <v>87666</v>
      </c>
      <c r="G45" s="13">
        <v>87666</v>
      </c>
      <c r="H45" s="13">
        <v>87666</v>
      </c>
      <c r="I45" s="13">
        <v>87666</v>
      </c>
      <c r="J45" s="13">
        <v>87666</v>
      </c>
      <c r="K45" s="13">
        <v>87666</v>
      </c>
      <c r="L45" s="13">
        <v>87666</v>
      </c>
      <c r="M45" s="13">
        <v>87666</v>
      </c>
      <c r="N45" s="13">
        <v>87666</v>
      </c>
      <c r="O45" s="13">
        <v>87666</v>
      </c>
      <c r="P45" s="15">
        <v>87666</v>
      </c>
      <c r="Q45" s="13">
        <v>87666</v>
      </c>
      <c r="R45" s="13">
        <v>87666</v>
      </c>
    </row>
    <row r="46" spans="2:18" x14ac:dyDescent="0.25">
      <c r="B46" s="32" t="s">
        <v>17</v>
      </c>
      <c r="C46" s="33"/>
      <c r="D46" s="11">
        <f>SUM(D34:D45)</f>
        <v>9057602</v>
      </c>
      <c r="E46" s="34" t="s">
        <v>70</v>
      </c>
      <c r="F46" s="11">
        <f t="shared" ref="F46:R46" si="8">SUM(F34:F45)</f>
        <v>87666</v>
      </c>
      <c r="G46" s="11">
        <f t="shared" si="8"/>
        <v>87666</v>
      </c>
      <c r="H46" s="11">
        <f t="shared" si="8"/>
        <v>2467666</v>
      </c>
      <c r="I46" s="11">
        <f t="shared" si="8"/>
        <v>364540</v>
      </c>
      <c r="J46" s="11">
        <f t="shared" si="8"/>
        <v>322666</v>
      </c>
      <c r="K46" s="11">
        <f t="shared" si="8"/>
        <v>245880</v>
      </c>
      <c r="L46" s="11">
        <f t="shared" si="8"/>
        <v>2166773</v>
      </c>
      <c r="M46" s="11">
        <f t="shared" si="8"/>
        <v>219511</v>
      </c>
      <c r="N46" s="11">
        <f t="shared" si="8"/>
        <v>87666</v>
      </c>
      <c r="O46" s="11">
        <f t="shared" si="8"/>
        <v>272249</v>
      </c>
      <c r="P46" s="11">
        <f t="shared" si="8"/>
        <v>87666</v>
      </c>
      <c r="Q46" s="11">
        <f t="shared" si="8"/>
        <v>480880</v>
      </c>
      <c r="R46" s="11">
        <f t="shared" si="8"/>
        <v>2166773</v>
      </c>
    </row>
    <row r="47" spans="2:18" ht="243" x14ac:dyDescent="0.25">
      <c r="B47" s="46" t="s">
        <v>28</v>
      </c>
      <c r="C47" s="12" t="s">
        <v>89</v>
      </c>
      <c r="D47" s="3">
        <f>+SUM(F47:R47)</f>
        <v>1017900</v>
      </c>
      <c r="E47" s="4">
        <f t="shared" si="7"/>
        <v>7.6923076923076927E-2</v>
      </c>
      <c r="F47" s="8">
        <v>78300</v>
      </c>
      <c r="G47" s="8">
        <v>78300</v>
      </c>
      <c r="H47" s="8">
        <v>78300</v>
      </c>
      <c r="I47" s="8">
        <v>78300</v>
      </c>
      <c r="J47" s="8">
        <v>78300</v>
      </c>
      <c r="K47" s="8">
        <v>78300</v>
      </c>
      <c r="L47" s="8">
        <v>78300</v>
      </c>
      <c r="M47" s="8">
        <v>78300</v>
      </c>
      <c r="N47" s="8">
        <v>78300</v>
      </c>
      <c r="O47" s="8">
        <v>78300</v>
      </c>
      <c r="P47" s="8">
        <v>78300</v>
      </c>
      <c r="Q47" s="8">
        <v>78300</v>
      </c>
      <c r="R47" s="8">
        <v>78300</v>
      </c>
    </row>
    <row r="48" spans="2:18" x14ac:dyDescent="0.25">
      <c r="B48" s="32" t="s">
        <v>17</v>
      </c>
      <c r="C48" s="33"/>
      <c r="D48" s="11">
        <f>+SUM(D47)</f>
        <v>1017900</v>
      </c>
      <c r="E48" s="34" t="s">
        <v>70</v>
      </c>
      <c r="F48" s="11">
        <f t="shared" ref="F48:R48" si="9">+SUM(F47)</f>
        <v>78300</v>
      </c>
      <c r="G48" s="11">
        <f t="shared" si="9"/>
        <v>78300</v>
      </c>
      <c r="H48" s="11">
        <f t="shared" si="9"/>
        <v>78300</v>
      </c>
      <c r="I48" s="11">
        <f t="shared" si="9"/>
        <v>78300</v>
      </c>
      <c r="J48" s="11">
        <f t="shared" si="9"/>
        <v>78300</v>
      </c>
      <c r="K48" s="11">
        <f t="shared" si="9"/>
        <v>78300</v>
      </c>
      <c r="L48" s="11">
        <f t="shared" si="9"/>
        <v>78300</v>
      </c>
      <c r="M48" s="11">
        <f t="shared" si="9"/>
        <v>78300</v>
      </c>
      <c r="N48" s="11">
        <f t="shared" si="9"/>
        <v>78300</v>
      </c>
      <c r="O48" s="11">
        <f t="shared" si="9"/>
        <v>78300</v>
      </c>
      <c r="P48" s="11">
        <f t="shared" si="9"/>
        <v>78300</v>
      </c>
      <c r="Q48" s="11">
        <f t="shared" si="9"/>
        <v>78300</v>
      </c>
      <c r="R48" s="11">
        <f t="shared" si="9"/>
        <v>78300</v>
      </c>
    </row>
    <row r="49" spans="2:18" s="59" customFormat="1" ht="17.25" customHeight="1" x14ac:dyDescent="0.2">
      <c r="B49" s="56" t="s">
        <v>88</v>
      </c>
      <c r="C49" s="57"/>
      <c r="D49" s="58">
        <f>D46+D33+D28+D25+D21+D16+D12</f>
        <v>144657841.38465601</v>
      </c>
      <c r="E49" s="58" t="s">
        <v>70</v>
      </c>
      <c r="F49" s="58">
        <f>+F46+F33+F28+F25+F21+F16+F12</f>
        <v>5778846.1065119999</v>
      </c>
      <c r="G49" s="58">
        <f t="shared" ref="G49:R49" si="10">+G46+G33+G28+G25+G21+G16+G12</f>
        <v>7698846.1065119999</v>
      </c>
      <c r="H49" s="58">
        <f t="shared" si="10"/>
        <v>46858846.106512003</v>
      </c>
      <c r="I49" s="58">
        <f t="shared" si="10"/>
        <v>16281966.106511999</v>
      </c>
      <c r="J49" s="58">
        <f t="shared" si="10"/>
        <v>6769322.1065119999</v>
      </c>
      <c r="K49" s="58">
        <f t="shared" si="10"/>
        <v>7837060.1065119999</v>
      </c>
      <c r="L49" s="58">
        <f t="shared" si="10"/>
        <v>8507953.1065119989</v>
      </c>
      <c r="M49" s="58">
        <f t="shared" si="10"/>
        <v>6510691.1065119999</v>
      </c>
      <c r="N49" s="58">
        <f t="shared" si="10"/>
        <v>6128846.1065119999</v>
      </c>
      <c r="O49" s="58">
        <f t="shared" si="10"/>
        <v>10771129.106511999</v>
      </c>
      <c r="P49" s="58">
        <f t="shared" si="10"/>
        <v>5734322.1065119999</v>
      </c>
      <c r="Q49" s="58">
        <f t="shared" si="10"/>
        <v>7272060.1065119999</v>
      </c>
      <c r="R49" s="58">
        <f t="shared" si="10"/>
        <v>8507953.1065119989</v>
      </c>
    </row>
    <row r="50" spans="2:18" ht="17.25" customHeight="1" x14ac:dyDescent="0.25">
      <c r="B50" s="35" t="s">
        <v>29</v>
      </c>
      <c r="C50" s="36"/>
      <c r="D50" s="37">
        <f>+D49-D48</f>
        <v>143639941.38465601</v>
      </c>
      <c r="E50" s="37" t="s">
        <v>70</v>
      </c>
      <c r="F50" s="37">
        <f>+F49-F48</f>
        <v>5700546.1065119999</v>
      </c>
      <c r="G50" s="37">
        <f t="shared" ref="G50:R50" si="11">+G49-G48</f>
        <v>7620546.1065119999</v>
      </c>
      <c r="H50" s="37">
        <f t="shared" si="11"/>
        <v>46780546.106512003</v>
      </c>
      <c r="I50" s="37">
        <f t="shared" si="11"/>
        <v>16203666.106511999</v>
      </c>
      <c r="J50" s="37">
        <f t="shared" si="11"/>
        <v>6691022.1065119999</v>
      </c>
      <c r="K50" s="37">
        <f t="shared" si="11"/>
        <v>7758760.1065119999</v>
      </c>
      <c r="L50" s="37">
        <f t="shared" si="11"/>
        <v>8429653.1065119989</v>
      </c>
      <c r="M50" s="37">
        <f t="shared" si="11"/>
        <v>6432391.1065119999</v>
      </c>
      <c r="N50" s="37">
        <f t="shared" si="11"/>
        <v>6050546.1065119999</v>
      </c>
      <c r="O50" s="37">
        <f t="shared" si="11"/>
        <v>10692829.106511999</v>
      </c>
      <c r="P50" s="37">
        <f t="shared" si="11"/>
        <v>5656022.1065119999</v>
      </c>
      <c r="Q50" s="37">
        <f t="shared" si="11"/>
        <v>7193760.1065119999</v>
      </c>
      <c r="R50" s="37">
        <f t="shared" si="11"/>
        <v>8429653.1065119989</v>
      </c>
    </row>
    <row r="52" spans="2:18" x14ac:dyDescent="0.25">
      <c r="C52" s="16" t="s">
        <v>30</v>
      </c>
      <c r="D52" s="16"/>
      <c r="E52" s="17" t="s">
        <v>31</v>
      </c>
      <c r="F52" s="17"/>
      <c r="G52" s="17"/>
      <c r="H52" s="17"/>
      <c r="I52" s="17"/>
      <c r="K52" s="18" t="s">
        <v>32</v>
      </c>
      <c r="L52" s="18"/>
    </row>
    <row r="53" spans="2:18" ht="16.5" x14ac:dyDescent="0.25">
      <c r="B53" s="19"/>
      <c r="C53" s="19"/>
      <c r="D53" s="19"/>
      <c r="E53" s="19"/>
      <c r="F53" s="19"/>
      <c r="G53" s="19"/>
      <c r="H53" s="19"/>
      <c r="I53" s="19"/>
      <c r="K53" s="19"/>
    </row>
    <row r="54" spans="2:18" ht="16.5" x14ac:dyDescent="0.25">
      <c r="B54" s="19"/>
      <c r="C54" s="19"/>
      <c r="D54" s="19"/>
      <c r="E54" s="19"/>
      <c r="F54" s="19"/>
      <c r="G54" s="19"/>
      <c r="H54" s="19"/>
      <c r="I54" s="19"/>
      <c r="K54" s="19"/>
    </row>
    <row r="55" spans="2:18" ht="16.5" x14ac:dyDescent="0.25">
      <c r="B55" s="19"/>
      <c r="C55" s="19"/>
      <c r="D55" s="19"/>
      <c r="E55" s="19"/>
      <c r="F55" s="19"/>
      <c r="G55" s="19"/>
      <c r="H55" s="19"/>
      <c r="I55" s="19"/>
      <c r="K55" s="19"/>
    </row>
    <row r="56" spans="2:18" ht="16.5" x14ac:dyDescent="0.25">
      <c r="B56" s="19"/>
      <c r="C56" s="20"/>
      <c r="D56" s="19"/>
      <c r="E56" s="21"/>
      <c r="F56" s="21"/>
      <c r="G56" s="21"/>
      <c r="H56" s="21"/>
      <c r="I56" s="21"/>
      <c r="K56" s="21"/>
      <c r="L56" s="21"/>
    </row>
    <row r="57" spans="2:18" ht="16.5" x14ac:dyDescent="0.25">
      <c r="B57" s="19"/>
      <c r="C57" s="22"/>
      <c r="D57" s="19"/>
      <c r="E57" s="23"/>
      <c r="F57" s="23"/>
      <c r="G57" s="23"/>
      <c r="H57" s="23"/>
      <c r="I57" s="23"/>
      <c r="K57" s="23"/>
      <c r="L57" s="23"/>
    </row>
    <row r="58" spans="2:18" ht="16.5" x14ac:dyDescent="0.25">
      <c r="B58" s="19"/>
      <c r="C58" s="24"/>
      <c r="D58" s="24"/>
      <c r="E58" s="25"/>
      <c r="F58" s="25"/>
      <c r="G58" s="25"/>
      <c r="H58" s="25"/>
      <c r="I58" s="25"/>
      <c r="J58" s="26"/>
      <c r="K58" s="25"/>
      <c r="L58" s="25"/>
    </row>
    <row r="59" spans="2:18" ht="16.5" x14ac:dyDescent="0.25">
      <c r="B59" s="19"/>
      <c r="C59" s="19" t="s">
        <v>34</v>
      </c>
      <c r="D59" s="19"/>
      <c r="E59" s="23" t="s">
        <v>35</v>
      </c>
      <c r="F59" s="23"/>
      <c r="G59" s="23"/>
      <c r="H59" s="23"/>
      <c r="I59" s="23"/>
      <c r="K59" s="23" t="s">
        <v>33</v>
      </c>
      <c r="L59" s="23"/>
    </row>
    <row r="60" spans="2:18" ht="16.5" x14ac:dyDescent="0.25">
      <c r="B60" s="19"/>
      <c r="C60" s="27">
        <v>44599</v>
      </c>
      <c r="D60" s="19"/>
      <c r="E60" s="28" t="s">
        <v>36</v>
      </c>
      <c r="F60" s="28"/>
      <c r="G60" s="28"/>
      <c r="H60" s="28"/>
      <c r="I60" s="28"/>
      <c r="K60" s="28" t="s">
        <v>36</v>
      </c>
      <c r="L60" s="28"/>
    </row>
  </sheetData>
  <mergeCells count="33">
    <mergeCell ref="B46:C46"/>
    <mergeCell ref="B48:C48"/>
    <mergeCell ref="B50:C50"/>
    <mergeCell ref="D2:P2"/>
    <mergeCell ref="Q2:R2"/>
    <mergeCell ref="B49:C49"/>
    <mergeCell ref="E59:I59"/>
    <mergeCell ref="K59:L59"/>
    <mergeCell ref="E60:I60"/>
    <mergeCell ref="K60:L60"/>
    <mergeCell ref="B8:B11"/>
    <mergeCell ref="B29:B32"/>
    <mergeCell ref="B34:B45"/>
    <mergeCell ref="B12:C12"/>
    <mergeCell ref="B16:C16"/>
    <mergeCell ref="E56:I56"/>
    <mergeCell ref="K56:L56"/>
    <mergeCell ref="E57:I57"/>
    <mergeCell ref="K57:L57"/>
    <mergeCell ref="E58:I58"/>
    <mergeCell ref="K58:L58"/>
    <mergeCell ref="B17:B20"/>
    <mergeCell ref="B22:B24"/>
    <mergeCell ref="B26:B27"/>
    <mergeCell ref="E52:I52"/>
    <mergeCell ref="K52:L52"/>
    <mergeCell ref="B21:C21"/>
    <mergeCell ref="B25:C25"/>
    <mergeCell ref="B28:C28"/>
    <mergeCell ref="B33:C33"/>
    <mergeCell ref="B2:C2"/>
    <mergeCell ref="B5:B7"/>
    <mergeCell ref="B13:B15"/>
  </mergeCells>
  <pageMargins left="0.7" right="0.7" top="0.75" bottom="0.75" header="0.3" footer="0.3"/>
  <pageSetup paperSize="256" orientation="portrait" horizontalDpi="203" verticalDpi="203"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1"/>
  <sheetViews>
    <sheetView workbookViewId="0">
      <selection activeCell="A30" sqref="A30"/>
    </sheetView>
  </sheetViews>
  <sheetFormatPr baseColWidth="10" defaultColWidth="9" defaultRowHeight="15" x14ac:dyDescent="0.25"/>
  <cols>
    <col min="1" max="1" width="20.28515625" style="47" customWidth="1"/>
    <col min="2" max="2" width="13.28515625" style="47" bestFit="1" customWidth="1"/>
    <col min="3" max="3" width="12" style="47" customWidth="1"/>
    <col min="4" max="4" width="9.140625" style="47" bestFit="1" customWidth="1"/>
    <col min="5" max="5" width="12.42578125" style="47" bestFit="1" customWidth="1"/>
    <col min="6" max="8" width="12" style="47" customWidth="1"/>
    <col min="9" max="9" width="12.42578125" style="47" bestFit="1" customWidth="1"/>
    <col min="10" max="10" width="9" style="47"/>
    <col min="11" max="12" width="12.42578125" style="47" bestFit="1" customWidth="1"/>
    <col min="13" max="13" width="9" style="47"/>
    <col min="14" max="15" width="12.42578125" style="47" bestFit="1" customWidth="1"/>
    <col min="16" max="16" width="9" style="47"/>
    <col min="17" max="17" width="12.42578125" style="47" bestFit="1" customWidth="1"/>
    <col min="18" max="18" width="12" style="47" customWidth="1"/>
    <col min="19" max="256" width="10" style="47" customWidth="1"/>
    <col min="257" max="16384" width="9" style="47"/>
  </cols>
  <sheetData>
    <row r="1" spans="1:18" x14ac:dyDescent="0.25">
      <c r="A1" s="48" t="s">
        <v>71</v>
      </c>
      <c r="B1" s="48">
        <v>1000000</v>
      </c>
      <c r="C1" s="48"/>
      <c r="D1" s="48"/>
      <c r="E1" s="48">
        <v>1500000</v>
      </c>
      <c r="F1" s="48"/>
      <c r="G1" s="48"/>
      <c r="H1" s="48">
        <v>1800000</v>
      </c>
      <c r="I1" s="48"/>
      <c r="J1" s="48"/>
      <c r="K1" s="48">
        <v>2100000</v>
      </c>
      <c r="L1" s="48"/>
      <c r="M1" s="48"/>
      <c r="N1" s="48">
        <v>3570000</v>
      </c>
      <c r="O1" s="48"/>
      <c r="P1" s="48"/>
      <c r="Q1" s="48">
        <v>4400000</v>
      </c>
      <c r="R1" s="48"/>
    </row>
    <row r="2" spans="1:18" x14ac:dyDescent="0.25">
      <c r="A2" s="48" t="s">
        <v>72</v>
      </c>
      <c r="B2" s="48">
        <v>117172</v>
      </c>
      <c r="C2" s="48"/>
      <c r="D2" s="48"/>
      <c r="E2" s="48">
        <v>117172</v>
      </c>
      <c r="F2" s="48"/>
      <c r="G2" s="48"/>
      <c r="H2" s="48">
        <v>117172</v>
      </c>
      <c r="I2" s="48"/>
      <c r="J2" s="48"/>
      <c r="K2" s="48">
        <v>0</v>
      </c>
      <c r="L2" s="48"/>
      <c r="M2" s="48"/>
      <c r="N2" s="48">
        <v>0</v>
      </c>
      <c r="O2" s="48"/>
      <c r="P2" s="48"/>
      <c r="Q2" s="48">
        <v>0</v>
      </c>
      <c r="R2" s="48"/>
    </row>
    <row r="3" spans="1:18" x14ac:dyDescent="0.25">
      <c r="A3" s="48" t="s">
        <v>73</v>
      </c>
      <c r="B3" s="48">
        <f>(B1+B2)*8.33%</f>
        <v>93060.427599999995</v>
      </c>
      <c r="C3" s="48"/>
      <c r="D3" s="48"/>
      <c r="E3" s="48">
        <f>(E1+E2)*8.33%</f>
        <v>134710.4276</v>
      </c>
      <c r="F3" s="48"/>
      <c r="G3" s="48"/>
      <c r="H3" s="48">
        <f>(H1+H2)*8.33%</f>
        <v>159700.4276</v>
      </c>
      <c r="I3" s="48"/>
      <c r="J3" s="48"/>
      <c r="K3" s="48">
        <f>(K1+K2)*8.33%</f>
        <v>174930</v>
      </c>
      <c r="L3" s="48"/>
      <c r="M3" s="48"/>
      <c r="N3" s="48">
        <f>(N1+N2)*8.33%</f>
        <v>297381</v>
      </c>
      <c r="O3" s="48"/>
      <c r="P3" s="48"/>
      <c r="Q3" s="48">
        <f>(Q1+Q2)*8.33%</f>
        <v>366520</v>
      </c>
      <c r="R3" s="48"/>
    </row>
    <row r="4" spans="1:18" x14ac:dyDescent="0.25">
      <c r="A4" s="48" t="s">
        <v>74</v>
      </c>
      <c r="B4" s="48">
        <f>(B1+B2)*8.33%</f>
        <v>93060.427599999995</v>
      </c>
      <c r="C4" s="48"/>
      <c r="D4" s="48"/>
      <c r="E4" s="48">
        <f>(E1+E2)*8.33%</f>
        <v>134710.4276</v>
      </c>
      <c r="F4" s="48"/>
      <c r="G4" s="48"/>
      <c r="H4" s="48">
        <f>(H1+H2)*8.33%</f>
        <v>159700.4276</v>
      </c>
      <c r="I4" s="48"/>
      <c r="J4" s="48"/>
      <c r="K4" s="48">
        <f>(K1+K2)*8.33%</f>
        <v>174930</v>
      </c>
      <c r="L4" s="48"/>
      <c r="M4" s="48"/>
      <c r="N4" s="48">
        <f>(N1+N2)*8.33%</f>
        <v>297381</v>
      </c>
      <c r="O4" s="48"/>
      <c r="P4" s="48"/>
      <c r="Q4" s="48">
        <f>(Q1+Q2)*8.33%</f>
        <v>366520</v>
      </c>
      <c r="R4" s="48"/>
    </row>
    <row r="5" spans="1:18" x14ac:dyDescent="0.25">
      <c r="A5" s="48" t="s">
        <v>75</v>
      </c>
      <c r="B5" s="48">
        <f>B4*12%</f>
        <v>11167.251311999999</v>
      </c>
      <c r="C5" s="48"/>
      <c r="D5" s="48"/>
      <c r="E5" s="48">
        <f>E4*12%</f>
        <v>16165.251311999999</v>
      </c>
      <c r="F5" s="48"/>
      <c r="G5" s="48"/>
      <c r="H5" s="48">
        <f>H4*12%</f>
        <v>19164.051312</v>
      </c>
      <c r="I5" s="48"/>
      <c r="J5" s="48"/>
      <c r="K5" s="48">
        <f>K4*12%</f>
        <v>20991.599999999999</v>
      </c>
      <c r="L5" s="48"/>
      <c r="M5" s="48"/>
      <c r="N5" s="48">
        <f>N4*12%</f>
        <v>35685.72</v>
      </c>
      <c r="O5" s="48"/>
      <c r="P5" s="48"/>
      <c r="Q5" s="48">
        <f>Q4*12%</f>
        <v>43982.400000000001</v>
      </c>
      <c r="R5" s="48"/>
    </row>
    <row r="6" spans="1:18" x14ac:dyDescent="0.25">
      <c r="A6" s="48" t="s">
        <v>76</v>
      </c>
      <c r="B6" s="48">
        <f>B1*4.17%</f>
        <v>41700</v>
      </c>
      <c r="C6" s="48"/>
      <c r="D6" s="48"/>
      <c r="E6" s="48">
        <f>E1*4.17%</f>
        <v>62550</v>
      </c>
      <c r="F6" s="48"/>
      <c r="G6" s="48"/>
      <c r="H6" s="48">
        <f>H1*4.17%</f>
        <v>75060</v>
      </c>
      <c r="I6" s="48"/>
      <c r="J6" s="48"/>
      <c r="K6" s="48">
        <f>K1*4.17%</f>
        <v>87570</v>
      </c>
      <c r="L6" s="48"/>
      <c r="M6" s="48"/>
      <c r="N6" s="48">
        <f>N1*4.17%</f>
        <v>148869</v>
      </c>
      <c r="O6" s="48"/>
      <c r="P6" s="48"/>
      <c r="Q6" s="48">
        <f>Q1*4.17%</f>
        <v>183480</v>
      </c>
      <c r="R6" s="48"/>
    </row>
    <row r="7" spans="1:18" x14ac:dyDescent="0.25">
      <c r="A7" s="48" t="s">
        <v>77</v>
      </c>
      <c r="B7" s="48">
        <f>B1*8.5%</f>
        <v>85000</v>
      </c>
      <c r="C7" s="48"/>
      <c r="D7" s="48"/>
      <c r="E7" s="48">
        <f>E1*8.5%</f>
        <v>127500.00000000001</v>
      </c>
      <c r="F7" s="48"/>
      <c r="G7" s="48"/>
      <c r="H7" s="48">
        <f>H1*8.5%</f>
        <v>153000</v>
      </c>
      <c r="I7" s="48"/>
      <c r="J7" s="48"/>
      <c r="K7" s="48">
        <f>K1*8.5%</f>
        <v>178500</v>
      </c>
      <c r="L7" s="48"/>
      <c r="M7" s="48"/>
      <c r="N7" s="48">
        <f>N1*8.5%</f>
        <v>303450</v>
      </c>
      <c r="O7" s="48"/>
      <c r="P7" s="48"/>
      <c r="Q7" s="48">
        <f>Q1*8.5%</f>
        <v>374000</v>
      </c>
      <c r="R7" s="48"/>
    </row>
    <row r="8" spans="1:18" x14ac:dyDescent="0.25">
      <c r="A8" s="48" t="s">
        <v>78</v>
      </c>
      <c r="B8" s="48">
        <f>B1*12%</f>
        <v>120000</v>
      </c>
      <c r="C8" s="48"/>
      <c r="D8" s="48"/>
      <c r="E8" s="48">
        <f>E1*12%</f>
        <v>180000</v>
      </c>
      <c r="F8" s="48"/>
      <c r="G8" s="48"/>
      <c r="H8" s="48">
        <f>H1*12%</f>
        <v>216000</v>
      </c>
      <c r="I8" s="48"/>
      <c r="J8" s="48"/>
      <c r="K8" s="48">
        <f>K1*12%</f>
        <v>252000</v>
      </c>
      <c r="L8" s="48"/>
      <c r="M8" s="48"/>
      <c r="N8" s="48">
        <f>N1*12%</f>
        <v>428400</v>
      </c>
      <c r="O8" s="48"/>
      <c r="P8" s="48"/>
      <c r="Q8" s="48">
        <f>Q1*12%</f>
        <v>528000</v>
      </c>
      <c r="R8" s="48"/>
    </row>
    <row r="9" spans="1:18" x14ac:dyDescent="0.25">
      <c r="A9" s="48" t="s">
        <v>79</v>
      </c>
      <c r="B9" s="48">
        <f>B1*4.35%</f>
        <v>43500</v>
      </c>
      <c r="C9" s="48"/>
      <c r="D9" s="48"/>
      <c r="E9" s="48">
        <f>E1*4.35%</f>
        <v>65249.999999999993</v>
      </c>
      <c r="F9" s="48"/>
      <c r="G9" s="48"/>
      <c r="H9" s="48">
        <f>H1*4.35%</f>
        <v>78300</v>
      </c>
      <c r="I9" s="48"/>
      <c r="J9" s="48"/>
      <c r="K9" s="48">
        <f>K1*4.35%</f>
        <v>91350</v>
      </c>
      <c r="L9" s="48"/>
      <c r="M9" s="48"/>
      <c r="N9" s="48">
        <f>N1*4.35%</f>
        <v>155295</v>
      </c>
      <c r="O9" s="48"/>
      <c r="P9" s="48"/>
      <c r="Q9" s="48">
        <f>Q1*4.35%</f>
        <v>191400</v>
      </c>
      <c r="R9" s="48"/>
    </row>
    <row r="10" spans="1:18" x14ac:dyDescent="0.25">
      <c r="A10" s="48" t="s">
        <v>80</v>
      </c>
      <c r="B10" s="48">
        <f>B1*4%</f>
        <v>40000</v>
      </c>
      <c r="C10" s="48"/>
      <c r="D10" s="48"/>
      <c r="E10" s="48">
        <f>E1*4%</f>
        <v>60000</v>
      </c>
      <c r="F10" s="48"/>
      <c r="G10" s="48"/>
      <c r="H10" s="48">
        <f>H1*4%</f>
        <v>72000</v>
      </c>
      <c r="I10" s="48"/>
      <c r="J10" s="48"/>
      <c r="K10" s="48">
        <f>K1*4%</f>
        <v>84000</v>
      </c>
      <c r="L10" s="48"/>
      <c r="M10" s="48"/>
      <c r="N10" s="48">
        <f>N1*4%</f>
        <v>142800</v>
      </c>
      <c r="O10" s="48"/>
      <c r="P10" s="48"/>
      <c r="Q10" s="48">
        <f>Q1*4%</f>
        <v>176000</v>
      </c>
      <c r="R10" s="48"/>
    </row>
    <row r="11" spans="1:18" x14ac:dyDescent="0.25">
      <c r="A11" s="48"/>
      <c r="B11" s="48">
        <f>SUM(B1:B10)</f>
        <v>1644660.1065120001</v>
      </c>
      <c r="C11" s="48">
        <f>B11*21</f>
        <v>34537862.236752003</v>
      </c>
      <c r="D11" s="48"/>
      <c r="E11" s="48">
        <f>SUM(E1:E10)</f>
        <v>2398058.1065119999</v>
      </c>
      <c r="F11" s="48">
        <f>E11*4</f>
        <v>9592232.4260479994</v>
      </c>
      <c r="G11" s="48"/>
      <c r="H11" s="48">
        <f>SUM(H1:H10)</f>
        <v>2850096.9065120001</v>
      </c>
      <c r="I11" s="48">
        <f>H11*2</f>
        <v>5700193.8130240003</v>
      </c>
      <c r="J11" s="48"/>
      <c r="K11" s="48">
        <f>SUM(K1:K10)</f>
        <v>3164271.6</v>
      </c>
      <c r="L11" s="48">
        <f>K11*2</f>
        <v>6328543.2000000002</v>
      </c>
      <c r="M11" s="48"/>
      <c r="N11" s="48">
        <f>SUM(N1:N10)</f>
        <v>5379261.7199999997</v>
      </c>
      <c r="O11" s="48">
        <f>N11*1</f>
        <v>5379261.7199999997</v>
      </c>
      <c r="P11" s="48"/>
      <c r="Q11" s="48">
        <f>SUM(Q1:Q10)</f>
        <v>6629902.4000000004</v>
      </c>
      <c r="R11" s="48">
        <f>Q11*3</f>
        <v>19889707.200000003</v>
      </c>
    </row>
    <row r="12" spans="1:18" x14ac:dyDescent="0.25">
      <c r="A12" s="48"/>
      <c r="B12" s="48">
        <f>B11/30</f>
        <v>54822.003550400004</v>
      </c>
      <c r="C12" s="48"/>
      <c r="D12" s="48"/>
      <c r="E12" s="48"/>
      <c r="F12" s="48"/>
      <c r="G12" s="48"/>
      <c r="H12" s="48"/>
      <c r="I12" s="48"/>
      <c r="J12" s="48"/>
      <c r="K12" s="48"/>
      <c r="L12" s="48"/>
      <c r="M12" s="48"/>
      <c r="N12" s="48"/>
      <c r="O12" s="48"/>
      <c r="P12" s="48"/>
      <c r="Q12" s="48"/>
      <c r="R12" s="48"/>
    </row>
    <row r="13" spans="1:18" x14ac:dyDescent="0.25">
      <c r="A13" s="48"/>
      <c r="B13" s="48">
        <f>B12/8</f>
        <v>6852.7504438000005</v>
      </c>
      <c r="C13" s="48"/>
      <c r="D13" s="48"/>
      <c r="E13" s="48"/>
      <c r="F13" s="48"/>
      <c r="G13" s="48"/>
      <c r="H13" s="48"/>
      <c r="I13" s="48"/>
      <c r="J13" s="48"/>
      <c r="K13" s="48"/>
      <c r="L13" s="48"/>
      <c r="M13" s="48"/>
      <c r="N13" s="48"/>
      <c r="O13" s="48"/>
      <c r="P13" s="48"/>
      <c r="Q13" s="48"/>
      <c r="R13" s="48"/>
    </row>
    <row r="14" spans="1:18" x14ac:dyDescent="0.25">
      <c r="A14" s="48"/>
      <c r="B14" s="48"/>
      <c r="C14" s="48"/>
      <c r="D14" s="49">
        <v>33</v>
      </c>
      <c r="E14" s="48"/>
      <c r="F14" s="48">
        <f>C11+F11+I11+L11+O11+R11</f>
        <v>81427800.595824003</v>
      </c>
      <c r="G14" s="48">
        <f>F14/33</f>
        <v>2467509.1089643636</v>
      </c>
      <c r="H14" s="48">
        <f>(G14/30)</f>
        <v>82250.303632145457</v>
      </c>
      <c r="I14" s="48">
        <f>H14/8</f>
        <v>10281.287954018182</v>
      </c>
      <c r="J14" s="48"/>
      <c r="K14" s="48"/>
      <c r="L14" s="48"/>
      <c r="M14" s="48"/>
      <c r="N14" s="48"/>
      <c r="O14" s="48"/>
      <c r="P14" s="48"/>
      <c r="Q14" s="48"/>
      <c r="R14" s="48"/>
    </row>
    <row r="15" spans="1:18" x14ac:dyDescent="0.25">
      <c r="A15" s="48"/>
      <c r="B15" s="48"/>
      <c r="C15" s="48"/>
      <c r="D15" s="49">
        <v>21</v>
      </c>
      <c r="E15" s="48"/>
      <c r="F15" s="48"/>
      <c r="G15" s="48"/>
      <c r="H15" s="48"/>
      <c r="I15" s="48"/>
      <c r="J15" s="48"/>
      <c r="K15" s="48"/>
      <c r="L15" s="48"/>
      <c r="M15" s="48"/>
      <c r="N15" s="48"/>
      <c r="O15" s="48"/>
      <c r="P15" s="48"/>
      <c r="Q15" s="48"/>
      <c r="R15" s="48"/>
    </row>
    <row r="16" spans="1:18" x14ac:dyDescent="0.25">
      <c r="A16" s="48"/>
      <c r="B16" s="48"/>
      <c r="C16" s="48"/>
      <c r="D16" s="49">
        <v>4</v>
      </c>
      <c r="E16" s="48"/>
      <c r="F16" s="48"/>
      <c r="G16" s="48"/>
      <c r="H16" s="48"/>
      <c r="I16" s="48"/>
      <c r="J16" s="48"/>
      <c r="K16" s="48"/>
      <c r="L16" s="48"/>
      <c r="M16" s="48"/>
      <c r="N16" s="48"/>
      <c r="O16" s="48"/>
      <c r="P16" s="48"/>
      <c r="Q16" s="48"/>
      <c r="R16" s="48"/>
    </row>
    <row r="17" spans="1:18" x14ac:dyDescent="0.25">
      <c r="A17" s="48"/>
      <c r="B17" s="48"/>
      <c r="C17" s="48"/>
      <c r="D17" s="49">
        <v>2</v>
      </c>
      <c r="E17" s="48"/>
      <c r="F17" s="48"/>
      <c r="G17" s="48"/>
      <c r="H17" s="48"/>
      <c r="I17" s="48"/>
      <c r="J17" s="48"/>
      <c r="K17" s="48"/>
      <c r="L17" s="48"/>
      <c r="M17" s="48"/>
      <c r="N17" s="48"/>
      <c r="O17" s="48"/>
      <c r="P17" s="48"/>
      <c r="Q17" s="48"/>
      <c r="R17" s="48"/>
    </row>
    <row r="18" spans="1:18" x14ac:dyDescent="0.25">
      <c r="A18" s="48"/>
      <c r="B18" s="48">
        <f>+B11/30</f>
        <v>54822.003550400004</v>
      </c>
      <c r="C18" s="48"/>
      <c r="D18" s="49">
        <v>2</v>
      </c>
      <c r="E18" s="48"/>
      <c r="F18" s="48"/>
      <c r="G18" s="48"/>
      <c r="H18" s="48"/>
      <c r="I18" s="48"/>
      <c r="J18" s="48"/>
      <c r="K18" s="48"/>
      <c r="L18" s="48"/>
      <c r="M18" s="48"/>
      <c r="N18" s="48"/>
      <c r="O18" s="48"/>
      <c r="P18" s="48"/>
      <c r="Q18" s="48"/>
      <c r="R18" s="48"/>
    </row>
    <row r="19" spans="1:18" x14ac:dyDescent="0.25">
      <c r="A19" s="48"/>
      <c r="B19" s="48"/>
      <c r="C19" s="48"/>
      <c r="D19" s="49">
        <v>1</v>
      </c>
      <c r="E19" s="48"/>
      <c r="F19" s="48"/>
      <c r="G19" s="48"/>
      <c r="H19" s="48"/>
      <c r="I19" s="48"/>
      <c r="J19" s="48"/>
      <c r="K19" s="48"/>
      <c r="L19" s="48"/>
      <c r="M19" s="48"/>
      <c r="N19" s="48"/>
      <c r="O19" s="48"/>
      <c r="P19" s="48"/>
      <c r="Q19" s="48"/>
      <c r="R19" s="48"/>
    </row>
    <row r="20" spans="1:18" ht="14.25" customHeight="1" x14ac:dyDescent="0.25">
      <c r="A20" s="48"/>
      <c r="B20" s="48"/>
      <c r="C20" s="48"/>
      <c r="D20" s="49">
        <f>D14-D15-D16-D17-D18-D19</f>
        <v>3</v>
      </c>
      <c r="E20" s="48"/>
      <c r="F20" s="48"/>
      <c r="G20" s="48"/>
      <c r="H20" s="48"/>
      <c r="I20" s="48"/>
      <c r="J20" s="48"/>
      <c r="K20" s="48">
        <v>1800000</v>
      </c>
      <c r="L20" s="48"/>
      <c r="M20" s="48"/>
      <c r="N20" s="48"/>
      <c r="O20" s="48"/>
      <c r="P20" s="48"/>
      <c r="Q20" s="48"/>
      <c r="R20" s="48"/>
    </row>
    <row r="21" spans="1:18" x14ac:dyDescent="0.25">
      <c r="A21" s="48"/>
      <c r="B21" s="48"/>
      <c r="C21" s="48"/>
      <c r="D21" s="48"/>
      <c r="E21" s="48"/>
      <c r="F21" s="48"/>
      <c r="G21" s="48"/>
      <c r="H21" s="48"/>
      <c r="I21" s="48"/>
      <c r="J21" s="48"/>
      <c r="K21" s="48">
        <f>+K20*0.0435</f>
        <v>78300</v>
      </c>
      <c r="L21" s="48"/>
      <c r="M21" s="48"/>
      <c r="N21" s="48"/>
      <c r="O21" s="48"/>
      <c r="P21" s="48"/>
      <c r="Q21" s="48"/>
      <c r="R21" s="48"/>
    </row>
    <row r="22" spans="1:18" x14ac:dyDescent="0.25">
      <c r="A22" s="48"/>
      <c r="B22" s="48">
        <f>+B18/8</f>
        <v>6852.7504438000005</v>
      </c>
      <c r="C22" s="48"/>
      <c r="D22" s="48"/>
      <c r="E22" s="48">
        <f>+E11/30</f>
        <v>79935.27021706666</v>
      </c>
      <c r="F22" s="48"/>
      <c r="G22" s="48"/>
      <c r="H22" s="48"/>
      <c r="I22" s="48"/>
      <c r="J22" s="48"/>
      <c r="K22" s="48"/>
      <c r="L22" s="48"/>
      <c r="M22" s="48"/>
      <c r="N22" s="48"/>
      <c r="O22" s="48"/>
      <c r="P22" s="48"/>
      <c r="Q22" s="48"/>
      <c r="R22" s="48"/>
    </row>
    <row r="23" spans="1:18" x14ac:dyDescent="0.25">
      <c r="A23" s="48"/>
      <c r="B23" s="48"/>
      <c r="C23" s="48"/>
      <c r="D23" s="48"/>
      <c r="E23" s="48"/>
      <c r="F23" s="48"/>
      <c r="G23" s="48"/>
      <c r="H23" s="48"/>
      <c r="I23" s="48"/>
      <c r="J23" s="48"/>
      <c r="K23" s="48"/>
      <c r="L23" s="48"/>
      <c r="M23" s="48"/>
      <c r="N23" s="48"/>
      <c r="O23" s="48"/>
      <c r="P23" s="48"/>
      <c r="Q23" s="48"/>
      <c r="R23" s="48"/>
    </row>
    <row r="24" spans="1:18" x14ac:dyDescent="0.25">
      <c r="A24" s="48"/>
      <c r="B24" s="48"/>
      <c r="C24" s="48"/>
      <c r="D24" s="48"/>
      <c r="E24" s="48">
        <f>+E22/8</f>
        <v>9991.9087771333325</v>
      </c>
      <c r="F24" s="48"/>
      <c r="G24" s="48"/>
      <c r="H24" s="48"/>
      <c r="I24" s="48"/>
      <c r="J24" s="48"/>
      <c r="K24" s="48"/>
      <c r="L24" s="48"/>
      <c r="M24" s="48"/>
      <c r="N24" s="48"/>
      <c r="O24" s="48"/>
      <c r="P24" s="48"/>
      <c r="Q24" s="48"/>
      <c r="R24" s="48"/>
    </row>
    <row r="25" spans="1:18" ht="15.75" thickBot="1" x14ac:dyDescent="0.3">
      <c r="A25" s="48"/>
      <c r="B25" s="48"/>
      <c r="C25" s="48"/>
      <c r="D25" s="48"/>
      <c r="E25" s="48"/>
      <c r="F25" s="48"/>
      <c r="G25" s="48"/>
      <c r="H25" s="48"/>
      <c r="I25" s="48"/>
      <c r="J25" s="48"/>
      <c r="K25" s="48"/>
      <c r="L25" s="48"/>
      <c r="M25" s="48"/>
      <c r="N25" s="48"/>
      <c r="O25" s="48"/>
      <c r="P25" s="48"/>
      <c r="Q25" s="48"/>
      <c r="R25" s="48"/>
    </row>
    <row r="26" spans="1:18" x14ac:dyDescent="0.25">
      <c r="A26" s="50" t="s">
        <v>81</v>
      </c>
      <c r="B26" s="51" t="s">
        <v>82</v>
      </c>
      <c r="C26" s="48"/>
      <c r="D26" s="48"/>
      <c r="E26" s="48"/>
      <c r="F26" s="48"/>
      <c r="G26" s="48"/>
      <c r="H26" s="48"/>
      <c r="I26" s="48"/>
      <c r="J26" s="48"/>
      <c r="K26" s="48"/>
      <c r="L26" s="48"/>
      <c r="M26" s="48"/>
      <c r="N26" s="48"/>
      <c r="O26" s="48"/>
      <c r="P26" s="48"/>
      <c r="Q26" s="48"/>
      <c r="R26" s="48"/>
    </row>
    <row r="27" spans="1:18" x14ac:dyDescent="0.25">
      <c r="A27" s="52" t="s">
        <v>83</v>
      </c>
      <c r="B27" s="53">
        <v>170000</v>
      </c>
      <c r="C27" s="48"/>
      <c r="D27" s="48"/>
      <c r="E27" s="48"/>
      <c r="F27" s="48"/>
      <c r="G27" s="48"/>
      <c r="H27" s="48"/>
      <c r="I27" s="48"/>
      <c r="J27" s="48"/>
      <c r="K27" s="48"/>
      <c r="L27" s="48"/>
      <c r="M27" s="48"/>
      <c r="N27" s="48"/>
      <c r="O27" s="48"/>
      <c r="P27" s="48"/>
      <c r="Q27" s="48"/>
      <c r="R27" s="48"/>
    </row>
    <row r="28" spans="1:18" ht="54" x14ac:dyDescent="0.25">
      <c r="A28" s="52" t="s">
        <v>84</v>
      </c>
      <c r="B28" s="53">
        <v>2800000</v>
      </c>
      <c r="C28" s="48"/>
      <c r="D28" s="48"/>
      <c r="E28" s="48"/>
      <c r="F28" s="48"/>
      <c r="G28" s="48"/>
      <c r="H28" s="48"/>
      <c r="I28" s="48"/>
      <c r="J28" s="48"/>
      <c r="K28" s="48"/>
      <c r="L28" s="48"/>
      <c r="M28" s="48"/>
      <c r="N28" s="48"/>
      <c r="O28" s="48"/>
      <c r="P28" s="48"/>
      <c r="Q28" s="48"/>
      <c r="R28" s="48"/>
    </row>
    <row r="29" spans="1:18" ht="40.5" x14ac:dyDescent="0.25">
      <c r="A29" s="52" t="s">
        <v>85</v>
      </c>
      <c r="B29" s="53">
        <v>3164272</v>
      </c>
      <c r="C29" s="48"/>
      <c r="D29" s="48"/>
      <c r="E29" s="48"/>
      <c r="F29" s="48"/>
      <c r="G29" s="48"/>
      <c r="H29" s="48"/>
      <c r="I29" s="48"/>
      <c r="J29" s="48"/>
      <c r="K29" s="48"/>
      <c r="L29" s="48"/>
      <c r="M29" s="48"/>
      <c r="N29" s="48"/>
      <c r="O29" s="48"/>
      <c r="P29" s="48"/>
      <c r="Q29" s="48"/>
      <c r="R29" s="48"/>
    </row>
    <row r="30" spans="1:18" ht="40.5" x14ac:dyDescent="0.25">
      <c r="A30" s="52" t="s">
        <v>86</v>
      </c>
      <c r="B30" s="53">
        <v>10281</v>
      </c>
      <c r="C30" s="48"/>
      <c r="D30" s="48"/>
      <c r="E30" s="48"/>
      <c r="F30" s="48"/>
      <c r="G30" s="48"/>
      <c r="H30" s="48"/>
      <c r="I30" s="48"/>
      <c r="J30" s="48"/>
      <c r="K30" s="48"/>
      <c r="L30" s="48"/>
      <c r="M30" s="48"/>
      <c r="N30" s="48"/>
      <c r="O30" s="48"/>
      <c r="P30" s="48"/>
      <c r="Q30" s="48"/>
      <c r="R30" s="48"/>
    </row>
    <row r="31" spans="1:18" ht="27.75" thickBot="1" x14ac:dyDescent="0.3">
      <c r="A31" s="54" t="s">
        <v>87</v>
      </c>
      <c r="B31" s="55">
        <v>130000</v>
      </c>
      <c r="C31" s="48"/>
      <c r="D31" s="48"/>
      <c r="E31" s="48"/>
      <c r="F31" s="48"/>
      <c r="G31" s="48"/>
      <c r="H31" s="48"/>
      <c r="I31" s="48"/>
      <c r="J31" s="48"/>
      <c r="K31" s="48"/>
      <c r="L31" s="48"/>
      <c r="M31" s="48"/>
      <c r="N31" s="48"/>
      <c r="O31" s="48"/>
      <c r="P31" s="48"/>
      <c r="Q31" s="48"/>
      <c r="R31" s="4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BUDGET</vt:lpstr>
      <vt:lpstr>Horas hombre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SECURITY</dc:creator>
  <cp:lastModifiedBy>SECURITY</cp:lastModifiedBy>
  <dcterms:created xsi:type="dcterms:W3CDTF">2022-02-11T17:47:09Z</dcterms:created>
  <dcterms:modified xsi:type="dcterms:W3CDTF">2022-02-11T21:07:03Z</dcterms:modified>
</cp:coreProperties>
</file>